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1. TRIKA YULIANA\ROAD TO SC\PROJECTS\Grocery Inventory Analysis\"/>
    </mc:Choice>
  </mc:AlternateContent>
  <xr:revisionPtr revIDLastSave="0" documentId="13_ncr:1_{0648B2CD-47AC-4C7D-B6FE-FCF94748D3F5}" xr6:coauthVersionLast="47" xr6:coauthVersionMax="47" xr10:uidLastSave="{00000000-0000-0000-0000-000000000000}"/>
  <bookViews>
    <workbookView xWindow="-90" yWindow="3270" windowWidth="16150" windowHeight="11180" firstSheet="1" activeTab="3" xr2:uid="{8C8A4E6F-A02B-4A76-92AD-B8C175AB593E}"/>
  </bookViews>
  <sheets>
    <sheet name="Grocery_Inventory (Raw)" sheetId="17" r:id="rId1"/>
    <sheet name="Data Analyzed" sheetId="1" r:id="rId2"/>
    <sheet name="ABC Analysis" sheetId="2" r:id="rId3"/>
    <sheet name="EOQ" sheetId="3" r:id="rId4"/>
    <sheet name="ROP" sheetId="6" r:id="rId5"/>
    <sheet name="Inv Turnover" sheetId="10" state="hidden" r:id="rId6"/>
    <sheet name="ITR COGS" sheetId="14" r:id="rId7"/>
    <sheet name="Supl Performance" sheetId="9" r:id="rId8"/>
  </sheets>
  <definedNames>
    <definedName name="_xlnm._FilterDatabase" localSheetId="3" hidden="1">EOQ!$G$6:$U$127</definedName>
    <definedName name="_xlnm._FilterDatabase" localSheetId="5" hidden="1">'Inv Turnover'!$P$3:$S$3</definedName>
    <definedName name="_xlnm._FilterDatabase" localSheetId="6" hidden="1">'ITR COGS'!$G$5:$L$5</definedName>
    <definedName name="_xlnm._FilterDatabase" localSheetId="4" hidden="1">ROP!$F$8:$O$782</definedName>
    <definedName name="_xlnm._FilterDatabase" localSheetId="7" hidden="1">'Supl Performance'!$D$694:$E$694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4" i="9" l="1" a="1"/>
  <c r="P34" i="9"/>
  <c r="Q34" i="9"/>
  <c r="P35" i="9" a="1"/>
  <c r="P35" i="9"/>
  <c r="Q35" i="9"/>
  <c r="P36" i="9" a="1"/>
  <c r="P36" i="9"/>
  <c r="Q36" i="9"/>
  <c r="P37" i="9" a="1"/>
  <c r="P37" i="9"/>
  <c r="Q37" i="9"/>
  <c r="P38" i="9" a="1"/>
  <c r="P38" i="9"/>
  <c r="Q38" i="9"/>
  <c r="P39" i="9" a="1"/>
  <c r="P39" i="9"/>
  <c r="Q39" i="9"/>
  <c r="P40" i="9" a="1"/>
  <c r="P40" i="9" s="1"/>
  <c r="Q40" i="9" s="1"/>
  <c r="P41" i="9" a="1"/>
  <c r="P41" i="9" s="1"/>
  <c r="Q41" i="9" s="1"/>
  <c r="P42" i="9" a="1"/>
  <c r="P42" i="9"/>
  <c r="Q42" i="9"/>
  <c r="P43" i="9" a="1"/>
  <c r="P43" i="9"/>
  <c r="Q43" i="9"/>
  <c r="E693" i="9"/>
  <c r="K6" i="14"/>
  <c r="J991" i="17"/>
  <c r="J990" i="17"/>
  <c r="K990" i="17" s="1"/>
  <c r="J989" i="17"/>
  <c r="J988" i="17"/>
  <c r="J987" i="17"/>
  <c r="K987" i="17" s="1"/>
  <c r="J986" i="17"/>
  <c r="J985" i="17"/>
  <c r="J984" i="17"/>
  <c r="J983" i="17"/>
  <c r="J982" i="17"/>
  <c r="J981" i="17"/>
  <c r="L981" i="17" s="1"/>
  <c r="J980" i="17"/>
  <c r="J979" i="17"/>
  <c r="L979" i="17" s="1"/>
  <c r="J978" i="17"/>
  <c r="K978" i="17" s="1"/>
  <c r="J977" i="17"/>
  <c r="J976" i="17"/>
  <c r="J975" i="17"/>
  <c r="J974" i="17"/>
  <c r="J973" i="17"/>
  <c r="J972" i="17"/>
  <c r="J971" i="17"/>
  <c r="L971" i="17" s="1"/>
  <c r="J970" i="17"/>
  <c r="K970" i="17" s="1"/>
  <c r="J969" i="17"/>
  <c r="L969" i="17" s="1"/>
  <c r="J968" i="17"/>
  <c r="K968" i="17" s="1"/>
  <c r="J967" i="17"/>
  <c r="L967" i="17" s="1"/>
  <c r="J966" i="17"/>
  <c r="K966" i="17" s="1"/>
  <c r="J965" i="17"/>
  <c r="L965" i="17" s="1"/>
  <c r="J964" i="17"/>
  <c r="J963" i="17"/>
  <c r="J962" i="17"/>
  <c r="J961" i="17"/>
  <c r="J960" i="17"/>
  <c r="J959" i="17"/>
  <c r="J958" i="17"/>
  <c r="K958" i="17" s="1"/>
  <c r="J957" i="17"/>
  <c r="J956" i="17"/>
  <c r="J955" i="17"/>
  <c r="J954" i="17"/>
  <c r="K954" i="17" s="1"/>
  <c r="J953" i="17"/>
  <c r="J952" i="17"/>
  <c r="K952" i="17" s="1"/>
  <c r="J951" i="17"/>
  <c r="K951" i="17" s="1"/>
  <c r="J950" i="17"/>
  <c r="J949" i="17"/>
  <c r="J948" i="17"/>
  <c r="J947" i="17"/>
  <c r="J946" i="17"/>
  <c r="J945" i="17"/>
  <c r="L945" i="17" s="1"/>
  <c r="J944" i="17"/>
  <c r="J943" i="17"/>
  <c r="K943" i="17" s="1"/>
  <c r="J942" i="17"/>
  <c r="K942" i="17" s="1"/>
  <c r="J941" i="17"/>
  <c r="L941" i="17" s="1"/>
  <c r="J940" i="17"/>
  <c r="K940" i="17" s="1"/>
  <c r="J939" i="17"/>
  <c r="K939" i="17" s="1"/>
  <c r="J938" i="17"/>
  <c r="J937" i="17"/>
  <c r="J936" i="17"/>
  <c r="K936" i="17" s="1"/>
  <c r="J935" i="17"/>
  <c r="J934" i="17"/>
  <c r="K934" i="17" s="1"/>
  <c r="J933" i="17"/>
  <c r="L933" i="17" s="1"/>
  <c r="J932" i="17"/>
  <c r="K932" i="17" s="1"/>
  <c r="J931" i="17"/>
  <c r="K931" i="17" s="1"/>
  <c r="J930" i="17"/>
  <c r="K930" i="17" s="1"/>
  <c r="J929" i="17"/>
  <c r="K929" i="17" s="1"/>
  <c r="J928" i="17"/>
  <c r="K928" i="17" s="1"/>
  <c r="J927" i="17"/>
  <c r="K927" i="17" s="1"/>
  <c r="J926" i="17"/>
  <c r="J925" i="17"/>
  <c r="K925" i="17" s="1"/>
  <c r="J924" i="17"/>
  <c r="J923" i="17"/>
  <c r="K923" i="17" s="1"/>
  <c r="J922" i="17"/>
  <c r="K922" i="17" s="1"/>
  <c r="J921" i="17"/>
  <c r="K921" i="17" s="1"/>
  <c r="J920" i="17"/>
  <c r="K920" i="17" s="1"/>
  <c r="J919" i="17"/>
  <c r="L919" i="17" s="1"/>
  <c r="J918" i="17"/>
  <c r="K918" i="17" s="1"/>
  <c r="J917" i="17"/>
  <c r="K917" i="17" s="1"/>
  <c r="J916" i="17"/>
  <c r="J915" i="17"/>
  <c r="J914" i="17"/>
  <c r="J913" i="17"/>
  <c r="K913" i="17" s="1"/>
  <c r="J912" i="17"/>
  <c r="K912" i="17" s="1"/>
  <c r="J911" i="17"/>
  <c r="L911" i="17" s="1"/>
  <c r="J910" i="17"/>
  <c r="K910" i="17" s="1"/>
  <c r="J909" i="17"/>
  <c r="K909" i="17" s="1"/>
  <c r="J908" i="17"/>
  <c r="K908" i="17" s="1"/>
  <c r="J907" i="17"/>
  <c r="L907" i="17" s="1"/>
  <c r="J906" i="17"/>
  <c r="J905" i="17"/>
  <c r="K905" i="17" s="1"/>
  <c r="J904" i="17"/>
  <c r="J903" i="17"/>
  <c r="J902" i="17"/>
  <c r="K902" i="17" s="1"/>
  <c r="J901" i="17"/>
  <c r="L901" i="17" s="1"/>
  <c r="J900" i="17"/>
  <c r="J899" i="17"/>
  <c r="J898" i="17"/>
  <c r="J897" i="17"/>
  <c r="L897" i="17" s="1"/>
  <c r="J896" i="17"/>
  <c r="K896" i="17" s="1"/>
  <c r="J895" i="17"/>
  <c r="J894" i="17"/>
  <c r="J893" i="17"/>
  <c r="J892" i="17"/>
  <c r="K892" i="17" s="1"/>
  <c r="J891" i="17"/>
  <c r="J890" i="17"/>
  <c r="K890" i="17" s="1"/>
  <c r="J889" i="17"/>
  <c r="K889" i="17" s="1"/>
  <c r="J888" i="17"/>
  <c r="J887" i="17"/>
  <c r="L887" i="17" s="1"/>
  <c r="J886" i="17"/>
  <c r="J885" i="17"/>
  <c r="K885" i="17" s="1"/>
  <c r="J884" i="17"/>
  <c r="K884" i="17" s="1"/>
  <c r="J883" i="17"/>
  <c r="K883" i="17" s="1"/>
  <c r="J882" i="17"/>
  <c r="J881" i="17"/>
  <c r="K881" i="17" s="1"/>
  <c r="J880" i="17"/>
  <c r="K880" i="17" s="1"/>
  <c r="J879" i="17"/>
  <c r="J878" i="17"/>
  <c r="K878" i="17" s="1"/>
  <c r="J877" i="17"/>
  <c r="J876" i="17"/>
  <c r="J875" i="17"/>
  <c r="L875" i="17" s="1"/>
  <c r="J874" i="17"/>
  <c r="K874" i="17" s="1"/>
  <c r="J873" i="17"/>
  <c r="L873" i="17" s="1"/>
  <c r="J872" i="17"/>
  <c r="K872" i="17" s="1"/>
  <c r="J871" i="17"/>
  <c r="L871" i="17" s="1"/>
  <c r="J870" i="17"/>
  <c r="J869" i="17"/>
  <c r="K869" i="17" s="1"/>
  <c r="J868" i="17"/>
  <c r="K868" i="17" s="1"/>
  <c r="J867" i="17"/>
  <c r="L867" i="17" s="1"/>
  <c r="J866" i="17"/>
  <c r="J865" i="17"/>
  <c r="L865" i="17" s="1"/>
  <c r="J864" i="17"/>
  <c r="J863" i="17"/>
  <c r="L863" i="17" s="1"/>
  <c r="J862" i="17"/>
  <c r="J861" i="17"/>
  <c r="J860" i="17"/>
  <c r="K860" i="17" s="1"/>
  <c r="J859" i="17"/>
  <c r="J858" i="17"/>
  <c r="K858" i="17" s="1"/>
  <c r="J857" i="17"/>
  <c r="L857" i="17" s="1"/>
  <c r="J856" i="17"/>
  <c r="K856" i="17" s="1"/>
  <c r="J855" i="17"/>
  <c r="K855" i="17" s="1"/>
  <c r="J854" i="17"/>
  <c r="K854" i="17" s="1"/>
  <c r="J853" i="17"/>
  <c r="L853" i="17" s="1"/>
  <c r="J852" i="17"/>
  <c r="J851" i="17"/>
  <c r="L851" i="17" s="1"/>
  <c r="J850" i="17"/>
  <c r="J849" i="17"/>
  <c r="L849" i="17" s="1"/>
  <c r="J848" i="17"/>
  <c r="J847" i="17"/>
  <c r="L847" i="17" s="1"/>
  <c r="J846" i="17"/>
  <c r="J845" i="17"/>
  <c r="L845" i="17" s="1"/>
  <c r="J844" i="17"/>
  <c r="K844" i="17" s="1"/>
  <c r="J843" i="17"/>
  <c r="L843" i="17" s="1"/>
  <c r="J842" i="17"/>
  <c r="K842" i="17" s="1"/>
  <c r="J841" i="17"/>
  <c r="L841" i="17" s="1"/>
  <c r="J840" i="17"/>
  <c r="K840" i="17" s="1"/>
  <c r="J839" i="17"/>
  <c r="J838" i="17"/>
  <c r="K838" i="17" s="1"/>
  <c r="J837" i="17"/>
  <c r="J836" i="17"/>
  <c r="J835" i="17"/>
  <c r="J834" i="17"/>
  <c r="K834" i="17" s="1"/>
  <c r="J833" i="17"/>
  <c r="K833" i="17" s="1"/>
  <c r="J832" i="17"/>
  <c r="K832" i="17" s="1"/>
  <c r="J831" i="17"/>
  <c r="J830" i="17"/>
  <c r="K830" i="17" s="1"/>
  <c r="J829" i="17"/>
  <c r="J828" i="17"/>
  <c r="J827" i="17"/>
  <c r="K827" i="17" s="1"/>
  <c r="J826" i="17"/>
  <c r="K826" i="17" s="1"/>
  <c r="J825" i="17"/>
  <c r="L825" i="17" s="1"/>
  <c r="J824" i="17"/>
  <c r="K824" i="17" s="1"/>
  <c r="J823" i="17"/>
  <c r="J822" i="17"/>
  <c r="K822" i="17" s="1"/>
  <c r="J821" i="17"/>
  <c r="L821" i="17" s="1"/>
  <c r="J820" i="17"/>
  <c r="K820" i="17" s="1"/>
  <c r="J819" i="17"/>
  <c r="K819" i="17" s="1"/>
  <c r="J818" i="17"/>
  <c r="J817" i="17"/>
  <c r="L817" i="17" s="1"/>
  <c r="J816" i="17"/>
  <c r="L816" i="17" s="1"/>
  <c r="J815" i="17"/>
  <c r="J814" i="17"/>
  <c r="L814" i="17" s="1"/>
  <c r="J813" i="17"/>
  <c r="K813" i="17" s="1"/>
  <c r="J812" i="17"/>
  <c r="L812" i="17" s="1"/>
  <c r="J811" i="17"/>
  <c r="K811" i="17" s="1"/>
  <c r="J810" i="17"/>
  <c r="K810" i="17" s="1"/>
  <c r="J809" i="17"/>
  <c r="J808" i="17"/>
  <c r="L808" i="17" s="1"/>
  <c r="J807" i="17"/>
  <c r="L807" i="17" s="1"/>
  <c r="J806" i="17"/>
  <c r="L806" i="17" s="1"/>
  <c r="J805" i="17"/>
  <c r="L805" i="17" s="1"/>
  <c r="J804" i="17"/>
  <c r="J803" i="17"/>
  <c r="J802" i="17"/>
  <c r="J801" i="17"/>
  <c r="J800" i="17"/>
  <c r="K800" i="17" s="1"/>
  <c r="J799" i="17"/>
  <c r="L799" i="17" s="1"/>
  <c r="J798" i="17"/>
  <c r="L798" i="17" s="1"/>
  <c r="J797" i="17"/>
  <c r="L797" i="17" s="1"/>
  <c r="J796" i="17"/>
  <c r="L796" i="17" s="1"/>
  <c r="J795" i="17"/>
  <c r="L795" i="17" s="1"/>
  <c r="J794" i="17"/>
  <c r="K794" i="17" s="1"/>
  <c r="J793" i="17"/>
  <c r="J792" i="17"/>
  <c r="K792" i="17" s="1"/>
  <c r="J791" i="17"/>
  <c r="K791" i="17" s="1"/>
  <c r="J790" i="17"/>
  <c r="K790" i="17" s="1"/>
  <c r="J789" i="17"/>
  <c r="J788" i="17"/>
  <c r="J787" i="17"/>
  <c r="K787" i="17" s="1"/>
  <c r="J786" i="17"/>
  <c r="K786" i="17" s="1"/>
  <c r="J785" i="17"/>
  <c r="K785" i="17" s="1"/>
  <c r="J784" i="17"/>
  <c r="L784" i="17" s="1"/>
  <c r="J783" i="17"/>
  <c r="L783" i="17" s="1"/>
  <c r="J782" i="17"/>
  <c r="L782" i="17" s="1"/>
  <c r="J781" i="17"/>
  <c r="K781" i="17" s="1"/>
  <c r="J780" i="17"/>
  <c r="K780" i="17" s="1"/>
  <c r="J779" i="17"/>
  <c r="J778" i="17"/>
  <c r="L778" i="17" s="1"/>
  <c r="J777" i="17"/>
  <c r="L777" i="17" s="1"/>
  <c r="J776" i="17"/>
  <c r="L776" i="17" s="1"/>
  <c r="J775" i="17"/>
  <c r="J774" i="17"/>
  <c r="L774" i="17" s="1"/>
  <c r="J773" i="17"/>
  <c r="K773" i="17" s="1"/>
  <c r="J772" i="17"/>
  <c r="J771" i="17"/>
  <c r="K771" i="17" s="1"/>
  <c r="J770" i="17"/>
  <c r="L770" i="17" s="1"/>
  <c r="J769" i="17"/>
  <c r="L769" i="17" s="1"/>
  <c r="J768" i="17"/>
  <c r="K768" i="17" s="1"/>
  <c r="J767" i="17"/>
  <c r="L767" i="17" s="1"/>
  <c r="J766" i="17"/>
  <c r="L766" i="17" s="1"/>
  <c r="J765" i="17"/>
  <c r="J764" i="17"/>
  <c r="L764" i="17" s="1"/>
  <c r="J763" i="17"/>
  <c r="J762" i="17"/>
  <c r="L762" i="17" s="1"/>
  <c r="J761" i="17"/>
  <c r="L761" i="17" s="1"/>
  <c r="J760" i="17"/>
  <c r="K760" i="17" s="1"/>
  <c r="J759" i="17"/>
  <c r="J758" i="17"/>
  <c r="K758" i="17" s="1"/>
  <c r="J757" i="17"/>
  <c r="L757" i="17" s="1"/>
  <c r="J756" i="17"/>
  <c r="K756" i="17" s="1"/>
  <c r="J755" i="17"/>
  <c r="L755" i="17" s="1"/>
  <c r="J754" i="17"/>
  <c r="K754" i="17" s="1"/>
  <c r="J753" i="17"/>
  <c r="J752" i="17"/>
  <c r="K752" i="17" s="1"/>
  <c r="J751" i="17"/>
  <c r="J750" i="17"/>
  <c r="L750" i="17" s="1"/>
  <c r="J749" i="17"/>
  <c r="L749" i="17" s="1"/>
  <c r="J748" i="17"/>
  <c r="L748" i="17" s="1"/>
  <c r="J747" i="17"/>
  <c r="J746" i="17"/>
  <c r="K746" i="17" s="1"/>
  <c r="J745" i="17"/>
  <c r="J744" i="17"/>
  <c r="J743" i="17"/>
  <c r="L743" i="17" s="1"/>
  <c r="J742" i="17"/>
  <c r="L742" i="17" s="1"/>
  <c r="J741" i="17"/>
  <c r="L741" i="17" s="1"/>
  <c r="J740" i="17"/>
  <c r="J739" i="17"/>
  <c r="L739" i="17" s="1"/>
  <c r="J738" i="17"/>
  <c r="K738" i="17" s="1"/>
  <c r="J737" i="17"/>
  <c r="J736" i="17"/>
  <c r="K736" i="17" s="1"/>
  <c r="J735" i="17"/>
  <c r="L735" i="17" s="1"/>
  <c r="J734" i="17"/>
  <c r="L734" i="17" s="1"/>
  <c r="J733" i="17"/>
  <c r="K733" i="17" s="1"/>
  <c r="J732" i="17"/>
  <c r="L732" i="17" s="1"/>
  <c r="J731" i="17"/>
  <c r="K731" i="17" s="1"/>
  <c r="J730" i="17"/>
  <c r="J729" i="17"/>
  <c r="L729" i="17" s="1"/>
  <c r="J728" i="17"/>
  <c r="L728" i="17" s="1"/>
  <c r="J727" i="17"/>
  <c r="L727" i="17" s="1"/>
  <c r="J726" i="17"/>
  <c r="L726" i="17" s="1"/>
  <c r="J725" i="17"/>
  <c r="J724" i="17"/>
  <c r="J723" i="17"/>
  <c r="J722" i="17"/>
  <c r="L722" i="17" s="1"/>
  <c r="J721" i="17"/>
  <c r="L721" i="17" s="1"/>
  <c r="J720" i="17"/>
  <c r="L720" i="17" s="1"/>
  <c r="J719" i="17"/>
  <c r="L719" i="17" s="1"/>
  <c r="J718" i="17"/>
  <c r="L718" i="17" s="1"/>
  <c r="J717" i="17"/>
  <c r="J716" i="17"/>
  <c r="L716" i="17" s="1"/>
  <c r="J715" i="17"/>
  <c r="L715" i="17" s="1"/>
  <c r="J714" i="17"/>
  <c r="J713" i="17"/>
  <c r="K713" i="17" s="1"/>
  <c r="J712" i="17"/>
  <c r="J711" i="17"/>
  <c r="L711" i="17" s="1"/>
  <c r="J710" i="17"/>
  <c r="L710" i="17" s="1"/>
  <c r="J709" i="17"/>
  <c r="L709" i="17" s="1"/>
  <c r="J708" i="17"/>
  <c r="J707" i="17"/>
  <c r="K707" i="17" s="1"/>
  <c r="J706" i="17"/>
  <c r="L706" i="17" s="1"/>
  <c r="J705" i="17"/>
  <c r="L705" i="17" s="1"/>
  <c r="J704" i="17"/>
  <c r="L704" i="17" s="1"/>
  <c r="J703" i="17"/>
  <c r="L703" i="17" s="1"/>
  <c r="J702" i="17"/>
  <c r="L702" i="17" s="1"/>
  <c r="J701" i="17"/>
  <c r="K701" i="17" s="1"/>
  <c r="J700" i="17"/>
  <c r="K700" i="17" s="1"/>
  <c r="J699" i="17"/>
  <c r="J698" i="17"/>
  <c r="L698" i="17" s="1"/>
  <c r="J697" i="17"/>
  <c r="J696" i="17"/>
  <c r="K696" i="17" s="1"/>
  <c r="J695" i="17"/>
  <c r="L695" i="17" s="1"/>
  <c r="J694" i="17"/>
  <c r="L694" i="17" s="1"/>
  <c r="J693" i="17"/>
  <c r="L693" i="17" s="1"/>
  <c r="J692" i="17"/>
  <c r="J691" i="17"/>
  <c r="K691" i="17" s="1"/>
  <c r="J690" i="17"/>
  <c r="K690" i="17" s="1"/>
  <c r="J689" i="17"/>
  <c r="J688" i="17"/>
  <c r="L688" i="17" s="1"/>
  <c r="J687" i="17"/>
  <c r="K687" i="17" s="1"/>
  <c r="J686" i="17"/>
  <c r="K686" i="17" s="1"/>
  <c r="J685" i="17"/>
  <c r="K685" i="17" s="1"/>
  <c r="J684" i="17"/>
  <c r="K684" i="17" s="1"/>
  <c r="J683" i="17"/>
  <c r="K683" i="17" s="1"/>
  <c r="J682" i="17"/>
  <c r="L682" i="17" s="1"/>
  <c r="J681" i="17"/>
  <c r="K681" i="17" s="1"/>
  <c r="J680" i="17"/>
  <c r="L680" i="17" s="1"/>
  <c r="J679" i="17"/>
  <c r="L679" i="17" s="1"/>
  <c r="J678" i="17"/>
  <c r="L678" i="17" s="1"/>
  <c r="J677" i="17"/>
  <c r="L677" i="17" s="1"/>
  <c r="J676" i="17"/>
  <c r="L676" i="17" s="1"/>
  <c r="J675" i="17"/>
  <c r="K675" i="17" s="1"/>
  <c r="J674" i="17"/>
  <c r="L674" i="17" s="1"/>
  <c r="J673" i="17"/>
  <c r="L673" i="17" s="1"/>
  <c r="J672" i="17"/>
  <c r="L672" i="17" s="1"/>
  <c r="J671" i="17"/>
  <c r="L671" i="17" s="1"/>
  <c r="J670" i="17"/>
  <c r="K670" i="17" s="1"/>
  <c r="J669" i="17"/>
  <c r="J668" i="17"/>
  <c r="J667" i="17"/>
  <c r="L667" i="17" s="1"/>
  <c r="J666" i="17"/>
  <c r="L666" i="17" s="1"/>
  <c r="J665" i="17"/>
  <c r="K665" i="17" s="1"/>
  <c r="J664" i="17"/>
  <c r="K664" i="17" s="1"/>
  <c r="J663" i="17"/>
  <c r="K663" i="17" s="1"/>
  <c r="J662" i="17"/>
  <c r="L662" i="17" s="1"/>
  <c r="J661" i="17"/>
  <c r="L661" i="17" s="1"/>
  <c r="J660" i="17"/>
  <c r="L660" i="17" s="1"/>
  <c r="J659" i="17"/>
  <c r="L659" i="17" s="1"/>
  <c r="J658" i="17"/>
  <c r="L658" i="17" s="1"/>
  <c r="J657" i="17"/>
  <c r="K657" i="17" s="1"/>
  <c r="J656" i="17"/>
  <c r="L656" i="17" s="1"/>
  <c r="J655" i="17"/>
  <c r="L655" i="17" s="1"/>
  <c r="J654" i="17"/>
  <c r="J653" i="17"/>
  <c r="L653" i="17" s="1"/>
  <c r="J652" i="17"/>
  <c r="L652" i="17" s="1"/>
  <c r="J651" i="17"/>
  <c r="L651" i="17" s="1"/>
  <c r="J650" i="17"/>
  <c r="L650" i="17" s="1"/>
  <c r="J649" i="17"/>
  <c r="J648" i="17"/>
  <c r="J647" i="17"/>
  <c r="L647" i="17" s="1"/>
  <c r="J646" i="17"/>
  <c r="L646" i="17" s="1"/>
  <c r="J645" i="17"/>
  <c r="L645" i="17" s="1"/>
  <c r="J644" i="17"/>
  <c r="K644" i="17" s="1"/>
  <c r="J643" i="17"/>
  <c r="L643" i="17" s="1"/>
  <c r="J642" i="17"/>
  <c r="L642" i="17" s="1"/>
  <c r="J641" i="17"/>
  <c r="K641" i="17" s="1"/>
  <c r="J640" i="17"/>
  <c r="J639" i="17"/>
  <c r="L639" i="17" s="1"/>
  <c r="J638" i="17"/>
  <c r="K638" i="17" s="1"/>
  <c r="J637" i="17"/>
  <c r="J636" i="17"/>
  <c r="L636" i="17" s="1"/>
  <c r="J635" i="17"/>
  <c r="K635" i="17" s="1"/>
  <c r="J634" i="17"/>
  <c r="K634" i="17" s="1"/>
  <c r="J633" i="17"/>
  <c r="K633" i="17" s="1"/>
  <c r="J632" i="17"/>
  <c r="L632" i="17" s="1"/>
  <c r="J631" i="17"/>
  <c r="J630" i="17"/>
  <c r="L630" i="17" s="1"/>
  <c r="J629" i="17"/>
  <c r="J628" i="17"/>
  <c r="L628" i="17" s="1"/>
  <c r="J627" i="17"/>
  <c r="L627" i="17" s="1"/>
  <c r="J626" i="17"/>
  <c r="L626" i="17" s="1"/>
  <c r="J625" i="17"/>
  <c r="K625" i="17" s="1"/>
  <c r="J624" i="17"/>
  <c r="J623" i="17"/>
  <c r="L623" i="17" s="1"/>
  <c r="J622" i="17"/>
  <c r="L622" i="17" s="1"/>
  <c r="J621" i="17"/>
  <c r="L621" i="17" s="1"/>
  <c r="J620" i="17"/>
  <c r="J619" i="17"/>
  <c r="L619" i="17" s="1"/>
  <c r="J618" i="17"/>
  <c r="L618" i="17" s="1"/>
  <c r="J617" i="17"/>
  <c r="L617" i="17" s="1"/>
  <c r="J616" i="17"/>
  <c r="L616" i="17" s="1"/>
  <c r="J615" i="17"/>
  <c r="K615" i="17" s="1"/>
  <c r="J614" i="17"/>
  <c r="K614" i="17" s="1"/>
  <c r="J613" i="17"/>
  <c r="L613" i="17" s="1"/>
  <c r="J612" i="17"/>
  <c r="L612" i="17" s="1"/>
  <c r="J611" i="17"/>
  <c r="J610" i="17"/>
  <c r="L610" i="17" s="1"/>
  <c r="J609" i="17"/>
  <c r="J608" i="17"/>
  <c r="L608" i="17" s="1"/>
  <c r="J607" i="17"/>
  <c r="J606" i="17"/>
  <c r="K606" i="17" s="1"/>
  <c r="J605" i="17"/>
  <c r="J604" i="17"/>
  <c r="L604" i="17" s="1"/>
  <c r="J603" i="17"/>
  <c r="L603" i="17" s="1"/>
  <c r="J602" i="17"/>
  <c r="K602" i="17" s="1"/>
  <c r="J601" i="17"/>
  <c r="L601" i="17" s="1"/>
  <c r="J600" i="17"/>
  <c r="L600" i="17" s="1"/>
  <c r="J599" i="17"/>
  <c r="L599" i="17" s="1"/>
  <c r="J598" i="17"/>
  <c r="K598" i="17" s="1"/>
  <c r="J597" i="17"/>
  <c r="L597" i="17" s="1"/>
  <c r="J596" i="17"/>
  <c r="L596" i="17" s="1"/>
  <c r="J595" i="17"/>
  <c r="K595" i="17" s="1"/>
  <c r="J594" i="17"/>
  <c r="L594" i="17" s="1"/>
  <c r="J593" i="17"/>
  <c r="J592" i="17"/>
  <c r="K592" i="17" s="1"/>
  <c r="J591" i="17"/>
  <c r="L591" i="17" s="1"/>
  <c r="J590" i="17"/>
  <c r="K590" i="17" s="1"/>
  <c r="J589" i="17"/>
  <c r="J588" i="17"/>
  <c r="L588" i="17" s="1"/>
  <c r="J587" i="17"/>
  <c r="L587" i="17" s="1"/>
  <c r="J586" i="17"/>
  <c r="L586" i="17" s="1"/>
  <c r="J585" i="17"/>
  <c r="K585" i="17" s="1"/>
  <c r="J584" i="17"/>
  <c r="L584" i="17" s="1"/>
  <c r="J583" i="17"/>
  <c r="K583" i="17" s="1"/>
  <c r="J582" i="17"/>
  <c r="J581" i="17"/>
  <c r="L581" i="17" s="1"/>
  <c r="J580" i="17"/>
  <c r="L580" i="17" s="1"/>
  <c r="J579" i="17"/>
  <c r="L579" i="17" s="1"/>
  <c r="J578" i="17"/>
  <c r="L578" i="17" s="1"/>
  <c r="J577" i="17"/>
  <c r="L577" i="17" s="1"/>
  <c r="J576" i="17"/>
  <c r="L576" i="17" s="1"/>
  <c r="J575" i="17"/>
  <c r="L575" i="17" s="1"/>
  <c r="J574" i="17"/>
  <c r="K574" i="17" s="1"/>
  <c r="J573" i="17"/>
  <c r="L573" i="17" s="1"/>
  <c r="J572" i="17"/>
  <c r="L572" i="17" s="1"/>
  <c r="J571" i="17"/>
  <c r="L571" i="17" s="1"/>
  <c r="J570" i="17"/>
  <c r="L570" i="17" s="1"/>
  <c r="J569" i="17"/>
  <c r="L569" i="17" s="1"/>
  <c r="J568" i="17"/>
  <c r="K568" i="17" s="1"/>
  <c r="J567" i="17"/>
  <c r="L567" i="17" s="1"/>
  <c r="J566" i="17"/>
  <c r="J565" i="17"/>
  <c r="L565" i="17" s="1"/>
  <c r="J564" i="17"/>
  <c r="L564" i="17" s="1"/>
  <c r="J563" i="17"/>
  <c r="J562" i="17"/>
  <c r="K562" i="17" s="1"/>
  <c r="J561" i="17"/>
  <c r="L561" i="17" s="1"/>
  <c r="J560" i="17"/>
  <c r="L560" i="17" s="1"/>
  <c r="J559" i="17"/>
  <c r="K559" i="17" s="1"/>
  <c r="J558" i="17"/>
  <c r="L558" i="17" s="1"/>
  <c r="J557" i="17"/>
  <c r="J556" i="17"/>
  <c r="L556" i="17" s="1"/>
  <c r="J555" i="17"/>
  <c r="J554" i="17"/>
  <c r="L554" i="17" s="1"/>
  <c r="J553" i="17"/>
  <c r="K553" i="17" s="1"/>
  <c r="J552" i="17"/>
  <c r="L552" i="17" s="1"/>
  <c r="J551" i="17"/>
  <c r="L551" i="17" s="1"/>
  <c r="J550" i="17"/>
  <c r="L550" i="17" s="1"/>
  <c r="J549" i="17"/>
  <c r="J548" i="17"/>
  <c r="L548" i="17" s="1"/>
  <c r="J547" i="17"/>
  <c r="L547" i="17" s="1"/>
  <c r="J546" i="17"/>
  <c r="K546" i="17" s="1"/>
  <c r="J545" i="17"/>
  <c r="L545" i="17" s="1"/>
  <c r="J544" i="17"/>
  <c r="L544" i="17" s="1"/>
  <c r="J543" i="17"/>
  <c r="L543" i="17" s="1"/>
  <c r="J542" i="17"/>
  <c r="L542" i="17" s="1"/>
  <c r="J541" i="17"/>
  <c r="J540" i="17"/>
  <c r="L540" i="17" s="1"/>
  <c r="J539" i="17"/>
  <c r="L539" i="17" s="1"/>
  <c r="J538" i="17"/>
  <c r="L538" i="17" s="1"/>
  <c r="J537" i="17"/>
  <c r="L537" i="17" s="1"/>
  <c r="J536" i="17"/>
  <c r="K536" i="17" s="1"/>
  <c r="J535" i="17"/>
  <c r="K535" i="17" s="1"/>
  <c r="J534" i="17"/>
  <c r="L534" i="17" s="1"/>
  <c r="J533" i="17"/>
  <c r="L533" i="17" s="1"/>
  <c r="J532" i="17"/>
  <c r="J531" i="17"/>
  <c r="L531" i="17" s="1"/>
  <c r="J530" i="17"/>
  <c r="L530" i="17" s="1"/>
  <c r="J529" i="17"/>
  <c r="K529" i="17" s="1"/>
  <c r="J528" i="17"/>
  <c r="J527" i="17"/>
  <c r="L527" i="17" s="1"/>
  <c r="J526" i="17"/>
  <c r="K526" i="17" s="1"/>
  <c r="J525" i="17"/>
  <c r="J524" i="17"/>
  <c r="J523" i="17"/>
  <c r="L523" i="17" s="1"/>
  <c r="J522" i="17"/>
  <c r="L522" i="17" s="1"/>
  <c r="J521" i="17"/>
  <c r="L521" i="17" s="1"/>
  <c r="J520" i="17"/>
  <c r="L520" i="17" s="1"/>
  <c r="J519" i="17"/>
  <c r="J518" i="17"/>
  <c r="L518" i="17" s="1"/>
  <c r="J517" i="17"/>
  <c r="L517" i="17" s="1"/>
  <c r="J516" i="17"/>
  <c r="L516" i="17" s="1"/>
  <c r="J515" i="17"/>
  <c r="K515" i="17" s="1"/>
  <c r="J514" i="17"/>
  <c r="K514" i="17" s="1"/>
  <c r="J513" i="17"/>
  <c r="L513" i="17" s="1"/>
  <c r="J512" i="17"/>
  <c r="L512" i="17" s="1"/>
  <c r="J511" i="17"/>
  <c r="L511" i="17" s="1"/>
  <c r="J510" i="17"/>
  <c r="K510" i="17" s="1"/>
  <c r="J509" i="17"/>
  <c r="J508" i="17"/>
  <c r="K508" i="17" s="1"/>
  <c r="J507" i="17"/>
  <c r="L507" i="17" s="1"/>
  <c r="J506" i="17"/>
  <c r="J505" i="17"/>
  <c r="K505" i="17" s="1"/>
  <c r="J504" i="17"/>
  <c r="K504" i="17" s="1"/>
  <c r="J503" i="17"/>
  <c r="K503" i="17" s="1"/>
  <c r="J502" i="17"/>
  <c r="J501" i="17"/>
  <c r="L501" i="17" s="1"/>
  <c r="J500" i="17"/>
  <c r="L500" i="17" s="1"/>
  <c r="J499" i="17"/>
  <c r="L499" i="17" s="1"/>
  <c r="J498" i="17"/>
  <c r="K498" i="17" s="1"/>
  <c r="J497" i="17"/>
  <c r="K497" i="17" s="1"/>
  <c r="J496" i="17"/>
  <c r="L496" i="17" s="1"/>
  <c r="J495" i="17"/>
  <c r="J494" i="17"/>
  <c r="J493" i="17"/>
  <c r="L493" i="17" s="1"/>
  <c r="J492" i="17"/>
  <c r="K492" i="17" s="1"/>
  <c r="J491" i="17"/>
  <c r="L491" i="17" s="1"/>
  <c r="J490" i="17"/>
  <c r="J489" i="17"/>
  <c r="L489" i="17" s="1"/>
  <c r="J488" i="17"/>
  <c r="L488" i="17" s="1"/>
  <c r="J487" i="17"/>
  <c r="J486" i="17"/>
  <c r="L486" i="17" s="1"/>
  <c r="J485" i="17"/>
  <c r="L485" i="17" s="1"/>
  <c r="J484" i="17"/>
  <c r="K484" i="17" s="1"/>
  <c r="J483" i="17"/>
  <c r="L483" i="17" s="1"/>
  <c r="J482" i="17"/>
  <c r="L482" i="17" s="1"/>
  <c r="J481" i="17"/>
  <c r="J480" i="17"/>
  <c r="J479" i="17"/>
  <c r="L479" i="17" s="1"/>
  <c r="J478" i="17"/>
  <c r="L478" i="17" s="1"/>
  <c r="J477" i="17"/>
  <c r="K477" i="17" s="1"/>
  <c r="J476" i="17"/>
  <c r="L476" i="17" s="1"/>
  <c r="J475" i="17"/>
  <c r="L475" i="17" s="1"/>
  <c r="J474" i="17"/>
  <c r="L474" i="17" s="1"/>
  <c r="J473" i="17"/>
  <c r="L473" i="17" s="1"/>
  <c r="J472" i="17"/>
  <c r="L472" i="17" s="1"/>
  <c r="J471" i="17"/>
  <c r="L471" i="17" s="1"/>
  <c r="J470" i="17"/>
  <c r="L470" i="17" s="1"/>
  <c r="J469" i="17"/>
  <c r="K469" i="17" s="1"/>
  <c r="J468" i="17"/>
  <c r="L468" i="17" s="1"/>
  <c r="J467" i="17"/>
  <c r="K467" i="17" s="1"/>
  <c r="J466" i="17"/>
  <c r="L466" i="17" s="1"/>
  <c r="J465" i="17"/>
  <c r="L465" i="17" s="1"/>
  <c r="J464" i="17"/>
  <c r="K464" i="17" s="1"/>
  <c r="J463" i="17"/>
  <c r="K463" i="17" s="1"/>
  <c r="J462" i="17"/>
  <c r="L462" i="17" s="1"/>
  <c r="J461" i="17"/>
  <c r="L461" i="17" s="1"/>
  <c r="J460" i="17"/>
  <c r="L460" i="17" s="1"/>
  <c r="J459" i="17"/>
  <c r="L459" i="17" s="1"/>
  <c r="J458" i="17"/>
  <c r="L458" i="17" s="1"/>
  <c r="J457" i="17"/>
  <c r="L457" i="17" s="1"/>
  <c r="J456" i="17"/>
  <c r="L456" i="17" s="1"/>
  <c r="J455" i="17"/>
  <c r="L455" i="17" s="1"/>
  <c r="J454" i="17"/>
  <c r="L454" i="17" s="1"/>
  <c r="J453" i="17"/>
  <c r="K453" i="17" s="1"/>
  <c r="J452" i="17"/>
  <c r="K452" i="17" s="1"/>
  <c r="J451" i="17"/>
  <c r="J450" i="17"/>
  <c r="K450" i="17" s="1"/>
  <c r="J449" i="17"/>
  <c r="L449" i="17" s="1"/>
  <c r="J448" i="17"/>
  <c r="K448" i="17" s="1"/>
  <c r="J447" i="17"/>
  <c r="K447" i="17" s="1"/>
  <c r="J446" i="17"/>
  <c r="L446" i="17" s="1"/>
  <c r="J445" i="17"/>
  <c r="L445" i="17" s="1"/>
  <c r="J444" i="17"/>
  <c r="K444" i="17" s="1"/>
  <c r="J443" i="17"/>
  <c r="J442" i="17"/>
  <c r="K442" i="17" s="1"/>
  <c r="J441" i="17"/>
  <c r="J440" i="17"/>
  <c r="K440" i="17" s="1"/>
  <c r="J439" i="17"/>
  <c r="L439" i="17" s="1"/>
  <c r="J438" i="17"/>
  <c r="K438" i="17" s="1"/>
  <c r="J437" i="17"/>
  <c r="L437" i="17" s="1"/>
  <c r="J436" i="17"/>
  <c r="L436" i="17" s="1"/>
  <c r="J435" i="17"/>
  <c r="K435" i="17" s="1"/>
  <c r="J434" i="17"/>
  <c r="L434" i="17" s="1"/>
  <c r="J433" i="17"/>
  <c r="J432" i="17"/>
  <c r="J431" i="17"/>
  <c r="L431" i="17" s="1"/>
  <c r="J430" i="17"/>
  <c r="K430" i="17" s="1"/>
  <c r="J429" i="17"/>
  <c r="L429" i="17" s="1"/>
  <c r="J428" i="17"/>
  <c r="K428" i="17" s="1"/>
  <c r="J427" i="17"/>
  <c r="J426" i="17"/>
  <c r="J425" i="17"/>
  <c r="K425" i="17" s="1"/>
  <c r="J424" i="17"/>
  <c r="K424" i="17" s="1"/>
  <c r="J423" i="17"/>
  <c r="L423" i="17" s="1"/>
  <c r="J422" i="17"/>
  <c r="J421" i="17"/>
  <c r="K421" i="17" s="1"/>
  <c r="J420" i="17"/>
  <c r="K420" i="17" s="1"/>
  <c r="J419" i="17"/>
  <c r="L419" i="17" s="1"/>
  <c r="J418" i="17"/>
  <c r="K418" i="17" s="1"/>
  <c r="J417" i="17"/>
  <c r="L417" i="17" s="1"/>
  <c r="J416" i="17"/>
  <c r="J415" i="17"/>
  <c r="K415" i="17" s="1"/>
  <c r="J414" i="17"/>
  <c r="K414" i="17" s="1"/>
  <c r="J413" i="17"/>
  <c r="L413" i="17" s="1"/>
  <c r="J412" i="17"/>
  <c r="K412" i="17" s="1"/>
  <c r="J411" i="17"/>
  <c r="L411" i="17" s="1"/>
  <c r="J410" i="17"/>
  <c r="K410" i="17" s="1"/>
  <c r="J409" i="17"/>
  <c r="J408" i="17"/>
  <c r="K408" i="17" s="1"/>
  <c r="J407" i="17"/>
  <c r="L407" i="17" s="1"/>
  <c r="J406" i="17"/>
  <c r="J405" i="17"/>
  <c r="L405" i="17" s="1"/>
  <c r="J404" i="17"/>
  <c r="K404" i="17" s="1"/>
  <c r="J403" i="17"/>
  <c r="L403" i="17" s="1"/>
  <c r="J402" i="17"/>
  <c r="J401" i="17"/>
  <c r="K401" i="17" s="1"/>
  <c r="J400" i="17"/>
  <c r="K400" i="17" s="1"/>
  <c r="J399" i="17"/>
  <c r="L399" i="17" s="1"/>
  <c r="J398" i="17"/>
  <c r="K398" i="17" s="1"/>
  <c r="J397" i="17"/>
  <c r="J396" i="17"/>
  <c r="J395" i="17"/>
  <c r="L395" i="17" s="1"/>
  <c r="J394" i="17"/>
  <c r="K394" i="17" s="1"/>
  <c r="J393" i="17"/>
  <c r="L393" i="17" s="1"/>
  <c r="J392" i="17"/>
  <c r="J391" i="17"/>
  <c r="L391" i="17" s="1"/>
  <c r="J390" i="17"/>
  <c r="J389" i="17"/>
  <c r="J388" i="17"/>
  <c r="K388" i="17" s="1"/>
  <c r="J387" i="17"/>
  <c r="L387" i="17" s="1"/>
  <c r="J386" i="17"/>
  <c r="K386" i="17" s="1"/>
  <c r="J385" i="17"/>
  <c r="J384" i="17"/>
  <c r="K384" i="17" s="1"/>
  <c r="J383" i="17"/>
  <c r="L383" i="17" s="1"/>
  <c r="J382" i="17"/>
  <c r="K382" i="17" s="1"/>
  <c r="J381" i="17"/>
  <c r="L381" i="17" s="1"/>
  <c r="J380" i="17"/>
  <c r="J379" i="17"/>
  <c r="L379" i="17" s="1"/>
  <c r="J378" i="17"/>
  <c r="K378" i="17" s="1"/>
  <c r="J377" i="17"/>
  <c r="L377" i="17" s="1"/>
  <c r="J376" i="17"/>
  <c r="K376" i="17" s="1"/>
  <c r="J375" i="17"/>
  <c r="K375" i="17" s="1"/>
  <c r="J374" i="17"/>
  <c r="K374" i="17" s="1"/>
  <c r="J373" i="17"/>
  <c r="J372" i="17"/>
  <c r="K372" i="17" s="1"/>
  <c r="J371" i="17"/>
  <c r="L371" i="17" s="1"/>
  <c r="J370" i="17"/>
  <c r="K370" i="17" s="1"/>
  <c r="J369" i="17"/>
  <c r="J368" i="17"/>
  <c r="K368" i="17" s="1"/>
  <c r="J367" i="17"/>
  <c r="L367" i="17" s="1"/>
  <c r="J366" i="17"/>
  <c r="K366" i="17" s="1"/>
  <c r="J365" i="17"/>
  <c r="L365" i="17" s="1"/>
  <c r="J364" i="17"/>
  <c r="K364" i="17" s="1"/>
  <c r="J363" i="17"/>
  <c r="K363" i="17" s="1"/>
  <c r="J362" i="17"/>
  <c r="K362" i="17" s="1"/>
  <c r="J361" i="17"/>
  <c r="L361" i="17" s="1"/>
  <c r="J360" i="17"/>
  <c r="J359" i="17"/>
  <c r="L359" i="17" s="1"/>
  <c r="J358" i="17"/>
  <c r="J357" i="17"/>
  <c r="L357" i="17" s="1"/>
  <c r="J356" i="17"/>
  <c r="J355" i="17"/>
  <c r="L355" i="17" s="1"/>
  <c r="J354" i="17"/>
  <c r="K354" i="17" s="1"/>
  <c r="J353" i="17"/>
  <c r="J352" i="17"/>
  <c r="K352" i="17" s="1"/>
  <c r="J351" i="17"/>
  <c r="L351" i="17" s="1"/>
  <c r="J350" i="17"/>
  <c r="J349" i="17"/>
  <c r="L349" i="17" s="1"/>
  <c r="J348" i="17"/>
  <c r="K348" i="17" s="1"/>
  <c r="J347" i="17"/>
  <c r="L347" i="17" s="1"/>
  <c r="J346" i="17"/>
  <c r="K346" i="17" s="1"/>
  <c r="J345" i="17"/>
  <c r="J344" i="17"/>
  <c r="J343" i="17"/>
  <c r="L343" i="17" s="1"/>
  <c r="J342" i="17"/>
  <c r="K342" i="17" s="1"/>
  <c r="J341" i="17"/>
  <c r="L341" i="17" s="1"/>
  <c r="J340" i="17"/>
  <c r="J339" i="17"/>
  <c r="L339" i="17" s="1"/>
  <c r="J338" i="17"/>
  <c r="K338" i="17" s="1"/>
  <c r="J337" i="17"/>
  <c r="L337" i="17" s="1"/>
  <c r="J336" i="17"/>
  <c r="K336" i="17" s="1"/>
  <c r="J335" i="17"/>
  <c r="K335" i="17" s="1"/>
  <c r="J334" i="17"/>
  <c r="K334" i="17" s="1"/>
  <c r="J333" i="17"/>
  <c r="L333" i="17" s="1"/>
  <c r="J332" i="17"/>
  <c r="K332" i="17" s="1"/>
  <c r="J331" i="17"/>
  <c r="J330" i="17"/>
  <c r="K330" i="17" s="1"/>
  <c r="J329" i="17"/>
  <c r="J328" i="17"/>
  <c r="K328" i="17" s="1"/>
  <c r="J327" i="17"/>
  <c r="L327" i="17" s="1"/>
  <c r="J326" i="17"/>
  <c r="K326" i="17" s="1"/>
  <c r="J325" i="17"/>
  <c r="J324" i="17"/>
  <c r="J323" i="17"/>
  <c r="J322" i="17"/>
  <c r="J321" i="17"/>
  <c r="K321" i="17" s="1"/>
  <c r="J320" i="17"/>
  <c r="K320" i="17" s="1"/>
  <c r="J319" i="17"/>
  <c r="L319" i="17" s="1"/>
  <c r="J318" i="17"/>
  <c r="K318" i="17" s="1"/>
  <c r="J317" i="17"/>
  <c r="K317" i="17" s="1"/>
  <c r="J316" i="17"/>
  <c r="J315" i="17"/>
  <c r="L315" i="17" s="1"/>
  <c r="J314" i="17"/>
  <c r="K314" i="17" s="1"/>
  <c r="J313" i="17"/>
  <c r="L313" i="17" s="1"/>
  <c r="J312" i="17"/>
  <c r="K312" i="17" s="1"/>
  <c r="J311" i="17"/>
  <c r="L311" i="17" s="1"/>
  <c r="J310" i="17"/>
  <c r="J309" i="17"/>
  <c r="K309" i="17" s="1"/>
  <c r="J308" i="17"/>
  <c r="K308" i="17" s="1"/>
  <c r="J307" i="17"/>
  <c r="L307" i="17" s="1"/>
  <c r="J306" i="17"/>
  <c r="K306" i="17" s="1"/>
  <c r="J305" i="17"/>
  <c r="L305" i="17" s="1"/>
  <c r="J304" i="17"/>
  <c r="K304" i="17" s="1"/>
  <c r="J303" i="17"/>
  <c r="L303" i="17" s="1"/>
  <c r="J302" i="17"/>
  <c r="K302" i="17" s="1"/>
  <c r="J301" i="17"/>
  <c r="L301" i="17" s="1"/>
  <c r="J300" i="17"/>
  <c r="K300" i="17" s="1"/>
  <c r="J299" i="17"/>
  <c r="L299" i="17" s="1"/>
  <c r="J298" i="17"/>
  <c r="K298" i="17" s="1"/>
  <c r="J297" i="17"/>
  <c r="L297" i="17" s="1"/>
  <c r="J296" i="17"/>
  <c r="K296" i="17" s="1"/>
  <c r="J295" i="17"/>
  <c r="J294" i="17"/>
  <c r="K294" i="17" s="1"/>
  <c r="J293" i="17"/>
  <c r="L293" i="17" s="1"/>
  <c r="J292" i="17"/>
  <c r="K292" i="17" s="1"/>
  <c r="J291" i="17"/>
  <c r="L291" i="17" s="1"/>
  <c r="J290" i="17"/>
  <c r="J289" i="17"/>
  <c r="J288" i="17"/>
  <c r="J287" i="17"/>
  <c r="L287" i="17" s="1"/>
  <c r="J286" i="17"/>
  <c r="K286" i="17" s="1"/>
  <c r="J285" i="17"/>
  <c r="L285" i="17" s="1"/>
  <c r="J284" i="17"/>
  <c r="K284" i="17" s="1"/>
  <c r="J283" i="17"/>
  <c r="L283" i="17" s="1"/>
  <c r="J282" i="17"/>
  <c r="K282" i="17" s="1"/>
  <c r="J281" i="17"/>
  <c r="L281" i="17" s="1"/>
  <c r="J280" i="17"/>
  <c r="K280" i="17" s="1"/>
  <c r="J279" i="17"/>
  <c r="K279" i="17" s="1"/>
  <c r="J278" i="17"/>
  <c r="K278" i="17" s="1"/>
  <c r="J277" i="17"/>
  <c r="L277" i="17" s="1"/>
  <c r="J276" i="17"/>
  <c r="J275" i="17"/>
  <c r="K275" i="17" s="1"/>
  <c r="J274" i="17"/>
  <c r="J273" i="17"/>
  <c r="L273" i="17" s="1"/>
  <c r="J272" i="17"/>
  <c r="K272" i="17" s="1"/>
  <c r="J271" i="17"/>
  <c r="K271" i="17" s="1"/>
  <c r="J270" i="17"/>
  <c r="J269" i="17"/>
  <c r="K269" i="17" s="1"/>
  <c r="J268" i="17"/>
  <c r="K268" i="17" s="1"/>
  <c r="J267" i="17"/>
  <c r="L267" i="17" s="1"/>
  <c r="J266" i="17"/>
  <c r="K266" i="17" s="1"/>
  <c r="J265" i="17"/>
  <c r="L265" i="17" s="1"/>
  <c r="J264" i="17"/>
  <c r="K264" i="17" s="1"/>
  <c r="J263" i="17"/>
  <c r="L263" i="17" s="1"/>
  <c r="J262" i="17"/>
  <c r="J261" i="17"/>
  <c r="J260" i="17"/>
  <c r="J259" i="17"/>
  <c r="K259" i="17" s="1"/>
  <c r="J258" i="17"/>
  <c r="K258" i="17" s="1"/>
  <c r="J257" i="17"/>
  <c r="J256" i="17"/>
  <c r="K256" i="17" s="1"/>
  <c r="J255" i="17"/>
  <c r="J254" i="17"/>
  <c r="J253" i="17"/>
  <c r="L253" i="17" s="1"/>
  <c r="J252" i="17"/>
  <c r="J251" i="17"/>
  <c r="L251" i="17" s="1"/>
  <c r="J250" i="17"/>
  <c r="K250" i="17" s="1"/>
  <c r="J249" i="17"/>
  <c r="J248" i="17"/>
  <c r="J247" i="17"/>
  <c r="L247" i="17" s="1"/>
  <c r="J246" i="17"/>
  <c r="K246" i="17" s="1"/>
  <c r="J245" i="17"/>
  <c r="L245" i="17" s="1"/>
  <c r="J244" i="17"/>
  <c r="J243" i="17"/>
  <c r="K243" i="17" s="1"/>
  <c r="J242" i="17"/>
  <c r="J241" i="17"/>
  <c r="K241" i="17" s="1"/>
  <c r="J240" i="17"/>
  <c r="J239" i="17"/>
  <c r="L239" i="17" s="1"/>
  <c r="J238" i="17"/>
  <c r="K238" i="17" s="1"/>
  <c r="J237" i="17"/>
  <c r="K237" i="17" s="1"/>
  <c r="J236" i="17"/>
  <c r="J235" i="17"/>
  <c r="L235" i="17" s="1"/>
  <c r="J234" i="17"/>
  <c r="L234" i="17" s="1"/>
  <c r="J233" i="17"/>
  <c r="K233" i="17" s="1"/>
  <c r="J232" i="17"/>
  <c r="L232" i="17" s="1"/>
  <c r="J231" i="17"/>
  <c r="L231" i="17" s="1"/>
  <c r="J230" i="17"/>
  <c r="K230" i="17" s="1"/>
  <c r="J229" i="17"/>
  <c r="L229" i="17" s="1"/>
  <c r="J228" i="17"/>
  <c r="K228" i="17" s="1"/>
  <c r="J227" i="17"/>
  <c r="L227" i="17" s="1"/>
  <c r="J226" i="17"/>
  <c r="L226" i="17" s="1"/>
  <c r="J225" i="17"/>
  <c r="K225" i="17" s="1"/>
  <c r="J224" i="17"/>
  <c r="K224" i="17" s="1"/>
  <c r="J223" i="17"/>
  <c r="L223" i="17" s="1"/>
  <c r="J222" i="17"/>
  <c r="L222" i="17" s="1"/>
  <c r="J221" i="17"/>
  <c r="K221" i="17" s="1"/>
  <c r="J220" i="17"/>
  <c r="L220" i="17" s="1"/>
  <c r="J219" i="17"/>
  <c r="L219" i="17" s="1"/>
  <c r="J218" i="17"/>
  <c r="L218" i="17" s="1"/>
  <c r="J217" i="17"/>
  <c r="K217" i="17" s="1"/>
  <c r="J216" i="17"/>
  <c r="L216" i="17" s="1"/>
  <c r="J215" i="17"/>
  <c r="L215" i="17" s="1"/>
  <c r="J214" i="17"/>
  <c r="L214" i="17" s="1"/>
  <c r="J213" i="17"/>
  <c r="L213" i="17" s="1"/>
  <c r="J212" i="17"/>
  <c r="L212" i="17" s="1"/>
  <c r="J211" i="17"/>
  <c r="K211" i="17" s="1"/>
  <c r="J210" i="17"/>
  <c r="K210" i="17" s="1"/>
  <c r="J209" i="17"/>
  <c r="L209" i="17" s="1"/>
  <c r="J208" i="17"/>
  <c r="L208" i="17" s="1"/>
  <c r="J207" i="17"/>
  <c r="J206" i="17"/>
  <c r="L206" i="17" s="1"/>
  <c r="J205" i="17"/>
  <c r="L205" i="17" s="1"/>
  <c r="J204" i="17"/>
  <c r="K204" i="17" s="1"/>
  <c r="J203" i="17"/>
  <c r="J202" i="17"/>
  <c r="L202" i="17" s="1"/>
  <c r="J201" i="17"/>
  <c r="L201" i="17" s="1"/>
  <c r="J200" i="17"/>
  <c r="J199" i="17"/>
  <c r="J198" i="17"/>
  <c r="K198" i="17" s="1"/>
  <c r="J197" i="17"/>
  <c r="L197" i="17" s="1"/>
  <c r="J196" i="17"/>
  <c r="L196" i="17" s="1"/>
  <c r="J195" i="17"/>
  <c r="K195" i="17" s="1"/>
  <c r="J194" i="17"/>
  <c r="K194" i="17" s="1"/>
  <c r="J193" i="17"/>
  <c r="K193" i="17" s="1"/>
  <c r="J192" i="17"/>
  <c r="L192" i="17" s="1"/>
  <c r="J191" i="17"/>
  <c r="L191" i="17" s="1"/>
  <c r="J190" i="17"/>
  <c r="K190" i="17" s="1"/>
  <c r="J189" i="17"/>
  <c r="K189" i="17" s="1"/>
  <c r="J188" i="17"/>
  <c r="L188" i="17" s="1"/>
  <c r="J187" i="17"/>
  <c r="K187" i="17" s="1"/>
  <c r="J186" i="17"/>
  <c r="L186" i="17" s="1"/>
  <c r="J185" i="17"/>
  <c r="L185" i="17" s="1"/>
  <c r="J184" i="17"/>
  <c r="K184" i="17" s="1"/>
  <c r="J183" i="17"/>
  <c r="L183" i="17" s="1"/>
  <c r="J182" i="17"/>
  <c r="L182" i="17" s="1"/>
  <c r="J181" i="17"/>
  <c r="J180" i="17"/>
  <c r="L180" i="17" s="1"/>
  <c r="J179" i="17"/>
  <c r="K179" i="17" s="1"/>
  <c r="J178" i="17"/>
  <c r="L178" i="17" s="1"/>
  <c r="J177" i="17"/>
  <c r="L177" i="17" s="1"/>
  <c r="J176" i="17"/>
  <c r="L176" i="17" s="1"/>
  <c r="J175" i="17"/>
  <c r="K175" i="17" s="1"/>
  <c r="J174" i="17"/>
  <c r="K174" i="17" s="1"/>
  <c r="J173" i="17"/>
  <c r="L173" i="17" s="1"/>
  <c r="J172" i="17"/>
  <c r="L172" i="17" s="1"/>
  <c r="J171" i="17"/>
  <c r="J170" i="17"/>
  <c r="L170" i="17" s="1"/>
  <c r="J169" i="17"/>
  <c r="L169" i="17" s="1"/>
  <c r="J168" i="17"/>
  <c r="L168" i="17" s="1"/>
  <c r="J167" i="17"/>
  <c r="L167" i="17" s="1"/>
  <c r="J166" i="17"/>
  <c r="L166" i="17" s="1"/>
  <c r="J165" i="17"/>
  <c r="K165" i="17" s="1"/>
  <c r="J164" i="17"/>
  <c r="J163" i="17"/>
  <c r="K163" i="17" s="1"/>
  <c r="J162" i="17"/>
  <c r="L162" i="17" s="1"/>
  <c r="J161" i="17"/>
  <c r="L161" i="17" s="1"/>
  <c r="J160" i="17"/>
  <c r="J159" i="17"/>
  <c r="K159" i="17" s="1"/>
  <c r="J158" i="17"/>
  <c r="K158" i="17" s="1"/>
  <c r="J157" i="17"/>
  <c r="J156" i="17"/>
  <c r="J155" i="17"/>
  <c r="L155" i="17" s="1"/>
  <c r="J154" i="17"/>
  <c r="L154" i="17" s="1"/>
  <c r="J153" i="17"/>
  <c r="L153" i="17" s="1"/>
  <c r="J152" i="17"/>
  <c r="L152" i="17" s="1"/>
  <c r="J151" i="17"/>
  <c r="L151" i="17" s="1"/>
  <c r="J150" i="17"/>
  <c r="K150" i="17" s="1"/>
  <c r="J149" i="17"/>
  <c r="L149" i="17" s="1"/>
  <c r="J148" i="17"/>
  <c r="L148" i="17" s="1"/>
  <c r="J147" i="17"/>
  <c r="L147" i="17" s="1"/>
  <c r="J146" i="17"/>
  <c r="L146" i="17" s="1"/>
  <c r="J145" i="17"/>
  <c r="J144" i="17"/>
  <c r="K144" i="17" s="1"/>
  <c r="J143" i="17"/>
  <c r="J142" i="17"/>
  <c r="L142" i="17" s="1"/>
  <c r="J141" i="17"/>
  <c r="K141" i="17" s="1"/>
  <c r="J140" i="17"/>
  <c r="L140" i="17" s="1"/>
  <c r="J139" i="17"/>
  <c r="L139" i="17" s="1"/>
  <c r="J138" i="17"/>
  <c r="L138" i="17" s="1"/>
  <c r="J137" i="17"/>
  <c r="L137" i="17" s="1"/>
  <c r="J136" i="17"/>
  <c r="L136" i="17" s="1"/>
  <c r="J135" i="17"/>
  <c r="L135" i="17" s="1"/>
  <c r="J134" i="17"/>
  <c r="L134" i="17" s="1"/>
  <c r="J133" i="17"/>
  <c r="K133" i="17" s="1"/>
  <c r="J132" i="17"/>
  <c r="L132" i="17" s="1"/>
  <c r="J131" i="17"/>
  <c r="L131" i="17" s="1"/>
  <c r="J130" i="17"/>
  <c r="L130" i="17" s="1"/>
  <c r="J129" i="17"/>
  <c r="J128" i="17"/>
  <c r="L128" i="17" s="1"/>
  <c r="J127" i="17"/>
  <c r="L127" i="17" s="1"/>
  <c r="J126" i="17"/>
  <c r="L126" i="17" s="1"/>
  <c r="J125" i="17"/>
  <c r="K125" i="17" s="1"/>
  <c r="J124" i="17"/>
  <c r="K124" i="17" s="1"/>
  <c r="J123" i="17"/>
  <c r="L123" i="17" s="1"/>
  <c r="J122" i="17"/>
  <c r="L122" i="17" s="1"/>
  <c r="J121" i="17"/>
  <c r="J120" i="17"/>
  <c r="J119" i="17"/>
  <c r="K119" i="17" s="1"/>
  <c r="J118" i="17"/>
  <c r="J117" i="17"/>
  <c r="L117" i="17" s="1"/>
  <c r="J116" i="17"/>
  <c r="L116" i="17" s="1"/>
  <c r="J115" i="17"/>
  <c r="L115" i="17" s="1"/>
  <c r="J114" i="17"/>
  <c r="K114" i="17" s="1"/>
  <c r="J113" i="17"/>
  <c r="L113" i="17" s="1"/>
  <c r="J112" i="17"/>
  <c r="L112" i="17" s="1"/>
  <c r="J111" i="17"/>
  <c r="J110" i="17"/>
  <c r="K110" i="17" s="1"/>
  <c r="J109" i="17"/>
  <c r="K109" i="17" s="1"/>
  <c r="J108" i="17"/>
  <c r="L108" i="17" s="1"/>
  <c r="J107" i="17"/>
  <c r="L107" i="17" s="1"/>
  <c r="J106" i="17"/>
  <c r="K106" i="17" s="1"/>
  <c r="J105" i="17"/>
  <c r="K105" i="17" s="1"/>
  <c r="J104" i="17"/>
  <c r="K104" i="17" s="1"/>
  <c r="J103" i="17"/>
  <c r="J102" i="17"/>
  <c r="L102" i="17" s="1"/>
  <c r="J101" i="17"/>
  <c r="L101" i="17" s="1"/>
  <c r="J100" i="17"/>
  <c r="L100" i="17" s="1"/>
  <c r="J99" i="17"/>
  <c r="K99" i="17" s="1"/>
  <c r="J98" i="17"/>
  <c r="J97" i="17"/>
  <c r="J96" i="17"/>
  <c r="K96" i="17" s="1"/>
  <c r="J95" i="17"/>
  <c r="L95" i="17" s="1"/>
  <c r="J94" i="17"/>
  <c r="J93" i="17"/>
  <c r="L93" i="17" s="1"/>
  <c r="J92" i="17"/>
  <c r="L92" i="17" s="1"/>
  <c r="J91" i="17"/>
  <c r="K91" i="17" s="1"/>
  <c r="J90" i="17"/>
  <c r="J89" i="17"/>
  <c r="L89" i="17" s="1"/>
  <c r="J88" i="17"/>
  <c r="L88" i="17" s="1"/>
  <c r="J87" i="17"/>
  <c r="J86" i="17"/>
  <c r="L86" i="17" s="1"/>
  <c r="J85" i="17"/>
  <c r="L85" i="17" s="1"/>
  <c r="J84" i="17"/>
  <c r="L84" i="17" s="1"/>
  <c r="J83" i="17"/>
  <c r="L83" i="17" s="1"/>
  <c r="J82" i="17"/>
  <c r="L82" i="17" s="1"/>
  <c r="J81" i="17"/>
  <c r="L81" i="17" s="1"/>
  <c r="J80" i="17"/>
  <c r="J79" i="17"/>
  <c r="L79" i="17" s="1"/>
  <c r="J78" i="17"/>
  <c r="K78" i="17" s="1"/>
  <c r="J77" i="17"/>
  <c r="J76" i="17"/>
  <c r="K76" i="17" s="1"/>
  <c r="J75" i="17"/>
  <c r="L75" i="17" s="1"/>
  <c r="J74" i="17"/>
  <c r="L74" i="17" s="1"/>
  <c r="J73" i="17"/>
  <c r="L73" i="17" s="1"/>
  <c r="J72" i="17"/>
  <c r="L72" i="17" s="1"/>
  <c r="J71" i="17"/>
  <c r="K71" i="17" s="1"/>
  <c r="J70" i="17"/>
  <c r="J69" i="17"/>
  <c r="L69" i="17" s="1"/>
  <c r="J68" i="17"/>
  <c r="K68" i="17" s="1"/>
  <c r="J67" i="17"/>
  <c r="L67" i="17" s="1"/>
  <c r="J66" i="17"/>
  <c r="K66" i="17" s="1"/>
  <c r="J65" i="17"/>
  <c r="L65" i="17" s="1"/>
  <c r="J64" i="17"/>
  <c r="L64" i="17" s="1"/>
  <c r="J63" i="17"/>
  <c r="J62" i="17"/>
  <c r="L62" i="17" s="1"/>
  <c r="J61" i="17"/>
  <c r="K61" i="17" s="1"/>
  <c r="J60" i="17"/>
  <c r="L60" i="17" s="1"/>
  <c r="J59" i="17"/>
  <c r="L59" i="17" s="1"/>
  <c r="J58" i="17"/>
  <c r="L58" i="17" s="1"/>
  <c r="J57" i="17"/>
  <c r="K57" i="17" s="1"/>
  <c r="J56" i="17"/>
  <c r="L56" i="17" s="1"/>
  <c r="J55" i="17"/>
  <c r="J54" i="17"/>
  <c r="L54" i="17" s="1"/>
  <c r="J53" i="17"/>
  <c r="J52" i="17"/>
  <c r="L52" i="17" s="1"/>
  <c r="J51" i="17"/>
  <c r="L51" i="17" s="1"/>
  <c r="J50" i="17"/>
  <c r="J49" i="17"/>
  <c r="L49" i="17" s="1"/>
  <c r="J48" i="17"/>
  <c r="L48" i="17" s="1"/>
  <c r="J47" i="17"/>
  <c r="L47" i="17" s="1"/>
  <c r="J46" i="17"/>
  <c r="L46" i="17" s="1"/>
  <c r="J45" i="17"/>
  <c r="L45" i="17" s="1"/>
  <c r="J44" i="17"/>
  <c r="L44" i="17" s="1"/>
  <c r="J43" i="17"/>
  <c r="L43" i="17" s="1"/>
  <c r="J42" i="17"/>
  <c r="L42" i="17" s="1"/>
  <c r="J41" i="17"/>
  <c r="K41" i="17" s="1"/>
  <c r="J40" i="17"/>
  <c r="J39" i="17"/>
  <c r="J38" i="17"/>
  <c r="K38" i="17" s="1"/>
  <c r="J37" i="17"/>
  <c r="L37" i="17" s="1"/>
  <c r="J36" i="17"/>
  <c r="L36" i="17" s="1"/>
  <c r="J35" i="17"/>
  <c r="K35" i="17" s="1"/>
  <c r="J34" i="17"/>
  <c r="L34" i="17" s="1"/>
  <c r="J33" i="17"/>
  <c r="L33" i="17" s="1"/>
  <c r="J32" i="17"/>
  <c r="L32" i="17" s="1"/>
  <c r="J31" i="17"/>
  <c r="K31" i="17" s="1"/>
  <c r="J30" i="17"/>
  <c r="K30" i="17" s="1"/>
  <c r="J29" i="17"/>
  <c r="L29" i="17" s="1"/>
  <c r="J28" i="17"/>
  <c r="K28" i="17" s="1"/>
  <c r="J27" i="17"/>
  <c r="L27" i="17" s="1"/>
  <c r="J26" i="17"/>
  <c r="L26" i="17" s="1"/>
  <c r="J25" i="17"/>
  <c r="J24" i="17"/>
  <c r="K24" i="17" s="1"/>
  <c r="J23" i="17"/>
  <c r="K23" i="17" s="1"/>
  <c r="J22" i="17"/>
  <c r="L22" i="17" s="1"/>
  <c r="J21" i="17"/>
  <c r="J20" i="17"/>
  <c r="L20" i="17" s="1"/>
  <c r="J19" i="17"/>
  <c r="L19" i="17" s="1"/>
  <c r="J18" i="17"/>
  <c r="L18" i="17" s="1"/>
  <c r="J17" i="17"/>
  <c r="J16" i="17"/>
  <c r="J15" i="17"/>
  <c r="L15" i="17" s="1"/>
  <c r="J14" i="17"/>
  <c r="L14" i="17" s="1"/>
  <c r="J13" i="17"/>
  <c r="K13" i="17" s="1"/>
  <c r="J12" i="17"/>
  <c r="K12" i="17" s="1"/>
  <c r="J11" i="17"/>
  <c r="L11" i="17" s="1"/>
  <c r="J10" i="17"/>
  <c r="L10" i="17" s="1"/>
  <c r="J9" i="17"/>
  <c r="K9" i="17" s="1"/>
  <c r="J8" i="17"/>
  <c r="L8" i="17" s="1"/>
  <c r="J7" i="17"/>
  <c r="L7" i="17" s="1"/>
  <c r="J6" i="17"/>
  <c r="L6" i="17" s="1"/>
  <c r="J5" i="17"/>
  <c r="K5" i="17" s="1"/>
  <c r="J4" i="17"/>
  <c r="L4" i="17" s="1"/>
  <c r="J3" i="17"/>
  <c r="K3" i="17" s="1"/>
  <c r="J2" i="17"/>
  <c r="L2" i="17" s="1"/>
  <c r="O12" i="14"/>
  <c r="O14" i="14"/>
  <c r="O19" i="14"/>
  <c r="O21" i="14"/>
  <c r="O32" i="14"/>
  <c r="O34" i="14"/>
  <c r="O35" i="14"/>
  <c r="O39" i="14"/>
  <c r="O41" i="14"/>
  <c r="O52" i="14"/>
  <c r="O54" i="14"/>
  <c r="O55" i="14"/>
  <c r="O59" i="14"/>
  <c r="O61" i="14"/>
  <c r="O72" i="14"/>
  <c r="O74" i="14"/>
  <c r="O79" i="14"/>
  <c r="O81" i="14"/>
  <c r="O92" i="14"/>
  <c r="O94" i="14"/>
  <c r="O95" i="14"/>
  <c r="O99" i="14"/>
  <c r="O101" i="14"/>
  <c r="O112" i="14"/>
  <c r="O114" i="14"/>
  <c r="O115" i="14"/>
  <c r="O121" i="14"/>
  <c r="N7" i="14"/>
  <c r="O7" i="14" s="1"/>
  <c r="N8" i="14"/>
  <c r="O8" i="14" s="1"/>
  <c r="X7" i="14" s="1"/>
  <c r="N9" i="14"/>
  <c r="O9" i="14" s="1"/>
  <c r="N10" i="14"/>
  <c r="O10" i="14" s="1"/>
  <c r="N11" i="14"/>
  <c r="O11" i="14" s="1"/>
  <c r="N12" i="14"/>
  <c r="N13" i="14"/>
  <c r="O13" i="14" s="1"/>
  <c r="N14" i="14"/>
  <c r="N15" i="14"/>
  <c r="N16" i="14"/>
  <c r="O16" i="14" s="1"/>
  <c r="N17" i="14"/>
  <c r="O17" i="14" s="1"/>
  <c r="N18" i="14"/>
  <c r="O18" i="14" s="1"/>
  <c r="N19" i="14"/>
  <c r="N20" i="14"/>
  <c r="O20" i="14" s="1"/>
  <c r="N21" i="14"/>
  <c r="N22" i="14"/>
  <c r="O22" i="14" s="1"/>
  <c r="N23" i="14"/>
  <c r="O23" i="14" s="1"/>
  <c r="N24" i="14"/>
  <c r="O24" i="14" s="1"/>
  <c r="N25" i="14"/>
  <c r="O25" i="14" s="1"/>
  <c r="N26" i="14"/>
  <c r="O26" i="14" s="1"/>
  <c r="N27" i="14"/>
  <c r="O27" i="14" s="1"/>
  <c r="N28" i="14"/>
  <c r="O28" i="14" s="1"/>
  <c r="N29" i="14"/>
  <c r="O29" i="14" s="1"/>
  <c r="N30" i="14"/>
  <c r="O30" i="14" s="1"/>
  <c r="N31" i="14"/>
  <c r="O31" i="14" s="1"/>
  <c r="N32" i="14"/>
  <c r="N33" i="14"/>
  <c r="O33" i="14" s="1"/>
  <c r="N34" i="14"/>
  <c r="N35" i="14"/>
  <c r="N36" i="14"/>
  <c r="O36" i="14" s="1"/>
  <c r="N37" i="14"/>
  <c r="O37" i="14" s="1"/>
  <c r="N38" i="14"/>
  <c r="O38" i="14" s="1"/>
  <c r="N39" i="14"/>
  <c r="N40" i="14"/>
  <c r="O40" i="14" s="1"/>
  <c r="N41" i="14"/>
  <c r="N42" i="14"/>
  <c r="O42" i="14" s="1"/>
  <c r="N43" i="14"/>
  <c r="O43" i="14" s="1"/>
  <c r="N44" i="14"/>
  <c r="O44" i="14" s="1"/>
  <c r="N45" i="14"/>
  <c r="O45" i="14" s="1"/>
  <c r="N46" i="14"/>
  <c r="O46" i="14" s="1"/>
  <c r="N47" i="14"/>
  <c r="O47" i="14" s="1"/>
  <c r="N48" i="14"/>
  <c r="O48" i="14" s="1"/>
  <c r="N49" i="14"/>
  <c r="O49" i="14" s="1"/>
  <c r="N50" i="14"/>
  <c r="O50" i="14" s="1"/>
  <c r="N51" i="14"/>
  <c r="O51" i="14" s="1"/>
  <c r="N52" i="14"/>
  <c r="N53" i="14"/>
  <c r="O53" i="14" s="1"/>
  <c r="N54" i="14"/>
  <c r="N55" i="14"/>
  <c r="N56" i="14"/>
  <c r="O56" i="14" s="1"/>
  <c r="N57" i="14"/>
  <c r="O57" i="14" s="1"/>
  <c r="N58" i="14"/>
  <c r="O58" i="14" s="1"/>
  <c r="N59" i="14"/>
  <c r="N60" i="14"/>
  <c r="O60" i="14" s="1"/>
  <c r="N61" i="14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70" i="14"/>
  <c r="O70" i="14" s="1"/>
  <c r="N71" i="14"/>
  <c r="O71" i="14" s="1"/>
  <c r="N72" i="14"/>
  <c r="N73" i="14"/>
  <c r="O73" i="14" s="1"/>
  <c r="N74" i="14"/>
  <c r="N75" i="14"/>
  <c r="N76" i="14"/>
  <c r="O76" i="14" s="1"/>
  <c r="N77" i="14"/>
  <c r="O77" i="14" s="1"/>
  <c r="N78" i="14"/>
  <c r="O78" i="14" s="1"/>
  <c r="N79" i="14"/>
  <c r="N80" i="14"/>
  <c r="O80" i="14" s="1"/>
  <c r="N81" i="14"/>
  <c r="N82" i="14"/>
  <c r="O82" i="14" s="1"/>
  <c r="N83" i="14"/>
  <c r="O83" i="14" s="1"/>
  <c r="N84" i="14"/>
  <c r="O84" i="14" s="1"/>
  <c r="N85" i="14"/>
  <c r="O85" i="14" s="1"/>
  <c r="N86" i="14"/>
  <c r="O86" i="14" s="1"/>
  <c r="N87" i="14"/>
  <c r="O87" i="14" s="1"/>
  <c r="N88" i="14"/>
  <c r="O88" i="14" s="1"/>
  <c r="N89" i="14"/>
  <c r="O89" i="14" s="1"/>
  <c r="N90" i="14"/>
  <c r="O90" i="14" s="1"/>
  <c r="N91" i="14"/>
  <c r="O91" i="14" s="1"/>
  <c r="N92" i="14"/>
  <c r="N93" i="14"/>
  <c r="O93" i="14" s="1"/>
  <c r="N94" i="14"/>
  <c r="N95" i="14"/>
  <c r="N96" i="14"/>
  <c r="O96" i="14" s="1"/>
  <c r="N97" i="14"/>
  <c r="O97" i="14" s="1"/>
  <c r="N98" i="14"/>
  <c r="O98" i="14" s="1"/>
  <c r="N99" i="14"/>
  <c r="N100" i="14"/>
  <c r="O100" i="14" s="1"/>
  <c r="N101" i="14"/>
  <c r="N102" i="14"/>
  <c r="O102" i="14" s="1"/>
  <c r="N103" i="14"/>
  <c r="O103" i="14" s="1"/>
  <c r="N104" i="14"/>
  <c r="O104" i="14" s="1"/>
  <c r="N105" i="14"/>
  <c r="O105" i="14" s="1"/>
  <c r="N106" i="14"/>
  <c r="O106" i="14" s="1"/>
  <c r="N107" i="14"/>
  <c r="O107" i="14" s="1"/>
  <c r="N108" i="14"/>
  <c r="O108" i="14" s="1"/>
  <c r="N109" i="14"/>
  <c r="O109" i="14" s="1"/>
  <c r="N110" i="14"/>
  <c r="O110" i="14" s="1"/>
  <c r="N111" i="14"/>
  <c r="O111" i="14" s="1"/>
  <c r="N112" i="14"/>
  <c r="N113" i="14"/>
  <c r="O113" i="14" s="1"/>
  <c r="N114" i="14"/>
  <c r="N115" i="14"/>
  <c r="N116" i="14"/>
  <c r="O116" i="14" s="1"/>
  <c r="N117" i="14"/>
  <c r="O117" i="14" s="1"/>
  <c r="N118" i="14"/>
  <c r="O118" i="14" s="1"/>
  <c r="N119" i="14"/>
  <c r="O119" i="14" s="1"/>
  <c r="N120" i="14"/>
  <c r="O120" i="14" s="1"/>
  <c r="N121" i="14"/>
  <c r="N122" i="14"/>
  <c r="O122" i="14" s="1"/>
  <c r="N123" i="14"/>
  <c r="O123" i="14" s="1"/>
  <c r="N124" i="14"/>
  <c r="O124" i="14" s="1"/>
  <c r="N125" i="14"/>
  <c r="O125" i="14" s="1"/>
  <c r="N126" i="14"/>
  <c r="O126" i="14" s="1"/>
  <c r="N6" i="14"/>
  <c r="O6" i="14" s="1"/>
  <c r="M77" i="14"/>
  <c r="M121" i="14"/>
  <c r="K43" i="14"/>
  <c r="L43" i="14" s="1"/>
  <c r="M43" i="14" s="1"/>
  <c r="K75" i="14"/>
  <c r="L75" i="14" s="1"/>
  <c r="M75" i="14" s="1"/>
  <c r="O75" i="14" s="1"/>
  <c r="K31" i="14"/>
  <c r="L31" i="14" s="1"/>
  <c r="M31" i="14" s="1"/>
  <c r="K20" i="14"/>
  <c r="L20" i="14" s="1"/>
  <c r="M20" i="14" s="1"/>
  <c r="K123" i="14"/>
  <c r="L123" i="14" s="1"/>
  <c r="M123" i="14" s="1"/>
  <c r="K17" i="14"/>
  <c r="L17" i="14" s="1"/>
  <c r="M17" i="14" s="1"/>
  <c r="K65" i="14"/>
  <c r="L65" i="14" s="1"/>
  <c r="M65" i="14" s="1"/>
  <c r="K73" i="14"/>
  <c r="L73" i="14" s="1"/>
  <c r="M73" i="14" s="1"/>
  <c r="K8" i="14"/>
  <c r="L8" i="14" s="1"/>
  <c r="M8" i="14" s="1"/>
  <c r="K62" i="14"/>
  <c r="L62" i="14" s="1"/>
  <c r="M62" i="14" s="1"/>
  <c r="K86" i="14"/>
  <c r="L86" i="14" s="1"/>
  <c r="M86" i="14" s="1"/>
  <c r="K110" i="14"/>
  <c r="L110" i="14" s="1"/>
  <c r="M110" i="14" s="1"/>
  <c r="K112" i="14"/>
  <c r="L112" i="14" s="1"/>
  <c r="M112" i="14" s="1"/>
  <c r="K97" i="14"/>
  <c r="L97" i="14" s="1"/>
  <c r="M97" i="14" s="1"/>
  <c r="K54" i="14"/>
  <c r="L54" i="14" s="1"/>
  <c r="M54" i="14" s="1"/>
  <c r="K125" i="14"/>
  <c r="L125" i="14" s="1"/>
  <c r="M125" i="14" s="1"/>
  <c r="K105" i="14"/>
  <c r="L105" i="14" s="1"/>
  <c r="M105" i="14" s="1"/>
  <c r="K78" i="14"/>
  <c r="L78" i="14" s="1"/>
  <c r="M78" i="14" s="1"/>
  <c r="K19" i="14"/>
  <c r="L19" i="14" s="1"/>
  <c r="M19" i="14" s="1"/>
  <c r="K45" i="14"/>
  <c r="L45" i="14" s="1"/>
  <c r="M45" i="14" s="1"/>
  <c r="K23" i="14"/>
  <c r="L23" i="14" s="1"/>
  <c r="M23" i="14" s="1"/>
  <c r="K15" i="14"/>
  <c r="L15" i="14" s="1"/>
  <c r="M15" i="14" s="1"/>
  <c r="O15" i="14" s="1"/>
  <c r="K77" i="14"/>
  <c r="L77" i="14" s="1"/>
  <c r="K26" i="14"/>
  <c r="L26" i="14" s="1"/>
  <c r="M26" i="14" s="1"/>
  <c r="K120" i="14"/>
  <c r="L120" i="14" s="1"/>
  <c r="M120" i="14" s="1"/>
  <c r="K101" i="14"/>
  <c r="L101" i="14" s="1"/>
  <c r="M101" i="14" s="1"/>
  <c r="K18" i="14"/>
  <c r="L18" i="14" s="1"/>
  <c r="M18" i="14" s="1"/>
  <c r="K16" i="14"/>
  <c r="L16" i="14" s="1"/>
  <c r="M16" i="14" s="1"/>
  <c r="K81" i="14"/>
  <c r="L81" i="14" s="1"/>
  <c r="M81" i="14" s="1"/>
  <c r="K24" i="14"/>
  <c r="L24" i="14" s="1"/>
  <c r="M24" i="14" s="1"/>
  <c r="K9" i="14"/>
  <c r="L9" i="14" s="1"/>
  <c r="M9" i="14" s="1"/>
  <c r="K39" i="14"/>
  <c r="L39" i="14" s="1"/>
  <c r="M39" i="14" s="1"/>
  <c r="K80" i="14"/>
  <c r="L80" i="14" s="1"/>
  <c r="M80" i="14" s="1"/>
  <c r="K90" i="14"/>
  <c r="L90" i="14" s="1"/>
  <c r="M90" i="14" s="1"/>
  <c r="K13" i="14"/>
  <c r="L13" i="14" s="1"/>
  <c r="M13" i="14" s="1"/>
  <c r="K52" i="14"/>
  <c r="L52" i="14" s="1"/>
  <c r="M52" i="14" s="1"/>
  <c r="K117" i="14"/>
  <c r="L117" i="14" s="1"/>
  <c r="M117" i="14" s="1"/>
  <c r="K106" i="14"/>
  <c r="L106" i="14" s="1"/>
  <c r="M106" i="14" s="1"/>
  <c r="K104" i="14"/>
  <c r="L104" i="14" s="1"/>
  <c r="M104" i="14" s="1"/>
  <c r="K103" i="14"/>
  <c r="L103" i="14" s="1"/>
  <c r="M103" i="14" s="1"/>
  <c r="K114" i="14"/>
  <c r="L114" i="14" s="1"/>
  <c r="M114" i="14" s="1"/>
  <c r="K25" i="14"/>
  <c r="L25" i="14" s="1"/>
  <c r="M25" i="14" s="1"/>
  <c r="K102" i="14"/>
  <c r="L102" i="14" s="1"/>
  <c r="M102" i="14" s="1"/>
  <c r="K58" i="14"/>
  <c r="L58" i="14" s="1"/>
  <c r="M58" i="14" s="1"/>
  <c r="K100" i="14"/>
  <c r="L100" i="14" s="1"/>
  <c r="M100" i="14" s="1"/>
  <c r="K10" i="14"/>
  <c r="L10" i="14" s="1"/>
  <c r="M10" i="14" s="1"/>
  <c r="K32" i="14"/>
  <c r="L32" i="14" s="1"/>
  <c r="M32" i="14" s="1"/>
  <c r="K22" i="14"/>
  <c r="L22" i="14" s="1"/>
  <c r="M22" i="14" s="1"/>
  <c r="K111" i="14"/>
  <c r="L111" i="14" s="1"/>
  <c r="M111" i="14" s="1"/>
  <c r="K69" i="14"/>
  <c r="L69" i="14" s="1"/>
  <c r="M69" i="14" s="1"/>
  <c r="K60" i="14"/>
  <c r="L60" i="14" s="1"/>
  <c r="M60" i="14" s="1"/>
  <c r="K79" i="14"/>
  <c r="L79" i="14" s="1"/>
  <c r="M79" i="14" s="1"/>
  <c r="K118" i="14"/>
  <c r="L118" i="14" s="1"/>
  <c r="M118" i="14" s="1"/>
  <c r="K122" i="14"/>
  <c r="L122" i="14" s="1"/>
  <c r="M122" i="14" s="1"/>
  <c r="K98" i="14"/>
  <c r="L98" i="14" s="1"/>
  <c r="M98" i="14" s="1"/>
  <c r="K57" i="14"/>
  <c r="L57" i="14" s="1"/>
  <c r="M57" i="14" s="1"/>
  <c r="K42" i="14"/>
  <c r="L42" i="14" s="1"/>
  <c r="M42" i="14" s="1"/>
  <c r="K124" i="14"/>
  <c r="L124" i="14" s="1"/>
  <c r="M124" i="14" s="1"/>
  <c r="K12" i="14"/>
  <c r="L12" i="14" s="1"/>
  <c r="M12" i="14" s="1"/>
  <c r="K47" i="14"/>
  <c r="L47" i="14" s="1"/>
  <c r="M47" i="14" s="1"/>
  <c r="K44" i="14"/>
  <c r="L44" i="14" s="1"/>
  <c r="M44" i="14" s="1"/>
  <c r="L6" i="14"/>
  <c r="M6" i="14" s="1"/>
  <c r="K91" i="14"/>
  <c r="L91" i="14" s="1"/>
  <c r="M91" i="14" s="1"/>
  <c r="K95" i="14"/>
  <c r="L95" i="14" s="1"/>
  <c r="M95" i="14" s="1"/>
  <c r="K21" i="14"/>
  <c r="L21" i="14" s="1"/>
  <c r="M21" i="14" s="1"/>
  <c r="K67" i="14"/>
  <c r="L67" i="14" s="1"/>
  <c r="M67" i="14" s="1"/>
  <c r="K61" i="14"/>
  <c r="L61" i="14" s="1"/>
  <c r="M61" i="14" s="1"/>
  <c r="K70" i="14"/>
  <c r="L70" i="14" s="1"/>
  <c r="M70" i="14" s="1"/>
  <c r="K28" i="14"/>
  <c r="L28" i="14" s="1"/>
  <c r="M28" i="14" s="1"/>
  <c r="K93" i="14"/>
  <c r="L93" i="14" s="1"/>
  <c r="M93" i="14" s="1"/>
  <c r="K27" i="14"/>
  <c r="L27" i="14" s="1"/>
  <c r="M27" i="14" s="1"/>
  <c r="K38" i="14"/>
  <c r="L38" i="14" s="1"/>
  <c r="M38" i="14" s="1"/>
  <c r="K113" i="14"/>
  <c r="L113" i="14" s="1"/>
  <c r="M113" i="14" s="1"/>
  <c r="K99" i="14"/>
  <c r="L99" i="14" s="1"/>
  <c r="M99" i="14" s="1"/>
  <c r="K71" i="14"/>
  <c r="L71" i="14" s="1"/>
  <c r="M71" i="14" s="1"/>
  <c r="K46" i="14"/>
  <c r="L46" i="14" s="1"/>
  <c r="M46" i="14" s="1"/>
  <c r="K56" i="14"/>
  <c r="L56" i="14" s="1"/>
  <c r="M56" i="14" s="1"/>
  <c r="K109" i="14"/>
  <c r="L109" i="14" s="1"/>
  <c r="M109" i="14" s="1"/>
  <c r="K107" i="14"/>
  <c r="L107" i="14" s="1"/>
  <c r="M107" i="14" s="1"/>
  <c r="K50" i="14"/>
  <c r="L50" i="14" s="1"/>
  <c r="M50" i="14" s="1"/>
  <c r="K34" i="14"/>
  <c r="L34" i="14" s="1"/>
  <c r="M34" i="14" s="1"/>
  <c r="K116" i="14"/>
  <c r="L116" i="14" s="1"/>
  <c r="M116" i="14" s="1"/>
  <c r="K121" i="14"/>
  <c r="L121" i="14" s="1"/>
  <c r="K126" i="14"/>
  <c r="L126" i="14" s="1"/>
  <c r="M126" i="14" s="1"/>
  <c r="K63" i="14"/>
  <c r="L63" i="14" s="1"/>
  <c r="M63" i="14" s="1"/>
  <c r="K84" i="14"/>
  <c r="L84" i="14" s="1"/>
  <c r="M84" i="14" s="1"/>
  <c r="K14" i="14"/>
  <c r="L14" i="14" s="1"/>
  <c r="M14" i="14" s="1"/>
  <c r="K89" i="14"/>
  <c r="L89" i="14" s="1"/>
  <c r="M89" i="14" s="1"/>
  <c r="K53" i="14"/>
  <c r="L53" i="14" s="1"/>
  <c r="M53" i="14" s="1"/>
  <c r="K66" i="14"/>
  <c r="L66" i="14" s="1"/>
  <c r="M66" i="14" s="1"/>
  <c r="K74" i="14"/>
  <c r="L74" i="14" s="1"/>
  <c r="M74" i="14" s="1"/>
  <c r="K36" i="14"/>
  <c r="L36" i="14" s="1"/>
  <c r="M36" i="14" s="1"/>
  <c r="K59" i="14"/>
  <c r="L59" i="14" s="1"/>
  <c r="M59" i="14" s="1"/>
  <c r="K94" i="14"/>
  <c r="L94" i="14" s="1"/>
  <c r="M94" i="14" s="1"/>
  <c r="K72" i="14"/>
  <c r="L72" i="14" s="1"/>
  <c r="M72" i="14" s="1"/>
  <c r="K35" i="14"/>
  <c r="L35" i="14" s="1"/>
  <c r="M35" i="14" s="1"/>
  <c r="K115" i="14"/>
  <c r="L115" i="14" s="1"/>
  <c r="M115" i="14" s="1"/>
  <c r="K33" i="14"/>
  <c r="L33" i="14" s="1"/>
  <c r="M33" i="14" s="1"/>
  <c r="K49" i="14"/>
  <c r="L49" i="14" s="1"/>
  <c r="M49" i="14" s="1"/>
  <c r="K64" i="14"/>
  <c r="L64" i="14" s="1"/>
  <c r="M64" i="14" s="1"/>
  <c r="K92" i="14"/>
  <c r="L92" i="14" s="1"/>
  <c r="M92" i="14" s="1"/>
  <c r="K48" i="14"/>
  <c r="L48" i="14" s="1"/>
  <c r="M48" i="14" s="1"/>
  <c r="K88" i="14"/>
  <c r="L88" i="14" s="1"/>
  <c r="M88" i="14" s="1"/>
  <c r="K83" i="14"/>
  <c r="L83" i="14" s="1"/>
  <c r="M83" i="14" s="1"/>
  <c r="K55" i="14"/>
  <c r="L55" i="14" s="1"/>
  <c r="M55" i="14" s="1"/>
  <c r="K85" i="14"/>
  <c r="L85" i="14" s="1"/>
  <c r="M85" i="14" s="1"/>
  <c r="K40" i="14"/>
  <c r="L40" i="14" s="1"/>
  <c r="M40" i="14" s="1"/>
  <c r="K7" i="14"/>
  <c r="L7" i="14" s="1"/>
  <c r="M7" i="14" s="1"/>
  <c r="K76" i="14"/>
  <c r="L76" i="14" s="1"/>
  <c r="M76" i="14" s="1"/>
  <c r="K108" i="14"/>
  <c r="L108" i="14" s="1"/>
  <c r="M108" i="14" s="1"/>
  <c r="K41" i="14"/>
  <c r="L41" i="14" s="1"/>
  <c r="M41" i="14" s="1"/>
  <c r="K82" i="14"/>
  <c r="L82" i="14" s="1"/>
  <c r="M82" i="14" s="1"/>
  <c r="K29" i="14"/>
  <c r="L29" i="14" s="1"/>
  <c r="M29" i="14" s="1"/>
  <c r="K119" i="14"/>
  <c r="L119" i="14" s="1"/>
  <c r="M119" i="14" s="1"/>
  <c r="K96" i="14"/>
  <c r="L96" i="14" s="1"/>
  <c r="M96" i="14" s="1"/>
  <c r="K37" i="14"/>
  <c r="L37" i="14" s="1"/>
  <c r="M37" i="14" s="1"/>
  <c r="K30" i="14"/>
  <c r="L30" i="14" s="1"/>
  <c r="M30" i="14" s="1"/>
  <c r="K87" i="14"/>
  <c r="L87" i="14" s="1"/>
  <c r="M87" i="14" s="1"/>
  <c r="K51" i="14"/>
  <c r="L51" i="14" s="1"/>
  <c r="M51" i="14" s="1"/>
  <c r="K68" i="14"/>
  <c r="L68" i="14" s="1"/>
  <c r="M68" i="14" s="1"/>
  <c r="K11" i="14"/>
  <c r="L11" i="14" s="1"/>
  <c r="M11" i="14" s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O601" i="1"/>
  <c r="I5" i="10"/>
  <c r="I8" i="10"/>
  <c r="I11" i="10"/>
  <c r="I14" i="10"/>
  <c r="I17" i="10"/>
  <c r="I20" i="10"/>
  <c r="I24" i="10"/>
  <c r="I25" i="10"/>
  <c r="I28" i="10"/>
  <c r="I34" i="10"/>
  <c r="I37" i="10"/>
  <c r="I38" i="10"/>
  <c r="I40" i="10"/>
  <c r="I41" i="10"/>
  <c r="I44" i="10"/>
  <c r="I45" i="10"/>
  <c r="I48" i="10"/>
  <c r="I54" i="10"/>
  <c r="I55" i="10"/>
  <c r="I56" i="10"/>
  <c r="I58" i="10"/>
  <c r="I59" i="10"/>
  <c r="I60" i="10"/>
  <c r="I61" i="10"/>
  <c r="I65" i="10"/>
  <c r="I71" i="10"/>
  <c r="I77" i="10"/>
  <c r="I78" i="10"/>
  <c r="I80" i="10"/>
  <c r="I81" i="10"/>
  <c r="I85" i="10"/>
  <c r="I88" i="10"/>
  <c r="I95" i="10"/>
  <c r="I96" i="10"/>
  <c r="I98" i="10"/>
  <c r="I100" i="10"/>
  <c r="I104" i="10"/>
  <c r="I105" i="10"/>
  <c r="I108" i="10"/>
  <c r="I111" i="10"/>
  <c r="I117" i="10"/>
  <c r="I118" i="10"/>
  <c r="I120" i="10"/>
  <c r="I4" i="10"/>
  <c r="V37" i="6"/>
  <c r="U37" i="6"/>
  <c r="V36" i="6"/>
  <c r="U36" i="6"/>
  <c r="V35" i="6"/>
  <c r="U35" i="6"/>
  <c r="V34" i="6"/>
  <c r="U34" i="6"/>
  <c r="V32" i="6"/>
  <c r="U32" i="6"/>
  <c r="V31" i="6"/>
  <c r="U31" i="6"/>
  <c r="V30" i="6"/>
  <c r="U30" i="6"/>
  <c r="V29" i="6"/>
  <c r="U29" i="6"/>
  <c r="V27" i="6"/>
  <c r="U27" i="6"/>
  <c r="V26" i="6"/>
  <c r="U26" i="6"/>
  <c r="V25" i="6"/>
  <c r="U25" i="6"/>
  <c r="V24" i="6"/>
  <c r="U24" i="6"/>
  <c r="W24" i="6" s="1"/>
  <c r="Y24" i="6" s="1"/>
  <c r="V23" i="6"/>
  <c r="U23" i="6"/>
  <c r="V21" i="6"/>
  <c r="U21" i="6"/>
  <c r="V20" i="6"/>
  <c r="U20" i="6"/>
  <c r="V19" i="6"/>
  <c r="U19" i="6"/>
  <c r="V18" i="6"/>
  <c r="U18" i="6"/>
  <c r="V17" i="6"/>
  <c r="U17" i="6"/>
  <c r="V16" i="6"/>
  <c r="U16" i="6"/>
  <c r="V15" i="6"/>
  <c r="U15" i="6"/>
  <c r="V14" i="6"/>
  <c r="U14" i="6"/>
  <c r="V13" i="6"/>
  <c r="U13" i="6"/>
  <c r="V12" i="6"/>
  <c r="U12" i="6"/>
  <c r="V11" i="6"/>
  <c r="U11" i="6"/>
  <c r="V10" i="6"/>
  <c r="U10" i="6"/>
  <c r="I781" i="6"/>
  <c r="I779" i="6"/>
  <c r="I778" i="6"/>
  <c r="I776" i="6"/>
  <c r="I774" i="6"/>
  <c r="I772" i="6"/>
  <c r="I771" i="6"/>
  <c r="I770" i="6"/>
  <c r="I768" i="6"/>
  <c r="I767" i="6"/>
  <c r="I766" i="6"/>
  <c r="I765" i="6"/>
  <c r="I763" i="6"/>
  <c r="I762" i="6"/>
  <c r="I761" i="6"/>
  <c r="I759" i="6"/>
  <c r="I758" i="6"/>
  <c r="I757" i="6"/>
  <c r="I756" i="6"/>
  <c r="I755" i="6"/>
  <c r="I754" i="6"/>
  <c r="I752" i="6"/>
  <c r="I751" i="6"/>
  <c r="I750" i="6"/>
  <c r="I748" i="6"/>
  <c r="I747" i="6"/>
  <c r="I745" i="6"/>
  <c r="I744" i="6"/>
  <c r="I742" i="6"/>
  <c r="I741" i="6"/>
  <c r="I740" i="6"/>
  <c r="I738" i="6"/>
  <c r="I737" i="6"/>
  <c r="I736" i="6"/>
  <c r="I735" i="6"/>
  <c r="I734" i="6"/>
  <c r="I733" i="6"/>
  <c r="I731" i="6"/>
  <c r="I730" i="6"/>
  <c r="I729" i="6"/>
  <c r="I727" i="6"/>
  <c r="I726" i="6"/>
  <c r="I725" i="6"/>
  <c r="I723" i="6"/>
  <c r="I722" i="6"/>
  <c r="I721" i="6"/>
  <c r="I720" i="6"/>
  <c r="I718" i="6"/>
  <c r="I717" i="6"/>
  <c r="I716" i="6"/>
  <c r="I715" i="6"/>
  <c r="I714" i="6"/>
  <c r="I712" i="6"/>
  <c r="I711" i="6"/>
  <c r="I710" i="6"/>
  <c r="I709" i="6"/>
  <c r="I708" i="6"/>
  <c r="I706" i="6"/>
  <c r="I705" i="6"/>
  <c r="I704" i="6"/>
  <c r="I703" i="6"/>
  <c r="I701" i="6"/>
  <c r="I700" i="6"/>
  <c r="I699" i="6"/>
  <c r="I698" i="6"/>
  <c r="I696" i="6"/>
  <c r="I695" i="6"/>
  <c r="I694" i="6"/>
  <c r="I693" i="6"/>
  <c r="I691" i="6"/>
  <c r="I690" i="6"/>
  <c r="I689" i="6"/>
  <c r="I688" i="6"/>
  <c r="I687" i="6"/>
  <c r="I685" i="6"/>
  <c r="I684" i="6"/>
  <c r="I683" i="6"/>
  <c r="I682" i="6"/>
  <c r="I680" i="6"/>
  <c r="I678" i="6"/>
  <c r="I677" i="6"/>
  <c r="I676" i="6"/>
  <c r="I675" i="6"/>
  <c r="I673" i="6"/>
  <c r="I672" i="6"/>
  <c r="I671" i="6"/>
  <c r="I669" i="6"/>
  <c r="I668" i="6"/>
  <c r="I667" i="6"/>
  <c r="I666" i="6"/>
  <c r="I664" i="6"/>
  <c r="I663" i="6"/>
  <c r="I662" i="6"/>
  <c r="I661" i="6"/>
  <c r="I659" i="6"/>
  <c r="I658" i="6"/>
  <c r="I657" i="6"/>
  <c r="I656" i="6"/>
  <c r="I654" i="6"/>
  <c r="I653" i="6"/>
  <c r="I652" i="6"/>
  <c r="I651" i="6"/>
  <c r="I649" i="6"/>
  <c r="I648" i="6"/>
  <c r="I647" i="6"/>
  <c r="I646" i="6"/>
  <c r="I644" i="6"/>
  <c r="I643" i="6"/>
  <c r="I642" i="6"/>
  <c r="I641" i="6"/>
  <c r="I640" i="6"/>
  <c r="I638" i="6"/>
  <c r="I637" i="6"/>
  <c r="I636" i="6"/>
  <c r="I635" i="6"/>
  <c r="I634" i="6"/>
  <c r="I633" i="6"/>
  <c r="I631" i="6"/>
  <c r="I630" i="6"/>
  <c r="I629" i="6"/>
  <c r="I628" i="6"/>
  <c r="I627" i="6"/>
  <c r="I626" i="6"/>
  <c r="I624" i="6"/>
  <c r="I623" i="6"/>
  <c r="I622" i="6"/>
  <c r="I621" i="6"/>
  <c r="I620" i="6"/>
  <c r="I619" i="6"/>
  <c r="I618" i="6"/>
  <c r="I617" i="6"/>
  <c r="I615" i="6"/>
  <c r="I614" i="6"/>
  <c r="I613" i="6"/>
  <c r="I611" i="6"/>
  <c r="I610" i="6"/>
  <c r="I609" i="6"/>
  <c r="I608" i="6"/>
  <c r="I607" i="6"/>
  <c r="I606" i="6"/>
  <c r="I604" i="6"/>
  <c r="I603" i="6"/>
  <c r="I602" i="6"/>
  <c r="I601" i="6"/>
  <c r="I600" i="6"/>
  <c r="I599" i="6"/>
  <c r="I598" i="6"/>
  <c r="I596" i="6"/>
  <c r="I595" i="6"/>
  <c r="I594" i="6"/>
  <c r="I593" i="6"/>
  <c r="I592" i="6"/>
  <c r="I591" i="6"/>
  <c r="I590" i="6"/>
  <c r="I589" i="6"/>
  <c r="I587" i="6"/>
  <c r="I586" i="6"/>
  <c r="I585" i="6"/>
  <c r="I584" i="6"/>
  <c r="I583" i="6"/>
  <c r="I582" i="6"/>
  <c r="I580" i="6"/>
  <c r="I579" i="6"/>
  <c r="I578" i="6"/>
  <c r="I577" i="6"/>
  <c r="I576" i="6"/>
  <c r="I575" i="6"/>
  <c r="I573" i="6"/>
  <c r="I572" i="6"/>
  <c r="I571" i="6"/>
  <c r="I570" i="6"/>
  <c r="I569" i="6"/>
  <c r="I568" i="6"/>
  <c r="I567" i="6"/>
  <c r="I565" i="6"/>
  <c r="I564" i="6"/>
  <c r="I563" i="6"/>
  <c r="I562" i="6"/>
  <c r="I561" i="6"/>
  <c r="I560" i="6"/>
  <c r="I559" i="6"/>
  <c r="I558" i="6"/>
  <c r="I556" i="6"/>
  <c r="I555" i="6"/>
  <c r="I554" i="6"/>
  <c r="I553" i="6"/>
  <c r="I552" i="6"/>
  <c r="I550" i="6"/>
  <c r="I549" i="6"/>
  <c r="I548" i="6"/>
  <c r="I547" i="6"/>
  <c r="I546" i="6"/>
  <c r="I544" i="6"/>
  <c r="I543" i="6"/>
  <c r="I542" i="6"/>
  <c r="I541" i="6"/>
  <c r="I539" i="6"/>
  <c r="I538" i="6"/>
  <c r="I537" i="6"/>
  <c r="I536" i="6"/>
  <c r="I535" i="6"/>
  <c r="I534" i="6"/>
  <c r="I532" i="6"/>
  <c r="I531" i="6"/>
  <c r="I530" i="6"/>
  <c r="I529" i="6"/>
  <c r="I528" i="6"/>
  <c r="I527" i="6"/>
  <c r="I525" i="6"/>
  <c r="I524" i="6"/>
  <c r="I523" i="6"/>
  <c r="I522" i="6"/>
  <c r="I520" i="6"/>
  <c r="I519" i="6"/>
  <c r="I518" i="6"/>
  <c r="I516" i="6"/>
  <c r="I515" i="6"/>
  <c r="I514" i="6"/>
  <c r="I513" i="6"/>
  <c r="I511" i="6"/>
  <c r="I510" i="6"/>
  <c r="I509" i="6"/>
  <c r="I508" i="6"/>
  <c r="I507" i="6"/>
  <c r="I506" i="6"/>
  <c r="I504" i="6"/>
  <c r="I503" i="6"/>
  <c r="I502" i="6"/>
  <c r="I501" i="6"/>
  <c r="I500" i="6"/>
  <c r="I499" i="6"/>
  <c r="I497" i="6"/>
  <c r="I496" i="6"/>
  <c r="I495" i="6"/>
  <c r="I494" i="6"/>
  <c r="I493" i="6"/>
  <c r="I492" i="6"/>
  <c r="I490" i="6"/>
  <c r="I489" i="6"/>
  <c r="I488" i="6"/>
  <c r="I487" i="6"/>
  <c r="I486" i="6"/>
  <c r="I485" i="6"/>
  <c r="I484" i="6"/>
  <c r="I483" i="6"/>
  <c r="I482" i="6"/>
  <c r="I480" i="6"/>
  <c r="I479" i="6"/>
  <c r="I478" i="6"/>
  <c r="I477" i="6"/>
  <c r="I475" i="6"/>
  <c r="I474" i="6"/>
  <c r="I473" i="6"/>
  <c r="I472" i="6"/>
  <c r="I471" i="6"/>
  <c r="I470" i="6"/>
  <c r="I469" i="6"/>
  <c r="I467" i="6"/>
  <c r="I466" i="6"/>
  <c r="I465" i="6"/>
  <c r="I463" i="6"/>
  <c r="I462" i="6"/>
  <c r="I461" i="6"/>
  <c r="I460" i="6"/>
  <c r="I459" i="6"/>
  <c r="I458" i="6"/>
  <c r="I457" i="6"/>
  <c r="I455" i="6"/>
  <c r="I454" i="6"/>
  <c r="I453" i="6"/>
  <c r="I452" i="6"/>
  <c r="I451" i="6"/>
  <c r="I450" i="6"/>
  <c r="I449" i="6"/>
  <c r="I448" i="6"/>
  <c r="I446" i="6"/>
  <c r="I445" i="6"/>
  <c r="I444" i="6"/>
  <c r="I443" i="6"/>
  <c r="I442" i="6"/>
  <c r="I441" i="6"/>
  <c r="I440" i="6"/>
  <c r="I439" i="6"/>
  <c r="I438" i="6"/>
  <c r="I436" i="6"/>
  <c r="I435" i="6"/>
  <c r="I434" i="6"/>
  <c r="I433" i="6"/>
  <c r="I432" i="6"/>
  <c r="I430" i="6"/>
  <c r="I429" i="6"/>
  <c r="I428" i="6"/>
  <c r="I427" i="6"/>
  <c r="I426" i="6"/>
  <c r="I425" i="6"/>
  <c r="I424" i="6"/>
  <c r="I422" i="6"/>
  <c r="I421" i="6"/>
  <c r="I420" i="6"/>
  <c r="I419" i="6"/>
  <c r="I418" i="6"/>
  <c r="I417" i="6"/>
  <c r="I416" i="6"/>
  <c r="I415" i="6"/>
  <c r="I414" i="6"/>
  <c r="I413" i="6"/>
  <c r="I411" i="6"/>
  <c r="I410" i="6"/>
  <c r="I409" i="6"/>
  <c r="I408" i="6"/>
  <c r="I407" i="6"/>
  <c r="I406" i="6"/>
  <c r="I405" i="6"/>
  <c r="I404" i="6"/>
  <c r="I403" i="6"/>
  <c r="I402" i="6"/>
  <c r="I401" i="6"/>
  <c r="I400" i="6"/>
  <c r="I398" i="6"/>
  <c r="I397" i="6"/>
  <c r="I396" i="6"/>
  <c r="I395" i="6"/>
  <c r="I394" i="6"/>
  <c r="I393" i="6"/>
  <c r="I391" i="6"/>
  <c r="I390" i="6"/>
  <c r="I389" i="6"/>
  <c r="I388" i="6"/>
  <c r="I387" i="6"/>
  <c r="I385" i="6"/>
  <c r="I384" i="6"/>
  <c r="I383" i="6"/>
  <c r="I382" i="6"/>
  <c r="I381" i="6"/>
  <c r="I380" i="6"/>
  <c r="I379" i="6"/>
  <c r="I378" i="6"/>
  <c r="I376" i="6"/>
  <c r="I375" i="6"/>
  <c r="I374" i="6"/>
  <c r="I372" i="6"/>
  <c r="I371" i="6"/>
  <c r="I370" i="6"/>
  <c r="I369" i="6"/>
  <c r="I368" i="6"/>
  <c r="I367" i="6"/>
  <c r="I366" i="6"/>
  <c r="I365" i="6"/>
  <c r="I363" i="6"/>
  <c r="I362" i="6"/>
  <c r="I361" i="6"/>
  <c r="I360" i="6"/>
  <c r="I359" i="6"/>
  <c r="I358" i="6"/>
  <c r="I356" i="6"/>
  <c r="I355" i="6"/>
  <c r="I354" i="6"/>
  <c r="I353" i="6"/>
  <c r="I351" i="6"/>
  <c r="I350" i="6"/>
  <c r="I349" i="6"/>
  <c r="I348" i="6"/>
  <c r="I347" i="6"/>
  <c r="I345" i="6"/>
  <c r="I344" i="6"/>
  <c r="I343" i="6"/>
  <c r="I342" i="6"/>
  <c r="I341" i="6"/>
  <c r="I339" i="6"/>
  <c r="I338" i="6"/>
  <c r="I337" i="6"/>
  <c r="I336" i="6"/>
  <c r="I334" i="6"/>
  <c r="I333" i="6"/>
  <c r="I332" i="6"/>
  <c r="I331" i="6"/>
  <c r="I329" i="6"/>
  <c r="I328" i="6"/>
  <c r="I327" i="6"/>
  <c r="I326" i="6"/>
  <c r="I324" i="6"/>
  <c r="I323" i="6"/>
  <c r="I322" i="6"/>
  <c r="I321" i="6"/>
  <c r="I320" i="6"/>
  <c r="I318" i="6"/>
  <c r="I317" i="6"/>
  <c r="I316" i="6"/>
  <c r="I315" i="6"/>
  <c r="I313" i="6"/>
  <c r="I312" i="6"/>
  <c r="I311" i="6"/>
  <c r="I310" i="6"/>
  <c r="I309" i="6"/>
  <c r="I307" i="6"/>
  <c r="I306" i="6"/>
  <c r="I305" i="6"/>
  <c r="I304" i="6"/>
  <c r="I303" i="6"/>
  <c r="I301" i="6"/>
  <c r="I300" i="6"/>
  <c r="I299" i="6"/>
  <c r="I298" i="6"/>
  <c r="I297" i="6"/>
  <c r="I295" i="6"/>
  <c r="I294" i="6"/>
  <c r="I293" i="6"/>
  <c r="I292" i="6"/>
  <c r="I290" i="6"/>
  <c r="I289" i="6"/>
  <c r="I288" i="6"/>
  <c r="I287" i="6"/>
  <c r="I286" i="6"/>
  <c r="I285" i="6"/>
  <c r="I284" i="6"/>
  <c r="I282" i="6"/>
  <c r="I281" i="6"/>
  <c r="I280" i="6"/>
  <c r="I279" i="6"/>
  <c r="I278" i="6"/>
  <c r="I276" i="6"/>
  <c r="I275" i="6"/>
  <c r="I274" i="6"/>
  <c r="I273" i="6"/>
  <c r="I271" i="6"/>
  <c r="I270" i="6"/>
  <c r="I269" i="6"/>
  <c r="I268" i="6"/>
  <c r="I267" i="6"/>
  <c r="I266" i="6"/>
  <c r="I265" i="6"/>
  <c r="I264" i="6"/>
  <c r="I263" i="6"/>
  <c r="I262" i="6"/>
  <c r="I260" i="6"/>
  <c r="I259" i="6"/>
  <c r="I258" i="6"/>
  <c r="I257" i="6"/>
  <c r="I256" i="6"/>
  <c r="I255" i="6"/>
  <c r="I253" i="6"/>
  <c r="I252" i="6"/>
  <c r="I251" i="6"/>
  <c r="I250" i="6"/>
  <c r="I249" i="6"/>
  <c r="I247" i="6"/>
  <c r="I246" i="6"/>
  <c r="I245" i="6"/>
  <c r="I244" i="6"/>
  <c r="I243" i="6"/>
  <c r="I242" i="6"/>
  <c r="I241" i="6"/>
  <c r="I239" i="6"/>
  <c r="I238" i="6"/>
  <c r="I237" i="6"/>
  <c r="I236" i="6"/>
  <c r="I235" i="6"/>
  <c r="I234" i="6"/>
  <c r="I233" i="6"/>
  <c r="I232" i="6"/>
  <c r="I231" i="6"/>
  <c r="I230" i="6"/>
  <c r="I228" i="6"/>
  <c r="I227" i="6"/>
  <c r="I226" i="6"/>
  <c r="I225" i="6"/>
  <c r="I224" i="6"/>
  <c r="I223" i="6"/>
  <c r="I222" i="6"/>
  <c r="I220" i="6"/>
  <c r="I219" i="6"/>
  <c r="I218" i="6"/>
  <c r="I217" i="6"/>
  <c r="I216" i="6"/>
  <c r="I215" i="6"/>
  <c r="I213" i="6"/>
  <c r="I212" i="6"/>
  <c r="I211" i="6"/>
  <c r="I210" i="6"/>
  <c r="I209" i="6"/>
  <c r="I208" i="6"/>
  <c r="I206" i="6"/>
  <c r="I205" i="6"/>
  <c r="I204" i="6"/>
  <c r="I203" i="6"/>
  <c r="I202" i="6"/>
  <c r="I201" i="6"/>
  <c r="I199" i="6"/>
  <c r="I198" i="6"/>
  <c r="I197" i="6"/>
  <c r="I196" i="6"/>
  <c r="I195" i="6"/>
  <c r="I194" i="6"/>
  <c r="I193" i="6"/>
  <c r="I192" i="6"/>
  <c r="I190" i="6"/>
  <c r="I189" i="6"/>
  <c r="I188" i="6"/>
  <c r="I187" i="6"/>
  <c r="I186" i="6"/>
  <c r="I185" i="6"/>
  <c r="I184" i="6"/>
  <c r="I183" i="6"/>
  <c r="I181" i="6"/>
  <c r="I180" i="6"/>
  <c r="I179" i="6"/>
  <c r="I178" i="6"/>
  <c r="I177" i="6"/>
  <c r="I176" i="6"/>
  <c r="I175" i="6"/>
  <c r="I174" i="6"/>
  <c r="I172" i="6"/>
  <c r="I171" i="6"/>
  <c r="I170" i="6"/>
  <c r="I169" i="6"/>
  <c r="I168" i="6"/>
  <c r="I167" i="6"/>
  <c r="I165" i="6"/>
  <c r="I164" i="6"/>
  <c r="I163" i="6"/>
  <c r="I162" i="6"/>
  <c r="I161" i="6"/>
  <c r="I159" i="6"/>
  <c r="I158" i="6"/>
  <c r="I157" i="6"/>
  <c r="I156" i="6"/>
  <c r="I155" i="6"/>
  <c r="I153" i="6"/>
  <c r="I152" i="6"/>
  <c r="I151" i="6"/>
  <c r="I150" i="6"/>
  <c r="I149" i="6"/>
  <c r="I148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3" i="6"/>
  <c r="I132" i="6"/>
  <c r="I131" i="6"/>
  <c r="I130" i="6"/>
  <c r="I128" i="6"/>
  <c r="I127" i="6"/>
  <c r="I126" i="6"/>
  <c r="I125" i="6"/>
  <c r="I124" i="6"/>
  <c r="I123" i="6"/>
  <c r="I122" i="6"/>
  <c r="I121" i="6"/>
  <c r="I119" i="6"/>
  <c r="I118" i="6"/>
  <c r="I117" i="6"/>
  <c r="I116" i="6"/>
  <c r="I114" i="6"/>
  <c r="I113" i="6"/>
  <c r="I112" i="6"/>
  <c r="I111" i="6"/>
  <c r="I110" i="6"/>
  <c r="I109" i="6"/>
  <c r="I107" i="6"/>
  <c r="I106" i="6"/>
  <c r="I105" i="6"/>
  <c r="I104" i="6"/>
  <c r="I103" i="6"/>
  <c r="I102" i="6"/>
  <c r="I101" i="6"/>
  <c r="I99" i="6"/>
  <c r="I98" i="6"/>
  <c r="I97" i="6"/>
  <c r="I96" i="6"/>
  <c r="I95" i="6"/>
  <c r="I93" i="6"/>
  <c r="I92" i="6"/>
  <c r="I91" i="6"/>
  <c r="I90" i="6"/>
  <c r="I89" i="6"/>
  <c r="I88" i="6"/>
  <c r="I87" i="6"/>
  <c r="I85" i="6"/>
  <c r="I84" i="6"/>
  <c r="I83" i="6"/>
  <c r="I82" i="6"/>
  <c r="I80" i="6"/>
  <c r="I79" i="6"/>
  <c r="I78" i="6"/>
  <c r="I77" i="6"/>
  <c r="I76" i="6"/>
  <c r="I75" i="6"/>
  <c r="I74" i="6"/>
  <c r="I73" i="6"/>
  <c r="I72" i="6"/>
  <c r="I71" i="6"/>
  <c r="I69" i="6"/>
  <c r="I68" i="6"/>
  <c r="I67" i="6"/>
  <c r="I66" i="6"/>
  <c r="I65" i="6"/>
  <c r="I64" i="6"/>
  <c r="I62" i="6"/>
  <c r="I61" i="6"/>
  <c r="I59" i="6"/>
  <c r="I58" i="6"/>
  <c r="I57" i="6"/>
  <c r="I56" i="6"/>
  <c r="I55" i="6"/>
  <c r="I53" i="6"/>
  <c r="I52" i="6"/>
  <c r="I51" i="6"/>
  <c r="I50" i="6"/>
  <c r="I49" i="6"/>
  <c r="I47" i="6"/>
  <c r="I46" i="6"/>
  <c r="I45" i="6"/>
  <c r="I43" i="6"/>
  <c r="I42" i="6"/>
  <c r="I41" i="6"/>
  <c r="I40" i="6"/>
  <c r="I39" i="6"/>
  <c r="I38" i="6"/>
  <c r="I37" i="6"/>
  <c r="I36" i="6"/>
  <c r="I35" i="6"/>
  <c r="I22" i="6"/>
  <c r="O780" i="6"/>
  <c r="O777" i="6"/>
  <c r="O775" i="6"/>
  <c r="O773" i="6"/>
  <c r="O769" i="6"/>
  <c r="O764" i="6"/>
  <c r="O760" i="6"/>
  <c r="O753" i="6"/>
  <c r="O749" i="6"/>
  <c r="O746" i="6"/>
  <c r="O743" i="6"/>
  <c r="O739" i="6"/>
  <c r="O732" i="6"/>
  <c r="O728" i="6"/>
  <c r="O724" i="6"/>
  <c r="O719" i="6"/>
  <c r="O713" i="6"/>
  <c r="O707" i="6"/>
  <c r="O702" i="6"/>
  <c r="O697" i="6"/>
  <c r="O692" i="6"/>
  <c r="O686" i="6"/>
  <c r="O681" i="6"/>
  <c r="O679" i="6"/>
  <c r="O674" i="6"/>
  <c r="O670" i="6"/>
  <c r="O665" i="6"/>
  <c r="O660" i="6"/>
  <c r="O655" i="6"/>
  <c r="O650" i="6"/>
  <c r="O645" i="6"/>
  <c r="O639" i="6"/>
  <c r="O632" i="6"/>
  <c r="O625" i="6"/>
  <c r="O616" i="6"/>
  <c r="O612" i="6"/>
  <c r="O605" i="6"/>
  <c r="O597" i="6"/>
  <c r="O588" i="6"/>
  <c r="O581" i="6"/>
  <c r="O574" i="6"/>
  <c r="O566" i="6"/>
  <c r="O557" i="6"/>
  <c r="O551" i="6"/>
  <c r="O545" i="6"/>
  <c r="O540" i="6"/>
  <c r="O533" i="6"/>
  <c r="O526" i="6"/>
  <c r="O521" i="6"/>
  <c r="O517" i="6"/>
  <c r="O512" i="6"/>
  <c r="O505" i="6"/>
  <c r="O498" i="6"/>
  <c r="O491" i="6"/>
  <c r="O481" i="6"/>
  <c r="O476" i="6"/>
  <c r="O468" i="6"/>
  <c r="O464" i="6"/>
  <c r="O456" i="6"/>
  <c r="O447" i="6"/>
  <c r="O437" i="6"/>
  <c r="O431" i="6"/>
  <c r="O423" i="6"/>
  <c r="O412" i="6"/>
  <c r="O399" i="6"/>
  <c r="O392" i="6"/>
  <c r="O386" i="6"/>
  <c r="O377" i="6"/>
  <c r="O373" i="6"/>
  <c r="O364" i="6"/>
  <c r="O357" i="6"/>
  <c r="O352" i="6"/>
  <c r="O346" i="6"/>
  <c r="O340" i="6"/>
  <c r="O335" i="6"/>
  <c r="O330" i="6"/>
  <c r="O325" i="6"/>
  <c r="O319" i="6"/>
  <c r="O314" i="6"/>
  <c r="O308" i="6"/>
  <c r="O302" i="6"/>
  <c r="O296" i="6"/>
  <c r="O291" i="6"/>
  <c r="O283" i="6"/>
  <c r="O277" i="6"/>
  <c r="O272" i="6"/>
  <c r="O261" i="6"/>
  <c r="O254" i="6"/>
  <c r="O248" i="6"/>
  <c r="O240" i="6"/>
  <c r="O229" i="6"/>
  <c r="O221" i="6"/>
  <c r="O214" i="6"/>
  <c r="O207" i="6"/>
  <c r="O200" i="6"/>
  <c r="O191" i="6"/>
  <c r="O182" i="6"/>
  <c r="O173" i="6"/>
  <c r="O166" i="6"/>
  <c r="O160" i="6"/>
  <c r="O154" i="6"/>
  <c r="O147" i="6"/>
  <c r="O134" i="6"/>
  <c r="O129" i="6"/>
  <c r="O120" i="6"/>
  <c r="O115" i="6"/>
  <c r="O108" i="6"/>
  <c r="O100" i="6"/>
  <c r="O94" i="6"/>
  <c r="O86" i="6"/>
  <c r="O81" i="6"/>
  <c r="O70" i="6"/>
  <c r="O63" i="6"/>
  <c r="O60" i="6"/>
  <c r="O54" i="6"/>
  <c r="O48" i="6"/>
  <c r="O44" i="6"/>
  <c r="O31" i="6"/>
  <c r="O28" i="6"/>
  <c r="O20" i="6"/>
  <c r="O9" i="6"/>
  <c r="H506" i="6"/>
  <c r="K506" i="6" s="1"/>
  <c r="H718" i="6"/>
  <c r="H781" i="6"/>
  <c r="K781" i="6" s="1"/>
  <c r="H779" i="6"/>
  <c r="K779" i="6" s="1"/>
  <c r="H778" i="6"/>
  <c r="K778" i="6" s="1"/>
  <c r="H776" i="6"/>
  <c r="H774" i="6"/>
  <c r="K774" i="6" s="1"/>
  <c r="H772" i="6"/>
  <c r="K772" i="6" s="1"/>
  <c r="H771" i="6"/>
  <c r="K771" i="6" s="1"/>
  <c r="H770" i="6"/>
  <c r="K770" i="6" s="1"/>
  <c r="H768" i="6"/>
  <c r="K768" i="6" s="1"/>
  <c r="H767" i="6"/>
  <c r="H766" i="6"/>
  <c r="K766" i="6" s="1"/>
  <c r="H765" i="6"/>
  <c r="K765" i="6" s="1"/>
  <c r="H763" i="6"/>
  <c r="K763" i="6" s="1"/>
  <c r="H762" i="6"/>
  <c r="K762" i="6" s="1"/>
  <c r="H761" i="6"/>
  <c r="K761" i="6" s="1"/>
  <c r="H759" i="6"/>
  <c r="K759" i="6" s="1"/>
  <c r="H758" i="6"/>
  <c r="K758" i="6" s="1"/>
  <c r="H757" i="6"/>
  <c r="H756" i="6"/>
  <c r="K756" i="6" s="1"/>
  <c r="H755" i="6"/>
  <c r="K755" i="6" s="1"/>
  <c r="H754" i="6"/>
  <c r="K754" i="6" s="1"/>
  <c r="H752" i="6"/>
  <c r="K752" i="6" s="1"/>
  <c r="H751" i="6"/>
  <c r="K751" i="6" s="1"/>
  <c r="H750" i="6"/>
  <c r="H748" i="6"/>
  <c r="K748" i="6" s="1"/>
  <c r="H747" i="6"/>
  <c r="K747" i="6" s="1"/>
  <c r="H745" i="6"/>
  <c r="K745" i="6" s="1"/>
  <c r="H744" i="6"/>
  <c r="K744" i="6" s="1"/>
  <c r="H742" i="6"/>
  <c r="K742" i="6" s="1"/>
  <c r="H741" i="6"/>
  <c r="K741" i="6" s="1"/>
  <c r="H740" i="6"/>
  <c r="K740" i="6" s="1"/>
  <c r="H738" i="6"/>
  <c r="H737" i="6"/>
  <c r="K737" i="6" s="1"/>
  <c r="H736" i="6"/>
  <c r="K736" i="6" s="1"/>
  <c r="H735" i="6"/>
  <c r="K735" i="6" s="1"/>
  <c r="H734" i="6"/>
  <c r="H733" i="6"/>
  <c r="K733" i="6" s="1"/>
  <c r="H731" i="6"/>
  <c r="K731" i="6" s="1"/>
  <c r="H730" i="6"/>
  <c r="H729" i="6"/>
  <c r="K729" i="6" s="1"/>
  <c r="H727" i="6"/>
  <c r="K727" i="6" s="1"/>
  <c r="H726" i="6"/>
  <c r="K726" i="6" s="1"/>
  <c r="H725" i="6"/>
  <c r="K725" i="6" s="1"/>
  <c r="H723" i="6"/>
  <c r="K723" i="6" s="1"/>
  <c r="H722" i="6"/>
  <c r="K722" i="6" s="1"/>
  <c r="H721" i="6"/>
  <c r="K721" i="6" s="1"/>
  <c r="H720" i="6"/>
  <c r="K720" i="6" s="1"/>
  <c r="H717" i="6"/>
  <c r="K717" i="6" s="1"/>
  <c r="H716" i="6"/>
  <c r="K716" i="6" s="1"/>
  <c r="H715" i="6"/>
  <c r="K715" i="6" s="1"/>
  <c r="H714" i="6"/>
  <c r="K714" i="6" s="1"/>
  <c r="H712" i="6"/>
  <c r="K712" i="6" s="1"/>
  <c r="H711" i="6"/>
  <c r="K711" i="6" s="1"/>
  <c r="H710" i="6"/>
  <c r="K710" i="6" s="1"/>
  <c r="H709" i="6"/>
  <c r="H708" i="6"/>
  <c r="K708" i="6" s="1"/>
  <c r="H706" i="6"/>
  <c r="K706" i="6" s="1"/>
  <c r="H705" i="6"/>
  <c r="K705" i="6" s="1"/>
  <c r="H704" i="6"/>
  <c r="K704" i="6" s="1"/>
  <c r="H703" i="6"/>
  <c r="K703" i="6" s="1"/>
  <c r="H701" i="6"/>
  <c r="K701" i="6" s="1"/>
  <c r="H700" i="6"/>
  <c r="K700" i="6" s="1"/>
  <c r="H699" i="6"/>
  <c r="K699" i="6" s="1"/>
  <c r="H698" i="6"/>
  <c r="K698" i="6" s="1"/>
  <c r="H696" i="6"/>
  <c r="K696" i="6" s="1"/>
  <c r="H695" i="6"/>
  <c r="K695" i="6" s="1"/>
  <c r="H694" i="6"/>
  <c r="K694" i="6" s="1"/>
  <c r="H693" i="6"/>
  <c r="K693" i="6" s="1"/>
  <c r="H691" i="6"/>
  <c r="K691" i="6" s="1"/>
  <c r="H690" i="6"/>
  <c r="K690" i="6" s="1"/>
  <c r="H689" i="6"/>
  <c r="H688" i="6"/>
  <c r="K688" i="6" s="1"/>
  <c r="H687" i="6"/>
  <c r="K687" i="6" s="1"/>
  <c r="H685" i="6"/>
  <c r="K685" i="6" s="1"/>
  <c r="H684" i="6"/>
  <c r="K684" i="6" s="1"/>
  <c r="H683" i="6"/>
  <c r="K683" i="6" s="1"/>
  <c r="H682" i="6"/>
  <c r="K682" i="6" s="1"/>
  <c r="H680" i="6"/>
  <c r="K680" i="6" s="1"/>
  <c r="H678" i="6"/>
  <c r="K678" i="6" s="1"/>
  <c r="H677" i="6"/>
  <c r="K677" i="6" s="1"/>
  <c r="H676" i="6"/>
  <c r="K676" i="6" s="1"/>
  <c r="H675" i="6"/>
  <c r="K675" i="6" s="1"/>
  <c r="H673" i="6"/>
  <c r="K673" i="6" s="1"/>
  <c r="H672" i="6"/>
  <c r="K672" i="6" s="1"/>
  <c r="H671" i="6"/>
  <c r="K671" i="6" s="1"/>
  <c r="H669" i="6"/>
  <c r="K669" i="6" s="1"/>
  <c r="H668" i="6"/>
  <c r="K668" i="6" s="1"/>
  <c r="H667" i="6"/>
  <c r="K667" i="6" s="1"/>
  <c r="H666" i="6"/>
  <c r="K666" i="6" s="1"/>
  <c r="H664" i="6"/>
  <c r="K664" i="6" s="1"/>
  <c r="H663" i="6"/>
  <c r="K663" i="6" s="1"/>
  <c r="H662" i="6"/>
  <c r="K662" i="6" s="1"/>
  <c r="H661" i="6"/>
  <c r="H659" i="6"/>
  <c r="K659" i="6" s="1"/>
  <c r="H658" i="6"/>
  <c r="K658" i="6" s="1"/>
  <c r="H657" i="6"/>
  <c r="K657" i="6" s="1"/>
  <c r="H656" i="6"/>
  <c r="K656" i="6" s="1"/>
  <c r="H654" i="6"/>
  <c r="K654" i="6" s="1"/>
  <c r="H653" i="6"/>
  <c r="K653" i="6" s="1"/>
  <c r="H652" i="6"/>
  <c r="K652" i="6" s="1"/>
  <c r="H651" i="6"/>
  <c r="H649" i="6"/>
  <c r="K649" i="6" s="1"/>
  <c r="H648" i="6"/>
  <c r="K648" i="6" s="1"/>
  <c r="H647" i="6"/>
  <c r="K647" i="6" s="1"/>
  <c r="H646" i="6"/>
  <c r="H644" i="6"/>
  <c r="K644" i="6" s="1"/>
  <c r="H643" i="6"/>
  <c r="K643" i="6" s="1"/>
  <c r="H642" i="6"/>
  <c r="K642" i="6" s="1"/>
  <c r="H641" i="6"/>
  <c r="K641" i="6" s="1"/>
  <c r="H640" i="6"/>
  <c r="K640" i="6" s="1"/>
  <c r="H638" i="6"/>
  <c r="K638" i="6" s="1"/>
  <c r="H637" i="6"/>
  <c r="K637" i="6" s="1"/>
  <c r="H636" i="6"/>
  <c r="K636" i="6" s="1"/>
  <c r="H635" i="6"/>
  <c r="H634" i="6"/>
  <c r="K634" i="6" s="1"/>
  <c r="H633" i="6"/>
  <c r="K633" i="6" s="1"/>
  <c r="H631" i="6"/>
  <c r="K631" i="6" s="1"/>
  <c r="H630" i="6"/>
  <c r="K630" i="6" s="1"/>
  <c r="H629" i="6"/>
  <c r="K629" i="6" s="1"/>
  <c r="H628" i="6"/>
  <c r="K628" i="6" s="1"/>
  <c r="H627" i="6"/>
  <c r="K627" i="6" s="1"/>
  <c r="H626" i="6"/>
  <c r="K626" i="6" s="1"/>
  <c r="H624" i="6"/>
  <c r="K624" i="6" s="1"/>
  <c r="H623" i="6"/>
  <c r="K623" i="6" s="1"/>
  <c r="H622" i="6"/>
  <c r="K622" i="6" s="1"/>
  <c r="H621" i="6"/>
  <c r="K621" i="6" s="1"/>
  <c r="H620" i="6"/>
  <c r="K620" i="6" s="1"/>
  <c r="H619" i="6"/>
  <c r="K619" i="6" s="1"/>
  <c r="H618" i="6"/>
  <c r="K618" i="6" s="1"/>
  <c r="H617" i="6"/>
  <c r="K617" i="6" s="1"/>
  <c r="H615" i="6"/>
  <c r="K615" i="6" s="1"/>
  <c r="H614" i="6"/>
  <c r="K614" i="6" s="1"/>
  <c r="H613" i="6"/>
  <c r="K613" i="6" s="1"/>
  <c r="H611" i="6"/>
  <c r="H610" i="6"/>
  <c r="K610" i="6" s="1"/>
  <c r="H609" i="6"/>
  <c r="K609" i="6" s="1"/>
  <c r="H608" i="6"/>
  <c r="K608" i="6" s="1"/>
  <c r="H607" i="6"/>
  <c r="K607" i="6" s="1"/>
  <c r="H606" i="6"/>
  <c r="H604" i="6"/>
  <c r="K604" i="6" s="1"/>
  <c r="H603" i="6"/>
  <c r="K603" i="6" s="1"/>
  <c r="H602" i="6"/>
  <c r="K602" i="6" s="1"/>
  <c r="H601" i="6"/>
  <c r="K601" i="6" s="1"/>
  <c r="H600" i="6"/>
  <c r="K600" i="6" s="1"/>
  <c r="H599" i="6"/>
  <c r="K599" i="6" s="1"/>
  <c r="H598" i="6"/>
  <c r="K598" i="6" s="1"/>
  <c r="H596" i="6"/>
  <c r="K596" i="6" s="1"/>
  <c r="H595" i="6"/>
  <c r="K595" i="6" s="1"/>
  <c r="H594" i="6"/>
  <c r="H593" i="6"/>
  <c r="K593" i="6" s="1"/>
  <c r="H592" i="6"/>
  <c r="K592" i="6" s="1"/>
  <c r="H591" i="6"/>
  <c r="K591" i="6" s="1"/>
  <c r="H590" i="6"/>
  <c r="K590" i="6" s="1"/>
  <c r="H589" i="6"/>
  <c r="H587" i="6"/>
  <c r="K587" i="6" s="1"/>
  <c r="H586" i="6"/>
  <c r="K586" i="6" s="1"/>
  <c r="H585" i="6"/>
  <c r="K585" i="6" s="1"/>
  <c r="H584" i="6"/>
  <c r="K584" i="6" s="1"/>
  <c r="H583" i="6"/>
  <c r="H582" i="6"/>
  <c r="K582" i="6" s="1"/>
  <c r="H580" i="6"/>
  <c r="K580" i="6" s="1"/>
  <c r="H579" i="6"/>
  <c r="K579" i="6" s="1"/>
  <c r="H578" i="6"/>
  <c r="K578" i="6" s="1"/>
  <c r="H577" i="6"/>
  <c r="H576" i="6"/>
  <c r="K576" i="6" s="1"/>
  <c r="H575" i="6"/>
  <c r="K575" i="6" s="1"/>
  <c r="H573" i="6"/>
  <c r="H572" i="6"/>
  <c r="K572" i="6" s="1"/>
  <c r="H571" i="6"/>
  <c r="K571" i="6" s="1"/>
  <c r="H570" i="6"/>
  <c r="K570" i="6" s="1"/>
  <c r="H569" i="6"/>
  <c r="K569" i="6" s="1"/>
  <c r="H568" i="6"/>
  <c r="H567" i="6"/>
  <c r="K567" i="6" s="1"/>
  <c r="H565" i="6"/>
  <c r="K565" i="6" s="1"/>
  <c r="H564" i="6"/>
  <c r="K564" i="6" s="1"/>
  <c r="H563" i="6"/>
  <c r="K563" i="6" s="1"/>
  <c r="H562" i="6"/>
  <c r="K562" i="6" s="1"/>
  <c r="H561" i="6"/>
  <c r="K561" i="6" s="1"/>
  <c r="H560" i="6"/>
  <c r="K560" i="6" s="1"/>
  <c r="H559" i="6"/>
  <c r="K559" i="6" s="1"/>
  <c r="H558" i="6"/>
  <c r="K558" i="6" s="1"/>
  <c r="H556" i="6"/>
  <c r="K556" i="6" s="1"/>
  <c r="H555" i="6"/>
  <c r="K555" i="6" s="1"/>
  <c r="H554" i="6"/>
  <c r="K554" i="6" s="1"/>
  <c r="H553" i="6"/>
  <c r="K553" i="6" s="1"/>
  <c r="H552" i="6"/>
  <c r="K552" i="6" s="1"/>
  <c r="H550" i="6"/>
  <c r="K550" i="6" s="1"/>
  <c r="H549" i="6"/>
  <c r="K549" i="6" s="1"/>
  <c r="H548" i="6"/>
  <c r="K548" i="6" s="1"/>
  <c r="H547" i="6"/>
  <c r="K547" i="6" s="1"/>
  <c r="H546" i="6"/>
  <c r="H544" i="6"/>
  <c r="K544" i="6" s="1"/>
  <c r="H543" i="6"/>
  <c r="K543" i="6" s="1"/>
  <c r="H542" i="6"/>
  <c r="K542" i="6" s="1"/>
  <c r="H541" i="6"/>
  <c r="K541" i="6" s="1"/>
  <c r="H539" i="6"/>
  <c r="K539" i="6" s="1"/>
  <c r="H538" i="6"/>
  <c r="K538" i="6" s="1"/>
  <c r="H537" i="6"/>
  <c r="K537" i="6" s="1"/>
  <c r="H536" i="6"/>
  <c r="K536" i="6" s="1"/>
  <c r="H535" i="6"/>
  <c r="K535" i="6" s="1"/>
  <c r="H534" i="6"/>
  <c r="H532" i="6"/>
  <c r="K532" i="6" s="1"/>
  <c r="H531" i="6"/>
  <c r="K531" i="6" s="1"/>
  <c r="H530" i="6"/>
  <c r="K530" i="6" s="1"/>
  <c r="H529" i="6"/>
  <c r="K529" i="6" s="1"/>
  <c r="H528" i="6"/>
  <c r="K528" i="6" s="1"/>
  <c r="H527" i="6"/>
  <c r="K527" i="6" s="1"/>
  <c r="H525" i="6"/>
  <c r="K525" i="6" s="1"/>
  <c r="H524" i="6"/>
  <c r="K524" i="6" s="1"/>
  <c r="H523" i="6"/>
  <c r="K523" i="6" s="1"/>
  <c r="H522" i="6"/>
  <c r="K522" i="6" s="1"/>
  <c r="H520" i="6"/>
  <c r="K520" i="6" s="1"/>
  <c r="H519" i="6"/>
  <c r="K519" i="6" s="1"/>
  <c r="H518" i="6"/>
  <c r="K518" i="6" s="1"/>
  <c r="H516" i="6"/>
  <c r="K516" i="6" s="1"/>
  <c r="H515" i="6"/>
  <c r="K515" i="6" s="1"/>
  <c r="H514" i="6"/>
  <c r="K514" i="6" s="1"/>
  <c r="H513" i="6"/>
  <c r="K513" i="6" s="1"/>
  <c r="H511" i="6"/>
  <c r="K511" i="6" s="1"/>
  <c r="H510" i="6"/>
  <c r="K510" i="6" s="1"/>
  <c r="H509" i="6"/>
  <c r="K509" i="6" s="1"/>
  <c r="H508" i="6"/>
  <c r="K508" i="6" s="1"/>
  <c r="H507" i="6"/>
  <c r="K507" i="6" s="1"/>
  <c r="H504" i="6"/>
  <c r="K504" i="6" s="1"/>
  <c r="H503" i="6"/>
  <c r="K503" i="6" s="1"/>
  <c r="H502" i="6"/>
  <c r="K502" i="6" s="1"/>
  <c r="H501" i="6"/>
  <c r="K501" i="6" s="1"/>
  <c r="H500" i="6"/>
  <c r="K500" i="6" s="1"/>
  <c r="H499" i="6"/>
  <c r="K499" i="6" s="1"/>
  <c r="H497" i="6"/>
  <c r="K497" i="6" s="1"/>
  <c r="H496" i="6"/>
  <c r="K496" i="6" s="1"/>
  <c r="H495" i="6"/>
  <c r="K495" i="6" s="1"/>
  <c r="H494" i="6"/>
  <c r="K494" i="6" s="1"/>
  <c r="H493" i="6"/>
  <c r="K493" i="6" s="1"/>
  <c r="H492" i="6"/>
  <c r="K492" i="6" s="1"/>
  <c r="H490" i="6"/>
  <c r="K490" i="6" s="1"/>
  <c r="H489" i="6"/>
  <c r="K489" i="6" s="1"/>
  <c r="H488" i="6"/>
  <c r="K488" i="6" s="1"/>
  <c r="H487" i="6"/>
  <c r="K487" i="6" s="1"/>
  <c r="H486" i="6"/>
  <c r="K486" i="6" s="1"/>
  <c r="H485" i="6"/>
  <c r="K485" i="6" s="1"/>
  <c r="H484" i="6"/>
  <c r="K484" i="6" s="1"/>
  <c r="H483" i="6"/>
  <c r="K483" i="6" s="1"/>
  <c r="H482" i="6"/>
  <c r="K482" i="6" s="1"/>
  <c r="H480" i="6"/>
  <c r="K480" i="6" s="1"/>
  <c r="H479" i="6"/>
  <c r="K479" i="6" s="1"/>
  <c r="H478" i="6"/>
  <c r="K478" i="6" s="1"/>
  <c r="H477" i="6"/>
  <c r="K477" i="6" s="1"/>
  <c r="H475" i="6"/>
  <c r="K475" i="6" s="1"/>
  <c r="H474" i="6"/>
  <c r="K474" i="6" s="1"/>
  <c r="H473" i="6"/>
  <c r="K473" i="6" s="1"/>
  <c r="H472" i="6"/>
  <c r="K472" i="6" s="1"/>
  <c r="H471" i="6"/>
  <c r="K471" i="6" s="1"/>
  <c r="H470" i="6"/>
  <c r="K470" i="6" s="1"/>
  <c r="H469" i="6"/>
  <c r="K469" i="6" s="1"/>
  <c r="H467" i="6"/>
  <c r="K467" i="6" s="1"/>
  <c r="H466" i="6"/>
  <c r="K466" i="6" s="1"/>
  <c r="H465" i="6"/>
  <c r="K465" i="6" s="1"/>
  <c r="H463" i="6"/>
  <c r="K463" i="6" s="1"/>
  <c r="H462" i="6"/>
  <c r="K462" i="6" s="1"/>
  <c r="H461" i="6"/>
  <c r="K461" i="6" s="1"/>
  <c r="H460" i="6"/>
  <c r="K460" i="6" s="1"/>
  <c r="H459" i="6"/>
  <c r="K459" i="6" s="1"/>
  <c r="H458" i="6"/>
  <c r="K458" i="6" s="1"/>
  <c r="H457" i="6"/>
  <c r="K457" i="6" s="1"/>
  <c r="H455" i="6"/>
  <c r="K455" i="6" s="1"/>
  <c r="H454" i="6"/>
  <c r="K454" i="6" s="1"/>
  <c r="H453" i="6"/>
  <c r="K453" i="6" s="1"/>
  <c r="H452" i="6"/>
  <c r="K452" i="6" s="1"/>
  <c r="H451" i="6"/>
  <c r="K451" i="6" s="1"/>
  <c r="H450" i="6"/>
  <c r="K450" i="6" s="1"/>
  <c r="H449" i="6"/>
  <c r="K449" i="6" s="1"/>
  <c r="H448" i="6"/>
  <c r="K448" i="6" s="1"/>
  <c r="H446" i="6"/>
  <c r="K446" i="6" s="1"/>
  <c r="H445" i="6"/>
  <c r="K445" i="6" s="1"/>
  <c r="H444" i="6"/>
  <c r="K444" i="6" s="1"/>
  <c r="H443" i="6"/>
  <c r="H442" i="6"/>
  <c r="K442" i="6" s="1"/>
  <c r="H441" i="6"/>
  <c r="K441" i="6" s="1"/>
  <c r="H440" i="6"/>
  <c r="K440" i="6" s="1"/>
  <c r="H439" i="6"/>
  <c r="K439" i="6" s="1"/>
  <c r="H438" i="6"/>
  <c r="K438" i="6" s="1"/>
  <c r="H436" i="6"/>
  <c r="K436" i="6" s="1"/>
  <c r="H435" i="6"/>
  <c r="K435" i="6" s="1"/>
  <c r="H434" i="6"/>
  <c r="K434" i="6" s="1"/>
  <c r="H433" i="6"/>
  <c r="K433" i="6" s="1"/>
  <c r="H432" i="6"/>
  <c r="K432" i="6" s="1"/>
  <c r="H430" i="6"/>
  <c r="K430" i="6" s="1"/>
  <c r="H429" i="6"/>
  <c r="K429" i="6" s="1"/>
  <c r="H428" i="6"/>
  <c r="K428" i="6" s="1"/>
  <c r="H427" i="6"/>
  <c r="K427" i="6" s="1"/>
  <c r="H426" i="6"/>
  <c r="K426" i="6" s="1"/>
  <c r="H425" i="6"/>
  <c r="K425" i="6" s="1"/>
  <c r="H424" i="6"/>
  <c r="K424" i="6" s="1"/>
  <c r="H422" i="6"/>
  <c r="K422" i="6" s="1"/>
  <c r="H421" i="6"/>
  <c r="K421" i="6" s="1"/>
  <c r="H420" i="6"/>
  <c r="K420" i="6" s="1"/>
  <c r="H419" i="6"/>
  <c r="K419" i="6" s="1"/>
  <c r="H418" i="6"/>
  <c r="K418" i="6" s="1"/>
  <c r="H417" i="6"/>
  <c r="K417" i="6" s="1"/>
  <c r="H416" i="6"/>
  <c r="K416" i="6" s="1"/>
  <c r="H415" i="6"/>
  <c r="K415" i="6" s="1"/>
  <c r="H414" i="6"/>
  <c r="K414" i="6" s="1"/>
  <c r="H413" i="6"/>
  <c r="K413" i="6" s="1"/>
  <c r="H411" i="6"/>
  <c r="K411" i="6" s="1"/>
  <c r="H410" i="6"/>
  <c r="K410" i="6" s="1"/>
  <c r="H409" i="6"/>
  <c r="K409" i="6" s="1"/>
  <c r="H408" i="6"/>
  <c r="K408" i="6" s="1"/>
  <c r="H407" i="6"/>
  <c r="K407" i="6" s="1"/>
  <c r="H406" i="6"/>
  <c r="K406" i="6" s="1"/>
  <c r="H405" i="6"/>
  <c r="H404" i="6"/>
  <c r="K404" i="6" s="1"/>
  <c r="H403" i="6"/>
  <c r="K403" i="6" s="1"/>
  <c r="H402" i="6"/>
  <c r="K402" i="6" s="1"/>
  <c r="H401" i="6"/>
  <c r="K401" i="6" s="1"/>
  <c r="H400" i="6"/>
  <c r="K400" i="6" s="1"/>
  <c r="H398" i="6"/>
  <c r="K398" i="6" s="1"/>
  <c r="H397" i="6"/>
  <c r="H396" i="6"/>
  <c r="K396" i="6" s="1"/>
  <c r="H395" i="6"/>
  <c r="K395" i="6" s="1"/>
  <c r="H394" i="6"/>
  <c r="K394" i="6" s="1"/>
  <c r="H393" i="6"/>
  <c r="K393" i="6" s="1"/>
  <c r="H391" i="6"/>
  <c r="H390" i="6"/>
  <c r="K390" i="6" s="1"/>
  <c r="H389" i="6"/>
  <c r="K389" i="6" s="1"/>
  <c r="H388" i="6"/>
  <c r="K388" i="6" s="1"/>
  <c r="H387" i="6"/>
  <c r="K387" i="6" s="1"/>
  <c r="H385" i="6"/>
  <c r="K385" i="6" s="1"/>
  <c r="H384" i="6"/>
  <c r="H383" i="6"/>
  <c r="K383" i="6" s="1"/>
  <c r="H382" i="6"/>
  <c r="K382" i="6" s="1"/>
  <c r="H381" i="6"/>
  <c r="K381" i="6" s="1"/>
  <c r="H380" i="6"/>
  <c r="K380" i="6" s="1"/>
  <c r="H379" i="6"/>
  <c r="K379" i="6" s="1"/>
  <c r="H378" i="6"/>
  <c r="K378" i="6" s="1"/>
  <c r="H376" i="6"/>
  <c r="K376" i="6" s="1"/>
  <c r="H375" i="6"/>
  <c r="K375" i="6" s="1"/>
  <c r="H374" i="6"/>
  <c r="K374" i="6" s="1"/>
  <c r="H372" i="6"/>
  <c r="K372" i="6" s="1"/>
  <c r="H371" i="6"/>
  <c r="H370" i="6"/>
  <c r="K370" i="6" s="1"/>
  <c r="H369" i="6"/>
  <c r="K369" i="6" s="1"/>
  <c r="H368" i="6"/>
  <c r="K368" i="6" s="1"/>
  <c r="H367" i="6"/>
  <c r="K367" i="6" s="1"/>
  <c r="H366" i="6"/>
  <c r="K366" i="6" s="1"/>
  <c r="H365" i="6"/>
  <c r="K365" i="6" s="1"/>
  <c r="H363" i="6"/>
  <c r="K363" i="6" s="1"/>
  <c r="H362" i="6"/>
  <c r="K362" i="6" s="1"/>
  <c r="H361" i="6"/>
  <c r="K361" i="6" s="1"/>
  <c r="H360" i="6"/>
  <c r="K360" i="6" s="1"/>
  <c r="H359" i="6"/>
  <c r="K359" i="6" s="1"/>
  <c r="H358" i="6"/>
  <c r="K358" i="6" s="1"/>
  <c r="H356" i="6"/>
  <c r="K356" i="6" s="1"/>
  <c r="H355" i="6"/>
  <c r="H354" i="6"/>
  <c r="K354" i="6" s="1"/>
  <c r="H353" i="6"/>
  <c r="K353" i="6" s="1"/>
  <c r="H351" i="6"/>
  <c r="K351" i="6" s="1"/>
  <c r="H350" i="6"/>
  <c r="K350" i="6" s="1"/>
  <c r="H349" i="6"/>
  <c r="H348" i="6"/>
  <c r="K348" i="6" s="1"/>
  <c r="H347" i="6"/>
  <c r="K347" i="6" s="1"/>
  <c r="H345" i="6"/>
  <c r="K345" i="6" s="1"/>
  <c r="H344" i="6"/>
  <c r="K344" i="6" s="1"/>
  <c r="H343" i="6"/>
  <c r="K343" i="6" s="1"/>
  <c r="H342" i="6"/>
  <c r="K342" i="6" s="1"/>
  <c r="H341" i="6"/>
  <c r="H339" i="6"/>
  <c r="K339" i="6" s="1"/>
  <c r="H338" i="6"/>
  <c r="K338" i="6" s="1"/>
  <c r="H337" i="6"/>
  <c r="K337" i="6" s="1"/>
  <c r="H336" i="6"/>
  <c r="K336" i="6" s="1"/>
  <c r="H334" i="6"/>
  <c r="K334" i="6" s="1"/>
  <c r="H333" i="6"/>
  <c r="K333" i="6" s="1"/>
  <c r="H332" i="6"/>
  <c r="K332" i="6" s="1"/>
  <c r="H331" i="6"/>
  <c r="K331" i="6" s="1"/>
  <c r="H329" i="6"/>
  <c r="K329" i="6" s="1"/>
  <c r="H328" i="6"/>
  <c r="K328" i="6" s="1"/>
  <c r="H327" i="6"/>
  <c r="K327" i="6" s="1"/>
  <c r="H326" i="6"/>
  <c r="K326" i="6" s="1"/>
  <c r="H324" i="6"/>
  <c r="K324" i="6" s="1"/>
  <c r="H323" i="6"/>
  <c r="K323" i="6" s="1"/>
  <c r="H322" i="6"/>
  <c r="K322" i="6" s="1"/>
  <c r="H321" i="6"/>
  <c r="K321" i="6" s="1"/>
  <c r="H320" i="6"/>
  <c r="K320" i="6" s="1"/>
  <c r="H318" i="6"/>
  <c r="K318" i="6" s="1"/>
  <c r="H317" i="6"/>
  <c r="K317" i="6" s="1"/>
  <c r="H316" i="6"/>
  <c r="K316" i="6" s="1"/>
  <c r="H315" i="6"/>
  <c r="K315" i="6" s="1"/>
  <c r="H313" i="6"/>
  <c r="K313" i="6" s="1"/>
  <c r="H312" i="6"/>
  <c r="K312" i="6" s="1"/>
  <c r="H311" i="6"/>
  <c r="K311" i="6" s="1"/>
  <c r="H310" i="6"/>
  <c r="K310" i="6" s="1"/>
  <c r="H309" i="6"/>
  <c r="K309" i="6" s="1"/>
  <c r="H307" i="6"/>
  <c r="K307" i="6" s="1"/>
  <c r="H306" i="6"/>
  <c r="K306" i="6" s="1"/>
  <c r="H305" i="6"/>
  <c r="K305" i="6" s="1"/>
  <c r="H304" i="6"/>
  <c r="K304" i="6" s="1"/>
  <c r="H303" i="6"/>
  <c r="K303" i="6" s="1"/>
  <c r="H301" i="6"/>
  <c r="K301" i="6" s="1"/>
  <c r="H300" i="6"/>
  <c r="H299" i="6"/>
  <c r="K299" i="6" s="1"/>
  <c r="H298" i="6"/>
  <c r="K298" i="6" s="1"/>
  <c r="H297" i="6"/>
  <c r="K297" i="6" s="1"/>
  <c r="H295" i="6"/>
  <c r="K295" i="6" s="1"/>
  <c r="H294" i="6"/>
  <c r="K294" i="6" s="1"/>
  <c r="H293" i="6"/>
  <c r="K293" i="6" s="1"/>
  <c r="H292" i="6"/>
  <c r="K292" i="6" s="1"/>
  <c r="H290" i="6"/>
  <c r="K290" i="6" s="1"/>
  <c r="H289" i="6"/>
  <c r="K289" i="6" s="1"/>
  <c r="H288" i="6"/>
  <c r="K288" i="6" s="1"/>
  <c r="H287" i="6"/>
  <c r="K287" i="6" s="1"/>
  <c r="H286" i="6"/>
  <c r="K286" i="6" s="1"/>
  <c r="H285" i="6"/>
  <c r="K285" i="6" s="1"/>
  <c r="H284" i="6"/>
  <c r="H282" i="6"/>
  <c r="K282" i="6" s="1"/>
  <c r="H281" i="6"/>
  <c r="K281" i="6" s="1"/>
  <c r="H280" i="6"/>
  <c r="K280" i="6" s="1"/>
  <c r="H279" i="6"/>
  <c r="K279" i="6" s="1"/>
  <c r="H278" i="6"/>
  <c r="K278" i="6" s="1"/>
  <c r="H276" i="6"/>
  <c r="K276" i="6" s="1"/>
  <c r="H275" i="6"/>
  <c r="K275" i="6" s="1"/>
  <c r="H274" i="6"/>
  <c r="K274" i="6" s="1"/>
  <c r="H273" i="6"/>
  <c r="K273" i="6" s="1"/>
  <c r="H271" i="6"/>
  <c r="K271" i="6" s="1"/>
  <c r="H270" i="6"/>
  <c r="K270" i="6" s="1"/>
  <c r="H269" i="6"/>
  <c r="K269" i="6" s="1"/>
  <c r="H268" i="6"/>
  <c r="K268" i="6" s="1"/>
  <c r="H267" i="6"/>
  <c r="K267" i="6" s="1"/>
  <c r="H266" i="6"/>
  <c r="K266" i="6" s="1"/>
  <c r="H265" i="6"/>
  <c r="K265" i="6" s="1"/>
  <c r="H264" i="6"/>
  <c r="K264" i="6" s="1"/>
  <c r="H263" i="6"/>
  <c r="K263" i="6" s="1"/>
  <c r="H262" i="6"/>
  <c r="K262" i="6" s="1"/>
  <c r="H260" i="6"/>
  <c r="K260" i="6" s="1"/>
  <c r="H259" i="6"/>
  <c r="K259" i="6" s="1"/>
  <c r="H258" i="6"/>
  <c r="H257" i="6"/>
  <c r="K257" i="6" s="1"/>
  <c r="H256" i="6"/>
  <c r="K256" i="6" s="1"/>
  <c r="H255" i="6"/>
  <c r="K255" i="6" s="1"/>
  <c r="H253" i="6"/>
  <c r="K253" i="6" s="1"/>
  <c r="H252" i="6"/>
  <c r="K252" i="6" s="1"/>
  <c r="H251" i="6"/>
  <c r="K251" i="6" s="1"/>
  <c r="H250" i="6"/>
  <c r="K250" i="6" s="1"/>
  <c r="H249" i="6"/>
  <c r="K249" i="6" s="1"/>
  <c r="H247" i="6"/>
  <c r="K247" i="6" s="1"/>
  <c r="H246" i="6"/>
  <c r="K246" i="6" s="1"/>
  <c r="H245" i="6"/>
  <c r="K245" i="6" s="1"/>
  <c r="H244" i="6"/>
  <c r="K244" i="6" s="1"/>
  <c r="H243" i="6"/>
  <c r="K243" i="6" s="1"/>
  <c r="H242" i="6"/>
  <c r="K242" i="6" s="1"/>
  <c r="H241" i="6"/>
  <c r="K241" i="6" s="1"/>
  <c r="H239" i="6"/>
  <c r="K239" i="6" s="1"/>
  <c r="H238" i="6"/>
  <c r="K238" i="6" s="1"/>
  <c r="H237" i="6"/>
  <c r="H236" i="6"/>
  <c r="K236" i="6" s="1"/>
  <c r="H235" i="6"/>
  <c r="K235" i="6" s="1"/>
  <c r="H234" i="6"/>
  <c r="K234" i="6" s="1"/>
  <c r="H233" i="6"/>
  <c r="K233" i="6" s="1"/>
  <c r="H232" i="6"/>
  <c r="K232" i="6" s="1"/>
  <c r="H231" i="6"/>
  <c r="K231" i="6" s="1"/>
  <c r="H230" i="6"/>
  <c r="K230" i="6" s="1"/>
  <c r="H228" i="6"/>
  <c r="K228" i="6" s="1"/>
  <c r="H227" i="6"/>
  <c r="K227" i="6" s="1"/>
  <c r="H226" i="6"/>
  <c r="K226" i="6" s="1"/>
  <c r="H225" i="6"/>
  <c r="K225" i="6" s="1"/>
  <c r="H224" i="6"/>
  <c r="K224" i="6" s="1"/>
  <c r="H223" i="6"/>
  <c r="K223" i="6" s="1"/>
  <c r="H222" i="6"/>
  <c r="K222" i="6" s="1"/>
  <c r="H220" i="6"/>
  <c r="K220" i="6" s="1"/>
  <c r="H219" i="6"/>
  <c r="K219" i="6" s="1"/>
  <c r="H218" i="6"/>
  <c r="K218" i="6" s="1"/>
  <c r="H217" i="6"/>
  <c r="K217" i="6" s="1"/>
  <c r="H216" i="6"/>
  <c r="K216" i="6" s="1"/>
  <c r="H215" i="6"/>
  <c r="K215" i="6" s="1"/>
  <c r="H213" i="6"/>
  <c r="K213" i="6" s="1"/>
  <c r="H212" i="6"/>
  <c r="K212" i="6" s="1"/>
  <c r="H211" i="6"/>
  <c r="K211" i="6" s="1"/>
  <c r="H210" i="6"/>
  <c r="K210" i="6" s="1"/>
  <c r="H209" i="6"/>
  <c r="K209" i="6" s="1"/>
  <c r="H208" i="6"/>
  <c r="K208" i="6" s="1"/>
  <c r="H206" i="6"/>
  <c r="K206" i="6" s="1"/>
  <c r="H205" i="6"/>
  <c r="K205" i="6" s="1"/>
  <c r="H204" i="6"/>
  <c r="K204" i="6" s="1"/>
  <c r="H203" i="6"/>
  <c r="K203" i="6" s="1"/>
  <c r="H202" i="6"/>
  <c r="K202" i="6" s="1"/>
  <c r="H201" i="6"/>
  <c r="K201" i="6" s="1"/>
  <c r="H199" i="6"/>
  <c r="K199" i="6" s="1"/>
  <c r="H198" i="6"/>
  <c r="K198" i="6" s="1"/>
  <c r="H197" i="6"/>
  <c r="K197" i="6" s="1"/>
  <c r="H196" i="6"/>
  <c r="K196" i="6" s="1"/>
  <c r="H195" i="6"/>
  <c r="K195" i="6" s="1"/>
  <c r="H194" i="6"/>
  <c r="K194" i="6" s="1"/>
  <c r="H193" i="6"/>
  <c r="K193" i="6" s="1"/>
  <c r="H192" i="6"/>
  <c r="K192" i="6" s="1"/>
  <c r="H190" i="6"/>
  <c r="K190" i="6" s="1"/>
  <c r="H189" i="6"/>
  <c r="K189" i="6" s="1"/>
  <c r="H188" i="6"/>
  <c r="K188" i="6" s="1"/>
  <c r="H187" i="6"/>
  <c r="K187" i="6" s="1"/>
  <c r="H186" i="6"/>
  <c r="K186" i="6" s="1"/>
  <c r="H185" i="6"/>
  <c r="K185" i="6" s="1"/>
  <c r="H184" i="6"/>
  <c r="K184" i="6" s="1"/>
  <c r="H183" i="6"/>
  <c r="K183" i="6" s="1"/>
  <c r="H181" i="6"/>
  <c r="K181" i="6" s="1"/>
  <c r="H180" i="6"/>
  <c r="K180" i="6" s="1"/>
  <c r="H179" i="6"/>
  <c r="K179" i="6" s="1"/>
  <c r="H178" i="6"/>
  <c r="K178" i="6" s="1"/>
  <c r="H177" i="6"/>
  <c r="K177" i="6" s="1"/>
  <c r="H176" i="6"/>
  <c r="K176" i="6" s="1"/>
  <c r="H175" i="6"/>
  <c r="K175" i="6" s="1"/>
  <c r="H174" i="6"/>
  <c r="K174" i="6" s="1"/>
  <c r="H172" i="6"/>
  <c r="K172" i="6" s="1"/>
  <c r="H171" i="6"/>
  <c r="K171" i="6" s="1"/>
  <c r="H170" i="6"/>
  <c r="K170" i="6" s="1"/>
  <c r="H169" i="6"/>
  <c r="K169" i="6" s="1"/>
  <c r="H168" i="6"/>
  <c r="K168" i="6" s="1"/>
  <c r="H167" i="6"/>
  <c r="K167" i="6" s="1"/>
  <c r="H165" i="6"/>
  <c r="H164" i="6"/>
  <c r="K164" i="6" s="1"/>
  <c r="H163" i="6"/>
  <c r="K163" i="6" s="1"/>
  <c r="H162" i="6"/>
  <c r="K162" i="6" s="1"/>
  <c r="H161" i="6"/>
  <c r="K161" i="6" s="1"/>
  <c r="H159" i="6"/>
  <c r="K159" i="6" s="1"/>
  <c r="H158" i="6"/>
  <c r="K158" i="6" s="1"/>
  <c r="H157" i="6"/>
  <c r="K157" i="6" s="1"/>
  <c r="H156" i="6"/>
  <c r="K156" i="6" s="1"/>
  <c r="H155" i="6"/>
  <c r="K155" i="6" s="1"/>
  <c r="H153" i="6"/>
  <c r="K153" i="6" s="1"/>
  <c r="H152" i="6"/>
  <c r="K152" i="6" s="1"/>
  <c r="H151" i="6"/>
  <c r="K151" i="6" s="1"/>
  <c r="H150" i="6"/>
  <c r="K150" i="6" s="1"/>
  <c r="H149" i="6"/>
  <c r="K149" i="6" s="1"/>
  <c r="H148" i="6"/>
  <c r="H146" i="6"/>
  <c r="K146" i="6" s="1"/>
  <c r="H145" i="6"/>
  <c r="K145" i="6" s="1"/>
  <c r="H144" i="6"/>
  <c r="K144" i="6" s="1"/>
  <c r="H143" i="6"/>
  <c r="K143" i="6" s="1"/>
  <c r="H142" i="6"/>
  <c r="K142" i="6" s="1"/>
  <c r="H141" i="6"/>
  <c r="K141" i="6" s="1"/>
  <c r="H140" i="6"/>
  <c r="K140" i="6" s="1"/>
  <c r="H139" i="6"/>
  <c r="K139" i="6" s="1"/>
  <c r="H138" i="6"/>
  <c r="K138" i="6" s="1"/>
  <c r="H137" i="6"/>
  <c r="K137" i="6" s="1"/>
  <c r="H136" i="6"/>
  <c r="K136" i="6" s="1"/>
  <c r="H135" i="6"/>
  <c r="K135" i="6" s="1"/>
  <c r="H133" i="6"/>
  <c r="K133" i="6" s="1"/>
  <c r="H132" i="6"/>
  <c r="K132" i="6" s="1"/>
  <c r="H131" i="6"/>
  <c r="H130" i="6"/>
  <c r="K130" i="6" s="1"/>
  <c r="H128" i="6"/>
  <c r="K128" i="6" s="1"/>
  <c r="H127" i="6"/>
  <c r="K127" i="6" s="1"/>
  <c r="H126" i="6"/>
  <c r="K126" i="6" s="1"/>
  <c r="H125" i="6"/>
  <c r="K125" i="6" s="1"/>
  <c r="H124" i="6"/>
  <c r="K124" i="6" s="1"/>
  <c r="H123" i="6"/>
  <c r="K123" i="6" s="1"/>
  <c r="H122" i="6"/>
  <c r="K122" i="6" s="1"/>
  <c r="H121" i="6"/>
  <c r="K121" i="6" s="1"/>
  <c r="H119" i="6"/>
  <c r="K119" i="6" s="1"/>
  <c r="H118" i="6"/>
  <c r="K118" i="6" s="1"/>
  <c r="H117" i="6"/>
  <c r="K117" i="6" s="1"/>
  <c r="H116" i="6"/>
  <c r="K116" i="6" s="1"/>
  <c r="H114" i="6"/>
  <c r="K114" i="6" s="1"/>
  <c r="H113" i="6"/>
  <c r="K113" i="6" s="1"/>
  <c r="H112" i="6"/>
  <c r="K112" i="6" s="1"/>
  <c r="H111" i="6"/>
  <c r="H110" i="6"/>
  <c r="K110" i="6" s="1"/>
  <c r="H109" i="6"/>
  <c r="K109" i="6" s="1"/>
  <c r="H107" i="6"/>
  <c r="K107" i="6" s="1"/>
  <c r="H106" i="6"/>
  <c r="K106" i="6" s="1"/>
  <c r="H105" i="6"/>
  <c r="K105" i="6" s="1"/>
  <c r="H104" i="6"/>
  <c r="K104" i="6" s="1"/>
  <c r="H103" i="6"/>
  <c r="K103" i="6" s="1"/>
  <c r="H102" i="6"/>
  <c r="K102" i="6" s="1"/>
  <c r="H101" i="6"/>
  <c r="H99" i="6"/>
  <c r="K99" i="6" s="1"/>
  <c r="H98" i="6"/>
  <c r="K98" i="6" s="1"/>
  <c r="H97" i="6"/>
  <c r="K97" i="6" s="1"/>
  <c r="H96" i="6"/>
  <c r="K96" i="6" s="1"/>
  <c r="H95" i="6"/>
  <c r="K95" i="6" s="1"/>
  <c r="H93" i="6"/>
  <c r="K93" i="6" s="1"/>
  <c r="H92" i="6"/>
  <c r="K92" i="6" s="1"/>
  <c r="H91" i="6"/>
  <c r="K91" i="6" s="1"/>
  <c r="H90" i="6"/>
  <c r="K90" i="6" s="1"/>
  <c r="H89" i="6"/>
  <c r="K89" i="6" s="1"/>
  <c r="H88" i="6"/>
  <c r="K88" i="6" s="1"/>
  <c r="H87" i="6"/>
  <c r="K87" i="6" s="1"/>
  <c r="H85" i="6"/>
  <c r="K85" i="6" s="1"/>
  <c r="H84" i="6"/>
  <c r="K84" i="6" s="1"/>
  <c r="H83" i="6"/>
  <c r="K83" i="6" s="1"/>
  <c r="H82" i="6"/>
  <c r="K82" i="6" s="1"/>
  <c r="H80" i="6"/>
  <c r="K80" i="6" s="1"/>
  <c r="H79" i="6"/>
  <c r="K79" i="6" s="1"/>
  <c r="H78" i="6"/>
  <c r="K78" i="6" s="1"/>
  <c r="H77" i="6"/>
  <c r="K77" i="6" s="1"/>
  <c r="H76" i="6"/>
  <c r="K76" i="6" s="1"/>
  <c r="H75" i="6"/>
  <c r="K75" i="6" s="1"/>
  <c r="H74" i="6"/>
  <c r="K74" i="6" s="1"/>
  <c r="H73" i="6"/>
  <c r="K73" i="6" s="1"/>
  <c r="H72" i="6"/>
  <c r="K72" i="6" s="1"/>
  <c r="H71" i="6"/>
  <c r="K71" i="6" s="1"/>
  <c r="H69" i="6"/>
  <c r="K69" i="6" s="1"/>
  <c r="H68" i="6"/>
  <c r="K68" i="6" s="1"/>
  <c r="H67" i="6"/>
  <c r="K67" i="6" s="1"/>
  <c r="H66" i="6"/>
  <c r="K66" i="6" s="1"/>
  <c r="H65" i="6"/>
  <c r="K65" i="6" s="1"/>
  <c r="H64" i="6"/>
  <c r="K64" i="6" s="1"/>
  <c r="H62" i="6"/>
  <c r="K62" i="6" s="1"/>
  <c r="H61" i="6"/>
  <c r="K61" i="6" s="1"/>
  <c r="H59" i="6"/>
  <c r="K59" i="6" s="1"/>
  <c r="H58" i="6"/>
  <c r="K58" i="6" s="1"/>
  <c r="H57" i="6"/>
  <c r="H56" i="6"/>
  <c r="K56" i="6" s="1"/>
  <c r="H55" i="6"/>
  <c r="K55" i="6" s="1"/>
  <c r="H53" i="6"/>
  <c r="K53" i="6" s="1"/>
  <c r="H52" i="6"/>
  <c r="K52" i="6" s="1"/>
  <c r="H51" i="6"/>
  <c r="K51" i="6" s="1"/>
  <c r="H50" i="6"/>
  <c r="K50" i="6" s="1"/>
  <c r="H49" i="6"/>
  <c r="K49" i="6" s="1"/>
  <c r="H47" i="6"/>
  <c r="K47" i="6" s="1"/>
  <c r="H46" i="6"/>
  <c r="K46" i="6" s="1"/>
  <c r="H45" i="6"/>
  <c r="K45" i="6" s="1"/>
  <c r="H43" i="6"/>
  <c r="K43" i="6" s="1"/>
  <c r="H42" i="6"/>
  <c r="K42" i="6" s="1"/>
  <c r="H41" i="6"/>
  <c r="K41" i="6" s="1"/>
  <c r="H40" i="6"/>
  <c r="K40" i="6" s="1"/>
  <c r="H39" i="6"/>
  <c r="K39" i="6" s="1"/>
  <c r="H38" i="6"/>
  <c r="K38" i="6" s="1"/>
  <c r="H37" i="6"/>
  <c r="K37" i="6" s="1"/>
  <c r="H36" i="6"/>
  <c r="K36" i="6" s="1"/>
  <c r="H35" i="6"/>
  <c r="H34" i="6"/>
  <c r="K34" i="6" s="1"/>
  <c r="H33" i="6"/>
  <c r="K33" i="6" s="1"/>
  <c r="H32" i="6"/>
  <c r="K32" i="6" s="1"/>
  <c r="H30" i="6"/>
  <c r="K30" i="6" s="1"/>
  <c r="H29" i="6"/>
  <c r="K29" i="6" s="1"/>
  <c r="H27" i="6"/>
  <c r="K27" i="6" s="1"/>
  <c r="H26" i="6"/>
  <c r="K26" i="6" s="1"/>
  <c r="H25" i="6"/>
  <c r="K25" i="6" s="1"/>
  <c r="H24" i="6"/>
  <c r="K24" i="6" s="1"/>
  <c r="H23" i="6"/>
  <c r="K23" i="6" s="1"/>
  <c r="H22" i="6"/>
  <c r="H21" i="6"/>
  <c r="K21" i="6" s="1"/>
  <c r="H19" i="6"/>
  <c r="K19" i="6" s="1"/>
  <c r="H18" i="6"/>
  <c r="K18" i="6" s="1"/>
  <c r="H17" i="6"/>
  <c r="K17" i="6" s="1"/>
  <c r="H16" i="6"/>
  <c r="K16" i="6" s="1"/>
  <c r="H15" i="6"/>
  <c r="K15" i="6" s="1"/>
  <c r="H14" i="6"/>
  <c r="K14" i="6" s="1"/>
  <c r="H13" i="6"/>
  <c r="K13" i="6" s="1"/>
  <c r="H12" i="6"/>
  <c r="K12" i="6" s="1"/>
  <c r="H11" i="6"/>
  <c r="K11" i="6" s="1"/>
  <c r="H10" i="6"/>
  <c r="K10" i="6" s="1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7" i="3"/>
  <c r="X1" i="1"/>
  <c r="U1" i="1"/>
  <c r="T1" i="1"/>
  <c r="R1" i="1"/>
  <c r="S1" i="1"/>
  <c r="Q1" i="1"/>
  <c r="A1" i="1"/>
  <c r="U61" i="3"/>
  <c r="U24" i="3"/>
  <c r="U10" i="3"/>
  <c r="U11" i="3"/>
  <c r="U8" i="3"/>
  <c r="U13" i="3"/>
  <c r="U101" i="3"/>
  <c r="U65" i="3"/>
  <c r="U14" i="3"/>
  <c r="U17" i="3"/>
  <c r="U72" i="3"/>
  <c r="U16" i="3"/>
  <c r="U53" i="3"/>
  <c r="U108" i="3"/>
  <c r="U59" i="3"/>
  <c r="U23" i="3"/>
  <c r="U79" i="3"/>
  <c r="U25" i="3"/>
  <c r="U26" i="3"/>
  <c r="U27" i="3"/>
  <c r="U28" i="3"/>
  <c r="U86" i="3"/>
  <c r="U30" i="3"/>
  <c r="U31" i="3"/>
  <c r="U99" i="3"/>
  <c r="U32" i="3"/>
  <c r="U63" i="3"/>
  <c r="U35" i="3"/>
  <c r="U77" i="3"/>
  <c r="U37" i="3"/>
  <c r="U38" i="3"/>
  <c r="U39" i="3"/>
  <c r="U60" i="3"/>
  <c r="U41" i="3"/>
  <c r="U42" i="3"/>
  <c r="U43" i="3"/>
  <c r="U44" i="3"/>
  <c r="U85" i="3"/>
  <c r="U46" i="3"/>
  <c r="U47" i="3"/>
  <c r="U48" i="3"/>
  <c r="U49" i="3"/>
  <c r="U50" i="3"/>
  <c r="U51" i="3"/>
  <c r="U52" i="3"/>
  <c r="U100" i="3"/>
  <c r="U122" i="3"/>
  <c r="U81" i="3"/>
  <c r="U57" i="3"/>
  <c r="U19" i="3"/>
  <c r="U58" i="3"/>
  <c r="U33" i="3"/>
  <c r="U36" i="3"/>
  <c r="U18" i="3"/>
  <c r="U12" i="3"/>
  <c r="U125" i="3"/>
  <c r="U15" i="3"/>
  <c r="U62" i="3"/>
  <c r="U66" i="3"/>
  <c r="U67" i="3"/>
  <c r="U68" i="3"/>
  <c r="U69" i="3"/>
  <c r="U70" i="3"/>
  <c r="U71" i="3"/>
  <c r="U75" i="3"/>
  <c r="U87" i="3"/>
  <c r="U74" i="3"/>
  <c r="U84" i="3"/>
  <c r="U76" i="3"/>
  <c r="U64" i="3"/>
  <c r="U78" i="3"/>
  <c r="U97" i="3"/>
  <c r="U80" i="3"/>
  <c r="U106" i="3"/>
  <c r="U82" i="3"/>
  <c r="U83" i="3"/>
  <c r="U29" i="3"/>
  <c r="U96" i="3"/>
  <c r="U104" i="3"/>
  <c r="U114" i="3"/>
  <c r="U88" i="3"/>
  <c r="U111" i="3"/>
  <c r="U91" i="3"/>
  <c r="U34" i="3"/>
  <c r="U92" i="3"/>
  <c r="U93" i="3"/>
  <c r="U94" i="3"/>
  <c r="U95" i="3"/>
  <c r="U73" i="3"/>
  <c r="U55" i="3"/>
  <c r="U98" i="3"/>
  <c r="U20" i="3"/>
  <c r="U89" i="3"/>
  <c r="U56" i="3"/>
  <c r="U102" i="3"/>
  <c r="U103" i="3"/>
  <c r="U90" i="3"/>
  <c r="U105" i="3"/>
  <c r="U113" i="3"/>
  <c r="U107" i="3"/>
  <c r="U110" i="3"/>
  <c r="U109" i="3"/>
  <c r="U40" i="3"/>
  <c r="U54" i="3"/>
  <c r="U112" i="3"/>
  <c r="U22" i="3"/>
  <c r="U21" i="3"/>
  <c r="U115" i="3"/>
  <c r="U116" i="3"/>
  <c r="U117" i="3"/>
  <c r="U118" i="3"/>
  <c r="U119" i="3"/>
  <c r="U120" i="3"/>
  <c r="U121" i="3"/>
  <c r="U9" i="3"/>
  <c r="U123" i="3"/>
  <c r="U124" i="3"/>
  <c r="U45" i="3"/>
  <c r="U126" i="3"/>
  <c r="U127" i="3"/>
  <c r="U7" i="3"/>
  <c r="K7" i="3"/>
  <c r="Z3" i="1"/>
  <c r="S4" i="10"/>
  <c r="S5" i="10"/>
  <c r="S6" i="10"/>
  <c r="S7" i="10"/>
  <c r="S8" i="10"/>
  <c r="S9" i="10"/>
  <c r="S10" i="10"/>
  <c r="S11" i="10"/>
  <c r="S12" i="10"/>
  <c r="S13" i="10"/>
  <c r="N13" i="10"/>
  <c r="N12" i="10"/>
  <c r="N11" i="10"/>
  <c r="N10" i="10"/>
  <c r="N9" i="10"/>
  <c r="N8" i="10"/>
  <c r="N7" i="10"/>
  <c r="N6" i="10"/>
  <c r="N5" i="10"/>
  <c r="N4" i="10"/>
  <c r="H121" i="10"/>
  <c r="I121" i="10" s="1"/>
  <c r="H109" i="10"/>
  <c r="I109" i="10" s="1"/>
  <c r="H92" i="10"/>
  <c r="I92" i="10" s="1"/>
  <c r="H112" i="10"/>
  <c r="I112" i="10" s="1"/>
  <c r="H78" i="10"/>
  <c r="H90" i="10"/>
  <c r="I90" i="10" s="1"/>
  <c r="H74" i="10"/>
  <c r="I74" i="10" s="1"/>
  <c r="H36" i="10"/>
  <c r="I36" i="10" s="1"/>
  <c r="H88" i="10"/>
  <c r="H24" i="10"/>
  <c r="H111" i="10"/>
  <c r="H33" i="10"/>
  <c r="I33" i="10" s="1"/>
  <c r="H64" i="10"/>
  <c r="I64" i="10" s="1"/>
  <c r="H11" i="10"/>
  <c r="H86" i="10"/>
  <c r="I86" i="10" s="1"/>
  <c r="H93" i="10"/>
  <c r="I93" i="10" s="1"/>
  <c r="H44" i="10"/>
  <c r="H72" i="10"/>
  <c r="I72" i="10" s="1"/>
  <c r="H57" i="10"/>
  <c r="I57" i="10" s="1"/>
  <c r="H50" i="10"/>
  <c r="I50" i="10" s="1"/>
  <c r="H104" i="10"/>
  <c r="H115" i="10"/>
  <c r="I115" i="10" s="1"/>
  <c r="H75" i="10"/>
  <c r="I75" i="10" s="1"/>
  <c r="H99" i="10"/>
  <c r="I99" i="10" s="1"/>
  <c r="H82" i="10"/>
  <c r="I82" i="10" s="1"/>
  <c r="H52" i="10"/>
  <c r="I52" i="10" s="1"/>
  <c r="H114" i="10"/>
  <c r="I114" i="10" s="1"/>
  <c r="H48" i="10"/>
  <c r="H70" i="10"/>
  <c r="I70" i="10" s="1"/>
  <c r="H101" i="10"/>
  <c r="I101" i="10" s="1"/>
  <c r="H96" i="10"/>
  <c r="H23" i="10"/>
  <c r="I23" i="10" s="1"/>
  <c r="H21" i="10"/>
  <c r="I21" i="10" s="1"/>
  <c r="H56" i="10"/>
  <c r="H61" i="10"/>
  <c r="H31" i="10"/>
  <c r="I31" i="10" s="1"/>
  <c r="H28" i="10"/>
  <c r="H43" i="10"/>
  <c r="I43" i="10" s="1"/>
  <c r="H4" i="10"/>
  <c r="H30" i="10"/>
  <c r="I30" i="10" s="1"/>
  <c r="H76" i="10"/>
  <c r="I76" i="10" s="1"/>
  <c r="H84" i="10"/>
  <c r="I84" i="10" s="1"/>
  <c r="H51" i="10"/>
  <c r="I51" i="10" s="1"/>
  <c r="H113" i="10"/>
  <c r="I113" i="10" s="1"/>
  <c r="H17" i="10"/>
  <c r="H124" i="10"/>
  <c r="I124" i="10" s="1"/>
  <c r="H8" i="10"/>
  <c r="H107" i="10"/>
  <c r="I107" i="10" s="1"/>
  <c r="H89" i="10"/>
  <c r="I89" i="10" s="1"/>
  <c r="H85" i="10"/>
  <c r="H81" i="10"/>
  <c r="H45" i="10"/>
  <c r="H15" i="10"/>
  <c r="I15" i="10" s="1"/>
  <c r="H58" i="10"/>
  <c r="H22" i="10"/>
  <c r="I22" i="10" s="1"/>
  <c r="H94" i="10"/>
  <c r="I94" i="10" s="1"/>
  <c r="H54" i="10"/>
  <c r="H32" i="10"/>
  <c r="I32" i="10" s="1"/>
  <c r="H119" i="10"/>
  <c r="I119" i="10" s="1"/>
  <c r="H47" i="10"/>
  <c r="I47" i="10" s="1"/>
  <c r="H116" i="10"/>
  <c r="I116" i="10" s="1"/>
  <c r="H123" i="10"/>
  <c r="I123" i="10" s="1"/>
  <c r="H13" i="10"/>
  <c r="I13" i="10" s="1"/>
  <c r="H49" i="10"/>
  <c r="I49" i="10" s="1"/>
  <c r="H108" i="10"/>
  <c r="H120" i="10"/>
  <c r="H7" i="10"/>
  <c r="I7" i="10" s="1"/>
  <c r="H41" i="10"/>
  <c r="H118" i="10"/>
  <c r="H27" i="10"/>
  <c r="I27" i="10" s="1"/>
  <c r="H77" i="10"/>
  <c r="H59" i="10"/>
  <c r="H62" i="10"/>
  <c r="I62" i="10" s="1"/>
  <c r="H83" i="10"/>
  <c r="I83" i="10" s="1"/>
  <c r="H65" i="10"/>
  <c r="H97" i="10"/>
  <c r="I97" i="10" s="1"/>
  <c r="H98" i="10"/>
  <c r="H19" i="10"/>
  <c r="I19" i="10" s="1"/>
  <c r="H25" i="10"/>
  <c r="H105" i="10"/>
  <c r="H67" i="10"/>
  <c r="I67" i="10" s="1"/>
  <c r="H16" i="10"/>
  <c r="I16" i="10" s="1"/>
  <c r="H12" i="10"/>
  <c r="I12" i="10" s="1"/>
  <c r="H35" i="10"/>
  <c r="I35" i="10" s="1"/>
  <c r="H6" i="10"/>
  <c r="I6" i="10" s="1"/>
  <c r="H68" i="10"/>
  <c r="I68" i="10" s="1"/>
  <c r="H91" i="10"/>
  <c r="I91" i="10" s="1"/>
  <c r="H14" i="10"/>
  <c r="H100" i="10"/>
  <c r="H73" i="10"/>
  <c r="I73" i="10" s="1"/>
  <c r="H60" i="10"/>
  <c r="H110" i="10"/>
  <c r="I110" i="10" s="1"/>
  <c r="H53" i="10"/>
  <c r="I53" i="10" s="1"/>
  <c r="H95" i="10"/>
  <c r="H34" i="10"/>
  <c r="H63" i="10"/>
  <c r="I63" i="10" s="1"/>
  <c r="H37" i="10"/>
  <c r="H71" i="10"/>
  <c r="H39" i="10"/>
  <c r="I39" i="10" s="1"/>
  <c r="H18" i="10"/>
  <c r="I18" i="10" s="1"/>
  <c r="H79" i="10"/>
  <c r="I79" i="10" s="1"/>
  <c r="H46" i="10"/>
  <c r="I46" i="10" s="1"/>
  <c r="H80" i="10"/>
  <c r="H87" i="10"/>
  <c r="I87" i="10" s="1"/>
  <c r="H9" i="10"/>
  <c r="I9" i="10" s="1"/>
  <c r="H42" i="10"/>
  <c r="I42" i="10" s="1"/>
  <c r="H122" i="10"/>
  <c r="I122" i="10" s="1"/>
  <c r="H106" i="10"/>
  <c r="I106" i="10" s="1"/>
  <c r="H29" i="10"/>
  <c r="I29" i="10" s="1"/>
  <c r="H20" i="10"/>
  <c r="H55" i="10"/>
  <c r="H69" i="10"/>
  <c r="I69" i="10" s="1"/>
  <c r="H10" i="10"/>
  <c r="I10" i="10" s="1"/>
  <c r="H26" i="10"/>
  <c r="I26" i="10" s="1"/>
  <c r="H66" i="10"/>
  <c r="I66" i="10" s="1"/>
  <c r="H5" i="10"/>
  <c r="H117" i="10"/>
  <c r="H40" i="10"/>
  <c r="H102" i="10"/>
  <c r="I102" i="10" s="1"/>
  <c r="H103" i="10"/>
  <c r="I103" i="10" s="1"/>
  <c r="H38" i="10"/>
  <c r="L43" i="9" a="1"/>
  <c r="L43" i="9" s="1"/>
  <c r="M43" i="9" s="1"/>
  <c r="L42" i="9" a="1"/>
  <c r="L42" i="9" s="1"/>
  <c r="M42" i="9" s="1"/>
  <c r="L41" i="9" a="1"/>
  <c r="L41" i="9" s="1"/>
  <c r="M41" i="9" s="1"/>
  <c r="L40" i="9" a="1"/>
  <c r="L40" i="9" s="1"/>
  <c r="M40" i="9" s="1"/>
  <c r="L39" i="9" a="1"/>
  <c r="L39" i="9" s="1"/>
  <c r="M39" i="9" s="1"/>
  <c r="L38" i="9" a="1"/>
  <c r="L38" i="9" s="1"/>
  <c r="M38" i="9" s="1"/>
  <c r="L37" i="9" a="1"/>
  <c r="L37" i="9" s="1"/>
  <c r="M37" i="9" s="1"/>
  <c r="L36" i="9" a="1"/>
  <c r="L36" i="9" s="1"/>
  <c r="M36" i="9" s="1"/>
  <c r="L35" i="9" a="1"/>
  <c r="L35" i="9" s="1"/>
  <c r="M35" i="9" s="1"/>
  <c r="L34" i="9" a="1"/>
  <c r="L34" i="9" s="1"/>
  <c r="M34" i="9" s="1"/>
  <c r="G348" i="9" a="1"/>
  <c r="G348" i="9" s="1"/>
  <c r="H348" i="9" s="1"/>
  <c r="G347" i="9" a="1"/>
  <c r="G347" i="9" s="1"/>
  <c r="H347" i="9" s="1"/>
  <c r="G42" i="9" a="1"/>
  <c r="G42" i="9" s="1"/>
  <c r="H42" i="9" s="1"/>
  <c r="G53" i="9" a="1"/>
  <c r="G53" i="9" s="1"/>
  <c r="H53" i="9" s="1"/>
  <c r="G346" i="9" a="1"/>
  <c r="G346" i="9" s="1"/>
  <c r="H346" i="9" s="1"/>
  <c r="G108" i="9" a="1"/>
  <c r="G108" i="9" s="1"/>
  <c r="H108" i="9" s="1"/>
  <c r="G345" i="9" a="1"/>
  <c r="G345" i="9" s="1"/>
  <c r="H345" i="9" s="1"/>
  <c r="G172" i="9" a="1"/>
  <c r="G172" i="9" s="1"/>
  <c r="H172" i="9" s="1"/>
  <c r="G163" i="9" a="1"/>
  <c r="G163" i="9" s="1"/>
  <c r="H163" i="9" s="1"/>
  <c r="G150" i="9" a="1"/>
  <c r="G150" i="9" s="1"/>
  <c r="H150" i="9" s="1"/>
  <c r="G200" i="9" a="1"/>
  <c r="G200" i="9" s="1"/>
  <c r="H200" i="9" s="1"/>
  <c r="G147" i="9" a="1"/>
  <c r="G147" i="9" s="1"/>
  <c r="H147" i="9" s="1"/>
  <c r="G180" i="9" a="1"/>
  <c r="G180" i="9" s="1"/>
  <c r="H180" i="9" s="1"/>
  <c r="G58" i="9" a="1"/>
  <c r="G58" i="9" s="1"/>
  <c r="H58" i="9" s="1"/>
  <c r="G105" i="9" a="1"/>
  <c r="G105" i="9" s="1"/>
  <c r="H105" i="9" s="1"/>
  <c r="G192" i="9" a="1"/>
  <c r="G192" i="9" s="1"/>
  <c r="H192" i="9" s="1"/>
  <c r="G214" i="9" a="1"/>
  <c r="G214" i="9" s="1"/>
  <c r="H214" i="9" s="1"/>
  <c r="G344" i="9" a="1"/>
  <c r="G344" i="9" s="1"/>
  <c r="H344" i="9" s="1"/>
  <c r="G45" i="9" a="1"/>
  <c r="G45" i="9" s="1"/>
  <c r="H45" i="9" s="1"/>
  <c r="G74" i="9" a="1"/>
  <c r="G74" i="9" s="1"/>
  <c r="H74" i="9" s="1"/>
  <c r="G343" i="9" a="1"/>
  <c r="G343" i="9" s="1"/>
  <c r="H343" i="9" s="1"/>
  <c r="G73" i="9" a="1"/>
  <c r="G73" i="9" s="1"/>
  <c r="H73" i="9" s="1"/>
  <c r="G342" i="9" a="1"/>
  <c r="G342" i="9" s="1"/>
  <c r="H342" i="9" s="1"/>
  <c r="G341" i="9" a="1"/>
  <c r="G341" i="9" s="1"/>
  <c r="H341" i="9" s="1"/>
  <c r="G191" i="9" a="1"/>
  <c r="G191" i="9" s="1"/>
  <c r="H191" i="9" s="1"/>
  <c r="G340" i="9" a="1"/>
  <c r="G340" i="9" s="1"/>
  <c r="H340" i="9" s="1"/>
  <c r="G339" i="9" a="1"/>
  <c r="G339" i="9" s="1"/>
  <c r="H339" i="9" s="1"/>
  <c r="G211" i="9" a="1"/>
  <c r="G211" i="9" s="1"/>
  <c r="H211" i="9" s="1"/>
  <c r="G338" i="9" a="1"/>
  <c r="G338" i="9" s="1"/>
  <c r="H338" i="9" s="1"/>
  <c r="G337" i="9" a="1"/>
  <c r="G337" i="9" s="1"/>
  <c r="H337" i="9" s="1"/>
  <c r="G336" i="9" a="1"/>
  <c r="G336" i="9" s="1"/>
  <c r="H336" i="9" s="1"/>
  <c r="G35" i="9" a="1"/>
  <c r="G35" i="9" s="1"/>
  <c r="H35" i="9" s="1"/>
  <c r="G66" i="9" a="1"/>
  <c r="G66" i="9" s="1"/>
  <c r="H66" i="9" s="1"/>
  <c r="G218" i="9" a="1"/>
  <c r="G218" i="9" s="1"/>
  <c r="H218" i="9" s="1"/>
  <c r="G335" i="9" a="1"/>
  <c r="G335" i="9" s="1"/>
  <c r="H335" i="9" s="1"/>
  <c r="G334" i="9" a="1"/>
  <c r="G334" i="9" s="1"/>
  <c r="H334" i="9" s="1"/>
  <c r="G185" i="9" a="1"/>
  <c r="G185" i="9" s="1"/>
  <c r="H185" i="9" s="1"/>
  <c r="G333" i="9" a="1"/>
  <c r="G333" i="9" s="1"/>
  <c r="H333" i="9" s="1"/>
  <c r="G332" i="9" a="1"/>
  <c r="G332" i="9" s="1"/>
  <c r="H332" i="9" s="1"/>
  <c r="G119" i="9" a="1"/>
  <c r="G119" i="9" s="1"/>
  <c r="H119" i="9" s="1"/>
  <c r="G60" i="9" a="1"/>
  <c r="G60" i="9" s="1"/>
  <c r="H60" i="9" s="1"/>
  <c r="G34" i="9" a="1"/>
  <c r="G34" i="9" s="1"/>
  <c r="H34" i="9" s="1"/>
  <c r="G89" i="9" a="1"/>
  <c r="G89" i="9" s="1"/>
  <c r="H89" i="9" s="1"/>
  <c r="G331" i="9" a="1"/>
  <c r="G331" i="9" s="1"/>
  <c r="H331" i="9" s="1"/>
  <c r="G330" i="9" a="1"/>
  <c r="G330" i="9" s="1"/>
  <c r="H330" i="9" s="1"/>
  <c r="G329" i="9" a="1"/>
  <c r="G329" i="9" s="1"/>
  <c r="H329" i="9" s="1"/>
  <c r="G146" i="9" a="1"/>
  <c r="G146" i="9" s="1"/>
  <c r="H146" i="9" s="1"/>
  <c r="G78" i="9" a="1"/>
  <c r="G78" i="9" s="1"/>
  <c r="H78" i="9" s="1"/>
  <c r="G136" i="9" a="1"/>
  <c r="G136" i="9" s="1"/>
  <c r="H136" i="9" s="1"/>
  <c r="G328" i="9" a="1"/>
  <c r="G328" i="9" s="1"/>
  <c r="H328" i="9" s="1"/>
  <c r="G327" i="9" a="1"/>
  <c r="G327" i="9" s="1"/>
  <c r="H327" i="9" s="1"/>
  <c r="G118" i="9" a="1"/>
  <c r="G118" i="9" s="1"/>
  <c r="H118" i="9" s="1"/>
  <c r="G326" i="9" a="1"/>
  <c r="G326" i="9" s="1"/>
  <c r="H326" i="9" s="1"/>
  <c r="G124" i="9" a="1"/>
  <c r="G124" i="9" s="1"/>
  <c r="H124" i="9" s="1"/>
  <c r="G77" i="9" a="1"/>
  <c r="G77" i="9" s="1"/>
  <c r="H77" i="9" s="1"/>
  <c r="G325" i="9" a="1"/>
  <c r="G325" i="9" s="1"/>
  <c r="H325" i="9" s="1"/>
  <c r="G206" i="9" a="1"/>
  <c r="G206" i="9" s="1"/>
  <c r="H206" i="9" s="1"/>
  <c r="G161" i="9" a="1"/>
  <c r="G161" i="9" s="1"/>
  <c r="H161" i="9" s="1"/>
  <c r="G84" i="9" a="1"/>
  <c r="G84" i="9" s="1"/>
  <c r="H84" i="9" s="1"/>
  <c r="G324" i="9" a="1"/>
  <c r="G324" i="9" s="1"/>
  <c r="H324" i="9" s="1"/>
  <c r="G323" i="9" a="1"/>
  <c r="G323" i="9" s="1"/>
  <c r="H323" i="9" s="1"/>
  <c r="G85" i="9" a="1"/>
  <c r="G85" i="9" s="1"/>
  <c r="H85" i="9" s="1"/>
  <c r="G76" i="9" a="1"/>
  <c r="G76" i="9" s="1"/>
  <c r="H76" i="9" s="1"/>
  <c r="G181" i="9" a="1"/>
  <c r="G181" i="9" s="1"/>
  <c r="H181" i="9" s="1"/>
  <c r="G95" i="9" a="1"/>
  <c r="G95" i="9" s="1"/>
  <c r="H95" i="9" s="1"/>
  <c r="G322" i="9" a="1"/>
  <c r="G322" i="9" s="1"/>
  <c r="H322" i="9" s="1"/>
  <c r="G71" i="9" a="1"/>
  <c r="G71" i="9" s="1"/>
  <c r="H71" i="9" s="1"/>
  <c r="G321" i="9" a="1"/>
  <c r="G321" i="9" s="1"/>
  <c r="H321" i="9" s="1"/>
  <c r="G320" i="9" a="1"/>
  <c r="G320" i="9" s="1"/>
  <c r="H320" i="9" s="1"/>
  <c r="G116" i="9" a="1"/>
  <c r="G116" i="9" s="1"/>
  <c r="H116" i="9" s="1"/>
  <c r="G319" i="9" a="1"/>
  <c r="G319" i="9" s="1"/>
  <c r="H319" i="9" s="1"/>
  <c r="G318" i="9" a="1"/>
  <c r="G318" i="9" s="1"/>
  <c r="H318" i="9" s="1"/>
  <c r="G155" i="9" a="1"/>
  <c r="G155" i="9" s="1"/>
  <c r="H155" i="9" s="1"/>
  <c r="G36" i="9" a="1"/>
  <c r="G36" i="9" s="1"/>
  <c r="H36" i="9" s="1"/>
  <c r="G317" i="9" a="1"/>
  <c r="G317" i="9" s="1"/>
  <c r="H317" i="9" s="1"/>
  <c r="G316" i="9" a="1"/>
  <c r="G316" i="9" s="1"/>
  <c r="H316" i="9" s="1"/>
  <c r="G43" i="9" a="1"/>
  <c r="G43" i="9" s="1"/>
  <c r="H43" i="9" s="1"/>
  <c r="G315" i="9" a="1"/>
  <c r="G315" i="9" s="1"/>
  <c r="H315" i="9" s="1"/>
  <c r="G177" i="9" a="1"/>
  <c r="G177" i="9" s="1"/>
  <c r="H177" i="9" s="1"/>
  <c r="G314" i="9" a="1"/>
  <c r="G314" i="9" s="1"/>
  <c r="H314" i="9" s="1"/>
  <c r="G313" i="9" a="1"/>
  <c r="G313" i="9" s="1"/>
  <c r="H313" i="9" s="1"/>
  <c r="G117" i="9" a="1"/>
  <c r="G117" i="9" s="1"/>
  <c r="H117" i="9" s="1"/>
  <c r="G93" i="9" a="1"/>
  <c r="G93" i="9" s="1"/>
  <c r="H93" i="9" s="1"/>
  <c r="G188" i="9" a="1"/>
  <c r="G188" i="9" s="1"/>
  <c r="H188" i="9" s="1"/>
  <c r="G104" i="9" a="1"/>
  <c r="G104" i="9" s="1"/>
  <c r="H104" i="9" s="1"/>
  <c r="G312" i="9" a="1"/>
  <c r="G312" i="9" s="1"/>
  <c r="H312" i="9" s="1"/>
  <c r="G311" i="9" a="1"/>
  <c r="G311" i="9" s="1"/>
  <c r="H311" i="9" s="1"/>
  <c r="G310" i="9" a="1"/>
  <c r="G310" i="9" s="1"/>
  <c r="H310" i="9" s="1"/>
  <c r="G148" i="9" a="1"/>
  <c r="G148" i="9" s="1"/>
  <c r="H148" i="9" s="1"/>
  <c r="G164" i="9" a="1"/>
  <c r="G164" i="9" s="1"/>
  <c r="H164" i="9" s="1"/>
  <c r="G186" i="9" a="1"/>
  <c r="G186" i="9" s="1"/>
  <c r="H186" i="9" s="1"/>
  <c r="G309" i="9" a="1"/>
  <c r="G309" i="9" s="1"/>
  <c r="H309" i="9" s="1"/>
  <c r="G133" i="9" a="1"/>
  <c r="G133" i="9" s="1"/>
  <c r="H133" i="9" s="1"/>
  <c r="G189" i="9" a="1"/>
  <c r="G189" i="9" s="1"/>
  <c r="H189" i="9" s="1"/>
  <c r="G308" i="9" a="1"/>
  <c r="G308" i="9" s="1"/>
  <c r="H308" i="9" s="1"/>
  <c r="G307" i="9" a="1"/>
  <c r="G307" i="9" s="1"/>
  <c r="H307" i="9" s="1"/>
  <c r="G306" i="9" a="1"/>
  <c r="G306" i="9" s="1"/>
  <c r="H306" i="9" s="1"/>
  <c r="G162" i="9" a="1"/>
  <c r="G162" i="9" s="1"/>
  <c r="H162" i="9" s="1"/>
  <c r="G176" i="9" a="1"/>
  <c r="G176" i="9" s="1"/>
  <c r="H176" i="9" s="1"/>
  <c r="G305" i="9" a="1"/>
  <c r="G305" i="9" s="1"/>
  <c r="H305" i="9" s="1"/>
  <c r="G101" i="9" a="1"/>
  <c r="G101" i="9" s="1"/>
  <c r="H101" i="9" s="1"/>
  <c r="G120" i="9" a="1"/>
  <c r="G120" i="9" s="1"/>
  <c r="H120" i="9" s="1"/>
  <c r="G304" i="9" a="1"/>
  <c r="G304" i="9" s="1"/>
  <c r="H304" i="9" s="1"/>
  <c r="G56" i="9" a="1"/>
  <c r="G56" i="9" s="1"/>
  <c r="H56" i="9" s="1"/>
  <c r="G213" i="9" a="1"/>
  <c r="G213" i="9" s="1"/>
  <c r="H213" i="9" s="1"/>
  <c r="G303" i="9" a="1"/>
  <c r="G303" i="9" s="1"/>
  <c r="H303" i="9" s="1"/>
  <c r="G59" i="9" a="1"/>
  <c r="G59" i="9" s="1"/>
  <c r="H59" i="9" s="1"/>
  <c r="G99" i="9" a="1"/>
  <c r="G99" i="9" s="1"/>
  <c r="H99" i="9" s="1"/>
  <c r="G153" i="9" a="1"/>
  <c r="G153" i="9" s="1"/>
  <c r="H153" i="9" s="1"/>
  <c r="G302" i="9" a="1"/>
  <c r="G302" i="9" s="1"/>
  <c r="H302" i="9" s="1"/>
  <c r="G301" i="9" a="1"/>
  <c r="G301" i="9" s="1"/>
  <c r="H301" i="9" s="1"/>
  <c r="G160" i="9" a="1"/>
  <c r="G160" i="9" s="1"/>
  <c r="H160" i="9" s="1"/>
  <c r="G37" i="9" a="1"/>
  <c r="G37" i="9" s="1"/>
  <c r="H37" i="9" s="1"/>
  <c r="G123" i="9" a="1"/>
  <c r="G123" i="9" s="1"/>
  <c r="H123" i="9" s="1"/>
  <c r="G300" i="9" a="1"/>
  <c r="G300" i="9" s="1"/>
  <c r="H300" i="9" s="1"/>
  <c r="G199" i="9" a="1"/>
  <c r="G199" i="9" s="1"/>
  <c r="H199" i="9" s="1"/>
  <c r="G299" i="9" a="1"/>
  <c r="G299" i="9" s="1"/>
  <c r="H299" i="9" s="1"/>
  <c r="G298" i="9" a="1"/>
  <c r="G298" i="9" s="1"/>
  <c r="H298" i="9" s="1"/>
  <c r="G138" i="9" a="1"/>
  <c r="G138" i="9" s="1"/>
  <c r="H138" i="9" s="1"/>
  <c r="G61" i="9" a="1"/>
  <c r="G61" i="9" s="1"/>
  <c r="H61" i="9" s="1"/>
  <c r="G297" i="9" a="1"/>
  <c r="G297" i="9" s="1"/>
  <c r="H297" i="9" s="1"/>
  <c r="G296" i="9" a="1"/>
  <c r="G296" i="9" s="1"/>
  <c r="H296" i="9" s="1"/>
  <c r="G295" i="9" a="1"/>
  <c r="G295" i="9" s="1"/>
  <c r="H295" i="9" s="1"/>
  <c r="G294" i="9" a="1"/>
  <c r="G294" i="9" s="1"/>
  <c r="H294" i="9" s="1"/>
  <c r="G293" i="9" a="1"/>
  <c r="G293" i="9" s="1"/>
  <c r="H293" i="9" s="1"/>
  <c r="G47" i="9" a="1"/>
  <c r="G47" i="9" s="1"/>
  <c r="H47" i="9" s="1"/>
  <c r="G109" i="9" a="1"/>
  <c r="G109" i="9" s="1"/>
  <c r="H109" i="9" s="1"/>
  <c r="G103" i="9" a="1"/>
  <c r="G103" i="9" s="1"/>
  <c r="H103" i="9" s="1"/>
  <c r="G292" i="9" a="1"/>
  <c r="G292" i="9" s="1"/>
  <c r="H292" i="9" s="1"/>
  <c r="G175" i="9" a="1"/>
  <c r="G175" i="9" s="1"/>
  <c r="H175" i="9" s="1"/>
  <c r="G204" i="9" a="1"/>
  <c r="G204" i="9" s="1"/>
  <c r="H204" i="9" s="1"/>
  <c r="G110" i="9" a="1"/>
  <c r="G110" i="9" s="1"/>
  <c r="H110" i="9" s="1"/>
  <c r="G291" i="9" a="1"/>
  <c r="G291" i="9" s="1"/>
  <c r="H291" i="9" s="1"/>
  <c r="G290" i="9" a="1"/>
  <c r="G290" i="9" s="1"/>
  <c r="H290" i="9" s="1"/>
  <c r="G289" i="9" a="1"/>
  <c r="G289" i="9" s="1"/>
  <c r="H289" i="9" s="1"/>
  <c r="G68" i="9" a="1"/>
  <c r="G68" i="9" s="1"/>
  <c r="H68" i="9" s="1"/>
  <c r="G179" i="9" a="1"/>
  <c r="G179" i="9" s="1"/>
  <c r="H179" i="9" s="1"/>
  <c r="G288" i="9" a="1"/>
  <c r="G288" i="9" s="1"/>
  <c r="H288" i="9" s="1"/>
  <c r="G287" i="9" a="1"/>
  <c r="G287" i="9" s="1"/>
  <c r="H287" i="9" s="1"/>
  <c r="G286" i="9" a="1"/>
  <c r="G286" i="9" s="1"/>
  <c r="H286" i="9" s="1"/>
  <c r="G100" i="9" a="1"/>
  <c r="G100" i="9" s="1"/>
  <c r="H100" i="9" s="1"/>
  <c r="G55" i="9" a="1"/>
  <c r="G55" i="9" s="1"/>
  <c r="H55" i="9" s="1"/>
  <c r="G167" i="9" a="1"/>
  <c r="G167" i="9" s="1"/>
  <c r="H167" i="9" s="1"/>
  <c r="G285" i="9" a="1"/>
  <c r="G285" i="9" s="1"/>
  <c r="H285" i="9" s="1"/>
  <c r="G112" i="9" a="1"/>
  <c r="G112" i="9" s="1"/>
  <c r="H112" i="9" s="1"/>
  <c r="G284" i="9" a="1"/>
  <c r="G284" i="9" s="1"/>
  <c r="H284" i="9" s="1"/>
  <c r="G193" i="9" a="1"/>
  <c r="G193" i="9" s="1"/>
  <c r="H193" i="9" s="1"/>
  <c r="G283" i="9" a="1"/>
  <c r="G283" i="9" s="1"/>
  <c r="H283" i="9" s="1"/>
  <c r="G216" i="9" a="1"/>
  <c r="G216" i="9" s="1"/>
  <c r="H216" i="9" s="1"/>
  <c r="G282" i="9" a="1"/>
  <c r="G282" i="9" s="1"/>
  <c r="H282" i="9" s="1"/>
  <c r="G128" i="9" a="1"/>
  <c r="G128" i="9" s="1"/>
  <c r="H128" i="9" s="1"/>
  <c r="G88" i="9" a="1"/>
  <c r="G88" i="9" s="1"/>
  <c r="H88" i="9" s="1"/>
  <c r="G281" i="9" a="1"/>
  <c r="G281" i="9" s="1"/>
  <c r="H281" i="9" s="1"/>
  <c r="G280" i="9" a="1"/>
  <c r="G280" i="9" s="1"/>
  <c r="H280" i="9" s="1"/>
  <c r="G279" i="9" a="1"/>
  <c r="G279" i="9" s="1"/>
  <c r="H279" i="9" s="1"/>
  <c r="G278" i="9" a="1"/>
  <c r="G278" i="9" s="1"/>
  <c r="H278" i="9" s="1"/>
  <c r="G141" i="9" a="1"/>
  <c r="G141" i="9" s="1"/>
  <c r="H141" i="9" s="1"/>
  <c r="G277" i="9" a="1"/>
  <c r="G277" i="9" s="1"/>
  <c r="H277" i="9" s="1"/>
  <c r="G194" i="9" a="1"/>
  <c r="G194" i="9" s="1"/>
  <c r="H194" i="9" s="1"/>
  <c r="G168" i="9" a="1"/>
  <c r="G168" i="9" s="1"/>
  <c r="H168" i="9" s="1"/>
  <c r="G276" i="9" a="1"/>
  <c r="G276" i="9" s="1"/>
  <c r="H276" i="9" s="1"/>
  <c r="G97" i="9" a="1"/>
  <c r="G97" i="9" s="1"/>
  <c r="H97" i="9" s="1"/>
  <c r="G196" i="9" a="1"/>
  <c r="G196" i="9" s="1"/>
  <c r="H196" i="9" s="1"/>
  <c r="G70" i="9" a="1"/>
  <c r="G70" i="9" s="1"/>
  <c r="H70" i="9" s="1"/>
  <c r="G275" i="9" a="1"/>
  <c r="G275" i="9" s="1"/>
  <c r="H275" i="9" s="1"/>
  <c r="G274" i="9" a="1"/>
  <c r="G274" i="9" s="1"/>
  <c r="H274" i="9" s="1"/>
  <c r="G40" i="9" a="1"/>
  <c r="G40" i="9" s="1"/>
  <c r="H40" i="9" s="1"/>
  <c r="G171" i="9" a="1"/>
  <c r="G171" i="9" s="1"/>
  <c r="H171" i="9" s="1"/>
  <c r="G187" i="9" a="1"/>
  <c r="G187" i="9" s="1"/>
  <c r="H187" i="9" s="1"/>
  <c r="G273" i="9" a="1"/>
  <c r="G273" i="9" s="1"/>
  <c r="H273" i="9" s="1"/>
  <c r="G272" i="9" a="1"/>
  <c r="G272" i="9" s="1"/>
  <c r="H272" i="9" s="1"/>
  <c r="G271" i="9" a="1"/>
  <c r="G271" i="9" s="1"/>
  <c r="H271" i="9" s="1"/>
  <c r="G106" i="9" a="1"/>
  <c r="G106" i="9" s="1"/>
  <c r="H106" i="9" s="1"/>
  <c r="G152" i="9" a="1"/>
  <c r="G152" i="9" s="1"/>
  <c r="H152" i="9" s="1"/>
  <c r="G270" i="9" a="1"/>
  <c r="G270" i="9" s="1"/>
  <c r="H270" i="9" s="1"/>
  <c r="G174" i="9" a="1"/>
  <c r="G174" i="9" s="1"/>
  <c r="H174" i="9" s="1"/>
  <c r="G137" i="9" a="1"/>
  <c r="G137" i="9" s="1"/>
  <c r="H137" i="9" s="1"/>
  <c r="G126" i="9" a="1"/>
  <c r="G126" i="9" s="1"/>
  <c r="H126" i="9" s="1"/>
  <c r="G195" i="9" a="1"/>
  <c r="G195" i="9" s="1"/>
  <c r="H195" i="9" s="1"/>
  <c r="G215" i="9" a="1"/>
  <c r="G215" i="9" s="1"/>
  <c r="H215" i="9" s="1"/>
  <c r="G38" i="9" a="1"/>
  <c r="G38" i="9" s="1"/>
  <c r="H38" i="9" s="1"/>
  <c r="G208" i="9" a="1"/>
  <c r="G208" i="9" s="1"/>
  <c r="H208" i="9" s="1"/>
  <c r="G217" i="9" a="1"/>
  <c r="G217" i="9" s="1"/>
  <c r="H217" i="9" s="1"/>
  <c r="G207" i="9" a="1"/>
  <c r="G207" i="9" s="1"/>
  <c r="H207" i="9" s="1"/>
  <c r="G269" i="9" a="1"/>
  <c r="G269" i="9" s="1"/>
  <c r="H269" i="9" s="1"/>
  <c r="G50" i="9" a="1"/>
  <c r="G50" i="9" s="1"/>
  <c r="H50" i="9" s="1"/>
  <c r="G54" i="9" a="1"/>
  <c r="G54" i="9" s="1"/>
  <c r="H54" i="9" s="1"/>
  <c r="G268" i="9" a="1"/>
  <c r="G268" i="9" s="1"/>
  <c r="H268" i="9" s="1"/>
  <c r="G267" i="9" a="1"/>
  <c r="G267" i="9" s="1"/>
  <c r="H267" i="9" s="1"/>
  <c r="G266" i="9" a="1"/>
  <c r="G266" i="9" s="1"/>
  <c r="H266" i="9" s="1"/>
  <c r="G165" i="9" a="1"/>
  <c r="G165" i="9" s="1"/>
  <c r="H165" i="9" s="1"/>
  <c r="G265" i="9" a="1"/>
  <c r="G265" i="9" s="1"/>
  <c r="H265" i="9" s="1"/>
  <c r="G144" i="9" a="1"/>
  <c r="G144" i="9" s="1"/>
  <c r="H144" i="9" s="1"/>
  <c r="G102" i="9" a="1"/>
  <c r="G102" i="9" s="1"/>
  <c r="H102" i="9" s="1"/>
  <c r="G44" i="9" a="1"/>
  <c r="G44" i="9" s="1"/>
  <c r="H44" i="9" s="1"/>
  <c r="G264" i="9" a="1"/>
  <c r="G264" i="9" s="1"/>
  <c r="H264" i="9" s="1"/>
  <c r="G197" i="9" a="1"/>
  <c r="G197" i="9" s="1"/>
  <c r="H197" i="9" s="1"/>
  <c r="G183" i="9" a="1"/>
  <c r="G183" i="9" s="1"/>
  <c r="H183" i="9" s="1"/>
  <c r="G41" i="9" a="1"/>
  <c r="G41" i="9" s="1"/>
  <c r="H41" i="9" s="1"/>
  <c r="G142" i="9" a="1"/>
  <c r="G142" i="9" s="1"/>
  <c r="H142" i="9" s="1"/>
  <c r="G263" i="9" a="1"/>
  <c r="G263" i="9" s="1"/>
  <c r="H263" i="9" s="1"/>
  <c r="G262" i="9" a="1"/>
  <c r="G262" i="9" s="1"/>
  <c r="H262" i="9" s="1"/>
  <c r="G65" i="9" a="1"/>
  <c r="G65" i="9" s="1"/>
  <c r="H65" i="9" s="1"/>
  <c r="G46" i="9" a="1"/>
  <c r="G46" i="9" s="1"/>
  <c r="H46" i="9" s="1"/>
  <c r="G261" i="9" a="1"/>
  <c r="G261" i="9" s="1"/>
  <c r="H261" i="9" s="1"/>
  <c r="G125" i="9" a="1"/>
  <c r="G125" i="9" s="1"/>
  <c r="H125" i="9" s="1"/>
  <c r="G260" i="9" a="1"/>
  <c r="G260" i="9" s="1"/>
  <c r="H260" i="9" s="1"/>
  <c r="G259" i="9" a="1"/>
  <c r="G259" i="9" s="1"/>
  <c r="H259" i="9" s="1"/>
  <c r="G170" i="9" a="1"/>
  <c r="G170" i="9" s="1"/>
  <c r="H170" i="9" s="1"/>
  <c r="G258" i="9" a="1"/>
  <c r="G258" i="9" s="1"/>
  <c r="H258" i="9" s="1"/>
  <c r="G184" i="9" a="1"/>
  <c r="G184" i="9" s="1"/>
  <c r="H184" i="9" s="1"/>
  <c r="G173" i="9" a="1"/>
  <c r="G173" i="9" s="1"/>
  <c r="H173" i="9" s="1"/>
  <c r="G257" i="9" a="1"/>
  <c r="G257" i="9" s="1"/>
  <c r="H257" i="9" s="1"/>
  <c r="G154" i="9" a="1"/>
  <c r="G154" i="9" s="1"/>
  <c r="H154" i="9" s="1"/>
  <c r="G113" i="9" a="1"/>
  <c r="G113" i="9" s="1"/>
  <c r="H113" i="9" s="1"/>
  <c r="G209" i="9" a="1"/>
  <c r="G209" i="9" s="1"/>
  <c r="H209" i="9" s="1"/>
  <c r="G91" i="9" a="1"/>
  <c r="G91" i="9" s="1"/>
  <c r="H91" i="9" s="1"/>
  <c r="G143" i="9" a="1"/>
  <c r="G143" i="9" s="1"/>
  <c r="H143" i="9" s="1"/>
  <c r="G69" i="9" a="1"/>
  <c r="G69" i="9" s="1"/>
  <c r="H69" i="9" s="1"/>
  <c r="G169" i="9" a="1"/>
  <c r="G169" i="9" s="1"/>
  <c r="H169" i="9" s="1"/>
  <c r="G256" i="9" a="1"/>
  <c r="G256" i="9" s="1"/>
  <c r="H256" i="9" s="1"/>
  <c r="G255" i="9" a="1"/>
  <c r="G255" i="9" s="1"/>
  <c r="H255" i="9" s="1"/>
  <c r="G254" i="9" a="1"/>
  <c r="G254" i="9" s="1"/>
  <c r="H254" i="9" s="1"/>
  <c r="G64" i="9" a="1"/>
  <c r="G64" i="9" s="1"/>
  <c r="H64" i="9" s="1"/>
  <c r="G253" i="9" a="1"/>
  <c r="G253" i="9" s="1"/>
  <c r="H253" i="9" s="1"/>
  <c r="G57" i="9" a="1"/>
  <c r="G57" i="9" s="1"/>
  <c r="H57" i="9" s="1"/>
  <c r="G98" i="9" a="1"/>
  <c r="G98" i="9" s="1"/>
  <c r="H98" i="9" s="1"/>
  <c r="G252" i="9" a="1"/>
  <c r="G252" i="9" s="1"/>
  <c r="H252" i="9" s="1"/>
  <c r="G251" i="9" a="1"/>
  <c r="G251" i="9" s="1"/>
  <c r="H251" i="9" s="1"/>
  <c r="G134" i="9" a="1"/>
  <c r="G134" i="9" s="1"/>
  <c r="H134" i="9" s="1"/>
  <c r="G178" i="9" a="1"/>
  <c r="G178" i="9" s="1"/>
  <c r="H178" i="9" s="1"/>
  <c r="G182" i="9" a="1"/>
  <c r="G182" i="9" s="1"/>
  <c r="H182" i="9" s="1"/>
  <c r="G250" i="9" a="1"/>
  <c r="G250" i="9" s="1"/>
  <c r="H250" i="9" s="1"/>
  <c r="G82" i="9" a="1"/>
  <c r="G82" i="9" s="1"/>
  <c r="H82" i="9" s="1"/>
  <c r="G39" i="9" a="1"/>
  <c r="G39" i="9" s="1"/>
  <c r="H39" i="9" s="1"/>
  <c r="G111" i="9" a="1"/>
  <c r="G111" i="9" s="1"/>
  <c r="H111" i="9" s="1"/>
  <c r="G81" i="9" a="1"/>
  <c r="G81" i="9" s="1"/>
  <c r="H81" i="9" s="1"/>
  <c r="G249" i="9" a="1"/>
  <c r="G249" i="9" s="1"/>
  <c r="H249" i="9" s="1"/>
  <c r="G248" i="9" a="1"/>
  <c r="G248" i="9" s="1"/>
  <c r="H248" i="9" s="1"/>
  <c r="G247" i="9" a="1"/>
  <c r="G247" i="9" s="1"/>
  <c r="H247" i="9" s="1"/>
  <c r="G166" i="9" a="1"/>
  <c r="G166" i="9" s="1"/>
  <c r="H166" i="9" s="1"/>
  <c r="G198" i="9" a="1"/>
  <c r="G198" i="9" s="1"/>
  <c r="H198" i="9" s="1"/>
  <c r="G140" i="9" a="1"/>
  <c r="G140" i="9" s="1"/>
  <c r="H140" i="9" s="1"/>
  <c r="G90" i="9" a="1"/>
  <c r="G90" i="9" s="1"/>
  <c r="H90" i="9" s="1"/>
  <c r="G67" i="9" a="1"/>
  <c r="G67" i="9" s="1"/>
  <c r="H67" i="9" s="1"/>
  <c r="G246" i="9" a="1"/>
  <c r="G246" i="9" s="1"/>
  <c r="H246" i="9" s="1"/>
  <c r="G245" i="9" a="1"/>
  <c r="G245" i="9" s="1"/>
  <c r="H245" i="9" s="1"/>
  <c r="G244" i="9" a="1"/>
  <c r="G244" i="9" s="1"/>
  <c r="H244" i="9" s="1"/>
  <c r="G243" i="9" a="1"/>
  <c r="G243" i="9" s="1"/>
  <c r="H243" i="9" s="1"/>
  <c r="G242" i="9" a="1"/>
  <c r="G242" i="9" s="1"/>
  <c r="H242" i="9" s="1"/>
  <c r="G80" i="9" a="1"/>
  <c r="G80" i="9" s="1"/>
  <c r="H80" i="9" s="1"/>
  <c r="G241" i="9" a="1"/>
  <c r="G241" i="9" s="1"/>
  <c r="H241" i="9" s="1"/>
  <c r="G240" i="9" a="1"/>
  <c r="G240" i="9" s="1"/>
  <c r="H240" i="9" s="1"/>
  <c r="G139" i="9" a="1"/>
  <c r="G139" i="9" s="1"/>
  <c r="H139" i="9" s="1"/>
  <c r="G239" i="9" a="1"/>
  <c r="G239" i="9" s="1"/>
  <c r="H239" i="9" s="1"/>
  <c r="G238" i="9" a="1"/>
  <c r="G238" i="9" s="1"/>
  <c r="H238" i="9" s="1"/>
  <c r="G62" i="9" a="1"/>
  <c r="G62" i="9" s="1"/>
  <c r="H62" i="9" s="1"/>
  <c r="G63" i="9" a="1"/>
  <c r="G63" i="9" s="1"/>
  <c r="H63" i="9" s="1"/>
  <c r="G151" i="9" a="1"/>
  <c r="G151" i="9" s="1"/>
  <c r="H151" i="9" s="1"/>
  <c r="G86" i="9" a="1"/>
  <c r="G86" i="9" s="1"/>
  <c r="H86" i="9" s="1"/>
  <c r="G157" i="9" a="1"/>
  <c r="G157" i="9" s="1"/>
  <c r="H157" i="9" s="1"/>
  <c r="G201" i="9" a="1"/>
  <c r="G201" i="9" s="1"/>
  <c r="H201" i="9" s="1"/>
  <c r="G190" i="9" a="1"/>
  <c r="G190" i="9" s="1"/>
  <c r="H190" i="9" s="1"/>
  <c r="G132" i="9" a="1"/>
  <c r="G132" i="9" s="1"/>
  <c r="H132" i="9" s="1"/>
  <c r="G212" i="9" a="1"/>
  <c r="G212" i="9" s="1"/>
  <c r="H212" i="9" s="1"/>
  <c r="G51" i="9" a="1"/>
  <c r="G51" i="9" s="1"/>
  <c r="H51" i="9" s="1"/>
  <c r="G237" i="9" a="1"/>
  <c r="G237" i="9" s="1"/>
  <c r="H237" i="9" s="1"/>
  <c r="G52" i="9" a="1"/>
  <c r="G52" i="9" s="1"/>
  <c r="H52" i="9" s="1"/>
  <c r="G79" i="9" a="1"/>
  <c r="G79" i="9" s="1"/>
  <c r="H79" i="9" s="1"/>
  <c r="G114" i="9" a="1"/>
  <c r="G114" i="9" s="1"/>
  <c r="H114" i="9" s="1"/>
  <c r="G158" i="9" a="1"/>
  <c r="G158" i="9" s="1"/>
  <c r="H158" i="9" s="1"/>
  <c r="G236" i="9" a="1"/>
  <c r="G236" i="9" s="1"/>
  <c r="H236" i="9" s="1"/>
  <c r="G235" i="9" a="1"/>
  <c r="G235" i="9" s="1"/>
  <c r="H235" i="9" s="1"/>
  <c r="G210" i="9" a="1"/>
  <c r="G210" i="9" s="1"/>
  <c r="H210" i="9" s="1"/>
  <c r="G234" i="9" a="1"/>
  <c r="G234" i="9" s="1"/>
  <c r="H234" i="9" s="1"/>
  <c r="G156" i="9" a="1"/>
  <c r="G156" i="9" s="1"/>
  <c r="H156" i="9" s="1"/>
  <c r="G233" i="9" a="1"/>
  <c r="G233" i="9" s="1"/>
  <c r="H233" i="9" s="1"/>
  <c r="G232" i="9" a="1"/>
  <c r="G232" i="9" s="1"/>
  <c r="H232" i="9" s="1"/>
  <c r="G121" i="9" a="1"/>
  <c r="G121" i="9" s="1"/>
  <c r="H121" i="9" s="1"/>
  <c r="G231" i="9" a="1"/>
  <c r="G231" i="9" s="1"/>
  <c r="H231" i="9" s="1"/>
  <c r="G159" i="9" a="1"/>
  <c r="G159" i="9" s="1"/>
  <c r="H159" i="9" s="1"/>
  <c r="G230" i="9" a="1"/>
  <c r="G230" i="9" s="1"/>
  <c r="H230" i="9" s="1"/>
  <c r="G229" i="9" a="1"/>
  <c r="G229" i="9" s="1"/>
  <c r="H229" i="9" s="1"/>
  <c r="G96" i="9" a="1"/>
  <c r="G96" i="9" s="1"/>
  <c r="H96" i="9" s="1"/>
  <c r="G115" i="9" a="1"/>
  <c r="G115" i="9" s="1"/>
  <c r="H115" i="9" s="1"/>
  <c r="G228" i="9" a="1"/>
  <c r="G228" i="9" s="1"/>
  <c r="H228" i="9" s="1"/>
  <c r="G127" i="9" a="1"/>
  <c r="G127" i="9" s="1"/>
  <c r="H127" i="9" s="1"/>
  <c r="G227" i="9" a="1"/>
  <c r="G227" i="9" s="1"/>
  <c r="H227" i="9" s="1"/>
  <c r="G145" i="9" a="1"/>
  <c r="G145" i="9" s="1"/>
  <c r="H145" i="9" s="1"/>
  <c r="G226" i="9" a="1"/>
  <c r="G226" i="9" s="1"/>
  <c r="H226" i="9" s="1"/>
  <c r="G225" i="9" a="1"/>
  <c r="G225" i="9" s="1"/>
  <c r="H225" i="9" s="1"/>
  <c r="G224" i="9" a="1"/>
  <c r="G224" i="9" s="1"/>
  <c r="H224" i="9" s="1"/>
  <c r="G122" i="9" a="1"/>
  <c r="G122" i="9" s="1"/>
  <c r="H122" i="9" s="1"/>
  <c r="G202" i="9" a="1"/>
  <c r="G202" i="9" s="1"/>
  <c r="H202" i="9" s="1"/>
  <c r="G223" i="9" a="1"/>
  <c r="G223" i="9" s="1"/>
  <c r="H223" i="9" s="1"/>
  <c r="G222" i="9" a="1"/>
  <c r="G222" i="9" s="1"/>
  <c r="H222" i="9" s="1"/>
  <c r="G83" i="9" a="1"/>
  <c r="G83" i="9" s="1"/>
  <c r="H83" i="9" s="1"/>
  <c r="G135" i="9" a="1"/>
  <c r="G135" i="9" s="1"/>
  <c r="H135" i="9" s="1"/>
  <c r="G203" i="9" a="1"/>
  <c r="G203" i="9" s="1"/>
  <c r="H203" i="9" s="1"/>
  <c r="G48" i="9" a="1"/>
  <c r="G48" i="9" s="1"/>
  <c r="H48" i="9" s="1"/>
  <c r="G72" i="9" a="1"/>
  <c r="G72" i="9" s="1"/>
  <c r="H72" i="9" s="1"/>
  <c r="G94" i="9" a="1"/>
  <c r="G94" i="9" s="1"/>
  <c r="H94" i="9" s="1"/>
  <c r="G129" i="9" a="1"/>
  <c r="G129" i="9" s="1"/>
  <c r="H129" i="9" s="1"/>
  <c r="G149" i="9" a="1"/>
  <c r="G149" i="9" s="1"/>
  <c r="H149" i="9" s="1"/>
  <c r="G221" i="9" a="1"/>
  <c r="G221" i="9" s="1"/>
  <c r="H221" i="9" s="1"/>
  <c r="G92" i="9" a="1"/>
  <c r="G92" i="9" s="1"/>
  <c r="H92" i="9" s="1"/>
  <c r="G49" i="9" a="1"/>
  <c r="G49" i="9" s="1"/>
  <c r="H49" i="9" s="1"/>
  <c r="G220" i="9" a="1"/>
  <c r="G220" i="9" s="1"/>
  <c r="H220" i="9" s="1"/>
  <c r="G205" i="9" a="1"/>
  <c r="G205" i="9" s="1"/>
  <c r="H205" i="9" s="1"/>
  <c r="G131" i="9" a="1"/>
  <c r="G131" i="9" s="1"/>
  <c r="H131" i="9" s="1"/>
  <c r="G87" i="9" a="1"/>
  <c r="G87" i="9" s="1"/>
  <c r="H87" i="9" s="1"/>
  <c r="G130" i="9" a="1"/>
  <c r="G130" i="9" s="1"/>
  <c r="H130" i="9" s="1"/>
  <c r="G75" i="9" a="1"/>
  <c r="G75" i="9" s="1"/>
  <c r="H75" i="9" s="1"/>
  <c r="G219" i="9" a="1"/>
  <c r="G219" i="9" s="1"/>
  <c r="H219" i="9" s="1"/>
  <c r="G107" i="9" a="1"/>
  <c r="G107" i="9" s="1"/>
  <c r="H107" i="9" s="1"/>
  <c r="I10" i="6"/>
  <c r="I11" i="6"/>
  <c r="I12" i="6"/>
  <c r="I13" i="6"/>
  <c r="I14" i="6"/>
  <c r="I15" i="6"/>
  <c r="I16" i="6"/>
  <c r="I17" i="6"/>
  <c r="I18" i="6"/>
  <c r="I19" i="6"/>
  <c r="I21" i="6"/>
  <c r="I23" i="6"/>
  <c r="I24" i="6"/>
  <c r="I25" i="6"/>
  <c r="I26" i="6"/>
  <c r="I27" i="6"/>
  <c r="I29" i="6"/>
  <c r="I30" i="6"/>
  <c r="I32" i="6"/>
  <c r="I33" i="6"/>
  <c r="I34" i="6"/>
  <c r="J3" i="1"/>
  <c r="L3" i="1" s="1"/>
  <c r="J4" i="1"/>
  <c r="K4" i="1" s="1"/>
  <c r="O4" i="1" s="1"/>
  <c r="J5" i="1"/>
  <c r="L5" i="1" s="1"/>
  <c r="J6" i="1"/>
  <c r="L6" i="1" s="1"/>
  <c r="J7" i="1"/>
  <c r="J8" i="1"/>
  <c r="K8" i="1" s="1"/>
  <c r="O8" i="1" s="1"/>
  <c r="J9" i="1"/>
  <c r="J10" i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J18" i="1"/>
  <c r="J19" i="1"/>
  <c r="J20" i="1"/>
  <c r="K20" i="1" s="1"/>
  <c r="O20" i="1" s="1"/>
  <c r="J21" i="1"/>
  <c r="K21" i="1" s="1"/>
  <c r="K51" i="3" s="1"/>
  <c r="J22" i="1"/>
  <c r="K22" i="1" s="1"/>
  <c r="K124" i="3" s="1"/>
  <c r="N124" i="3" s="1"/>
  <c r="O124" i="3" s="1"/>
  <c r="J23" i="1"/>
  <c r="L23" i="1" s="1"/>
  <c r="J24" i="1"/>
  <c r="K24" i="1" s="1"/>
  <c r="O24" i="1" s="1"/>
  <c r="J25" i="1"/>
  <c r="K25" i="1" s="1"/>
  <c r="O25" i="1" s="1"/>
  <c r="J26" i="1"/>
  <c r="L26" i="1" s="1"/>
  <c r="J27" i="1"/>
  <c r="J28" i="1"/>
  <c r="K28" i="1" s="1"/>
  <c r="O28" i="1" s="1"/>
  <c r="J29" i="1"/>
  <c r="L29" i="1" s="1"/>
  <c r="J30" i="1"/>
  <c r="L30" i="1" s="1"/>
  <c r="J31" i="1"/>
  <c r="L31" i="1" s="1"/>
  <c r="J32" i="1"/>
  <c r="K32" i="1" s="1"/>
  <c r="O32" i="1" s="1"/>
  <c r="J33" i="1"/>
  <c r="K33" i="1" s="1"/>
  <c r="O33" i="1" s="1"/>
  <c r="J34" i="1"/>
  <c r="L34" i="1" s="1"/>
  <c r="J35" i="1"/>
  <c r="L35" i="1" s="1"/>
  <c r="J36" i="1"/>
  <c r="L36" i="1" s="1"/>
  <c r="J37" i="1"/>
  <c r="L37" i="1" s="1"/>
  <c r="J38" i="1"/>
  <c r="J39" i="1"/>
  <c r="J40" i="1"/>
  <c r="K40" i="1" s="1"/>
  <c r="O40" i="1" s="1"/>
  <c r="J41" i="1"/>
  <c r="J42" i="1"/>
  <c r="K42" i="1" s="1"/>
  <c r="O42" i="1" s="1"/>
  <c r="J43" i="1"/>
  <c r="L43" i="1" s="1"/>
  <c r="J44" i="1"/>
  <c r="K44" i="1" s="1"/>
  <c r="O44" i="1" s="1"/>
  <c r="J45" i="1"/>
  <c r="K45" i="1" s="1"/>
  <c r="O45" i="1" s="1"/>
  <c r="J46" i="1"/>
  <c r="L46" i="1" s="1"/>
  <c r="J47" i="1"/>
  <c r="K47" i="1" s="1"/>
  <c r="O47" i="1" s="1"/>
  <c r="J48" i="1"/>
  <c r="K48" i="1" s="1"/>
  <c r="J49" i="1"/>
  <c r="K49" i="1" s="1"/>
  <c r="O49" i="1" s="1"/>
  <c r="J50" i="1"/>
  <c r="J51" i="1"/>
  <c r="L51" i="1" s="1"/>
  <c r="J52" i="1"/>
  <c r="K52" i="1" s="1"/>
  <c r="O52" i="1" s="1"/>
  <c r="J53" i="1"/>
  <c r="K53" i="1" s="1"/>
  <c r="O53" i="1" s="1"/>
  <c r="J54" i="1"/>
  <c r="L54" i="1" s="1"/>
  <c r="J55" i="1"/>
  <c r="L55" i="1" s="1"/>
  <c r="J56" i="1"/>
  <c r="K56" i="1" s="1"/>
  <c r="O56" i="1" s="1"/>
  <c r="J57" i="1"/>
  <c r="J58" i="1"/>
  <c r="J59" i="1"/>
  <c r="L59" i="1" s="1"/>
  <c r="J60" i="1"/>
  <c r="K60" i="1" s="1"/>
  <c r="O60" i="1" s="1"/>
  <c r="J61" i="1"/>
  <c r="K61" i="1" s="1"/>
  <c r="O61" i="1" s="1"/>
  <c r="J62" i="1"/>
  <c r="L62" i="1" s="1"/>
  <c r="J63" i="1"/>
  <c r="L63" i="1" s="1"/>
  <c r="J64" i="1"/>
  <c r="K64" i="1" s="1"/>
  <c r="O64" i="1" s="1"/>
  <c r="J65" i="1"/>
  <c r="L65" i="1" s="1"/>
  <c r="J66" i="1"/>
  <c r="L66" i="1" s="1"/>
  <c r="J67" i="1"/>
  <c r="J68" i="1"/>
  <c r="K68" i="1" s="1"/>
  <c r="O68" i="1" s="1"/>
  <c r="J69" i="1"/>
  <c r="J70" i="1"/>
  <c r="J71" i="1"/>
  <c r="J72" i="1"/>
  <c r="J73" i="1"/>
  <c r="J74" i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K80" i="1" s="1"/>
  <c r="O80" i="1" s="1"/>
  <c r="J81" i="1"/>
  <c r="K81" i="1" s="1"/>
  <c r="O81" i="1" s="1"/>
  <c r="J82" i="1"/>
  <c r="K82" i="1" s="1"/>
  <c r="K57" i="3" s="1"/>
  <c r="J83" i="1"/>
  <c r="L83" i="1" s="1"/>
  <c r="J84" i="1"/>
  <c r="K84" i="1" s="1"/>
  <c r="O84" i="1" s="1"/>
  <c r="J85" i="1"/>
  <c r="K85" i="1" s="1"/>
  <c r="O85" i="1" s="1"/>
  <c r="J86" i="1"/>
  <c r="L86" i="1" s="1"/>
  <c r="J87" i="1"/>
  <c r="J88" i="1"/>
  <c r="K88" i="1" s="1"/>
  <c r="O88" i="1" s="1"/>
  <c r="J89" i="1"/>
  <c r="L89" i="1" s="1"/>
  <c r="J90" i="1"/>
  <c r="J91" i="1"/>
  <c r="J92" i="1"/>
  <c r="K92" i="1" s="1"/>
  <c r="O92" i="1" s="1"/>
  <c r="J93" i="1"/>
  <c r="K93" i="1" s="1"/>
  <c r="O93" i="1" s="1"/>
  <c r="J94" i="1"/>
  <c r="L94" i="1" s="1"/>
  <c r="J95" i="1"/>
  <c r="L95" i="1" s="1"/>
  <c r="J96" i="1"/>
  <c r="K96" i="1" s="1"/>
  <c r="O96" i="1" s="1"/>
  <c r="J97" i="1"/>
  <c r="J98" i="1"/>
  <c r="J99" i="1"/>
  <c r="L99" i="1" s="1"/>
  <c r="J100" i="1"/>
  <c r="K100" i="1" s="1"/>
  <c r="O100" i="1" s="1"/>
  <c r="J101" i="1"/>
  <c r="J102" i="1"/>
  <c r="L102" i="1" s="1"/>
  <c r="J103" i="1"/>
  <c r="L103" i="1" s="1"/>
  <c r="J104" i="1"/>
  <c r="K104" i="1" s="1"/>
  <c r="O104" i="1" s="1"/>
  <c r="J105" i="1"/>
  <c r="L105" i="1" s="1"/>
  <c r="J106" i="1"/>
  <c r="L106" i="1" s="1"/>
  <c r="J107" i="1"/>
  <c r="L107" i="1" s="1"/>
  <c r="J108" i="1"/>
  <c r="K108" i="1" s="1"/>
  <c r="O108" i="1" s="1"/>
  <c r="J109" i="1"/>
  <c r="K109" i="1" s="1"/>
  <c r="O109" i="1" s="1"/>
  <c r="J110" i="1"/>
  <c r="J111" i="1"/>
  <c r="L111" i="1" s="1"/>
  <c r="J112" i="1"/>
  <c r="L112" i="1" s="1"/>
  <c r="J113" i="1"/>
  <c r="L113" i="1" s="1"/>
  <c r="J114" i="1"/>
  <c r="L114" i="1" s="1"/>
  <c r="J115" i="1"/>
  <c r="L115" i="1" s="1"/>
  <c r="J116" i="1"/>
  <c r="K116" i="1" s="1"/>
  <c r="O116" i="1" s="1"/>
  <c r="J117" i="1"/>
  <c r="K117" i="1" s="1"/>
  <c r="O117" i="1" s="1"/>
  <c r="J118" i="1"/>
  <c r="J119" i="1"/>
  <c r="J120" i="1"/>
  <c r="K120" i="1" s="1"/>
  <c r="O120" i="1" s="1"/>
  <c r="J121" i="1"/>
  <c r="J122" i="1"/>
  <c r="K122" i="1" s="1"/>
  <c r="O122" i="1" s="1"/>
  <c r="J123" i="1"/>
  <c r="L123" i="1" s="1"/>
  <c r="J124" i="1"/>
  <c r="K124" i="1" s="1"/>
  <c r="O124" i="1" s="1"/>
  <c r="J125" i="1"/>
  <c r="K125" i="1" s="1"/>
  <c r="O125" i="1" s="1"/>
  <c r="J126" i="1"/>
  <c r="L126" i="1" s="1"/>
  <c r="J127" i="1"/>
  <c r="J128" i="1"/>
  <c r="K128" i="1" s="1"/>
  <c r="O128" i="1" s="1"/>
  <c r="J129" i="1"/>
  <c r="L129" i="1" s="1"/>
  <c r="J130" i="1"/>
  <c r="L130" i="1" s="1"/>
  <c r="J131" i="1"/>
  <c r="L131" i="1" s="1"/>
  <c r="J132" i="1"/>
  <c r="J133" i="1"/>
  <c r="J134" i="1"/>
  <c r="L134" i="1" s="1"/>
  <c r="J135" i="1"/>
  <c r="L135" i="1" s="1"/>
  <c r="J136" i="1"/>
  <c r="L136" i="1" s="1"/>
  <c r="J137" i="1"/>
  <c r="L137" i="1" s="1"/>
  <c r="J138" i="1"/>
  <c r="J139" i="1"/>
  <c r="J140" i="1"/>
  <c r="K140" i="1" s="1"/>
  <c r="O140" i="1" s="1"/>
  <c r="J141" i="1"/>
  <c r="K141" i="1" s="1"/>
  <c r="O141" i="1" s="1"/>
  <c r="J142" i="1"/>
  <c r="K142" i="1" s="1"/>
  <c r="O142" i="1" s="1"/>
  <c r="J143" i="1"/>
  <c r="L143" i="1" s="1"/>
  <c r="J144" i="1"/>
  <c r="K144" i="1" s="1"/>
  <c r="O144" i="1" s="1"/>
  <c r="J145" i="1"/>
  <c r="K145" i="1" s="1"/>
  <c r="O145" i="1" s="1"/>
  <c r="J146" i="1"/>
  <c r="L146" i="1" s="1"/>
  <c r="J147" i="1"/>
  <c r="J148" i="1"/>
  <c r="K148" i="1" s="1"/>
  <c r="O148" i="1" s="1"/>
  <c r="J149" i="1"/>
  <c r="J150" i="1"/>
  <c r="J151" i="1"/>
  <c r="L151" i="1" s="1"/>
  <c r="J152" i="1"/>
  <c r="L152" i="1" s="1"/>
  <c r="J153" i="1"/>
  <c r="L153" i="1" s="1"/>
  <c r="J154" i="1"/>
  <c r="L154" i="1" s="1"/>
  <c r="J155" i="1"/>
  <c r="L155" i="1" s="1"/>
  <c r="J156" i="1"/>
  <c r="K156" i="1" s="1"/>
  <c r="O156" i="1" s="1"/>
  <c r="J157" i="1"/>
  <c r="K157" i="1" s="1"/>
  <c r="O157" i="1" s="1"/>
  <c r="J158" i="1"/>
  <c r="J159" i="1"/>
  <c r="L159" i="1" s="1"/>
  <c r="J160" i="1"/>
  <c r="K160" i="1" s="1"/>
  <c r="O160" i="1" s="1"/>
  <c r="J161" i="1"/>
  <c r="J162" i="1"/>
  <c r="L162" i="1" s="1"/>
  <c r="J163" i="1"/>
  <c r="L163" i="1" s="1"/>
  <c r="J164" i="1"/>
  <c r="K164" i="1" s="1"/>
  <c r="O164" i="1" s="1"/>
  <c r="J165" i="1"/>
  <c r="K165" i="1" s="1"/>
  <c r="O165" i="1" s="1"/>
  <c r="J166" i="1"/>
  <c r="L166" i="1" s="1"/>
  <c r="J167" i="1"/>
  <c r="J168" i="1"/>
  <c r="K168" i="1" s="1"/>
  <c r="O168" i="1" s="1"/>
  <c r="J169" i="1"/>
  <c r="J170" i="1"/>
  <c r="J171" i="1"/>
  <c r="J172" i="1"/>
  <c r="K172" i="1" s="1"/>
  <c r="O172" i="1" s="1"/>
  <c r="J173" i="1"/>
  <c r="K173" i="1" s="1"/>
  <c r="O173" i="1" s="1"/>
  <c r="J174" i="1"/>
  <c r="L174" i="1" s="1"/>
  <c r="J175" i="1"/>
  <c r="L175" i="1" s="1"/>
  <c r="J176" i="1"/>
  <c r="L176" i="1" s="1"/>
  <c r="J177" i="1"/>
  <c r="K177" i="1" s="1"/>
  <c r="O177" i="1" s="1"/>
  <c r="J178" i="1"/>
  <c r="L178" i="1" s="1"/>
  <c r="J179" i="1"/>
  <c r="L179" i="1" s="1"/>
  <c r="J180" i="1"/>
  <c r="K180" i="1" s="1"/>
  <c r="O180" i="1" s="1"/>
  <c r="J181" i="1"/>
  <c r="J182" i="1"/>
  <c r="K182" i="1" s="1"/>
  <c r="O182" i="1" s="1"/>
  <c r="J183" i="1"/>
  <c r="L183" i="1" s="1"/>
  <c r="J184" i="1"/>
  <c r="K184" i="1" s="1"/>
  <c r="O184" i="1" s="1"/>
  <c r="J185" i="1"/>
  <c r="K185" i="1" s="1"/>
  <c r="O185" i="1" s="1"/>
  <c r="J186" i="1"/>
  <c r="L186" i="1" s="1"/>
  <c r="J187" i="1"/>
  <c r="J188" i="1"/>
  <c r="K188" i="1" s="1"/>
  <c r="O188" i="1" s="1"/>
  <c r="J189" i="1"/>
  <c r="L189" i="1" s="1"/>
  <c r="J190" i="1"/>
  <c r="J191" i="1"/>
  <c r="J192" i="1"/>
  <c r="J193" i="1"/>
  <c r="J194" i="1"/>
  <c r="L194" i="1" s="1"/>
  <c r="J195" i="1"/>
  <c r="L195" i="1" s="1"/>
  <c r="J196" i="1"/>
  <c r="L196" i="1" s="1"/>
  <c r="J197" i="1"/>
  <c r="J198" i="1"/>
  <c r="J199" i="1"/>
  <c r="L199" i="1" s="1"/>
  <c r="J200" i="1"/>
  <c r="K200" i="1" s="1"/>
  <c r="O200" i="1" s="1"/>
  <c r="J201" i="1"/>
  <c r="J202" i="1"/>
  <c r="K202" i="1" s="1"/>
  <c r="O202" i="1" s="1"/>
  <c r="J203" i="1"/>
  <c r="L203" i="1" s="1"/>
  <c r="J204" i="1"/>
  <c r="K204" i="1" s="1"/>
  <c r="O204" i="1" s="1"/>
  <c r="J205" i="1"/>
  <c r="K205" i="1" s="1"/>
  <c r="O205" i="1" s="1"/>
  <c r="J206" i="1"/>
  <c r="L206" i="1" s="1"/>
  <c r="J207" i="1"/>
  <c r="J208" i="1"/>
  <c r="K208" i="1" s="1"/>
  <c r="O208" i="1" s="1"/>
  <c r="J209" i="1"/>
  <c r="J210" i="1"/>
  <c r="J211" i="1"/>
  <c r="L211" i="1" s="1"/>
  <c r="J212" i="1"/>
  <c r="L212" i="1" s="1"/>
  <c r="J213" i="1"/>
  <c r="L213" i="1" s="1"/>
  <c r="J214" i="1"/>
  <c r="L214" i="1" s="1"/>
  <c r="J215" i="1"/>
  <c r="L215" i="1" s="1"/>
  <c r="J216" i="1"/>
  <c r="L216" i="1" s="1"/>
  <c r="J217" i="1"/>
  <c r="K217" i="1" s="1"/>
  <c r="O217" i="1" s="1"/>
  <c r="J218" i="1"/>
  <c r="J219" i="1"/>
  <c r="K219" i="1" s="1"/>
  <c r="O219" i="1" s="1"/>
  <c r="J220" i="1"/>
  <c r="K220" i="1" s="1"/>
  <c r="O220" i="1" s="1"/>
  <c r="J221" i="1"/>
  <c r="J222" i="1"/>
  <c r="L222" i="1" s="1"/>
  <c r="J223" i="1"/>
  <c r="L223" i="1" s="1"/>
  <c r="J224" i="1"/>
  <c r="K224" i="1" s="1"/>
  <c r="O224" i="1" s="1"/>
  <c r="J225" i="1"/>
  <c r="L225" i="1" s="1"/>
  <c r="J226" i="1"/>
  <c r="L226" i="1" s="1"/>
  <c r="J227" i="1"/>
  <c r="J228" i="1"/>
  <c r="K228" i="1" s="1"/>
  <c r="O228" i="1" s="1"/>
  <c r="J229" i="1"/>
  <c r="L229" i="1" s="1"/>
  <c r="J230" i="1"/>
  <c r="L230" i="1" s="1"/>
  <c r="J231" i="1"/>
  <c r="L231" i="1" s="1"/>
  <c r="J232" i="1"/>
  <c r="J233" i="1"/>
  <c r="K233" i="1" s="1"/>
  <c r="O233" i="1" s="1"/>
  <c r="J234" i="1"/>
  <c r="L234" i="1" s="1"/>
  <c r="J235" i="1"/>
  <c r="L235" i="1" s="1"/>
  <c r="J236" i="1"/>
  <c r="L236" i="1" s="1"/>
  <c r="J237" i="1"/>
  <c r="L237" i="1" s="1"/>
  <c r="J238" i="1"/>
  <c r="J239" i="1"/>
  <c r="K239" i="1" s="1"/>
  <c r="O239" i="1" s="1"/>
  <c r="J240" i="1"/>
  <c r="K240" i="1" s="1"/>
  <c r="O240" i="1" s="1"/>
  <c r="J241" i="1"/>
  <c r="J242" i="1"/>
  <c r="K242" i="1" s="1"/>
  <c r="O242" i="1" s="1"/>
  <c r="J243" i="1"/>
  <c r="L243" i="1" s="1"/>
  <c r="J244" i="1"/>
  <c r="K244" i="1" s="1"/>
  <c r="O244" i="1" s="1"/>
  <c r="J245" i="1"/>
  <c r="K245" i="1" s="1"/>
  <c r="O245" i="1" s="1"/>
  <c r="J246" i="1"/>
  <c r="L246" i="1" s="1"/>
  <c r="J247" i="1"/>
  <c r="J248" i="1"/>
  <c r="K248" i="1" s="1"/>
  <c r="O248" i="1" s="1"/>
  <c r="J249" i="1"/>
  <c r="J250" i="1"/>
  <c r="L250" i="1" s="1"/>
  <c r="J251" i="1"/>
  <c r="L251" i="1" s="1"/>
  <c r="J252" i="1"/>
  <c r="L252" i="1" s="1"/>
  <c r="J253" i="1"/>
  <c r="L253" i="1" s="1"/>
  <c r="J254" i="1"/>
  <c r="L254" i="1" s="1"/>
  <c r="J255" i="1"/>
  <c r="L255" i="1" s="1"/>
  <c r="J256" i="1"/>
  <c r="L256" i="1" s="1"/>
  <c r="J257" i="1"/>
  <c r="J258" i="1"/>
  <c r="L258" i="1" s="1"/>
  <c r="J259" i="1"/>
  <c r="L259" i="1" s="1"/>
  <c r="J260" i="1"/>
  <c r="K260" i="1" s="1"/>
  <c r="O260" i="1" s="1"/>
  <c r="J261" i="1"/>
  <c r="J262" i="1"/>
  <c r="L262" i="1" s="1"/>
  <c r="J263" i="1"/>
  <c r="L263" i="1" s="1"/>
  <c r="J264" i="1"/>
  <c r="K264" i="1" s="1"/>
  <c r="K35" i="3" s="1"/>
  <c r="J265" i="1"/>
  <c r="K265" i="1" s="1"/>
  <c r="O265" i="1" s="1"/>
  <c r="J266" i="1"/>
  <c r="L266" i="1" s="1"/>
  <c r="J267" i="1"/>
  <c r="K267" i="1" s="1"/>
  <c r="O267" i="1" s="1"/>
  <c r="J268" i="1"/>
  <c r="K268" i="1" s="1"/>
  <c r="O268" i="1" s="1"/>
  <c r="J269" i="1"/>
  <c r="K269" i="1" s="1"/>
  <c r="O269" i="1" s="1"/>
  <c r="J270" i="1"/>
  <c r="J271" i="1"/>
  <c r="J272" i="1"/>
  <c r="J273" i="1"/>
  <c r="L273" i="1" s="1"/>
  <c r="J274" i="1"/>
  <c r="L274" i="1" s="1"/>
  <c r="J275" i="1"/>
  <c r="L275" i="1" s="1"/>
  <c r="J276" i="1"/>
  <c r="L276" i="1" s="1"/>
  <c r="J277" i="1"/>
  <c r="K277" i="1" s="1"/>
  <c r="O277" i="1" s="1"/>
  <c r="J278" i="1"/>
  <c r="J279" i="1"/>
  <c r="K279" i="1" s="1"/>
  <c r="O279" i="1" s="1"/>
  <c r="J280" i="1"/>
  <c r="K280" i="1" s="1"/>
  <c r="O280" i="1" s="1"/>
  <c r="J281" i="1"/>
  <c r="J282" i="1"/>
  <c r="L282" i="1" s="1"/>
  <c r="J283" i="1"/>
  <c r="L283" i="1" s="1"/>
  <c r="J284" i="1"/>
  <c r="K284" i="1" s="1"/>
  <c r="O284" i="1" s="1"/>
  <c r="J285" i="1"/>
  <c r="L285" i="1" s="1"/>
  <c r="J286" i="1"/>
  <c r="L286" i="1" s="1"/>
  <c r="J287" i="1"/>
  <c r="K287" i="1" s="1"/>
  <c r="O287" i="1" s="1"/>
  <c r="J288" i="1"/>
  <c r="L288" i="1" s="1"/>
  <c r="J289" i="1"/>
  <c r="J290" i="1"/>
  <c r="J291" i="1"/>
  <c r="J292" i="1"/>
  <c r="J293" i="1"/>
  <c r="J294" i="1"/>
  <c r="L294" i="1" s="1"/>
  <c r="J295" i="1"/>
  <c r="L295" i="1" s="1"/>
  <c r="J296" i="1"/>
  <c r="L296" i="1" s="1"/>
  <c r="J297" i="1"/>
  <c r="L297" i="1" s="1"/>
  <c r="J298" i="1"/>
  <c r="L298" i="1" s="1"/>
  <c r="J299" i="1"/>
  <c r="K299" i="1" s="1"/>
  <c r="O299" i="1" s="1"/>
  <c r="J300" i="1"/>
  <c r="K300" i="1" s="1"/>
  <c r="O300" i="1" s="1"/>
  <c r="J301" i="1"/>
  <c r="K301" i="1" s="1"/>
  <c r="O301" i="1" s="1"/>
  <c r="J302" i="1"/>
  <c r="L302" i="1" s="1"/>
  <c r="J303" i="1"/>
  <c r="L303" i="1" s="1"/>
  <c r="J304" i="1"/>
  <c r="K304" i="1" s="1"/>
  <c r="O304" i="1" s="1"/>
  <c r="J305" i="1"/>
  <c r="K305" i="1" s="1"/>
  <c r="O305" i="1" s="1"/>
  <c r="J306" i="1"/>
  <c r="K306" i="1" s="1"/>
  <c r="O306" i="1" s="1"/>
  <c r="J307" i="1"/>
  <c r="J308" i="1"/>
  <c r="J309" i="1"/>
  <c r="L309" i="1" s="1"/>
  <c r="J310" i="1"/>
  <c r="J311" i="1"/>
  <c r="J312" i="1"/>
  <c r="J313" i="1"/>
  <c r="J314" i="1"/>
  <c r="L314" i="1" s="1"/>
  <c r="J315" i="1"/>
  <c r="L315" i="1" s="1"/>
  <c r="J316" i="1"/>
  <c r="L316" i="1" s="1"/>
  <c r="J317" i="1"/>
  <c r="J318" i="1"/>
  <c r="J319" i="1"/>
  <c r="L319" i="1" s="1"/>
  <c r="J320" i="1"/>
  <c r="K320" i="1" s="1"/>
  <c r="O320" i="1" s="1"/>
  <c r="J321" i="1"/>
  <c r="J322" i="1"/>
  <c r="L322" i="1" s="1"/>
  <c r="J323" i="1"/>
  <c r="L323" i="1" s="1"/>
  <c r="J324" i="1"/>
  <c r="K324" i="1" s="1"/>
  <c r="O324" i="1" s="1"/>
  <c r="J325" i="1"/>
  <c r="L325" i="1" s="1"/>
  <c r="J326" i="1"/>
  <c r="L326" i="1" s="1"/>
  <c r="J327" i="1"/>
  <c r="J328" i="1"/>
  <c r="J329" i="1"/>
  <c r="J330" i="1"/>
  <c r="L330" i="1" s="1"/>
  <c r="J331" i="1"/>
  <c r="L331" i="1" s="1"/>
  <c r="J332" i="1"/>
  <c r="L332" i="1" s="1"/>
  <c r="J333" i="1"/>
  <c r="J334" i="1"/>
  <c r="L334" i="1" s="1"/>
  <c r="J335" i="1"/>
  <c r="L335" i="1" s="1"/>
  <c r="J336" i="1"/>
  <c r="K336" i="1" s="1"/>
  <c r="O336" i="1" s="1"/>
  <c r="J337" i="1"/>
  <c r="K337" i="1" s="1"/>
  <c r="O337" i="1" s="1"/>
  <c r="J338" i="1"/>
  <c r="J339" i="1"/>
  <c r="K339" i="1" s="1"/>
  <c r="O339" i="1" s="1"/>
  <c r="J340" i="1"/>
  <c r="K340" i="1" s="1"/>
  <c r="O340" i="1" s="1"/>
  <c r="J341" i="1"/>
  <c r="J342" i="1"/>
  <c r="L342" i="1" s="1"/>
  <c r="J343" i="1"/>
  <c r="L343" i="1" s="1"/>
  <c r="J344" i="1"/>
  <c r="K344" i="1" s="1"/>
  <c r="O344" i="1" s="1"/>
  <c r="J345" i="1"/>
  <c r="L345" i="1" s="1"/>
  <c r="J346" i="1"/>
  <c r="L346" i="1" s="1"/>
  <c r="J347" i="1"/>
  <c r="J348" i="1"/>
  <c r="J349" i="1"/>
  <c r="J350" i="1"/>
  <c r="J351" i="1"/>
  <c r="J352" i="1"/>
  <c r="K352" i="1" s="1"/>
  <c r="O352" i="1" s="1"/>
  <c r="J353" i="1"/>
  <c r="J354" i="1"/>
  <c r="L354" i="1" s="1"/>
  <c r="J355" i="1"/>
  <c r="L355" i="1" s="1"/>
  <c r="J356" i="1"/>
  <c r="K356" i="1" s="1"/>
  <c r="O356" i="1" s="1"/>
  <c r="J357" i="1"/>
  <c r="K357" i="1" s="1"/>
  <c r="O357" i="1" s="1"/>
  <c r="J358" i="1"/>
  <c r="J359" i="1"/>
  <c r="K359" i="1" s="1"/>
  <c r="O359" i="1" s="1"/>
  <c r="J360" i="1"/>
  <c r="K360" i="1" s="1"/>
  <c r="O360" i="1" s="1"/>
  <c r="J361" i="1"/>
  <c r="J362" i="1"/>
  <c r="K362" i="1" s="1"/>
  <c r="O362" i="1" s="1"/>
  <c r="J363" i="1"/>
  <c r="L363" i="1" s="1"/>
  <c r="J364" i="1"/>
  <c r="K364" i="1" s="1"/>
  <c r="O364" i="1" s="1"/>
  <c r="J365" i="1"/>
  <c r="K365" i="1" s="1"/>
  <c r="O365" i="1" s="1"/>
  <c r="J366" i="1"/>
  <c r="K366" i="1" s="1"/>
  <c r="O366" i="1" s="1"/>
  <c r="J367" i="1"/>
  <c r="L367" i="1" s="1"/>
  <c r="J368" i="1"/>
  <c r="J369" i="1"/>
  <c r="L369" i="1" s="1"/>
  <c r="J370" i="1"/>
  <c r="L370" i="1" s="1"/>
  <c r="J371" i="1"/>
  <c r="L371" i="1" s="1"/>
  <c r="J372" i="1"/>
  <c r="L372" i="1" s="1"/>
  <c r="J373" i="1"/>
  <c r="J374" i="1"/>
  <c r="L374" i="1" s="1"/>
  <c r="J375" i="1"/>
  <c r="L375" i="1" s="1"/>
  <c r="J376" i="1"/>
  <c r="L376" i="1" s="1"/>
  <c r="J377" i="1"/>
  <c r="L377" i="1" s="1"/>
  <c r="J378" i="1"/>
  <c r="L378" i="1" s="1"/>
  <c r="J379" i="1"/>
  <c r="J380" i="1"/>
  <c r="K380" i="1" s="1"/>
  <c r="O380" i="1" s="1"/>
  <c r="J381" i="1"/>
  <c r="K381" i="1" s="1"/>
  <c r="O381" i="1" s="1"/>
  <c r="J382" i="1"/>
  <c r="K382" i="1" s="1"/>
  <c r="O382" i="1" s="1"/>
  <c r="J383" i="1"/>
  <c r="L383" i="1" s="1"/>
  <c r="J384" i="1"/>
  <c r="K384" i="1" s="1"/>
  <c r="O384" i="1" s="1"/>
  <c r="J385" i="1"/>
  <c r="L385" i="1" s="1"/>
  <c r="J386" i="1"/>
  <c r="K386" i="1" s="1"/>
  <c r="O386" i="1" s="1"/>
  <c r="J387" i="1"/>
  <c r="K387" i="1" s="1"/>
  <c r="O387" i="1" s="1"/>
  <c r="J388" i="1"/>
  <c r="K388" i="1" s="1"/>
  <c r="O388" i="1" s="1"/>
  <c r="J389" i="1"/>
  <c r="J390" i="1"/>
  <c r="J391" i="1"/>
  <c r="L391" i="1" s="1"/>
  <c r="J392" i="1"/>
  <c r="L392" i="1" s="1"/>
  <c r="J393" i="1"/>
  <c r="J394" i="1"/>
  <c r="L394" i="1" s="1"/>
  <c r="J395" i="1"/>
  <c r="L395" i="1" s="1"/>
  <c r="J396" i="1"/>
  <c r="K396" i="1" s="1"/>
  <c r="O396" i="1" s="1"/>
  <c r="J397" i="1"/>
  <c r="J398" i="1"/>
  <c r="J399" i="1"/>
  <c r="L399" i="1" s="1"/>
  <c r="J400" i="1"/>
  <c r="K400" i="1" s="1"/>
  <c r="O400" i="1" s="1"/>
  <c r="J401" i="1"/>
  <c r="J402" i="1"/>
  <c r="L402" i="1" s="1"/>
  <c r="J403" i="1"/>
  <c r="L403" i="1" s="1"/>
  <c r="J404" i="1"/>
  <c r="K404" i="1" s="1"/>
  <c r="O404" i="1" s="1"/>
  <c r="J405" i="1"/>
  <c r="K405" i="1" s="1"/>
  <c r="O405" i="1" s="1"/>
  <c r="J406" i="1"/>
  <c r="L406" i="1" s="1"/>
  <c r="J407" i="1"/>
  <c r="J408" i="1"/>
  <c r="J409" i="1"/>
  <c r="K409" i="1" s="1"/>
  <c r="O409" i="1" s="1"/>
  <c r="J410" i="1"/>
  <c r="J411" i="1"/>
  <c r="J412" i="1"/>
  <c r="K412" i="1" s="1"/>
  <c r="O412" i="1" s="1"/>
  <c r="J413" i="1"/>
  <c r="K413" i="1" s="1"/>
  <c r="O413" i="1" s="1"/>
  <c r="J414" i="1"/>
  <c r="L414" i="1" s="1"/>
  <c r="J415" i="1"/>
  <c r="L415" i="1" s="1"/>
  <c r="J416" i="1"/>
  <c r="L416" i="1" s="1"/>
  <c r="J417" i="1"/>
  <c r="L417" i="1" s="1"/>
  <c r="J418" i="1"/>
  <c r="L418" i="1" s="1"/>
  <c r="J419" i="1"/>
  <c r="J420" i="1"/>
  <c r="K420" i="1" s="1"/>
  <c r="O420" i="1" s="1"/>
  <c r="J421" i="1"/>
  <c r="K421" i="1" s="1"/>
  <c r="O421" i="1" s="1"/>
  <c r="J422" i="1"/>
  <c r="K422" i="1" s="1"/>
  <c r="O422" i="1" s="1"/>
  <c r="J423" i="1"/>
  <c r="L423" i="1" s="1"/>
  <c r="J424" i="1"/>
  <c r="K424" i="1" s="1"/>
  <c r="O424" i="1" s="1"/>
  <c r="J425" i="1"/>
  <c r="L425" i="1" s="1"/>
  <c r="J426" i="1"/>
  <c r="L426" i="1" s="1"/>
  <c r="J427" i="1"/>
  <c r="J428" i="1"/>
  <c r="K428" i="1" s="1"/>
  <c r="O428" i="1" s="1"/>
  <c r="J429" i="1"/>
  <c r="J430" i="1"/>
  <c r="J431" i="1"/>
  <c r="J432" i="1"/>
  <c r="J433" i="1"/>
  <c r="J434" i="1"/>
  <c r="L434" i="1" s="1"/>
  <c r="J435" i="1"/>
  <c r="L435" i="1" s="1"/>
  <c r="J436" i="1"/>
  <c r="L436" i="1" s="1"/>
  <c r="J437" i="1"/>
  <c r="L437" i="1" s="1"/>
  <c r="J438" i="1"/>
  <c r="L438" i="1" s="1"/>
  <c r="J439" i="1"/>
  <c r="K439" i="1" s="1"/>
  <c r="O439" i="1" s="1"/>
  <c r="J440" i="1"/>
  <c r="K440" i="1" s="1"/>
  <c r="O440" i="1" s="1"/>
  <c r="J441" i="1"/>
  <c r="K441" i="1" s="1"/>
  <c r="O441" i="1" s="1"/>
  <c r="J442" i="1"/>
  <c r="K442" i="1" s="1"/>
  <c r="O442" i="1" s="1"/>
  <c r="J443" i="1"/>
  <c r="L443" i="1" s="1"/>
  <c r="J444" i="1"/>
  <c r="K444" i="1" s="1"/>
  <c r="O444" i="1" s="1"/>
  <c r="J445" i="1"/>
  <c r="L445" i="1" s="1"/>
  <c r="J446" i="1"/>
  <c r="L446" i="1" s="1"/>
  <c r="J447" i="1"/>
  <c r="L447" i="1" s="1"/>
  <c r="J448" i="1"/>
  <c r="K448" i="1" s="1"/>
  <c r="O448" i="1" s="1"/>
  <c r="J449" i="1"/>
  <c r="J450" i="1"/>
  <c r="L450" i="1" s="1"/>
  <c r="J451" i="1"/>
  <c r="J452" i="1"/>
  <c r="K452" i="1" s="1"/>
  <c r="O452" i="1" s="1"/>
  <c r="J453" i="1"/>
  <c r="J454" i="1"/>
  <c r="L454" i="1" s="1"/>
  <c r="J455" i="1"/>
  <c r="L455" i="1" s="1"/>
  <c r="J456" i="1"/>
  <c r="L456" i="1" s="1"/>
  <c r="J457" i="1"/>
  <c r="J458" i="1"/>
  <c r="J459" i="1"/>
  <c r="J460" i="1"/>
  <c r="K460" i="1" s="1"/>
  <c r="O460" i="1" s="1"/>
  <c r="J461" i="1"/>
  <c r="J462" i="1"/>
  <c r="L462" i="1" s="1"/>
  <c r="J463" i="1"/>
  <c r="L463" i="1" s="1"/>
  <c r="J464" i="1"/>
  <c r="K464" i="1" s="1"/>
  <c r="O464" i="1" s="1"/>
  <c r="J465" i="1"/>
  <c r="L465" i="1" s="1"/>
  <c r="J466" i="1"/>
  <c r="L466" i="1" s="1"/>
  <c r="J467" i="1"/>
  <c r="J468" i="1"/>
  <c r="J469" i="1"/>
  <c r="K469" i="1" s="1"/>
  <c r="O469" i="1" s="1"/>
  <c r="J470" i="1"/>
  <c r="J471" i="1"/>
  <c r="L471" i="1" s="1"/>
  <c r="J472" i="1"/>
  <c r="K472" i="1" s="1"/>
  <c r="O472" i="1" s="1"/>
  <c r="J473" i="1"/>
  <c r="L473" i="1" s="1"/>
  <c r="J474" i="1"/>
  <c r="L474" i="1" s="1"/>
  <c r="J475" i="1"/>
  <c r="L475" i="1" s="1"/>
  <c r="J476" i="1"/>
  <c r="L476" i="1" s="1"/>
  <c r="J477" i="1"/>
  <c r="K477" i="1" s="1"/>
  <c r="O477" i="1" s="1"/>
  <c r="J478" i="1"/>
  <c r="J479" i="1"/>
  <c r="K479" i="1" s="1"/>
  <c r="O479" i="1" s="1"/>
  <c r="J480" i="1"/>
  <c r="K480" i="1" s="1"/>
  <c r="O480" i="1" s="1"/>
  <c r="J481" i="1"/>
  <c r="J482" i="1"/>
  <c r="L482" i="1" s="1"/>
  <c r="J483" i="1"/>
  <c r="J484" i="1"/>
  <c r="K484" i="1" s="1"/>
  <c r="O484" i="1" s="1"/>
  <c r="J485" i="1"/>
  <c r="L485" i="1" s="1"/>
  <c r="J486" i="1"/>
  <c r="L486" i="1" s="1"/>
  <c r="J487" i="1"/>
  <c r="J488" i="1"/>
  <c r="J489" i="1"/>
  <c r="L489" i="1" s="1"/>
  <c r="J490" i="1"/>
  <c r="L490" i="1" s="1"/>
  <c r="J491" i="1"/>
  <c r="J492" i="1"/>
  <c r="J493" i="1"/>
  <c r="J494" i="1"/>
  <c r="L494" i="1" s="1"/>
  <c r="J495" i="1"/>
  <c r="L495" i="1" s="1"/>
  <c r="J496" i="1"/>
  <c r="K496" i="1" s="1"/>
  <c r="O496" i="1" s="1"/>
  <c r="J497" i="1"/>
  <c r="K497" i="1" s="1"/>
  <c r="O497" i="1" s="1"/>
  <c r="J498" i="1"/>
  <c r="J499" i="1"/>
  <c r="K499" i="1" s="1"/>
  <c r="O499" i="1" s="1"/>
  <c r="J500" i="1"/>
  <c r="K500" i="1" s="1"/>
  <c r="O500" i="1" s="1"/>
  <c r="J501" i="1"/>
  <c r="J502" i="1"/>
  <c r="K502" i="1" s="1"/>
  <c r="O502" i="1" s="1"/>
  <c r="J503" i="1"/>
  <c r="J504" i="1"/>
  <c r="K504" i="1" s="1"/>
  <c r="O504" i="1" s="1"/>
  <c r="J505" i="1"/>
  <c r="K505" i="1" s="1"/>
  <c r="O505" i="1" s="1"/>
  <c r="J506" i="1"/>
  <c r="K506" i="1" s="1"/>
  <c r="O506" i="1" s="1"/>
  <c r="J507" i="1"/>
  <c r="L507" i="1" s="1"/>
  <c r="J508" i="1"/>
  <c r="L508" i="1" s="1"/>
  <c r="J509" i="1"/>
  <c r="J510" i="1"/>
  <c r="L510" i="1" s="1"/>
  <c r="J511" i="1"/>
  <c r="L511" i="1" s="1"/>
  <c r="J512" i="1"/>
  <c r="L512" i="1" s="1"/>
  <c r="J513" i="1"/>
  <c r="L513" i="1" s="1"/>
  <c r="J514" i="1"/>
  <c r="L514" i="1" s="1"/>
  <c r="J515" i="1"/>
  <c r="L515" i="1" s="1"/>
  <c r="J516" i="1"/>
  <c r="L516" i="1" s="1"/>
  <c r="J517" i="1"/>
  <c r="L517" i="1" s="1"/>
  <c r="J518" i="1"/>
  <c r="L518" i="1" s="1"/>
  <c r="J519" i="1"/>
  <c r="L519" i="1" s="1"/>
  <c r="J520" i="1"/>
  <c r="K520" i="1" s="1"/>
  <c r="O520" i="1" s="1"/>
  <c r="J521" i="1"/>
  <c r="K521" i="1" s="1"/>
  <c r="O521" i="1" s="1"/>
  <c r="J522" i="1"/>
  <c r="K522" i="1" s="1"/>
  <c r="O522" i="1" s="1"/>
  <c r="J523" i="1"/>
  <c r="J524" i="1"/>
  <c r="K524" i="1" s="1"/>
  <c r="O524" i="1" s="1"/>
  <c r="J525" i="1"/>
  <c r="K525" i="1" s="1"/>
  <c r="O525" i="1" s="1"/>
  <c r="J526" i="1"/>
  <c r="K526" i="1" s="1"/>
  <c r="O526" i="1" s="1"/>
  <c r="J527" i="1"/>
  <c r="K527" i="1" s="1"/>
  <c r="O527" i="1" s="1"/>
  <c r="J528" i="1"/>
  <c r="K528" i="1" s="1"/>
  <c r="O528" i="1" s="1"/>
  <c r="J529" i="1"/>
  <c r="K529" i="1" s="1"/>
  <c r="O529" i="1" s="1"/>
  <c r="J530" i="1"/>
  <c r="J531" i="1"/>
  <c r="J532" i="1"/>
  <c r="K532" i="1" s="1"/>
  <c r="O532" i="1" s="1"/>
  <c r="J533" i="1"/>
  <c r="K533" i="1" s="1"/>
  <c r="O533" i="1" s="1"/>
  <c r="J534" i="1"/>
  <c r="L534" i="1" s="1"/>
  <c r="J535" i="1"/>
  <c r="L535" i="1" s="1"/>
  <c r="J536" i="1"/>
  <c r="L536" i="1" s="1"/>
  <c r="J537" i="1"/>
  <c r="J538" i="1"/>
  <c r="J539" i="1"/>
  <c r="J540" i="1"/>
  <c r="K540" i="1" s="1"/>
  <c r="O540" i="1" s="1"/>
  <c r="J541" i="1"/>
  <c r="J542" i="1"/>
  <c r="L542" i="1" s="1"/>
  <c r="J543" i="1"/>
  <c r="L543" i="1" s="1"/>
  <c r="J544" i="1"/>
  <c r="K544" i="1" s="1"/>
  <c r="O544" i="1" s="1"/>
  <c r="J545" i="1"/>
  <c r="L545" i="1" s="1"/>
  <c r="J546" i="1"/>
  <c r="K546" i="1" s="1"/>
  <c r="O546" i="1" s="1"/>
  <c r="J547" i="1"/>
  <c r="J548" i="1"/>
  <c r="J549" i="1"/>
  <c r="K549" i="1" s="1"/>
  <c r="O549" i="1" s="1"/>
  <c r="J550" i="1"/>
  <c r="J551" i="1"/>
  <c r="J552" i="1"/>
  <c r="K552" i="1" s="1"/>
  <c r="O552" i="1" s="1"/>
  <c r="J553" i="1"/>
  <c r="J554" i="1"/>
  <c r="L554" i="1" s="1"/>
  <c r="J555" i="1"/>
  <c r="L555" i="1" s="1"/>
  <c r="J556" i="1"/>
  <c r="L556" i="1" s="1"/>
  <c r="J557" i="1"/>
  <c r="K557" i="1" s="1"/>
  <c r="O557" i="1" s="1"/>
  <c r="J558" i="1"/>
  <c r="L558" i="1" s="1"/>
  <c r="J559" i="1"/>
  <c r="K559" i="1" s="1"/>
  <c r="O559" i="1" s="1"/>
  <c r="J560" i="1"/>
  <c r="K560" i="1" s="1"/>
  <c r="O560" i="1" s="1"/>
  <c r="J561" i="1"/>
  <c r="J562" i="1"/>
  <c r="L562" i="1" s="1"/>
  <c r="J563" i="1"/>
  <c r="J564" i="1"/>
  <c r="K564" i="1" s="1"/>
  <c r="O564" i="1" s="1"/>
  <c r="J565" i="1"/>
  <c r="L565" i="1" s="1"/>
  <c r="J566" i="1"/>
  <c r="L566" i="1" s="1"/>
  <c r="J567" i="1"/>
  <c r="J568" i="1"/>
  <c r="J569" i="1"/>
  <c r="J570" i="1"/>
  <c r="J571" i="1"/>
  <c r="J572" i="1"/>
  <c r="J573" i="1"/>
  <c r="K573" i="1" s="1"/>
  <c r="O573" i="1" s="1"/>
  <c r="J574" i="1"/>
  <c r="L574" i="1" s="1"/>
  <c r="J575" i="1"/>
  <c r="K575" i="1" s="1"/>
  <c r="O575" i="1" s="1"/>
  <c r="J576" i="1"/>
  <c r="K576" i="1" s="1"/>
  <c r="O576" i="1" s="1"/>
  <c r="J577" i="1"/>
  <c r="K577" i="1" s="1"/>
  <c r="O577" i="1" s="1"/>
  <c r="J578" i="1"/>
  <c r="L578" i="1" s="1"/>
  <c r="J579" i="1"/>
  <c r="L579" i="1" s="1"/>
  <c r="J580" i="1"/>
  <c r="K580" i="1" s="1"/>
  <c r="O580" i="1" s="1"/>
  <c r="J581" i="1"/>
  <c r="J582" i="1"/>
  <c r="L582" i="1" s="1"/>
  <c r="J583" i="1"/>
  <c r="L583" i="1" s="1"/>
  <c r="J584" i="1"/>
  <c r="K584" i="1" s="1"/>
  <c r="O584" i="1" s="1"/>
  <c r="J585" i="1"/>
  <c r="L585" i="1" s="1"/>
  <c r="J586" i="1"/>
  <c r="K586" i="1" s="1"/>
  <c r="O586" i="1" s="1"/>
  <c r="J587" i="1"/>
  <c r="L587" i="1" s="1"/>
  <c r="J588" i="1"/>
  <c r="L588" i="1" s="1"/>
  <c r="J589" i="1"/>
  <c r="L589" i="1" s="1"/>
  <c r="J590" i="1"/>
  <c r="L590" i="1" s="1"/>
  <c r="J591" i="1"/>
  <c r="L591" i="1" s="1"/>
  <c r="J592" i="1"/>
  <c r="J593" i="1"/>
  <c r="J594" i="1"/>
  <c r="L594" i="1" s="1"/>
  <c r="J595" i="1"/>
  <c r="K595" i="1" s="1"/>
  <c r="O595" i="1" s="1"/>
  <c r="J596" i="1"/>
  <c r="K596" i="1" s="1"/>
  <c r="O596" i="1" s="1"/>
  <c r="J597" i="1"/>
  <c r="J598" i="1"/>
  <c r="J599" i="1"/>
  <c r="J600" i="1"/>
  <c r="K600" i="1" s="1"/>
  <c r="O600" i="1" s="1"/>
  <c r="J601" i="1"/>
  <c r="K601" i="1" s="1"/>
  <c r="J602" i="1"/>
  <c r="K602" i="1" s="1"/>
  <c r="O602" i="1" s="1"/>
  <c r="J603" i="1"/>
  <c r="L603" i="1" s="1"/>
  <c r="J604" i="1"/>
  <c r="K604" i="1" s="1"/>
  <c r="O604" i="1" s="1"/>
  <c r="J605" i="1"/>
  <c r="L605" i="1" s="1"/>
  <c r="J606" i="1"/>
  <c r="L606" i="1" s="1"/>
  <c r="J607" i="1"/>
  <c r="J608" i="1"/>
  <c r="J609" i="1"/>
  <c r="K609" i="1" s="1"/>
  <c r="O609" i="1" s="1"/>
  <c r="J610" i="1"/>
  <c r="J611" i="1"/>
  <c r="J612" i="1"/>
  <c r="K612" i="1" s="1"/>
  <c r="O612" i="1" s="1"/>
  <c r="J613" i="1"/>
  <c r="J614" i="1"/>
  <c r="L614" i="1" s="1"/>
  <c r="J615" i="1"/>
  <c r="L615" i="1" s="1"/>
  <c r="J616" i="1"/>
  <c r="L616" i="1" s="1"/>
  <c r="J617" i="1"/>
  <c r="J618" i="1"/>
  <c r="J619" i="1"/>
  <c r="J620" i="1"/>
  <c r="K620" i="1" s="1"/>
  <c r="O620" i="1" s="1"/>
  <c r="J621" i="1"/>
  <c r="J622" i="1"/>
  <c r="K622" i="1" s="1"/>
  <c r="O622" i="1" s="1"/>
  <c r="J623" i="1"/>
  <c r="J624" i="1"/>
  <c r="K624" i="1" s="1"/>
  <c r="O624" i="1" s="1"/>
  <c r="J625" i="1"/>
  <c r="K625" i="1" s="1"/>
  <c r="O625" i="1" s="1"/>
  <c r="J626" i="1"/>
  <c r="K626" i="1" s="1"/>
  <c r="O626" i="1" s="1"/>
  <c r="J627" i="1"/>
  <c r="K627" i="1" s="1"/>
  <c r="O627" i="1" s="1"/>
  <c r="J628" i="1"/>
  <c r="J629" i="1"/>
  <c r="K629" i="1" s="1"/>
  <c r="O629" i="1" s="1"/>
  <c r="J630" i="1"/>
  <c r="L630" i="1" s="1"/>
  <c r="J631" i="1"/>
  <c r="L631" i="1" s="1"/>
  <c r="J632" i="1"/>
  <c r="K632" i="1" s="1"/>
  <c r="O632" i="1" s="1"/>
  <c r="J633" i="1"/>
  <c r="J634" i="1"/>
  <c r="L634" i="1" s="1"/>
  <c r="J635" i="1"/>
  <c r="L635" i="1" s="1"/>
  <c r="J636" i="1"/>
  <c r="L636" i="1" s="1"/>
  <c r="J637" i="1"/>
  <c r="L637" i="1" s="1"/>
  <c r="J638" i="1"/>
  <c r="J639" i="1"/>
  <c r="K639" i="1" s="1"/>
  <c r="O639" i="1" s="1"/>
  <c r="J640" i="1"/>
  <c r="K640" i="1" s="1"/>
  <c r="O640" i="1" s="1"/>
  <c r="J641" i="1"/>
  <c r="J642" i="1"/>
  <c r="J643" i="1"/>
  <c r="J644" i="1"/>
  <c r="K644" i="1" s="1"/>
  <c r="O644" i="1" s="1"/>
  <c r="J645" i="1"/>
  <c r="L645" i="1" s="1"/>
  <c r="J646" i="1"/>
  <c r="L646" i="1" s="1"/>
  <c r="J647" i="1"/>
  <c r="L647" i="1" s="1"/>
  <c r="J648" i="1"/>
  <c r="L648" i="1" s="1"/>
  <c r="J649" i="1"/>
  <c r="J650" i="1"/>
  <c r="L650" i="1" s="1"/>
  <c r="J651" i="1"/>
  <c r="L651" i="1" s="1"/>
  <c r="J652" i="1"/>
  <c r="L652" i="1" s="1"/>
  <c r="J653" i="1"/>
  <c r="L653" i="1" s="1"/>
  <c r="J654" i="1"/>
  <c r="L654" i="1" s="1"/>
  <c r="J655" i="1"/>
  <c r="K655" i="1" s="1"/>
  <c r="O655" i="1" s="1"/>
  <c r="J656" i="1"/>
  <c r="K656" i="1" s="1"/>
  <c r="O656" i="1" s="1"/>
  <c r="J657" i="1"/>
  <c r="K657" i="1" s="1"/>
  <c r="O657" i="1" s="1"/>
  <c r="J658" i="1"/>
  <c r="L658" i="1" s="1"/>
  <c r="J659" i="1"/>
  <c r="L659" i="1" s="1"/>
  <c r="J660" i="1"/>
  <c r="K660" i="1" s="1"/>
  <c r="O660" i="1" s="1"/>
  <c r="J661" i="1"/>
  <c r="J662" i="1"/>
  <c r="L662" i="1" s="1"/>
  <c r="J663" i="1"/>
  <c r="J664" i="1"/>
  <c r="K664" i="1" s="1"/>
  <c r="O664" i="1" s="1"/>
  <c r="J665" i="1"/>
  <c r="K665" i="1" s="1"/>
  <c r="O665" i="1" s="1"/>
  <c r="J666" i="1"/>
  <c r="L666" i="1" s="1"/>
  <c r="J667" i="1"/>
  <c r="J668" i="1"/>
  <c r="L668" i="1" s="1"/>
  <c r="J669" i="1"/>
  <c r="J670" i="1"/>
  <c r="J671" i="1"/>
  <c r="J672" i="1"/>
  <c r="J673" i="1"/>
  <c r="L673" i="1" s="1"/>
  <c r="J674" i="1"/>
  <c r="L674" i="1" s="1"/>
  <c r="J675" i="1"/>
  <c r="L675" i="1" s="1"/>
  <c r="J676" i="1"/>
  <c r="L676" i="1" s="1"/>
  <c r="J677" i="1"/>
  <c r="L677" i="1" s="1"/>
  <c r="J678" i="1"/>
  <c r="J679" i="1"/>
  <c r="J680" i="1"/>
  <c r="K680" i="1" s="1"/>
  <c r="O680" i="1" s="1"/>
  <c r="J681" i="1"/>
  <c r="K681" i="1" s="1"/>
  <c r="O681" i="1" s="1"/>
  <c r="J682" i="1"/>
  <c r="K682" i="1" s="1"/>
  <c r="O682" i="1" s="1"/>
  <c r="J683" i="1"/>
  <c r="L683" i="1" s="1"/>
  <c r="J684" i="1"/>
  <c r="K684" i="1" s="1"/>
  <c r="O684" i="1" s="1"/>
  <c r="J685" i="1"/>
  <c r="L685" i="1" s="1"/>
  <c r="J686" i="1"/>
  <c r="L686" i="1" s="1"/>
  <c r="J687" i="1"/>
  <c r="K687" i="1" s="1"/>
  <c r="O687" i="1" s="1"/>
  <c r="J688" i="1"/>
  <c r="J689" i="1"/>
  <c r="J690" i="1"/>
  <c r="J691" i="1"/>
  <c r="J692" i="1"/>
  <c r="K692" i="1" s="1"/>
  <c r="O692" i="1" s="1"/>
  <c r="J693" i="1"/>
  <c r="K693" i="1" s="1"/>
  <c r="O693" i="1" s="1"/>
  <c r="J694" i="1"/>
  <c r="L694" i="1" s="1"/>
  <c r="J695" i="1"/>
  <c r="L695" i="1" s="1"/>
  <c r="J696" i="1"/>
  <c r="L696" i="1" s="1"/>
  <c r="J697" i="1"/>
  <c r="L697" i="1" s="1"/>
  <c r="J698" i="1"/>
  <c r="L698" i="1" s="1"/>
  <c r="J699" i="1"/>
  <c r="L699" i="1" s="1"/>
  <c r="J700" i="1"/>
  <c r="K700" i="1" s="1"/>
  <c r="O700" i="1" s="1"/>
  <c r="J701" i="1"/>
  <c r="J702" i="1"/>
  <c r="L702" i="1" s="1"/>
  <c r="J703" i="1"/>
  <c r="J704" i="1"/>
  <c r="K704" i="1" s="1"/>
  <c r="O704" i="1" s="1"/>
  <c r="J705" i="1"/>
  <c r="L705" i="1" s="1"/>
  <c r="J706" i="1"/>
  <c r="K706" i="1" s="1"/>
  <c r="O706" i="1" s="1"/>
  <c r="J707" i="1"/>
  <c r="J708" i="1"/>
  <c r="J709" i="1"/>
  <c r="J710" i="1"/>
  <c r="J711" i="1"/>
  <c r="J712" i="1"/>
  <c r="K712" i="1" s="1"/>
  <c r="O712" i="1" s="1"/>
  <c r="J713" i="1"/>
  <c r="J714" i="1"/>
  <c r="L714" i="1" s="1"/>
  <c r="J715" i="1"/>
  <c r="K715" i="1" s="1"/>
  <c r="O715" i="1" s="1"/>
  <c r="J716" i="1"/>
  <c r="K716" i="1" s="1"/>
  <c r="O716" i="1" s="1"/>
  <c r="J717" i="1"/>
  <c r="K717" i="1" s="1"/>
  <c r="O717" i="1" s="1"/>
  <c r="J718" i="1"/>
  <c r="J719" i="1"/>
  <c r="L719" i="1" s="1"/>
  <c r="J720" i="1"/>
  <c r="J721" i="1"/>
  <c r="L721" i="1" s="1"/>
  <c r="J722" i="1"/>
  <c r="L722" i="1" s="1"/>
  <c r="J723" i="1"/>
  <c r="L723" i="1" s="1"/>
  <c r="J724" i="1"/>
  <c r="L724" i="1" s="1"/>
  <c r="J725" i="1"/>
  <c r="L725" i="1" s="1"/>
  <c r="J726" i="1"/>
  <c r="L726" i="1" s="1"/>
  <c r="J727" i="1"/>
  <c r="J728" i="1"/>
  <c r="J729" i="1"/>
  <c r="L729" i="1" s="1"/>
  <c r="J730" i="1"/>
  <c r="J731" i="1"/>
  <c r="J732" i="1"/>
  <c r="J733" i="1"/>
  <c r="K733" i="1" s="1"/>
  <c r="O733" i="1" s="1"/>
  <c r="J734" i="1"/>
  <c r="L734" i="1" s="1"/>
  <c r="J735" i="1"/>
  <c r="K735" i="1" s="1"/>
  <c r="O735" i="1" s="1"/>
  <c r="J736" i="1"/>
  <c r="K736" i="1" s="1"/>
  <c r="O736" i="1" s="1"/>
  <c r="J737" i="1"/>
  <c r="K737" i="1" s="1"/>
  <c r="O737" i="1" s="1"/>
  <c r="J738" i="1"/>
  <c r="J739" i="1"/>
  <c r="K739" i="1" s="1"/>
  <c r="O739" i="1" s="1"/>
  <c r="J740" i="1"/>
  <c r="L740" i="1" s="1"/>
  <c r="J741" i="1"/>
  <c r="L741" i="1" s="1"/>
  <c r="J742" i="1"/>
  <c r="L742" i="1" s="1"/>
  <c r="J743" i="1"/>
  <c r="L743" i="1" s="1"/>
  <c r="J744" i="1"/>
  <c r="K744" i="1" s="1"/>
  <c r="O744" i="1" s="1"/>
  <c r="J745" i="1"/>
  <c r="K745" i="1" s="1"/>
  <c r="O745" i="1" s="1"/>
  <c r="J746" i="1"/>
  <c r="K746" i="1" s="1"/>
  <c r="O746" i="1" s="1"/>
  <c r="J747" i="1"/>
  <c r="L747" i="1" s="1"/>
  <c r="J748" i="1"/>
  <c r="J749" i="1"/>
  <c r="L749" i="1" s="1"/>
  <c r="J750" i="1"/>
  <c r="J751" i="1"/>
  <c r="J752" i="1"/>
  <c r="J753" i="1"/>
  <c r="J754" i="1"/>
  <c r="L754" i="1" s="1"/>
  <c r="J755" i="1"/>
  <c r="L755" i="1" s="1"/>
  <c r="J756" i="1"/>
  <c r="L756" i="1" s="1"/>
  <c r="J757" i="1"/>
  <c r="J758" i="1"/>
  <c r="J759" i="1"/>
  <c r="L759" i="1" s="1"/>
  <c r="J760" i="1"/>
  <c r="K760" i="1" s="1"/>
  <c r="O760" i="1" s="1"/>
  <c r="J761" i="1"/>
  <c r="J762" i="1"/>
  <c r="L762" i="1" s="1"/>
  <c r="J763" i="1"/>
  <c r="J764" i="1"/>
  <c r="K764" i="1" s="1"/>
  <c r="O764" i="1" s="1"/>
  <c r="J765" i="1"/>
  <c r="K765" i="1" s="1"/>
  <c r="O765" i="1" s="1"/>
  <c r="J766" i="1"/>
  <c r="L766" i="1" s="1"/>
  <c r="J767" i="1"/>
  <c r="J768" i="1"/>
  <c r="L768" i="1" s="1"/>
  <c r="J769" i="1"/>
  <c r="L769" i="1" s="1"/>
  <c r="J770" i="1"/>
  <c r="J771" i="1"/>
  <c r="J772" i="1"/>
  <c r="K772" i="1" s="1"/>
  <c r="O772" i="1" s="1"/>
  <c r="J773" i="1"/>
  <c r="K773" i="1" s="1"/>
  <c r="O773" i="1" s="1"/>
  <c r="J774" i="1"/>
  <c r="L774" i="1" s="1"/>
  <c r="J775" i="1"/>
  <c r="L775" i="1" s="1"/>
  <c r="J776" i="1"/>
  <c r="L776" i="1" s="1"/>
  <c r="J777" i="1"/>
  <c r="J778" i="1"/>
  <c r="J779" i="1"/>
  <c r="L779" i="1" s="1"/>
  <c r="J780" i="1"/>
  <c r="L780" i="1" s="1"/>
  <c r="J781" i="1"/>
  <c r="L781" i="1" s="1"/>
  <c r="J782" i="1"/>
  <c r="L782" i="1" s="1"/>
  <c r="J783" i="1"/>
  <c r="L783" i="1" s="1"/>
  <c r="J784" i="1"/>
  <c r="L784" i="1" s="1"/>
  <c r="J785" i="1"/>
  <c r="L785" i="1" s="1"/>
  <c r="J786" i="1"/>
  <c r="K786" i="1" s="1"/>
  <c r="O786" i="1" s="1"/>
  <c r="J787" i="1"/>
  <c r="J788" i="1"/>
  <c r="J789" i="1"/>
  <c r="L789" i="1" s="1"/>
  <c r="J790" i="1"/>
  <c r="J791" i="1"/>
  <c r="J792" i="1"/>
  <c r="K792" i="1" s="1"/>
  <c r="O792" i="1" s="1"/>
  <c r="J793" i="1"/>
  <c r="J794" i="1"/>
  <c r="L794" i="1" s="1"/>
  <c r="J795" i="1"/>
  <c r="K795" i="1" s="1"/>
  <c r="O795" i="1" s="1"/>
  <c r="J796" i="1"/>
  <c r="K796" i="1" s="1"/>
  <c r="O796" i="1" s="1"/>
  <c r="J797" i="1"/>
  <c r="K797" i="1" s="1"/>
  <c r="O797" i="1" s="1"/>
  <c r="J798" i="1"/>
  <c r="J799" i="1"/>
  <c r="K799" i="1" s="1"/>
  <c r="O799" i="1" s="1"/>
  <c r="J800" i="1"/>
  <c r="L800" i="1" s="1"/>
  <c r="J801" i="1"/>
  <c r="L801" i="1" s="1"/>
  <c r="J802" i="1"/>
  <c r="L802" i="1" s="1"/>
  <c r="J803" i="1"/>
  <c r="L803" i="1" s="1"/>
  <c r="J804" i="1"/>
  <c r="L804" i="1" s="1"/>
  <c r="J805" i="1"/>
  <c r="L805" i="1" s="1"/>
  <c r="J806" i="1"/>
  <c r="L806" i="1" s="1"/>
  <c r="J807" i="1"/>
  <c r="J808" i="1"/>
  <c r="J809" i="1"/>
  <c r="J810" i="1"/>
  <c r="J811" i="1"/>
  <c r="J812" i="1"/>
  <c r="J813" i="1"/>
  <c r="K813" i="1" s="1"/>
  <c r="O813" i="1" s="1"/>
  <c r="J814" i="1"/>
  <c r="L814" i="1" s="1"/>
  <c r="J815" i="1"/>
  <c r="K815" i="1" s="1"/>
  <c r="O815" i="1" s="1"/>
  <c r="J816" i="1"/>
  <c r="K816" i="1" s="1"/>
  <c r="O816" i="1" s="1"/>
  <c r="J817" i="1"/>
  <c r="K817" i="1" s="1"/>
  <c r="O817" i="1" s="1"/>
  <c r="J818" i="1"/>
  <c r="J819" i="1"/>
  <c r="L819" i="1" s="1"/>
  <c r="J820" i="1"/>
  <c r="L820" i="1" s="1"/>
  <c r="J821" i="1"/>
  <c r="L821" i="1" s="1"/>
  <c r="J822" i="1"/>
  <c r="L822" i="1" s="1"/>
  <c r="J823" i="1"/>
  <c r="L823" i="1" s="1"/>
  <c r="J824" i="1"/>
  <c r="K824" i="1" s="1"/>
  <c r="O824" i="1" s="1"/>
  <c r="J825" i="1"/>
  <c r="K825" i="1" s="1"/>
  <c r="O825" i="1" s="1"/>
  <c r="J826" i="1"/>
  <c r="K826" i="1" s="1"/>
  <c r="O826" i="1" s="1"/>
  <c r="J827" i="1"/>
  <c r="J828" i="1"/>
  <c r="L828" i="1" s="1"/>
  <c r="J829" i="1"/>
  <c r="L829" i="1" s="1"/>
  <c r="J830" i="1"/>
  <c r="J831" i="1"/>
  <c r="J832" i="1"/>
  <c r="J833" i="1"/>
  <c r="J834" i="1"/>
  <c r="L834" i="1" s="1"/>
  <c r="J835" i="1"/>
  <c r="L835" i="1" s="1"/>
  <c r="J836" i="1"/>
  <c r="L836" i="1" s="1"/>
  <c r="J837" i="1"/>
  <c r="J838" i="1"/>
  <c r="J839" i="1"/>
  <c r="L839" i="1" s="1"/>
  <c r="J840" i="1"/>
  <c r="L840" i="1" s="1"/>
  <c r="J841" i="1"/>
  <c r="L841" i="1" s="1"/>
  <c r="J842" i="1"/>
  <c r="L842" i="1" s="1"/>
  <c r="J843" i="1"/>
  <c r="L843" i="1" s="1"/>
  <c r="J844" i="1"/>
  <c r="J845" i="1"/>
  <c r="K845" i="1" s="1"/>
  <c r="O845" i="1" s="1"/>
  <c r="J846" i="1"/>
  <c r="L846" i="1" s="1"/>
  <c r="J847" i="1"/>
  <c r="J848" i="1"/>
  <c r="J849" i="1"/>
  <c r="L849" i="1" s="1"/>
  <c r="J850" i="1"/>
  <c r="J851" i="1"/>
  <c r="J852" i="1"/>
  <c r="K852" i="1" s="1"/>
  <c r="O852" i="1" s="1"/>
  <c r="J853" i="1"/>
  <c r="K853" i="1" s="1"/>
  <c r="O853" i="1" s="1"/>
  <c r="J854" i="1"/>
  <c r="L854" i="1" s="1"/>
  <c r="J855" i="1"/>
  <c r="L855" i="1" s="1"/>
  <c r="J856" i="1"/>
  <c r="L856" i="1" s="1"/>
  <c r="J857" i="1"/>
  <c r="J858" i="1"/>
  <c r="J859" i="1"/>
  <c r="L859" i="1" s="1"/>
  <c r="J860" i="1"/>
  <c r="L860" i="1" s="1"/>
  <c r="J861" i="1"/>
  <c r="L861" i="1" s="1"/>
  <c r="J862" i="1"/>
  <c r="L862" i="1" s="1"/>
  <c r="J863" i="1"/>
  <c r="L863" i="1" s="1"/>
  <c r="J864" i="1"/>
  <c r="L864" i="1" s="1"/>
  <c r="J865" i="1"/>
  <c r="K865" i="1" s="1"/>
  <c r="O865" i="1" s="1"/>
  <c r="J866" i="1"/>
  <c r="K866" i="1" s="1"/>
  <c r="O866" i="1" s="1"/>
  <c r="J867" i="1"/>
  <c r="J868" i="1"/>
  <c r="J869" i="1"/>
  <c r="L869" i="1" s="1"/>
  <c r="J870" i="1"/>
  <c r="J871" i="1"/>
  <c r="J872" i="1"/>
  <c r="J873" i="1"/>
  <c r="J874" i="1"/>
  <c r="L874" i="1" s="1"/>
  <c r="J875" i="1"/>
  <c r="K875" i="1" s="1"/>
  <c r="O875" i="1" s="1"/>
  <c r="J876" i="1"/>
  <c r="K876" i="1" s="1"/>
  <c r="O876" i="1" s="1"/>
  <c r="J877" i="1"/>
  <c r="K877" i="1" s="1"/>
  <c r="O877" i="1" s="1"/>
  <c r="J878" i="1"/>
  <c r="J879" i="1"/>
  <c r="K879" i="1" s="1"/>
  <c r="O879" i="1" s="1"/>
  <c r="J880" i="1"/>
  <c r="L880" i="1" s="1"/>
  <c r="J881" i="1"/>
  <c r="L881" i="1" s="1"/>
  <c r="J882" i="1"/>
  <c r="L882" i="1" s="1"/>
  <c r="J883" i="1"/>
  <c r="L883" i="1" s="1"/>
  <c r="J884" i="1"/>
  <c r="L884" i="1" s="1"/>
  <c r="J885" i="1"/>
  <c r="L885" i="1" s="1"/>
  <c r="J886" i="1"/>
  <c r="L886" i="1" s="1"/>
  <c r="J887" i="1"/>
  <c r="J888" i="1"/>
  <c r="J889" i="1"/>
  <c r="J890" i="1"/>
  <c r="J891" i="1"/>
  <c r="J892" i="1"/>
  <c r="K892" i="1" s="1"/>
  <c r="O892" i="1" s="1"/>
  <c r="J893" i="1"/>
  <c r="K893" i="1" s="1"/>
  <c r="O893" i="1" s="1"/>
  <c r="J894" i="1"/>
  <c r="L894" i="1" s="1"/>
  <c r="J895" i="1"/>
  <c r="K895" i="1" s="1"/>
  <c r="O895" i="1" s="1"/>
  <c r="J896" i="1"/>
  <c r="K896" i="1" s="1"/>
  <c r="O896" i="1" s="1"/>
  <c r="J897" i="1"/>
  <c r="J898" i="1"/>
  <c r="J899" i="1"/>
  <c r="L899" i="1" s="1"/>
  <c r="J900" i="1"/>
  <c r="L900" i="1" s="1"/>
  <c r="J901" i="1"/>
  <c r="L901" i="1" s="1"/>
  <c r="J902" i="1"/>
  <c r="L902" i="1" s="1"/>
  <c r="J903" i="1"/>
  <c r="L903" i="1" s="1"/>
  <c r="J904" i="1"/>
  <c r="L904" i="1" s="1"/>
  <c r="J905" i="1"/>
  <c r="L905" i="1" s="1"/>
  <c r="J906" i="1"/>
  <c r="L906" i="1" s="1"/>
  <c r="J907" i="1"/>
  <c r="J908" i="1"/>
  <c r="J909" i="1"/>
  <c r="J910" i="1"/>
  <c r="J911" i="1"/>
  <c r="J912" i="1"/>
  <c r="J913" i="1"/>
  <c r="J914" i="1"/>
  <c r="L914" i="1" s="1"/>
  <c r="J915" i="1"/>
  <c r="K915" i="1" s="1"/>
  <c r="O915" i="1" s="1"/>
  <c r="J916" i="1"/>
  <c r="K916" i="1" s="1"/>
  <c r="O916" i="1" s="1"/>
  <c r="J917" i="1"/>
  <c r="K917" i="1" s="1"/>
  <c r="O917" i="1" s="1"/>
  <c r="J918" i="1"/>
  <c r="J919" i="1"/>
  <c r="L919" i="1" s="1"/>
  <c r="J920" i="1"/>
  <c r="L920" i="1" s="1"/>
  <c r="J921" i="1"/>
  <c r="L921" i="1" s="1"/>
  <c r="J922" i="1"/>
  <c r="L922" i="1" s="1"/>
  <c r="J923" i="1"/>
  <c r="L923" i="1" s="1"/>
  <c r="J924" i="1"/>
  <c r="K924" i="1" s="1"/>
  <c r="O924" i="1" s="1"/>
  <c r="J925" i="1"/>
  <c r="K925" i="1" s="1"/>
  <c r="O925" i="1" s="1"/>
  <c r="J926" i="1"/>
  <c r="K926" i="1" s="1"/>
  <c r="O926" i="1" s="1"/>
  <c r="J927" i="1"/>
  <c r="J928" i="1"/>
  <c r="J929" i="1"/>
  <c r="L929" i="1" s="1"/>
  <c r="J930" i="1"/>
  <c r="J931" i="1"/>
  <c r="J932" i="1"/>
  <c r="J933" i="1"/>
  <c r="J934" i="1"/>
  <c r="L934" i="1" s="1"/>
  <c r="J935" i="1"/>
  <c r="L935" i="1" s="1"/>
  <c r="J936" i="1"/>
  <c r="L936" i="1" s="1"/>
  <c r="J937" i="1"/>
  <c r="J938" i="1"/>
  <c r="J939" i="1"/>
  <c r="L939" i="1" s="1"/>
  <c r="J940" i="1"/>
  <c r="L940" i="1" s="1"/>
  <c r="J941" i="1"/>
  <c r="K941" i="1" s="1"/>
  <c r="O941" i="1" s="1"/>
  <c r="J942" i="1"/>
  <c r="K942" i="1" s="1"/>
  <c r="O942" i="1" s="1"/>
  <c r="J943" i="1"/>
  <c r="K943" i="1" s="1"/>
  <c r="O943" i="1" s="1"/>
  <c r="J944" i="1"/>
  <c r="J945" i="1"/>
  <c r="J946" i="1"/>
  <c r="L946" i="1" s="1"/>
  <c r="J947" i="1"/>
  <c r="J948" i="1"/>
  <c r="L948" i="1" s="1"/>
  <c r="J949" i="1"/>
  <c r="J950" i="1"/>
  <c r="J951" i="1"/>
  <c r="J952" i="1"/>
  <c r="K952" i="1" s="1"/>
  <c r="O952" i="1" s="1"/>
  <c r="J953" i="1"/>
  <c r="K953" i="1" s="1"/>
  <c r="O953" i="1" s="1"/>
  <c r="J954" i="1"/>
  <c r="L954" i="1" s="1"/>
  <c r="J955" i="1"/>
  <c r="L955" i="1" s="1"/>
  <c r="J956" i="1"/>
  <c r="L956" i="1" s="1"/>
  <c r="J957" i="1"/>
  <c r="J958" i="1"/>
  <c r="J959" i="1"/>
  <c r="L959" i="1" s="1"/>
  <c r="J960" i="1"/>
  <c r="L960" i="1" s="1"/>
  <c r="J961" i="1"/>
  <c r="L961" i="1" s="1"/>
  <c r="J962" i="1"/>
  <c r="L962" i="1" s="1"/>
  <c r="J963" i="1"/>
  <c r="L963" i="1" s="1"/>
  <c r="J964" i="1"/>
  <c r="L964" i="1" s="1"/>
  <c r="J965" i="1"/>
  <c r="K965" i="1" s="1"/>
  <c r="O965" i="1" s="1"/>
  <c r="J966" i="1"/>
  <c r="K966" i="1" s="1"/>
  <c r="O966" i="1" s="1"/>
  <c r="J967" i="1"/>
  <c r="J968" i="1"/>
  <c r="K968" i="1" s="1"/>
  <c r="O968" i="1" s="1"/>
  <c r="J969" i="1"/>
  <c r="L969" i="1" s="1"/>
  <c r="J970" i="1"/>
  <c r="J971" i="1"/>
  <c r="J972" i="1"/>
  <c r="J973" i="1"/>
  <c r="J974" i="1"/>
  <c r="L974" i="1" s="1"/>
  <c r="J975" i="1"/>
  <c r="K975" i="1" s="1"/>
  <c r="O975" i="1" s="1"/>
  <c r="J976" i="1"/>
  <c r="K976" i="1" s="1"/>
  <c r="O976" i="1" s="1"/>
  <c r="J977" i="1"/>
  <c r="K977" i="1" s="1"/>
  <c r="O977" i="1" s="1"/>
  <c r="J978" i="1"/>
  <c r="J979" i="1"/>
  <c r="L979" i="1" s="1"/>
  <c r="J980" i="1"/>
  <c r="L980" i="1" s="1"/>
  <c r="J981" i="1"/>
  <c r="L981" i="1" s="1"/>
  <c r="J982" i="1"/>
  <c r="L982" i="1" s="1"/>
  <c r="J983" i="1"/>
  <c r="L983" i="1" s="1"/>
  <c r="J984" i="1"/>
  <c r="L984" i="1" s="1"/>
  <c r="J985" i="1"/>
  <c r="L985" i="1" s="1"/>
  <c r="J986" i="1"/>
  <c r="L986" i="1" s="1"/>
  <c r="J987" i="1"/>
  <c r="J988" i="1"/>
  <c r="J989" i="1"/>
  <c r="K989" i="1" s="1"/>
  <c r="O989" i="1" s="1"/>
  <c r="J990" i="1"/>
  <c r="J991" i="1"/>
  <c r="J992" i="1"/>
  <c r="K992" i="1" s="1"/>
  <c r="O992" i="1" s="1"/>
  <c r="G5" i="3"/>
  <c r="L61" i="3"/>
  <c r="L24" i="3"/>
  <c r="L10" i="3"/>
  <c r="L11" i="3"/>
  <c r="L8" i="3"/>
  <c r="L13" i="3"/>
  <c r="L101" i="3"/>
  <c r="L65" i="3"/>
  <c r="L14" i="3"/>
  <c r="L17" i="3"/>
  <c r="L72" i="3"/>
  <c r="L16" i="3"/>
  <c r="L53" i="3"/>
  <c r="L108" i="3"/>
  <c r="L59" i="3"/>
  <c r="L23" i="3"/>
  <c r="L79" i="3"/>
  <c r="L25" i="3"/>
  <c r="L26" i="3"/>
  <c r="L27" i="3"/>
  <c r="L28" i="3"/>
  <c r="L86" i="3"/>
  <c r="L30" i="3"/>
  <c r="L31" i="3"/>
  <c r="L99" i="3"/>
  <c r="L32" i="3"/>
  <c r="L63" i="3"/>
  <c r="L35" i="3"/>
  <c r="L77" i="3"/>
  <c r="L37" i="3"/>
  <c r="L38" i="3"/>
  <c r="L39" i="3"/>
  <c r="L60" i="3"/>
  <c r="L41" i="3"/>
  <c r="L42" i="3"/>
  <c r="L43" i="3"/>
  <c r="L44" i="3"/>
  <c r="L85" i="3"/>
  <c r="L46" i="3"/>
  <c r="L47" i="3"/>
  <c r="L48" i="3"/>
  <c r="L49" i="3"/>
  <c r="L50" i="3"/>
  <c r="L51" i="3"/>
  <c r="L52" i="3"/>
  <c r="L100" i="3"/>
  <c r="L122" i="3"/>
  <c r="L81" i="3"/>
  <c r="L57" i="3"/>
  <c r="L19" i="3"/>
  <c r="L58" i="3"/>
  <c r="L33" i="3"/>
  <c r="L36" i="3"/>
  <c r="L18" i="3"/>
  <c r="L12" i="3"/>
  <c r="L125" i="3"/>
  <c r="L15" i="3"/>
  <c r="L62" i="3"/>
  <c r="L66" i="3"/>
  <c r="L67" i="3"/>
  <c r="L68" i="3"/>
  <c r="L69" i="3"/>
  <c r="L70" i="3"/>
  <c r="L71" i="3"/>
  <c r="L75" i="3"/>
  <c r="L87" i="3"/>
  <c r="L74" i="3"/>
  <c r="L84" i="3"/>
  <c r="L76" i="3"/>
  <c r="L64" i="3"/>
  <c r="L78" i="3"/>
  <c r="L97" i="3"/>
  <c r="L80" i="3"/>
  <c r="L106" i="3"/>
  <c r="L82" i="3"/>
  <c r="L83" i="3"/>
  <c r="L29" i="3"/>
  <c r="L96" i="3"/>
  <c r="L104" i="3"/>
  <c r="L114" i="3"/>
  <c r="L88" i="3"/>
  <c r="L111" i="3"/>
  <c r="L91" i="3"/>
  <c r="L34" i="3"/>
  <c r="L92" i="3"/>
  <c r="L93" i="3"/>
  <c r="L94" i="3"/>
  <c r="L95" i="3"/>
  <c r="L73" i="3"/>
  <c r="L55" i="3"/>
  <c r="L98" i="3"/>
  <c r="L20" i="3"/>
  <c r="L89" i="3"/>
  <c r="L56" i="3"/>
  <c r="L102" i="3"/>
  <c r="L103" i="3"/>
  <c r="L90" i="3"/>
  <c r="L105" i="3"/>
  <c r="L113" i="3"/>
  <c r="L107" i="3"/>
  <c r="L110" i="3"/>
  <c r="L109" i="3"/>
  <c r="L40" i="3"/>
  <c r="L54" i="3"/>
  <c r="L112" i="3"/>
  <c r="L22" i="3"/>
  <c r="L21" i="3"/>
  <c r="L115" i="3"/>
  <c r="L116" i="3"/>
  <c r="L117" i="3"/>
  <c r="L118" i="3"/>
  <c r="L119" i="3"/>
  <c r="L120" i="3"/>
  <c r="L121" i="3"/>
  <c r="L9" i="3"/>
  <c r="L123" i="3"/>
  <c r="L124" i="3"/>
  <c r="L45" i="3"/>
  <c r="L7" i="3"/>
  <c r="X6" i="14" l="1"/>
  <c r="X5" i="14"/>
  <c r="L109" i="17"/>
  <c r="K608" i="17"/>
  <c r="L31" i="17"/>
  <c r="L71" i="17"/>
  <c r="K116" i="17"/>
  <c r="L583" i="17"/>
  <c r="L927" i="17"/>
  <c r="L99" i="17"/>
  <c r="L243" i="17"/>
  <c r="K454" i="17"/>
  <c r="L448" i="17"/>
  <c r="L23" i="17"/>
  <c r="L125" i="17"/>
  <c r="L444" i="17"/>
  <c r="L633" i="17"/>
  <c r="K825" i="17"/>
  <c r="L5" i="17"/>
  <c r="K299" i="17"/>
  <c r="L508" i="17"/>
  <c r="L477" i="17"/>
  <c r="L644" i="17"/>
  <c r="K29" i="17"/>
  <c r="L363" i="17"/>
  <c r="K75" i="17"/>
  <c r="L165" i="17"/>
  <c r="K475" i="17"/>
  <c r="K672" i="17"/>
  <c r="K482" i="17"/>
  <c r="L13" i="17"/>
  <c r="L157" i="17"/>
  <c r="K157" i="17"/>
  <c r="K145" i="17"/>
  <c r="L145" i="17"/>
  <c r="K550" i="17"/>
  <c r="K345" i="17"/>
  <c r="L345" i="17"/>
  <c r="K209" i="17"/>
  <c r="L53" i="17"/>
  <c r="K53" i="17"/>
  <c r="K87" i="17"/>
  <c r="L87" i="17"/>
  <c r="L514" i="17"/>
  <c r="K610" i="17"/>
  <c r="L663" i="17"/>
  <c r="L269" i="17"/>
  <c r="L498" i="17"/>
  <c r="L526" i="17"/>
  <c r="L785" i="17"/>
  <c r="L450" i="17"/>
  <c r="L430" i="17"/>
  <c r="L133" i="17"/>
  <c r="L590" i="17"/>
  <c r="L786" i="17"/>
  <c r="L818" i="17"/>
  <c r="K818" i="17"/>
  <c r="L939" i="17"/>
  <c r="L510" i="17"/>
  <c r="L568" i="17"/>
  <c r="K596" i="17"/>
  <c r="L28" i="17"/>
  <c r="L696" i="17"/>
  <c r="K213" i="17"/>
  <c r="L242" i="17"/>
  <c r="K242" i="17"/>
  <c r="K458" i="17"/>
  <c r="K576" i="17"/>
  <c r="K69" i="17"/>
  <c r="K79" i="17"/>
  <c r="L91" i="17"/>
  <c r="L97" i="17"/>
  <c r="K97" i="17"/>
  <c r="L614" i="17"/>
  <c r="L638" i="17"/>
  <c r="K662" i="17"/>
  <c r="K721" i="17"/>
  <c r="K98" i="17"/>
  <c r="L98" i="17"/>
  <c r="K137" i="17"/>
  <c r="K281" i="17"/>
  <c r="L860" i="17"/>
  <c r="K19" i="17"/>
  <c r="L238" i="17"/>
  <c r="K343" i="17"/>
  <c r="L492" i="17"/>
  <c r="L504" i="17"/>
  <c r="K532" i="17"/>
  <c r="L532" i="17"/>
  <c r="L634" i="17"/>
  <c r="L943" i="17"/>
  <c r="K25" i="17"/>
  <c r="L25" i="17"/>
  <c r="L435" i="17"/>
  <c r="L9" i="17"/>
  <c r="L606" i="17"/>
  <c r="L811" i="17"/>
  <c r="K446" i="17"/>
  <c r="K395" i="17"/>
  <c r="L425" i="17"/>
  <c r="L562" i="17"/>
  <c r="L61" i="17"/>
  <c r="K750" i="17"/>
  <c r="L217" i="17"/>
  <c r="K580" i="17"/>
  <c r="K887" i="17"/>
  <c r="L506" i="17"/>
  <c r="K506" i="17"/>
  <c r="L68" i="17"/>
  <c r="K371" i="17"/>
  <c r="L684" i="17"/>
  <c r="K769" i="17"/>
  <c r="L96" i="17"/>
  <c r="L124" i="17"/>
  <c r="L546" i="17"/>
  <c r="K403" i="17"/>
  <c r="K18" i="17"/>
  <c r="L480" i="17"/>
  <c r="K480" i="17"/>
  <c r="L685" i="17"/>
  <c r="K865" i="17"/>
  <c r="L889" i="17"/>
  <c r="K901" i="17"/>
  <c r="K161" i="17"/>
  <c r="L179" i="17"/>
  <c r="L233" i="17"/>
  <c r="L228" i="17"/>
  <c r="K413" i="17"/>
  <c r="K601" i="17"/>
  <c r="K222" i="17"/>
  <c r="K117" i="17"/>
  <c r="L951" i="17"/>
  <c r="K229" i="17"/>
  <c r="K540" i="17"/>
  <c r="L713" i="17"/>
  <c r="L738" i="17"/>
  <c r="L756" i="17"/>
  <c r="L940" i="17"/>
  <c r="K945" i="17"/>
  <c r="K101" i="17"/>
  <c r="L129" i="17"/>
  <c r="K129" i="17"/>
  <c r="K235" i="17"/>
  <c r="L346" i="17"/>
  <c r="L432" i="17"/>
  <c r="K432" i="17"/>
  <c r="K586" i="17"/>
  <c r="L484" i="17"/>
  <c r="K726" i="17"/>
  <c r="L763" i="17"/>
  <c r="K763" i="17"/>
  <c r="K73" i="17"/>
  <c r="L189" i="17"/>
  <c r="K214" i="17"/>
  <c r="L398" i="17"/>
  <c r="L442" i="17"/>
  <c r="K476" i="17"/>
  <c r="K522" i="17"/>
  <c r="K527" i="17"/>
  <c r="L602" i="17"/>
  <c r="L664" i="17"/>
  <c r="L670" i="17"/>
  <c r="L752" i="17"/>
  <c r="L787" i="17"/>
  <c r="L936" i="17"/>
  <c r="L952" i="17"/>
  <c r="K15" i="17"/>
  <c r="K36" i="17"/>
  <c r="L119" i="17"/>
  <c r="L225" i="17"/>
  <c r="L320" i="17"/>
  <c r="K387" i="17"/>
  <c r="K485" i="17"/>
  <c r="K538" i="17"/>
  <c r="K548" i="17"/>
  <c r="L553" i="17"/>
  <c r="K612" i="17"/>
  <c r="K682" i="17"/>
  <c r="K710" i="17"/>
  <c r="L885" i="17"/>
  <c r="K941" i="17"/>
  <c r="L187" i="17"/>
  <c r="L314" i="17"/>
  <c r="L592" i="17"/>
  <c r="L758" i="17"/>
  <c r="L931" i="17"/>
  <c r="L193" i="17"/>
  <c r="L221" i="17"/>
  <c r="L321" i="17"/>
  <c r="K417" i="17"/>
  <c r="L438" i="17"/>
  <c r="L452" i="17"/>
  <c r="L683" i="17"/>
  <c r="K182" i="17"/>
  <c r="K462" i="17"/>
  <c r="K486" i="17"/>
  <c r="K513" i="17"/>
  <c r="K534" i="17"/>
  <c r="L598" i="17"/>
  <c r="K706" i="17"/>
  <c r="L771" i="17"/>
  <c r="K808" i="17"/>
  <c r="K851" i="17"/>
  <c r="L909" i="17"/>
  <c r="L921" i="17"/>
  <c r="L141" i="17"/>
  <c r="K777" i="17"/>
  <c r="L211" i="17"/>
  <c r="L334" i="17"/>
  <c r="L625" i="17"/>
  <c r="L700" i="17"/>
  <c r="L966" i="17"/>
  <c r="L908" i="17"/>
  <c r="K107" i="17"/>
  <c r="L903" i="17"/>
  <c r="K903" i="17"/>
  <c r="K981" i="17"/>
  <c r="L987" i="17"/>
  <c r="K267" i="17"/>
  <c r="L279" i="17"/>
  <c r="L536" i="17"/>
  <c r="L692" i="17"/>
  <c r="K692" i="17"/>
  <c r="K45" i="17"/>
  <c r="K147" i="17"/>
  <c r="K478" i="17"/>
  <c r="L175" i="17"/>
  <c r="K470" i="17"/>
  <c r="K676" i="17"/>
  <c r="K283" i="17"/>
  <c r="L306" i="17"/>
  <c r="K487" i="17"/>
  <c r="L487" i="17"/>
  <c r="K118" i="17"/>
  <c r="L118" i="17"/>
  <c r="L746" i="17"/>
  <c r="K852" i="17"/>
  <c r="L852" i="17"/>
  <c r="K113" i="17"/>
  <c r="K93" i="17"/>
  <c r="K138" i="17"/>
  <c r="K290" i="17"/>
  <c r="L290" i="17"/>
  <c r="K735" i="17"/>
  <c r="K841" i="17"/>
  <c r="K263" i="17"/>
  <c r="L362" i="17"/>
  <c r="L373" i="17"/>
  <c r="K373" i="17"/>
  <c r="L397" i="17"/>
  <c r="K397" i="17"/>
  <c r="L824" i="17"/>
  <c r="K605" i="17"/>
  <c r="L605" i="17"/>
  <c r="L654" i="17"/>
  <c r="K654" i="17"/>
  <c r="K897" i="17"/>
  <c r="L323" i="17"/>
  <c r="K323" i="17"/>
  <c r="K560" i="17"/>
  <c r="L181" i="17"/>
  <c r="K181" i="17"/>
  <c r="L424" i="17"/>
  <c r="K466" i="17"/>
  <c r="L143" i="17"/>
  <c r="K143" i="17"/>
  <c r="K888" i="17"/>
  <c r="L888" i="17"/>
  <c r="L103" i="17"/>
  <c r="K103" i="17"/>
  <c r="L284" i="17"/>
  <c r="L77" i="17"/>
  <c r="K77" i="17"/>
  <c r="L21" i="17"/>
  <c r="K21" i="17"/>
  <c r="K89" i="17"/>
  <c r="L541" i="17"/>
  <c r="K541" i="17"/>
  <c r="K582" i="17"/>
  <c r="L582" i="17"/>
  <c r="K623" i="17"/>
  <c r="L712" i="17"/>
  <c r="K712" i="17"/>
  <c r="L830" i="17"/>
  <c r="K971" i="17"/>
  <c r="L977" i="17"/>
  <c r="K977" i="17"/>
  <c r="K11" i="17"/>
  <c r="K578" i="17"/>
  <c r="L258" i="17"/>
  <c r="L368" i="17"/>
  <c r="K658" i="17"/>
  <c r="L730" i="17"/>
  <c r="K730" i="17"/>
  <c r="K7" i="17"/>
  <c r="L246" i="17"/>
  <c r="L707" i="17"/>
  <c r="L819" i="17"/>
  <c r="L949" i="17"/>
  <c r="K949" i="17"/>
  <c r="K122" i="17"/>
  <c r="L524" i="17"/>
  <c r="K524" i="17"/>
  <c r="L55" i="17"/>
  <c r="K55" i="17"/>
  <c r="L892" i="17"/>
  <c r="L50" i="17"/>
  <c r="K50" i="17"/>
  <c r="L433" i="17"/>
  <c r="K433" i="17"/>
  <c r="K864" i="17"/>
  <c r="L864" i="17"/>
  <c r="K893" i="17"/>
  <c r="L893" i="17"/>
  <c r="K402" i="17"/>
  <c r="L402" i="17"/>
  <c r="L171" i="17"/>
  <c r="K171" i="17"/>
  <c r="L302" i="17"/>
  <c r="K982" i="17"/>
  <c r="L982" i="17"/>
  <c r="L17" i="17"/>
  <c r="K17" i="17"/>
  <c r="L156" i="17"/>
  <c r="K156" i="17"/>
  <c r="K231" i="17"/>
  <c r="K564" i="17"/>
  <c r="K619" i="17"/>
  <c r="K702" i="17"/>
  <c r="L923" i="17"/>
  <c r="K151" i="17"/>
  <c r="K358" i="17"/>
  <c r="L358" i="17"/>
  <c r="K569" i="17"/>
  <c r="L609" i="17"/>
  <c r="K609" i="17"/>
  <c r="L912" i="17"/>
  <c r="L3" i="17"/>
  <c r="K49" i="17"/>
  <c r="K65" i="17"/>
  <c r="K185" i="17"/>
  <c r="K227" i="17"/>
  <c r="L236" i="17"/>
  <c r="K236" i="17"/>
  <c r="K523" i="17"/>
  <c r="L528" i="17"/>
  <c r="K528" i="17"/>
  <c r="K809" i="17"/>
  <c r="L809" i="17"/>
  <c r="K719" i="17"/>
  <c r="K924" i="17"/>
  <c r="L924" i="17"/>
  <c r="K967" i="17"/>
  <c r="K126" i="17"/>
  <c r="K205" i="17"/>
  <c r="K253" i="17"/>
  <c r="L467" i="17"/>
  <c r="K85" i="17"/>
  <c r="K139" i="17"/>
  <c r="K223" i="17"/>
  <c r="L342" i="17"/>
  <c r="K494" i="17"/>
  <c r="L494" i="17"/>
  <c r="L503" i="17"/>
  <c r="K698" i="17"/>
  <c r="K37" i="17"/>
  <c r="L41" i="17"/>
  <c r="K162" i="17"/>
  <c r="K167" i="17"/>
  <c r="L264" i="17"/>
  <c r="L332" i="17"/>
  <c r="K499" i="17"/>
  <c r="K512" i="17"/>
  <c r="K516" i="17"/>
  <c r="K556" i="17"/>
  <c r="K588" i="17"/>
  <c r="K640" i="17"/>
  <c r="L640" i="17"/>
  <c r="K645" i="17"/>
  <c r="K650" i="17"/>
  <c r="K799" i="17"/>
  <c r="K805" i="17"/>
  <c r="K816" i="17"/>
  <c r="L978" i="17"/>
  <c r="L989" i="17"/>
  <c r="K989" i="17"/>
  <c r="K123" i="17"/>
  <c r="K131" i="17"/>
  <c r="L158" i="17"/>
  <c r="K177" i="17"/>
  <c r="K196" i="17"/>
  <c r="K219" i="17"/>
  <c r="K337" i="17"/>
  <c r="K460" i="17"/>
  <c r="K552" i="17"/>
  <c r="K584" i="17"/>
  <c r="K674" i="17"/>
  <c r="K688" i="17"/>
  <c r="K764" i="17"/>
  <c r="K866" i="17"/>
  <c r="L866" i="17"/>
  <c r="K33" i="17"/>
  <c r="L105" i="17"/>
  <c r="K115" i="17"/>
  <c r="K201" i="17"/>
  <c r="L210" i="17"/>
  <c r="K347" i="17"/>
  <c r="K456" i="17"/>
  <c r="K543" i="17"/>
  <c r="K630" i="17"/>
  <c r="K655" i="17"/>
  <c r="L973" i="17"/>
  <c r="K973" i="17"/>
  <c r="L110" i="17"/>
  <c r="K127" i="17"/>
  <c r="K377" i="17"/>
  <c r="K383" i="17"/>
  <c r="L394" i="17"/>
  <c r="L593" i="17"/>
  <c r="K593" i="17"/>
  <c r="K755" i="17"/>
  <c r="L794" i="17"/>
  <c r="L668" i="17"/>
  <c r="K668" i="17"/>
  <c r="K274" i="17"/>
  <c r="L274" i="17"/>
  <c r="L325" i="17"/>
  <c r="K325" i="17"/>
  <c r="K520" i="17"/>
  <c r="L620" i="17"/>
  <c r="K620" i="17"/>
  <c r="K678" i="17"/>
  <c r="L820" i="17"/>
  <c r="L94" i="17"/>
  <c r="K94" i="17"/>
  <c r="L463" i="17"/>
  <c r="L879" i="17"/>
  <c r="K879" i="17"/>
  <c r="K81" i="17"/>
  <c r="L163" i="17"/>
  <c r="K422" i="17"/>
  <c r="L422" i="17"/>
  <c r="L490" i="17"/>
  <c r="K490" i="17"/>
  <c r="K500" i="17"/>
  <c r="K539" i="17"/>
  <c r="K622" i="17"/>
  <c r="L689" i="17"/>
  <c r="K689" i="17"/>
  <c r="L958" i="17"/>
  <c r="L76" i="17"/>
  <c r="K197" i="17"/>
  <c r="K239" i="17"/>
  <c r="K496" i="17"/>
  <c r="L535" i="17"/>
  <c r="K581" i="17"/>
  <c r="K646" i="17"/>
  <c r="K680" i="17"/>
  <c r="L760" i="17"/>
  <c r="K789" i="17"/>
  <c r="L789" i="17"/>
  <c r="K10" i="17"/>
  <c r="K58" i="17"/>
  <c r="K72" i="17"/>
  <c r="L111" i="17"/>
  <c r="K111" i="17"/>
  <c r="L150" i="17"/>
  <c r="K155" i="17"/>
  <c r="L159" i="17"/>
  <c r="L328" i="17"/>
  <c r="L384" i="17"/>
  <c r="L389" i="17"/>
  <c r="K389" i="17"/>
  <c r="K436" i="17"/>
  <c r="L440" i="17"/>
  <c r="K474" i="17"/>
  <c r="K572" i="17"/>
  <c r="L585" i="17"/>
  <c r="K594" i="17"/>
  <c r="K626" i="17"/>
  <c r="K666" i="17"/>
  <c r="K716" i="17"/>
  <c r="K739" i="17"/>
  <c r="L922" i="17"/>
  <c r="L932" i="17"/>
  <c r="L831" i="17"/>
  <c r="K831" i="17"/>
  <c r="K135" i="17"/>
  <c r="L352" i="17"/>
  <c r="L615" i="17"/>
  <c r="L708" i="17"/>
  <c r="K708" i="17"/>
  <c r="L566" i="17"/>
  <c r="K566" i="17"/>
  <c r="K260" i="17"/>
  <c r="L260" i="17"/>
  <c r="L63" i="17"/>
  <c r="K63" i="17"/>
  <c r="K215" i="17"/>
  <c r="K255" i="17"/>
  <c r="L255" i="17"/>
  <c r="L733" i="17"/>
  <c r="L856" i="17"/>
  <c r="K183" i="17"/>
  <c r="K333" i="17"/>
  <c r="K202" i="17"/>
  <c r="L244" i="17"/>
  <c r="K244" i="17"/>
  <c r="K305" i="17"/>
  <c r="K642" i="17"/>
  <c r="L834" i="17"/>
  <c r="L840" i="17"/>
  <c r="L868" i="17"/>
  <c r="K891" i="17"/>
  <c r="L891" i="17"/>
  <c r="L959" i="17"/>
  <c r="K959" i="17"/>
  <c r="L207" i="17"/>
  <c r="K207" i="17"/>
  <c r="L353" i="17"/>
  <c r="K353" i="17"/>
  <c r="K848" i="17"/>
  <c r="L848" i="17"/>
  <c r="L954" i="17"/>
  <c r="L38" i="17"/>
  <c r="K42" i="17"/>
  <c r="K47" i="17"/>
  <c r="K95" i="17"/>
  <c r="K148" i="17"/>
  <c r="K169" i="17"/>
  <c r="K173" i="17"/>
  <c r="K265" i="17"/>
  <c r="L312" i="17"/>
  <c r="L318" i="17"/>
  <c r="L464" i="17"/>
  <c r="L505" i="17"/>
  <c r="K545" i="17"/>
  <c r="K570" i="17"/>
  <c r="L574" i="17"/>
  <c r="K616" i="17"/>
  <c r="K694" i="17"/>
  <c r="K741" i="17"/>
  <c r="L826" i="17"/>
  <c r="K904" i="17"/>
  <c r="L904" i="17"/>
  <c r="K914" i="17"/>
  <c r="L914" i="17"/>
  <c r="K965" i="17"/>
  <c r="K969" i="17"/>
  <c r="K70" i="17"/>
  <c r="L70" i="17"/>
  <c r="L198" i="17"/>
  <c r="K307" i="17"/>
  <c r="L624" i="17"/>
  <c r="K624" i="17"/>
  <c r="K651" i="17"/>
  <c r="K709" i="17"/>
  <c r="L874" i="17"/>
  <c r="K899" i="17"/>
  <c r="L899" i="17"/>
  <c r="L930" i="17"/>
  <c r="L203" i="17"/>
  <c r="K203" i="17"/>
  <c r="L261" i="17"/>
  <c r="K261" i="17"/>
  <c r="K699" i="17"/>
  <c r="L699" i="17"/>
  <c r="K894" i="17"/>
  <c r="L894" i="17"/>
  <c r="K108" i="17"/>
  <c r="K344" i="17"/>
  <c r="L344" i="17"/>
  <c r="K365" i="17"/>
  <c r="L375" i="17"/>
  <c r="K604" i="17"/>
  <c r="K807" i="17"/>
  <c r="L925" i="17"/>
  <c r="L35" i="17"/>
  <c r="L57" i="17"/>
  <c r="K83" i="17"/>
  <c r="K149" i="17"/>
  <c r="K153" i="17"/>
  <c r="K178" i="17"/>
  <c r="K191" i="17"/>
  <c r="L195" i="17"/>
  <c r="K216" i="17"/>
  <c r="L237" i="17"/>
  <c r="K245" i="17"/>
  <c r="L266" i="17"/>
  <c r="K293" i="17"/>
  <c r="L370" i="17"/>
  <c r="K381" i="17"/>
  <c r="L386" i="17"/>
  <c r="K405" i="17"/>
  <c r="L421" i="17"/>
  <c r="K434" i="17"/>
  <c r="K488" i="17"/>
  <c r="K502" i="17"/>
  <c r="L502" i="17"/>
  <c r="K518" i="17"/>
  <c r="K530" i="17"/>
  <c r="K558" i="17"/>
  <c r="K600" i="17"/>
  <c r="L665" i="17"/>
  <c r="K673" i="17"/>
  <c r="K677" i="17"/>
  <c r="L690" i="17"/>
  <c r="L731" i="17"/>
  <c r="L790" i="17"/>
  <c r="L869" i="17"/>
  <c r="L880" i="17"/>
  <c r="L241" i="17"/>
  <c r="L354" i="17"/>
  <c r="L415" i="17"/>
  <c r="K437" i="17"/>
  <c r="K960" i="17"/>
  <c r="L960" i="17"/>
  <c r="L39" i="17"/>
  <c r="K39" i="17"/>
  <c r="L121" i="17"/>
  <c r="K121" i="17"/>
  <c r="L199" i="17"/>
  <c r="K199" i="17"/>
  <c r="K349" i="17"/>
  <c r="K542" i="17"/>
  <c r="K445" i="17"/>
  <c r="K27" i="17"/>
  <c r="K67" i="17"/>
  <c r="L174" i="17"/>
  <c r="L204" i="17"/>
  <c r="L304" i="17"/>
  <c r="K411" i="17"/>
  <c r="K426" i="17"/>
  <c r="L426" i="17"/>
  <c r="K554" i="17"/>
  <c r="K563" i="17"/>
  <c r="L563" i="17"/>
  <c r="K648" i="17"/>
  <c r="L648" i="17"/>
  <c r="L686" i="17"/>
  <c r="K823" i="17"/>
  <c r="L823" i="17"/>
  <c r="L844" i="17"/>
  <c r="L855" i="17"/>
  <c r="L792" i="17"/>
  <c r="L928" i="17"/>
  <c r="K517" i="17"/>
  <c r="K551" i="17"/>
  <c r="K621" i="17"/>
  <c r="K632" i="17"/>
  <c r="K636" i="17"/>
  <c r="K660" i="17"/>
  <c r="L675" i="17"/>
  <c r="K679" i="17"/>
  <c r="K704" i="17"/>
  <c r="K722" i="17"/>
  <c r="K732" i="17"/>
  <c r="K757" i="17"/>
  <c r="K778" i="17"/>
  <c r="K798" i="17"/>
  <c r="L832" i="17"/>
  <c r="K843" i="17"/>
  <c r="K857" i="17"/>
  <c r="L942" i="17"/>
  <c r="K43" i="17"/>
  <c r="K51" i="17"/>
  <c r="K59" i="17"/>
  <c r="L78" i="17"/>
  <c r="K82" i="17"/>
  <c r="K188" i="17"/>
  <c r="K218" i="17"/>
  <c r="K285" i="17"/>
  <c r="L296" i="17"/>
  <c r="K468" i="17"/>
  <c r="K472" i="17"/>
  <c r="K544" i="17"/>
  <c r="K618" i="17"/>
  <c r="K628" i="17"/>
  <c r="K652" i="17"/>
  <c r="K656" i="17"/>
  <c r="K718" i="17"/>
  <c r="K728" i="17"/>
  <c r="K748" i="17"/>
  <c r="K762" i="17"/>
  <c r="K784" i="17"/>
  <c r="K853" i="17"/>
  <c r="L929" i="17"/>
  <c r="K933" i="17"/>
  <c r="K192" i="17"/>
  <c r="L335" i="17"/>
  <c r="K571" i="17"/>
  <c r="L687" i="17"/>
  <c r="L691" i="17"/>
  <c r="K743" i="17"/>
  <c r="L773" i="17"/>
  <c r="L905" i="17"/>
  <c r="L910" i="17"/>
  <c r="K248" i="17"/>
  <c r="L248" i="17"/>
  <c r="K555" i="17"/>
  <c r="L555" i="17"/>
  <c r="K168" i="17"/>
  <c r="K208" i="17"/>
  <c r="K232" i="17"/>
  <c r="K360" i="17"/>
  <c r="L360" i="17"/>
  <c r="L410" i="17"/>
  <c r="K429" i="17"/>
  <c r="L443" i="17"/>
  <c r="K443" i="17"/>
  <c r="K449" i="17"/>
  <c r="K483" i="17"/>
  <c r="L515" i="17"/>
  <c r="K575" i="17"/>
  <c r="K591" i="17"/>
  <c r="K611" i="17"/>
  <c r="L611" i="17"/>
  <c r="L833" i="17"/>
  <c r="K8" i="17"/>
  <c r="K56" i="17"/>
  <c r="K92" i="17"/>
  <c r="K461" i="17"/>
  <c r="L519" i="17"/>
  <c r="K519" i="17"/>
  <c r="K774" i="17"/>
  <c r="K357" i="17"/>
  <c r="L372" i="17"/>
  <c r="K399" i="17"/>
  <c r="K32" i="17"/>
  <c r="L104" i="17"/>
  <c r="L190" i="17"/>
  <c r="L300" i="17"/>
  <c r="K493" i="17"/>
  <c r="K533" i="17"/>
  <c r="K423" i="17"/>
  <c r="L549" i="17"/>
  <c r="K549" i="17"/>
  <c r="K659" i="17"/>
  <c r="K703" i="17"/>
  <c r="L804" i="17"/>
  <c r="K804" i="17"/>
  <c r="K6" i="17"/>
  <c r="K44" i="17"/>
  <c r="K166" i="17"/>
  <c r="K459" i="17"/>
  <c r="L681" i="17"/>
  <c r="K749" i="17"/>
  <c r="K944" i="17"/>
  <c r="L944" i="17"/>
  <c r="L250" i="17"/>
  <c r="L271" i="17"/>
  <c r="K324" i="17"/>
  <c r="L324" i="17"/>
  <c r="K393" i="17"/>
  <c r="K599" i="17"/>
  <c r="L800" i="17"/>
  <c r="K849" i="17"/>
  <c r="L80" i="17"/>
  <c r="K80" i="17"/>
  <c r="K254" i="17"/>
  <c r="L254" i="17"/>
  <c r="L282" i="17"/>
  <c r="K639" i="17"/>
  <c r="K715" i="17"/>
  <c r="L736" i="17"/>
  <c r="K766" i="17"/>
  <c r="K54" i="17"/>
  <c r="K136" i="17"/>
  <c r="K212" i="17"/>
  <c r="K297" i="17"/>
  <c r="K396" i="17"/>
  <c r="L396" i="17"/>
  <c r="K416" i="17"/>
  <c r="L416" i="17"/>
  <c r="L114" i="17"/>
  <c r="K984" i="17"/>
  <c r="L984" i="17"/>
  <c r="K4" i="17"/>
  <c r="L66" i="17"/>
  <c r="L317" i="17"/>
  <c r="L366" i="17"/>
  <c r="K613" i="17"/>
  <c r="L788" i="17"/>
  <c r="K788" i="17"/>
  <c r="K814" i="17"/>
  <c r="L294" i="17"/>
  <c r="L336" i="17"/>
  <c r="K339" i="17"/>
  <c r="K350" i="17"/>
  <c r="L350" i="17"/>
  <c r="L404" i="17"/>
  <c r="K457" i="17"/>
  <c r="K577" i="17"/>
  <c r="K693" i="17"/>
  <c r="K836" i="17"/>
  <c r="L836" i="17"/>
  <c r="K980" i="17"/>
  <c r="L980" i="17"/>
  <c r="K234" i="17"/>
  <c r="L329" i="17"/>
  <c r="K329" i="17"/>
  <c r="K431" i="17"/>
  <c r="L451" i="17"/>
  <c r="K451" i="17"/>
  <c r="K521" i="17"/>
  <c r="K561" i="17"/>
  <c r="L669" i="17"/>
  <c r="K669" i="17"/>
  <c r="K697" i="17"/>
  <c r="L697" i="17"/>
  <c r="L164" i="17"/>
  <c r="K164" i="17"/>
  <c r="L240" i="17"/>
  <c r="K240" i="17"/>
  <c r="K390" i="17"/>
  <c r="L390" i="17"/>
  <c r="K491" i="17"/>
  <c r="K793" i="17"/>
  <c r="L793" i="17"/>
  <c r="L815" i="17"/>
  <c r="K815" i="17"/>
  <c r="K926" i="17"/>
  <c r="L926" i="17"/>
  <c r="K985" i="17"/>
  <c r="L985" i="17"/>
  <c r="L200" i="17"/>
  <c r="K200" i="17"/>
  <c r="L420" i="17"/>
  <c r="L30" i="17"/>
  <c r="L224" i="17"/>
  <c r="L259" i="17"/>
  <c r="K277" i="17"/>
  <c r="L309" i="17"/>
  <c r="K465" i="17"/>
  <c r="K870" i="17"/>
  <c r="L870" i="17"/>
  <c r="L884" i="17"/>
  <c r="K900" i="17"/>
  <c r="L900" i="17"/>
  <c r="K976" i="17"/>
  <c r="L976" i="17"/>
  <c r="K22" i="17"/>
  <c r="L106" i="17"/>
  <c r="K146" i="17"/>
  <c r="K170" i="17"/>
  <c r="L256" i="17"/>
  <c r="K291" i="17"/>
  <c r="K351" i="17"/>
  <c r="L837" i="17"/>
  <c r="K837" i="17"/>
  <c r="K34" i="17"/>
  <c r="K134" i="17"/>
  <c r="L330" i="17"/>
  <c r="K661" i="17"/>
  <c r="K90" i="17"/>
  <c r="L90" i="17"/>
  <c r="K262" i="17"/>
  <c r="L262" i="17"/>
  <c r="K653" i="17"/>
  <c r="L16" i="17"/>
  <c r="K16" i="17"/>
  <c r="L280" i="17"/>
  <c r="L803" i="17"/>
  <c r="K803" i="17"/>
  <c r="K972" i="17"/>
  <c r="L972" i="17"/>
  <c r="L257" i="17"/>
  <c r="K257" i="17"/>
  <c r="L525" i="17"/>
  <c r="K525" i="17"/>
  <c r="L747" i="17"/>
  <c r="K747" i="17"/>
  <c r="K915" i="17"/>
  <c r="L915" i="17"/>
  <c r="K176" i="17"/>
  <c r="K206" i="17"/>
  <c r="L230" i="17"/>
  <c r="L286" i="17"/>
  <c r="K340" i="17"/>
  <c r="L340" i="17"/>
  <c r="L376" i="17"/>
  <c r="K473" i="17"/>
  <c r="K867" i="17"/>
  <c r="K2" i="17"/>
  <c r="K64" i="17"/>
  <c r="K88" i="17"/>
  <c r="K102" i="17"/>
  <c r="K112" i="17"/>
  <c r="L144" i="17"/>
  <c r="K186" i="17"/>
  <c r="K251" i="17"/>
  <c r="L289" i="17"/>
  <c r="K289" i="17"/>
  <c r="K313" i="17"/>
  <c r="K455" i="17"/>
  <c r="L481" i="17"/>
  <c r="K481" i="17"/>
  <c r="K531" i="17"/>
  <c r="L559" i="17"/>
  <c r="K597" i="17"/>
  <c r="K603" i="17"/>
  <c r="L631" i="17"/>
  <c r="K631" i="17"/>
  <c r="K643" i="17"/>
  <c r="L657" i="17"/>
  <c r="L754" i="17"/>
  <c r="K783" i="17"/>
  <c r="K846" i="17"/>
  <c r="L846" i="17"/>
  <c r="L920" i="17"/>
  <c r="K26" i="17"/>
  <c r="K52" i="17"/>
  <c r="K154" i="17"/>
  <c r="L292" i="17"/>
  <c r="K319" i="17"/>
  <c r="K379" i="17"/>
  <c r="L382" i="17"/>
  <c r="L385" i="17"/>
  <c r="K385" i="17"/>
  <c r="L497" i="17"/>
  <c r="K720" i="17"/>
  <c r="K744" i="17"/>
  <c r="L744" i="17"/>
  <c r="L827" i="17"/>
  <c r="L878" i="17"/>
  <c r="K916" i="17"/>
  <c r="L916" i="17"/>
  <c r="K962" i="17"/>
  <c r="L962" i="17"/>
  <c r="L990" i="17"/>
  <c r="K14" i="17"/>
  <c r="K86" i="17"/>
  <c r="L120" i="17"/>
  <c r="K120" i="17"/>
  <c r="K132" i="17"/>
  <c r="L272" i="17"/>
  <c r="L275" i="17"/>
  <c r="K301" i="17"/>
  <c r="L331" i="17"/>
  <c r="K331" i="17"/>
  <c r="K355" i="17"/>
  <c r="K391" i="17"/>
  <c r="L400" i="17"/>
  <c r="L412" i="17"/>
  <c r="L418" i="17"/>
  <c r="L447" i="17"/>
  <c r="K489" i="17"/>
  <c r="K511" i="17"/>
  <c r="L589" i="17"/>
  <c r="K589" i="17"/>
  <c r="L717" i="17"/>
  <c r="K717" i="17"/>
  <c r="K723" i="17"/>
  <c r="L723" i="17"/>
  <c r="L751" i="17"/>
  <c r="K751" i="17"/>
  <c r="L838" i="17"/>
  <c r="K986" i="17"/>
  <c r="L986" i="17"/>
  <c r="K295" i="17"/>
  <c r="L295" i="17"/>
  <c r="L298" i="17"/>
  <c r="K316" i="17"/>
  <c r="L316" i="17"/>
  <c r="K322" i="17"/>
  <c r="L322" i="17"/>
  <c r="L364" i="17"/>
  <c r="L780" i="17"/>
  <c r="K882" i="17"/>
  <c r="L882" i="17"/>
  <c r="K946" i="17"/>
  <c r="L946" i="17"/>
  <c r="L427" i="17"/>
  <c r="K427" i="17"/>
  <c r="L649" i="17"/>
  <c r="K649" i="17"/>
  <c r="L861" i="17"/>
  <c r="K861" i="17"/>
  <c r="K48" i="17"/>
  <c r="K62" i="17"/>
  <c r="K74" i="17"/>
  <c r="K84" i="17"/>
  <c r="K142" i="17"/>
  <c r="K152" i="17"/>
  <c r="L184" i="17"/>
  <c r="L557" i="17"/>
  <c r="K557" i="17"/>
  <c r="K579" i="17"/>
  <c r="K671" i="17"/>
  <c r="K711" i="17"/>
  <c r="K727" i="17"/>
  <c r="L813" i="17"/>
  <c r="K847" i="17"/>
  <c r="K871" i="17"/>
  <c r="L24" i="17"/>
  <c r="K341" i="17"/>
  <c r="L495" i="17"/>
  <c r="K495" i="17"/>
  <c r="K714" i="17"/>
  <c r="L714" i="17"/>
  <c r="L745" i="17"/>
  <c r="K745" i="17"/>
  <c r="K828" i="17"/>
  <c r="L828" i="17"/>
  <c r="L917" i="17"/>
  <c r="L947" i="17"/>
  <c r="K947" i="17"/>
  <c r="L12" i="17"/>
  <c r="K46" i="17"/>
  <c r="K128" i="17"/>
  <c r="L160" i="17"/>
  <c r="K160" i="17"/>
  <c r="K172" i="17"/>
  <c r="L194" i="17"/>
  <c r="K311" i="17"/>
  <c r="L338" i="17"/>
  <c r="L374" i="17"/>
  <c r="K380" i="17"/>
  <c r="L380" i="17"/>
  <c r="L401" i="17"/>
  <c r="L469" i="17"/>
  <c r="L509" i="17"/>
  <c r="K509" i="17"/>
  <c r="L641" i="17"/>
  <c r="L724" i="17"/>
  <c r="K724" i="17"/>
  <c r="L791" i="17"/>
  <c r="K806" i="17"/>
  <c r="K821" i="17"/>
  <c r="K875" i="17"/>
  <c r="L955" i="17"/>
  <c r="K955" i="17"/>
  <c r="L40" i="17"/>
  <c r="K40" i="17"/>
  <c r="K567" i="17"/>
  <c r="K406" i="17"/>
  <c r="L406" i="17"/>
  <c r="K130" i="17"/>
  <c r="K226" i="17"/>
  <c r="K252" i="17"/>
  <c r="L252" i="17"/>
  <c r="L453" i="17"/>
  <c r="K276" i="17"/>
  <c r="L276" i="17"/>
  <c r="K817" i="17"/>
  <c r="K392" i="17"/>
  <c r="L392" i="17"/>
  <c r="L607" i="17"/>
  <c r="K607" i="17"/>
  <c r="K974" i="17"/>
  <c r="L974" i="17"/>
  <c r="L369" i="17"/>
  <c r="K369" i="17"/>
  <c r="K775" i="17"/>
  <c r="L775" i="17"/>
  <c r="L859" i="17"/>
  <c r="K859" i="17"/>
  <c r="K953" i="17"/>
  <c r="L953" i="17"/>
  <c r="L637" i="17"/>
  <c r="K637" i="17"/>
  <c r="K270" i="17"/>
  <c r="L270" i="17"/>
  <c r="L441" i="17"/>
  <c r="K441" i="17"/>
  <c r="L629" i="17"/>
  <c r="K629" i="17"/>
  <c r="L701" i="17"/>
  <c r="K772" i="17"/>
  <c r="L772" i="17"/>
  <c r="K795" i="17"/>
  <c r="L822" i="17"/>
  <c r="K863" i="17"/>
  <c r="L896" i="17"/>
  <c r="K979" i="17"/>
  <c r="K20" i="17"/>
  <c r="K60" i="17"/>
  <c r="K100" i="17"/>
  <c r="K140" i="17"/>
  <c r="K180" i="17"/>
  <c r="K220" i="17"/>
  <c r="K273" i="17"/>
  <c r="L278" i="17"/>
  <c r="K288" i="17"/>
  <c r="L288" i="17"/>
  <c r="L326" i="17"/>
  <c r="K359" i="17"/>
  <c r="L408" i="17"/>
  <c r="K471" i="17"/>
  <c r="L529" i="17"/>
  <c r="K537" i="17"/>
  <c r="K573" i="17"/>
  <c r="K617" i="17"/>
  <c r="L759" i="17"/>
  <c r="K759" i="17"/>
  <c r="K873" i="17"/>
  <c r="K907" i="17"/>
  <c r="L983" i="17"/>
  <c r="K983" i="17"/>
  <c r="L725" i="17"/>
  <c r="K725" i="17"/>
  <c r="K740" i="17"/>
  <c r="L740" i="17"/>
  <c r="L765" i="17"/>
  <c r="K765" i="17"/>
  <c r="K898" i="17"/>
  <c r="L898" i="17"/>
  <c r="K950" i="17"/>
  <c r="L950" i="17"/>
  <c r="L963" i="17"/>
  <c r="K963" i="17"/>
  <c r="L249" i="17"/>
  <c r="K249" i="17"/>
  <c r="L781" i="17"/>
  <c r="K801" i="17"/>
  <c r="L801" i="17"/>
  <c r="L829" i="17"/>
  <c r="K829" i="17"/>
  <c r="L835" i="17"/>
  <c r="K835" i="17"/>
  <c r="L918" i="17"/>
  <c r="K938" i="17"/>
  <c r="L938" i="17"/>
  <c r="L935" i="17"/>
  <c r="K935" i="17"/>
  <c r="K964" i="17"/>
  <c r="L964" i="17"/>
  <c r="K988" i="17"/>
  <c r="L988" i="17"/>
  <c r="K303" i="17"/>
  <c r="K310" i="17"/>
  <c r="L310" i="17"/>
  <c r="K315" i="17"/>
  <c r="K356" i="17"/>
  <c r="L356" i="17"/>
  <c r="K361" i="17"/>
  <c r="L378" i="17"/>
  <c r="L409" i="17"/>
  <c r="K409" i="17"/>
  <c r="L414" i="17"/>
  <c r="K419" i="17"/>
  <c r="K439" i="17"/>
  <c r="K479" i="17"/>
  <c r="K501" i="17"/>
  <c r="K565" i="17"/>
  <c r="L595" i="17"/>
  <c r="K647" i="17"/>
  <c r="K695" i="17"/>
  <c r="K770" i="17"/>
  <c r="L779" i="17"/>
  <c r="K779" i="17"/>
  <c r="K796" i="17"/>
  <c r="L802" i="17"/>
  <c r="K802" i="17"/>
  <c r="K845" i="17"/>
  <c r="L872" i="17"/>
  <c r="L970" i="17"/>
  <c r="L635" i="17"/>
  <c r="L753" i="17"/>
  <c r="K753" i="17"/>
  <c r="K761" i="17"/>
  <c r="K767" i="17"/>
  <c r="K776" i="17"/>
  <c r="K782" i="17"/>
  <c r="L839" i="17"/>
  <c r="K839" i="17"/>
  <c r="L854" i="17"/>
  <c r="L881" i="17"/>
  <c r="L890" i="17"/>
  <c r="K850" i="17"/>
  <c r="L850" i="17"/>
  <c r="K876" i="17"/>
  <c r="L876" i="17"/>
  <c r="L957" i="17"/>
  <c r="K957" i="17"/>
  <c r="K812" i="17"/>
  <c r="L842" i="17"/>
  <c r="L858" i="17"/>
  <c r="L902" i="17"/>
  <c r="L913" i="17"/>
  <c r="K919" i="17"/>
  <c r="K948" i="17"/>
  <c r="L948" i="17"/>
  <c r="K247" i="17"/>
  <c r="L268" i="17"/>
  <c r="K287" i="17"/>
  <c r="L308" i="17"/>
  <c r="K327" i="17"/>
  <c r="L348" i="17"/>
  <c r="K367" i="17"/>
  <c r="L388" i="17"/>
  <c r="K407" i="17"/>
  <c r="L428" i="17"/>
  <c r="K507" i="17"/>
  <c r="K547" i="17"/>
  <c r="K587" i="17"/>
  <c r="K627" i="17"/>
  <c r="K667" i="17"/>
  <c r="K705" i="17"/>
  <c r="K729" i="17"/>
  <c r="K734" i="17"/>
  <c r="K742" i="17"/>
  <c r="L768" i="17"/>
  <c r="K797" i="17"/>
  <c r="L810" i="17"/>
  <c r="K877" i="17"/>
  <c r="L877" i="17"/>
  <c r="L883" i="17"/>
  <c r="K911" i="17"/>
  <c r="L934" i="17"/>
  <c r="L737" i="17"/>
  <c r="K737" i="17"/>
  <c r="K886" i="17"/>
  <c r="L886" i="17"/>
  <c r="L937" i="17"/>
  <c r="K937" i="17"/>
  <c r="L961" i="17"/>
  <c r="K961" i="17"/>
  <c r="K862" i="17"/>
  <c r="L862" i="17"/>
  <c r="L991" i="17"/>
  <c r="K991" i="17"/>
  <c r="L975" i="17"/>
  <c r="K975" i="17"/>
  <c r="L895" i="17"/>
  <c r="K895" i="17"/>
  <c r="K956" i="17"/>
  <c r="L956" i="17"/>
  <c r="L968" i="17"/>
  <c r="K906" i="17"/>
  <c r="L906" i="17"/>
  <c r="P7" i="3"/>
  <c r="O82" i="1"/>
  <c r="O22" i="1"/>
  <c r="O21" i="1"/>
  <c r="K69" i="3"/>
  <c r="P69" i="3" s="1"/>
  <c r="O48" i="1"/>
  <c r="O264" i="1"/>
  <c r="W31" i="6"/>
  <c r="Y31" i="6" s="1"/>
  <c r="W34" i="6"/>
  <c r="Y34" i="6" s="1"/>
  <c r="W35" i="6"/>
  <c r="Y35" i="6" s="1"/>
  <c r="W36" i="6"/>
  <c r="Y36" i="6" s="1"/>
  <c r="W37" i="6"/>
  <c r="Y37" i="6" s="1"/>
  <c r="W29" i="6"/>
  <c r="Y29" i="6" s="1"/>
  <c r="W30" i="6"/>
  <c r="Y30" i="6" s="1"/>
  <c r="W32" i="6"/>
  <c r="Y32" i="6" s="1"/>
  <c r="W25" i="6"/>
  <c r="Y25" i="6" s="1"/>
  <c r="W26" i="6"/>
  <c r="Y26" i="6" s="1"/>
  <c r="W23" i="6"/>
  <c r="Y23" i="6" s="1"/>
  <c r="W27" i="6"/>
  <c r="Y27" i="6" s="1"/>
  <c r="J300" i="6"/>
  <c r="M300" i="6" s="1"/>
  <c r="J349" i="6"/>
  <c r="M349" i="6" s="1"/>
  <c r="J371" i="6"/>
  <c r="M371" i="6" s="1"/>
  <c r="J258" i="6"/>
  <c r="M258" i="6" s="1"/>
  <c r="J646" i="6"/>
  <c r="M646" i="6" s="1"/>
  <c r="J22" i="6"/>
  <c r="M22" i="6" s="1"/>
  <c r="J734" i="6"/>
  <c r="M734" i="6" s="1"/>
  <c r="J131" i="6"/>
  <c r="M131" i="6" s="1"/>
  <c r="J341" i="6"/>
  <c r="M341" i="6" s="1"/>
  <c r="J709" i="6"/>
  <c r="M709" i="6" s="1"/>
  <c r="J750" i="6"/>
  <c r="M750" i="6" s="1"/>
  <c r="J776" i="6"/>
  <c r="M776" i="6" s="1"/>
  <c r="J718" i="6"/>
  <c r="M718" i="6" s="1"/>
  <c r="W10" i="6"/>
  <c r="Y10" i="6" s="1"/>
  <c r="W14" i="6"/>
  <c r="Y14" i="6" s="1"/>
  <c r="W18" i="6"/>
  <c r="Y18" i="6" s="1"/>
  <c r="W11" i="6"/>
  <c r="Y11" i="6" s="1"/>
  <c r="W15" i="6"/>
  <c r="Y15" i="6" s="1"/>
  <c r="W19" i="6"/>
  <c r="Y19" i="6" s="1"/>
  <c r="W12" i="6"/>
  <c r="Y12" i="6" s="1"/>
  <c r="W16" i="6"/>
  <c r="Y16" i="6" s="1"/>
  <c r="W20" i="6"/>
  <c r="Y20" i="6" s="1"/>
  <c r="W13" i="6"/>
  <c r="Y13" i="6" s="1"/>
  <c r="W17" i="6"/>
  <c r="Y17" i="6" s="1"/>
  <c r="W21" i="6"/>
  <c r="Y21" i="6" s="1"/>
  <c r="J165" i="6"/>
  <c r="M165" i="6" s="1"/>
  <c r="J355" i="6"/>
  <c r="M355" i="6" s="1"/>
  <c r="J738" i="6"/>
  <c r="M738" i="6" s="1"/>
  <c r="J546" i="6"/>
  <c r="M546" i="6" s="1"/>
  <c r="J689" i="6"/>
  <c r="M689" i="6" s="1"/>
  <c r="J573" i="6"/>
  <c r="M573" i="6" s="1"/>
  <c r="J583" i="6"/>
  <c r="M583" i="6" s="1"/>
  <c r="J606" i="6"/>
  <c r="M606" i="6" s="1"/>
  <c r="J397" i="6"/>
  <c r="M397" i="6" s="1"/>
  <c r="J757" i="6"/>
  <c r="M757" i="6" s="1"/>
  <c r="J730" i="6"/>
  <c r="M730" i="6" s="1"/>
  <c r="J443" i="6"/>
  <c r="M443" i="6" s="1"/>
  <c r="J237" i="6"/>
  <c r="M237" i="6" s="1"/>
  <c r="J284" i="6"/>
  <c r="M284" i="6" s="1"/>
  <c r="J661" i="6"/>
  <c r="M661" i="6" s="1"/>
  <c r="J589" i="6"/>
  <c r="M589" i="6" s="1"/>
  <c r="J101" i="6"/>
  <c r="M101" i="6" s="1"/>
  <c r="J635" i="6"/>
  <c r="M635" i="6" s="1"/>
  <c r="J568" i="6"/>
  <c r="M568" i="6" s="1"/>
  <c r="J148" i="6"/>
  <c r="M148" i="6" s="1"/>
  <c r="J405" i="6"/>
  <c r="M405" i="6" s="1"/>
  <c r="J767" i="6"/>
  <c r="M767" i="6" s="1"/>
  <c r="J57" i="6"/>
  <c r="M57" i="6" s="1"/>
  <c r="J384" i="6"/>
  <c r="M384" i="6" s="1"/>
  <c r="J594" i="6"/>
  <c r="M594" i="6" s="1"/>
  <c r="J35" i="6"/>
  <c r="M35" i="6" s="1"/>
  <c r="J611" i="6"/>
  <c r="M611" i="6" s="1"/>
  <c r="J774" i="6"/>
  <c r="M774" i="6" s="1"/>
  <c r="J577" i="6"/>
  <c r="M577" i="6" s="1"/>
  <c r="J111" i="6"/>
  <c r="M111" i="6" s="1"/>
  <c r="J391" i="6"/>
  <c r="M391" i="6" s="1"/>
  <c r="J704" i="6"/>
  <c r="M704" i="6" s="1"/>
  <c r="J506" i="6"/>
  <c r="M506" i="6" s="1"/>
  <c r="J678" i="6"/>
  <c r="M678" i="6" s="1"/>
  <c r="J653" i="6"/>
  <c r="M653" i="6" s="1"/>
  <c r="J756" i="6"/>
  <c r="M756" i="6" s="1"/>
  <c r="J534" i="6"/>
  <c r="M534" i="6" s="1"/>
  <c r="K534" i="6"/>
  <c r="J558" i="6"/>
  <c r="M558" i="6" s="1"/>
  <c r="J651" i="6"/>
  <c r="M651" i="6" s="1"/>
  <c r="K651" i="6"/>
  <c r="J779" i="6"/>
  <c r="M779" i="6" s="1"/>
  <c r="J439" i="6"/>
  <c r="M439" i="6" s="1"/>
  <c r="J461" i="6"/>
  <c r="M461" i="6" s="1"/>
  <c r="J754" i="6"/>
  <c r="M754" i="6" s="1"/>
  <c r="J485" i="6"/>
  <c r="M485" i="6" s="1"/>
  <c r="J701" i="6"/>
  <c r="M701" i="6" s="1"/>
  <c r="J781" i="6"/>
  <c r="M781" i="6" s="1"/>
  <c r="J676" i="6"/>
  <c r="M676" i="6" s="1"/>
  <c r="K718" i="6"/>
  <c r="K776" i="6"/>
  <c r="J677" i="6"/>
  <c r="M677" i="6" s="1"/>
  <c r="J510" i="6"/>
  <c r="M510" i="6" s="1"/>
  <c r="J652" i="6"/>
  <c r="M652" i="6" s="1"/>
  <c r="J559" i="6"/>
  <c r="M559" i="6" s="1"/>
  <c r="K577" i="6"/>
  <c r="J755" i="6"/>
  <c r="M755" i="6" s="1"/>
  <c r="J535" i="6"/>
  <c r="M535" i="6" s="1"/>
  <c r="J179" i="6"/>
  <c r="M179" i="6" s="1"/>
  <c r="J725" i="6"/>
  <c r="M725" i="6" s="1"/>
  <c r="J531" i="6"/>
  <c r="M531" i="6" s="1"/>
  <c r="J673" i="6"/>
  <c r="M673" i="6" s="1"/>
  <c r="J778" i="6"/>
  <c r="M778" i="6" s="1"/>
  <c r="J648" i="6"/>
  <c r="M648" i="6" s="1"/>
  <c r="J700" i="6"/>
  <c r="M700" i="6" s="1"/>
  <c r="J604" i="6"/>
  <c r="M604" i="6" s="1"/>
  <c r="J556" i="6"/>
  <c r="M556" i="6" s="1"/>
  <c r="K646" i="6"/>
  <c r="J508" i="6"/>
  <c r="M508" i="6" s="1"/>
  <c r="J560" i="6"/>
  <c r="M560" i="6" s="1"/>
  <c r="J532" i="6"/>
  <c r="M532" i="6" s="1"/>
  <c r="J580" i="6"/>
  <c r="M580" i="6" s="1"/>
  <c r="J438" i="6"/>
  <c r="M438" i="6" s="1"/>
  <c r="J579" i="6"/>
  <c r="M579" i="6" s="1"/>
  <c r="J479" i="6"/>
  <c r="M479" i="6" s="1"/>
  <c r="J698" i="6"/>
  <c r="M698" i="6" s="1"/>
  <c r="J600" i="6"/>
  <c r="M600" i="6" s="1"/>
  <c r="J601" i="6"/>
  <c r="M601" i="6" s="1"/>
  <c r="J621" i="6"/>
  <c r="M621" i="6" s="1"/>
  <c r="K573" i="6"/>
  <c r="K750" i="6"/>
  <c r="J699" i="6"/>
  <c r="M699" i="6" s="1"/>
  <c r="J578" i="6"/>
  <c r="M578" i="6" s="1"/>
  <c r="J752" i="6"/>
  <c r="M752" i="6" s="1"/>
  <c r="J624" i="6"/>
  <c r="M624" i="6" s="1"/>
  <c r="J501" i="6"/>
  <c r="M501" i="6" s="1"/>
  <c r="J519" i="6"/>
  <c r="M519" i="6" s="1"/>
  <c r="J381" i="6"/>
  <c r="M381" i="6" s="1"/>
  <c r="J193" i="6"/>
  <c r="M193" i="6" s="1"/>
  <c r="J596" i="6"/>
  <c r="M596" i="6" s="1"/>
  <c r="J745" i="6"/>
  <c r="M745" i="6" s="1"/>
  <c r="K661" i="6"/>
  <c r="J737" i="6"/>
  <c r="M737" i="6" s="1"/>
  <c r="J613" i="6"/>
  <c r="M613" i="6" s="1"/>
  <c r="J394" i="6"/>
  <c r="M394" i="6" s="1"/>
  <c r="K738" i="6"/>
  <c r="J711" i="6"/>
  <c r="M711" i="6" s="1"/>
  <c r="J590" i="6"/>
  <c r="M590" i="6" s="1"/>
  <c r="J181" i="6"/>
  <c r="M181" i="6" s="1"/>
  <c r="J585" i="6"/>
  <c r="M585" i="6" s="1"/>
  <c r="K757" i="6"/>
  <c r="J705" i="6"/>
  <c r="M705" i="6" s="1"/>
  <c r="J733" i="6"/>
  <c r="M733" i="6" s="1"/>
  <c r="J680" i="6"/>
  <c r="M680" i="6" s="1"/>
  <c r="J656" i="6"/>
  <c r="M656" i="6" s="1"/>
  <c r="J90" i="6"/>
  <c r="M90" i="6" s="1"/>
  <c r="J67" i="6"/>
  <c r="M67" i="6" s="1"/>
  <c r="J298" i="6"/>
  <c r="M298" i="6" s="1"/>
  <c r="J205" i="6"/>
  <c r="M205" i="6" s="1"/>
  <c r="J514" i="6"/>
  <c r="M514" i="6" s="1"/>
  <c r="J631" i="6"/>
  <c r="M631" i="6" s="1"/>
  <c r="J513" i="6"/>
  <c r="M513" i="6" s="1"/>
  <c r="J538" i="6"/>
  <c r="M538" i="6" s="1"/>
  <c r="J537" i="6"/>
  <c r="M537" i="6" s="1"/>
  <c r="J561" i="6"/>
  <c r="M561" i="6" s="1"/>
  <c r="J398" i="6"/>
  <c r="M398" i="6" s="1"/>
  <c r="J552" i="6"/>
  <c r="M552" i="6" s="1"/>
  <c r="K546" i="6"/>
  <c r="J696" i="6"/>
  <c r="M696" i="6" s="1"/>
  <c r="J576" i="6"/>
  <c r="M576" i="6" s="1"/>
  <c r="J695" i="6"/>
  <c r="M695" i="6" s="1"/>
  <c r="J575" i="6"/>
  <c r="M575" i="6" s="1"/>
  <c r="J620" i="6"/>
  <c r="M620" i="6" s="1"/>
  <c r="J721" i="6"/>
  <c r="M721" i="6" s="1"/>
  <c r="J599" i="6"/>
  <c r="M599" i="6" s="1"/>
  <c r="J326" i="6"/>
  <c r="M326" i="6" s="1"/>
  <c r="J720" i="6"/>
  <c r="M720" i="6" s="1"/>
  <c r="J598" i="6"/>
  <c r="M598" i="6" s="1"/>
  <c r="J324" i="6"/>
  <c r="M324" i="6" s="1"/>
  <c r="J140" i="6"/>
  <c r="M140" i="6" s="1"/>
  <c r="J744" i="6"/>
  <c r="M744" i="6" s="1"/>
  <c r="J618" i="6"/>
  <c r="M618" i="6" s="1"/>
  <c r="J478" i="6"/>
  <c r="M478" i="6" s="1"/>
  <c r="J770" i="6"/>
  <c r="M770" i="6" s="1"/>
  <c r="J771" i="6"/>
  <c r="M771" i="6" s="1"/>
  <c r="J671" i="6"/>
  <c r="M671" i="6" s="1"/>
  <c r="J641" i="6"/>
  <c r="M641" i="6" s="1"/>
  <c r="J500" i="6"/>
  <c r="M500" i="6" s="1"/>
  <c r="J288" i="6"/>
  <c r="M288" i="6" s="1"/>
  <c r="J80" i="6"/>
  <c r="M80" i="6" s="1"/>
  <c r="J644" i="6"/>
  <c r="M644" i="6" s="1"/>
  <c r="J740" i="6"/>
  <c r="M740" i="6" s="1"/>
  <c r="J450" i="6"/>
  <c r="M450" i="6" s="1"/>
  <c r="J155" i="6"/>
  <c r="M155" i="6" s="1"/>
  <c r="J772" i="6"/>
  <c r="M772" i="6" s="1"/>
  <c r="J672" i="6"/>
  <c r="M672" i="6" s="1"/>
  <c r="J553" i="6"/>
  <c r="M553" i="6" s="1"/>
  <c r="J525" i="6"/>
  <c r="M525" i="6" s="1"/>
  <c r="J499" i="6"/>
  <c r="M499" i="6" s="1"/>
  <c r="J497" i="6"/>
  <c r="M497" i="6" s="1"/>
  <c r="J368" i="6"/>
  <c r="M368" i="6" s="1"/>
  <c r="J741" i="6"/>
  <c r="M741" i="6" s="1"/>
  <c r="K111" i="6"/>
  <c r="J638" i="6"/>
  <c r="M638" i="6" s="1"/>
  <c r="J393" i="6"/>
  <c r="M393" i="6" s="1"/>
  <c r="J203" i="6"/>
  <c r="M203" i="6" s="1"/>
  <c r="J765" i="6"/>
  <c r="M765" i="6" s="1"/>
  <c r="J239" i="6"/>
  <c r="M239" i="6" s="1"/>
  <c r="J380" i="6"/>
  <c r="M380" i="6" s="1"/>
  <c r="J192" i="6"/>
  <c r="M192" i="6" s="1"/>
  <c r="K237" i="6"/>
  <c r="J217" i="6"/>
  <c r="M217" i="6" s="1"/>
  <c r="J747" i="6"/>
  <c r="M747" i="6" s="1"/>
  <c r="J592" i="6"/>
  <c r="M592" i="6" s="1"/>
  <c r="J712" i="6"/>
  <c r="M712" i="6" s="1"/>
  <c r="J619" i="6"/>
  <c r="M619" i="6" s="1"/>
  <c r="J591" i="6"/>
  <c r="M591" i="6" s="1"/>
  <c r="J453" i="6"/>
  <c r="M453" i="6" s="1"/>
  <c r="J426" i="6"/>
  <c r="M426" i="6" s="1"/>
  <c r="J345" i="6"/>
  <c r="M345" i="6" s="1"/>
  <c r="J211" i="6"/>
  <c r="M211" i="6" s="1"/>
  <c r="J159" i="6"/>
  <c r="M159" i="6" s="1"/>
  <c r="J133" i="6"/>
  <c r="M133" i="6" s="1"/>
  <c r="J82" i="6"/>
  <c r="M82" i="6" s="1"/>
  <c r="J32" i="6"/>
  <c r="M32" i="6" s="1"/>
  <c r="J238" i="6"/>
  <c r="M238" i="6" s="1"/>
  <c r="J190" i="6"/>
  <c r="M190" i="6" s="1"/>
  <c r="K131" i="6"/>
  <c r="J370" i="6"/>
  <c r="M370" i="6" s="1"/>
  <c r="J262" i="6"/>
  <c r="M262" i="6" s="1"/>
  <c r="J158" i="6"/>
  <c r="M158" i="6" s="1"/>
  <c r="J132" i="6"/>
  <c r="M132" i="6" s="1"/>
  <c r="J321" i="6"/>
  <c r="M321" i="6" s="1"/>
  <c r="J710" i="6"/>
  <c r="M710" i="6" s="1"/>
  <c r="J617" i="6"/>
  <c r="M617" i="6" s="1"/>
  <c r="J504" i="6"/>
  <c r="M504" i="6" s="1"/>
  <c r="J477" i="6"/>
  <c r="M477" i="6" s="1"/>
  <c r="J369" i="6"/>
  <c r="M369" i="6" s="1"/>
  <c r="J183" i="6"/>
  <c r="M183" i="6" s="1"/>
  <c r="J156" i="6"/>
  <c r="M156" i="6" s="1"/>
  <c r="J153" i="6"/>
  <c r="M153" i="6" s="1"/>
  <c r="J178" i="6"/>
  <c r="M178" i="6" s="1"/>
  <c r="J250" i="6"/>
  <c r="M250" i="6" s="1"/>
  <c r="J416" i="6"/>
  <c r="M416" i="6" s="1"/>
  <c r="K611" i="6"/>
  <c r="K391" i="6"/>
  <c r="J251" i="6"/>
  <c r="M251" i="6" s="1"/>
  <c r="K101" i="6"/>
  <c r="K397" i="6"/>
  <c r="J451" i="6"/>
  <c r="M451" i="6" s="1"/>
  <c r="J293" i="6"/>
  <c r="M293" i="6" s="1"/>
  <c r="J244" i="6"/>
  <c r="M244" i="6" s="1"/>
  <c r="J761" i="6"/>
  <c r="M761" i="6" s="1"/>
  <c r="J736" i="6"/>
  <c r="M736" i="6" s="1"/>
  <c r="J494" i="6"/>
  <c r="M494" i="6" s="1"/>
  <c r="J664" i="6"/>
  <c r="M664" i="6" s="1"/>
  <c r="J633" i="6"/>
  <c r="M633" i="6" s="1"/>
  <c r="J520" i="6"/>
  <c r="M520" i="6" s="1"/>
  <c r="J493" i="6"/>
  <c r="M493" i="6" s="1"/>
  <c r="J413" i="6"/>
  <c r="M413" i="6" s="1"/>
  <c r="J249" i="6"/>
  <c r="M249" i="6" s="1"/>
  <c r="J265" i="6"/>
  <c r="M265" i="6" s="1"/>
  <c r="J759" i="6"/>
  <c r="M759" i="6" s="1"/>
  <c r="J492" i="6"/>
  <c r="M492" i="6" s="1"/>
  <c r="J274" i="6"/>
  <c r="M274" i="6" s="1"/>
  <c r="J693" i="6"/>
  <c r="M693" i="6" s="1"/>
  <c r="J197" i="6"/>
  <c r="M197" i="6" s="1"/>
  <c r="J758" i="6"/>
  <c r="M758" i="6" s="1"/>
  <c r="J572" i="6"/>
  <c r="M572" i="6" s="1"/>
  <c r="J544" i="6"/>
  <c r="M544" i="6" s="1"/>
  <c r="J518" i="6"/>
  <c r="M518" i="6" s="1"/>
  <c r="J436" i="6"/>
  <c r="M436" i="6" s="1"/>
  <c r="J273" i="6"/>
  <c r="M273" i="6" s="1"/>
  <c r="J222" i="6"/>
  <c r="M222" i="6" s="1"/>
  <c r="J41" i="6"/>
  <c r="M41" i="6" s="1"/>
  <c r="J685" i="6"/>
  <c r="M685" i="6" s="1"/>
  <c r="J180" i="6"/>
  <c r="M180" i="6" s="1"/>
  <c r="K384" i="6"/>
  <c r="J637" i="6"/>
  <c r="M637" i="6" s="1"/>
  <c r="J219" i="6"/>
  <c r="M219" i="6" s="1"/>
  <c r="J66" i="6"/>
  <c r="M66" i="6" s="1"/>
  <c r="J459" i="6"/>
  <c r="M459" i="6" s="1"/>
  <c r="J269" i="6"/>
  <c r="M269" i="6" s="1"/>
  <c r="J38" i="6"/>
  <c r="M38" i="6" s="1"/>
  <c r="J717" i="6"/>
  <c r="M717" i="6" s="1"/>
  <c r="J268" i="6"/>
  <c r="M268" i="6" s="1"/>
  <c r="J64" i="6"/>
  <c r="M64" i="6" s="1"/>
  <c r="J37" i="6"/>
  <c r="M37" i="6" s="1"/>
  <c r="K734" i="6"/>
  <c r="J716" i="6"/>
  <c r="M716" i="6" s="1"/>
  <c r="J684" i="6"/>
  <c r="M684" i="6" s="1"/>
  <c r="J565" i="6"/>
  <c r="M565" i="6" s="1"/>
  <c r="J294" i="6"/>
  <c r="M294" i="6" s="1"/>
  <c r="J216" i="6"/>
  <c r="M216" i="6" s="1"/>
  <c r="J137" i="6"/>
  <c r="M137" i="6" s="1"/>
  <c r="J112" i="6"/>
  <c r="M112" i="6" s="1"/>
  <c r="J85" i="6"/>
  <c r="M85" i="6" s="1"/>
  <c r="J62" i="6"/>
  <c r="M62" i="6" s="1"/>
  <c r="J11" i="6"/>
  <c r="M11" i="6" s="1"/>
  <c r="J640" i="6"/>
  <c r="M640" i="6" s="1"/>
  <c r="J659" i="6"/>
  <c r="M659" i="6" s="1"/>
  <c r="J516" i="6"/>
  <c r="M516" i="6" s="1"/>
  <c r="J271" i="6"/>
  <c r="M271" i="6" s="1"/>
  <c r="J658" i="6"/>
  <c r="M658" i="6" s="1"/>
  <c r="J460" i="6"/>
  <c r="M460" i="6" s="1"/>
  <c r="J297" i="6"/>
  <c r="M297" i="6" s="1"/>
  <c r="J539" i="6"/>
  <c r="M539" i="6" s="1"/>
  <c r="J458" i="6"/>
  <c r="M458" i="6" s="1"/>
  <c r="J113" i="6"/>
  <c r="M113" i="6" s="1"/>
  <c r="J40" i="6"/>
  <c r="M40" i="6" s="1"/>
  <c r="J515" i="6"/>
  <c r="M515" i="6" s="1"/>
  <c r="J270" i="6"/>
  <c r="M270" i="6" s="1"/>
  <c r="J39" i="6"/>
  <c r="M39" i="6" s="1"/>
  <c r="J657" i="6"/>
  <c r="M657" i="6" s="1"/>
  <c r="J541" i="6"/>
  <c r="M541" i="6" s="1"/>
  <c r="J433" i="6"/>
  <c r="M433" i="6" s="1"/>
  <c r="J242" i="6"/>
  <c r="M242" i="6" s="1"/>
  <c r="J65" i="6"/>
  <c r="M65" i="6" s="1"/>
  <c r="J295" i="6"/>
  <c r="M295" i="6" s="1"/>
  <c r="J12" i="6"/>
  <c r="M12" i="6" s="1"/>
  <c r="J593" i="6"/>
  <c r="M593" i="6" s="1"/>
  <c r="J428" i="6"/>
  <c r="M428" i="6" s="1"/>
  <c r="J347" i="6"/>
  <c r="M347" i="6" s="1"/>
  <c r="J212" i="6"/>
  <c r="M212" i="6" s="1"/>
  <c r="J622" i="6"/>
  <c r="M622" i="6" s="1"/>
  <c r="J348" i="6"/>
  <c r="M348" i="6" s="1"/>
  <c r="J401" i="6"/>
  <c r="M401" i="6" s="1"/>
  <c r="J647" i="6"/>
  <c r="M647" i="6" s="1"/>
  <c r="J234" i="6"/>
  <c r="M234" i="6" s="1"/>
  <c r="J53" i="6"/>
  <c r="M53" i="6" s="1"/>
  <c r="J139" i="6"/>
  <c r="M139" i="6" s="1"/>
  <c r="K767" i="6"/>
  <c r="J285" i="6"/>
  <c r="M285" i="6" s="1"/>
  <c r="J77" i="6"/>
  <c r="M77" i="6" s="1"/>
  <c r="K371" i="6"/>
  <c r="J102" i="6"/>
  <c r="M102" i="6" s="1"/>
  <c r="J610" i="6"/>
  <c r="M610" i="6" s="1"/>
  <c r="J417" i="6"/>
  <c r="M417" i="6" s="1"/>
  <c r="J310" i="6"/>
  <c r="M310" i="6" s="1"/>
  <c r="J125" i="6"/>
  <c r="M125" i="6" s="1"/>
  <c r="J507" i="6"/>
  <c r="M507" i="6" s="1"/>
  <c r="J587" i="6"/>
  <c r="M587" i="6" s="1"/>
  <c r="J92" i="6"/>
  <c r="M92" i="6" s="1"/>
  <c r="J235" i="6"/>
  <c r="M235" i="6" s="1"/>
  <c r="J530" i="6"/>
  <c r="M530" i="6" s="1"/>
  <c r="J395" i="6"/>
  <c r="M395" i="6" s="1"/>
  <c r="J52" i="6"/>
  <c r="M52" i="6" s="1"/>
  <c r="J334" i="6"/>
  <c r="M334" i="6" s="1"/>
  <c r="J145" i="6"/>
  <c r="M145" i="6" s="1"/>
  <c r="J411" i="6"/>
  <c r="M411" i="6" s="1"/>
  <c r="J359" i="6"/>
  <c r="M359" i="6" s="1"/>
  <c r="J331" i="6"/>
  <c r="M331" i="6" s="1"/>
  <c r="J303" i="6"/>
  <c r="M303" i="6" s="1"/>
  <c r="J223" i="6"/>
  <c r="M223" i="6" s="1"/>
  <c r="J171" i="6"/>
  <c r="M171" i="6" s="1"/>
  <c r="J93" i="6"/>
  <c r="M93" i="6" s="1"/>
  <c r="J69" i="6"/>
  <c r="M69" i="6" s="1"/>
  <c r="J260" i="6"/>
  <c r="M260" i="6" s="1"/>
  <c r="J209" i="6"/>
  <c r="M209" i="6" s="1"/>
  <c r="J440" i="6"/>
  <c r="M440" i="6" s="1"/>
  <c r="J360" i="6"/>
  <c r="M360" i="6" s="1"/>
  <c r="J304" i="6"/>
  <c r="M304" i="6" s="1"/>
  <c r="J224" i="6"/>
  <c r="M224" i="6" s="1"/>
  <c r="J121" i="6"/>
  <c r="M121" i="6" s="1"/>
  <c r="J43" i="6"/>
  <c r="M43" i="6" s="1"/>
  <c r="J358" i="6"/>
  <c r="M358" i="6" s="1"/>
  <c r="J301" i="6"/>
  <c r="M301" i="6" s="1"/>
  <c r="J246" i="6"/>
  <c r="M246" i="6" s="1"/>
  <c r="J16" i="6"/>
  <c r="M16" i="6" s="1"/>
  <c r="K730" i="6"/>
  <c r="J259" i="6"/>
  <c r="M259" i="6" s="1"/>
  <c r="J332" i="6"/>
  <c r="M332" i="6" s="1"/>
  <c r="J276" i="6"/>
  <c r="M276" i="6" s="1"/>
  <c r="J95" i="6"/>
  <c r="M95" i="6" s="1"/>
  <c r="J327" i="6"/>
  <c r="M327" i="6" s="1"/>
  <c r="J142" i="6"/>
  <c r="M142" i="6" s="1"/>
  <c r="J117" i="6"/>
  <c r="M117" i="6" s="1"/>
  <c r="J15" i="6"/>
  <c r="M15" i="6" s="1"/>
  <c r="J275" i="6"/>
  <c r="M275" i="6" s="1"/>
  <c r="J694" i="6"/>
  <c r="M694" i="6" s="1"/>
  <c r="J329" i="6"/>
  <c r="M329" i="6" s="1"/>
  <c r="J143" i="6"/>
  <c r="M143" i="6" s="1"/>
  <c r="J118" i="6"/>
  <c r="M118" i="6" s="1"/>
  <c r="J91" i="6"/>
  <c r="M91" i="6" s="1"/>
  <c r="J68" i="6"/>
  <c r="M68" i="6" s="1"/>
  <c r="J528" i="6"/>
  <c r="M528" i="6" s="1"/>
  <c r="K22" i="6"/>
  <c r="K165" i="6"/>
  <c r="K300" i="6"/>
  <c r="J116" i="6"/>
  <c r="M116" i="6" s="1"/>
  <c r="K594" i="6"/>
  <c r="J299" i="6"/>
  <c r="M299" i="6" s="1"/>
  <c r="J353" i="6"/>
  <c r="M353" i="6" s="1"/>
  <c r="J218" i="6"/>
  <c r="M218" i="6" s="1"/>
  <c r="J114" i="6"/>
  <c r="M114" i="6" s="1"/>
  <c r="J654" i="6"/>
  <c r="M654" i="6" s="1"/>
  <c r="J379" i="6"/>
  <c r="M379" i="6" s="1"/>
  <c r="J188" i="6"/>
  <c r="M188" i="6" s="1"/>
  <c r="K635" i="6"/>
  <c r="J595" i="6"/>
  <c r="M595" i="6" s="1"/>
  <c r="J484" i="6"/>
  <c r="M484" i="6" s="1"/>
  <c r="J378" i="6"/>
  <c r="M378" i="6" s="1"/>
  <c r="J267" i="6"/>
  <c r="M267" i="6" s="1"/>
  <c r="J189" i="6"/>
  <c r="M189" i="6" s="1"/>
  <c r="J163" i="6"/>
  <c r="M163" i="6" s="1"/>
  <c r="J36" i="6"/>
  <c r="M36" i="6" s="1"/>
  <c r="J432" i="6"/>
  <c r="M432" i="6" s="1"/>
  <c r="K341" i="6"/>
  <c r="J748" i="6"/>
  <c r="M748" i="6" s="1"/>
  <c r="J715" i="6"/>
  <c r="M715" i="6" s="1"/>
  <c r="J683" i="6"/>
  <c r="M683" i="6" s="1"/>
  <c r="J564" i="6"/>
  <c r="M564" i="6" s="1"/>
  <c r="J483" i="6"/>
  <c r="M483" i="6" s="1"/>
  <c r="J455" i="6"/>
  <c r="M455" i="6" s="1"/>
  <c r="J403" i="6"/>
  <c r="M403" i="6" s="1"/>
  <c r="J375" i="6"/>
  <c r="M375" i="6" s="1"/>
  <c r="J266" i="6"/>
  <c r="M266" i="6" s="1"/>
  <c r="J215" i="6"/>
  <c r="M215" i="6" s="1"/>
  <c r="J187" i="6"/>
  <c r="M187" i="6" s="1"/>
  <c r="J84" i="6"/>
  <c r="M84" i="6" s="1"/>
  <c r="J61" i="6"/>
  <c r="M61" i="6" s="1"/>
  <c r="J34" i="6"/>
  <c r="M34" i="6" s="1"/>
  <c r="J675" i="6"/>
  <c r="M675" i="6" s="1"/>
  <c r="J418" i="6"/>
  <c r="M418" i="6" s="1"/>
  <c r="J714" i="6"/>
  <c r="M714" i="6" s="1"/>
  <c r="J649" i="6"/>
  <c r="M649" i="6" s="1"/>
  <c r="J563" i="6"/>
  <c r="M563" i="6" s="1"/>
  <c r="J536" i="6"/>
  <c r="M536" i="6" s="1"/>
  <c r="J509" i="6"/>
  <c r="M509" i="6" s="1"/>
  <c r="J480" i="6"/>
  <c r="M480" i="6" s="1"/>
  <c r="J454" i="6"/>
  <c r="M454" i="6" s="1"/>
  <c r="J427" i="6"/>
  <c r="M427" i="6" s="1"/>
  <c r="J374" i="6"/>
  <c r="M374" i="6" s="1"/>
  <c r="J290" i="6"/>
  <c r="M290" i="6" s="1"/>
  <c r="J264" i="6"/>
  <c r="M264" i="6" s="1"/>
  <c r="J213" i="6"/>
  <c r="M213" i="6" s="1"/>
  <c r="J161" i="6"/>
  <c r="M161" i="6" s="1"/>
  <c r="J83" i="6"/>
  <c r="M83" i="6" s="1"/>
  <c r="J59" i="6"/>
  <c r="M59" i="6" s="1"/>
  <c r="J33" i="6"/>
  <c r="M33" i="6" s="1"/>
  <c r="J157" i="6"/>
  <c r="M157" i="6" s="1"/>
  <c r="K349" i="6"/>
  <c r="J372" i="6"/>
  <c r="M372" i="6" s="1"/>
  <c r="J452" i="6"/>
  <c r="M452" i="6" s="1"/>
  <c r="J184" i="6"/>
  <c r="M184" i="6" s="1"/>
  <c r="J79" i="6"/>
  <c r="M79" i="6" s="1"/>
  <c r="J396" i="6"/>
  <c r="M396" i="6" s="1"/>
  <c r="J104" i="6"/>
  <c r="M104" i="6" s="1"/>
  <c r="J27" i="6"/>
  <c r="M27" i="6" s="1"/>
  <c r="J614" i="6"/>
  <c r="M614" i="6" s="1"/>
  <c r="J529" i="6"/>
  <c r="M529" i="6" s="1"/>
  <c r="J448" i="6"/>
  <c r="M448" i="6" s="1"/>
  <c r="J206" i="6"/>
  <c r="M206" i="6" s="1"/>
  <c r="J127" i="6"/>
  <c r="M127" i="6" s="1"/>
  <c r="K355" i="6"/>
  <c r="J554" i="6"/>
  <c r="M554" i="6" s="1"/>
  <c r="J311" i="6"/>
  <c r="M311" i="6" s="1"/>
  <c r="J51" i="6"/>
  <c r="M51" i="6" s="1"/>
  <c r="J255" i="6"/>
  <c r="M255" i="6" s="1"/>
  <c r="J24" i="6"/>
  <c r="M24" i="6" s="1"/>
  <c r="J524" i="6"/>
  <c r="M524" i="6" s="1"/>
  <c r="J336" i="6"/>
  <c r="M336" i="6" s="1"/>
  <c r="J309" i="6"/>
  <c r="M309" i="6" s="1"/>
  <c r="J280" i="6"/>
  <c r="M280" i="6" s="1"/>
  <c r="J253" i="6"/>
  <c r="M253" i="6" s="1"/>
  <c r="J202" i="6"/>
  <c r="M202" i="6" s="1"/>
  <c r="J176" i="6"/>
  <c r="M176" i="6" s="1"/>
  <c r="J150" i="6"/>
  <c r="M150" i="6" s="1"/>
  <c r="J98" i="6"/>
  <c r="M98" i="6" s="1"/>
  <c r="J23" i="6"/>
  <c r="M23" i="6" s="1"/>
  <c r="J400" i="6"/>
  <c r="M400" i="6" s="1"/>
  <c r="J210" i="6"/>
  <c r="M210" i="6" s="1"/>
  <c r="J708" i="6"/>
  <c r="M708" i="6" s="1"/>
  <c r="J643" i="6"/>
  <c r="M643" i="6" s="1"/>
  <c r="J421" i="6"/>
  <c r="M421" i="6" s="1"/>
  <c r="J313" i="6"/>
  <c r="M313" i="6" s="1"/>
  <c r="J420" i="6"/>
  <c r="M420" i="6" s="1"/>
  <c r="J339" i="6"/>
  <c r="M339" i="6" s="1"/>
  <c r="J103" i="6"/>
  <c r="M103" i="6" s="1"/>
  <c r="J338" i="6"/>
  <c r="M338" i="6" s="1"/>
  <c r="J256" i="6"/>
  <c r="M256" i="6" s="1"/>
  <c r="J126" i="6"/>
  <c r="M126" i="6" s="1"/>
  <c r="J471" i="6"/>
  <c r="M471" i="6" s="1"/>
  <c r="J281" i="6"/>
  <c r="M281" i="6" s="1"/>
  <c r="J75" i="6"/>
  <c r="M75" i="6" s="1"/>
  <c r="J328" i="6"/>
  <c r="M328" i="6" s="1"/>
  <c r="J636" i="6"/>
  <c r="M636" i="6" s="1"/>
  <c r="J496" i="6"/>
  <c r="M496" i="6" s="1"/>
  <c r="J306" i="6"/>
  <c r="M306" i="6" s="1"/>
  <c r="J279" i="6"/>
  <c r="M279" i="6" s="1"/>
  <c r="J252" i="6"/>
  <c r="M252" i="6" s="1"/>
  <c r="J175" i="6"/>
  <c r="M175" i="6" s="1"/>
  <c r="J123" i="6"/>
  <c r="M123" i="6" s="1"/>
  <c r="J97" i="6"/>
  <c r="M97" i="6" s="1"/>
  <c r="J73" i="6"/>
  <c r="M73" i="6" s="1"/>
  <c r="J47" i="6"/>
  <c r="M47" i="6" s="1"/>
  <c r="J21" i="6"/>
  <c r="M21" i="6" s="1"/>
  <c r="J307" i="6"/>
  <c r="M307" i="6" s="1"/>
  <c r="K258" i="6"/>
  <c r="J376" i="6"/>
  <c r="M376" i="6" s="1"/>
  <c r="J233" i="6"/>
  <c r="M233" i="6" s="1"/>
  <c r="J615" i="6"/>
  <c r="M615" i="6" s="1"/>
  <c r="J232" i="6"/>
  <c r="M232" i="6" s="1"/>
  <c r="J208" i="6"/>
  <c r="M208" i="6" s="1"/>
  <c r="J555" i="6"/>
  <c r="M555" i="6" s="1"/>
  <c r="J473" i="6"/>
  <c r="M473" i="6" s="1"/>
  <c r="J312" i="6"/>
  <c r="M312" i="6" s="1"/>
  <c r="J584" i="6"/>
  <c r="M584" i="6" s="1"/>
  <c r="J419" i="6"/>
  <c r="M419" i="6" s="1"/>
  <c r="J152" i="6"/>
  <c r="M152" i="6" s="1"/>
  <c r="J76" i="6"/>
  <c r="M76" i="6" s="1"/>
  <c r="J25" i="6"/>
  <c r="M25" i="6" s="1"/>
  <c r="J46" i="6"/>
  <c r="M46" i="6" s="1"/>
  <c r="J735" i="6"/>
  <c r="M735" i="6" s="1"/>
  <c r="J337" i="6"/>
  <c r="M337" i="6" s="1"/>
  <c r="J151" i="6"/>
  <c r="M151" i="6" s="1"/>
  <c r="J99" i="6"/>
  <c r="M99" i="6" s="1"/>
  <c r="J634" i="6"/>
  <c r="M634" i="6" s="1"/>
  <c r="J495" i="6"/>
  <c r="M495" i="6" s="1"/>
  <c r="J441" i="6"/>
  <c r="M441" i="6" s="1"/>
  <c r="J361" i="6"/>
  <c r="M361" i="6" s="1"/>
  <c r="J333" i="6"/>
  <c r="M333" i="6" s="1"/>
  <c r="J305" i="6"/>
  <c r="M305" i="6" s="1"/>
  <c r="J278" i="6"/>
  <c r="M278" i="6" s="1"/>
  <c r="J174" i="6"/>
  <c r="M174" i="6" s="1"/>
  <c r="J146" i="6"/>
  <c r="M146" i="6" s="1"/>
  <c r="J122" i="6"/>
  <c r="M122" i="6" s="1"/>
  <c r="J96" i="6"/>
  <c r="M96" i="6" s="1"/>
  <c r="J45" i="6"/>
  <c r="M45" i="6" s="1"/>
  <c r="J562" i="6"/>
  <c r="M562" i="6" s="1"/>
  <c r="J402" i="6"/>
  <c r="M402" i="6" s="1"/>
  <c r="J474" i="6"/>
  <c r="M474" i="6" s="1"/>
  <c r="J642" i="6"/>
  <c r="M642" i="6" s="1"/>
  <c r="J502" i="6"/>
  <c r="M502" i="6" s="1"/>
  <c r="J446" i="6"/>
  <c r="M446" i="6" s="1"/>
  <c r="J768" i="6"/>
  <c r="M768" i="6" s="1"/>
  <c r="J703" i="6"/>
  <c r="M703" i="6" s="1"/>
  <c r="J669" i="6"/>
  <c r="M669" i="6" s="1"/>
  <c r="J445" i="6"/>
  <c r="M445" i="6" s="1"/>
  <c r="J365" i="6"/>
  <c r="M365" i="6" s="1"/>
  <c r="J488" i="6"/>
  <c r="M488" i="6" s="1"/>
  <c r="K583" i="6"/>
  <c r="K606" i="6"/>
  <c r="J766" i="6"/>
  <c r="M766" i="6" s="1"/>
  <c r="J668" i="6"/>
  <c r="M668" i="6" s="1"/>
  <c r="J609" i="6"/>
  <c r="M609" i="6" s="1"/>
  <c r="J470" i="6"/>
  <c r="M470" i="6" s="1"/>
  <c r="J444" i="6"/>
  <c r="M444" i="6" s="1"/>
  <c r="J390" i="6"/>
  <c r="M390" i="6" s="1"/>
  <c r="J363" i="6"/>
  <c r="M363" i="6" s="1"/>
  <c r="J630" i="6"/>
  <c r="M630" i="6" s="1"/>
  <c r="J482" i="6"/>
  <c r="M482" i="6" s="1"/>
  <c r="K443" i="6"/>
  <c r="J731" i="6"/>
  <c r="M731" i="6" s="1"/>
  <c r="J667" i="6"/>
  <c r="M667" i="6" s="1"/>
  <c r="J608" i="6"/>
  <c r="M608" i="6" s="1"/>
  <c r="J550" i="6"/>
  <c r="M550" i="6" s="1"/>
  <c r="J523" i="6"/>
  <c r="M523" i="6" s="1"/>
  <c r="J469" i="6"/>
  <c r="M469" i="6" s="1"/>
  <c r="J442" i="6"/>
  <c r="M442" i="6" s="1"/>
  <c r="J415" i="6"/>
  <c r="M415" i="6" s="1"/>
  <c r="J389" i="6"/>
  <c r="M389" i="6" s="1"/>
  <c r="J362" i="6"/>
  <c r="M362" i="6" s="1"/>
  <c r="J475" i="6"/>
  <c r="M475" i="6" s="1"/>
  <c r="J763" i="6"/>
  <c r="M763" i="6" s="1"/>
  <c r="J729" i="6"/>
  <c r="M729" i="6" s="1"/>
  <c r="J666" i="6"/>
  <c r="M666" i="6" s="1"/>
  <c r="J607" i="6"/>
  <c r="M607" i="6" s="1"/>
  <c r="J549" i="6"/>
  <c r="M549" i="6" s="1"/>
  <c r="J522" i="6"/>
  <c r="M522" i="6" s="1"/>
  <c r="J467" i="6"/>
  <c r="M467" i="6" s="1"/>
  <c r="J414" i="6"/>
  <c r="M414" i="6" s="1"/>
  <c r="J388" i="6"/>
  <c r="M388" i="6" s="1"/>
  <c r="J462" i="6"/>
  <c r="M462" i="6" s="1"/>
  <c r="J424" i="6"/>
  <c r="M424" i="6" s="1"/>
  <c r="J682" i="6"/>
  <c r="M682" i="6" s="1"/>
  <c r="J342" i="6"/>
  <c r="M342" i="6" s="1"/>
  <c r="J706" i="6"/>
  <c r="M706" i="6" s="1"/>
  <c r="J367" i="6"/>
  <c r="M367" i="6" s="1"/>
  <c r="J582" i="6"/>
  <c r="M582" i="6" s="1"/>
  <c r="J727" i="6"/>
  <c r="M727" i="6" s="1"/>
  <c r="J466" i="6"/>
  <c r="M466" i="6" s="1"/>
  <c r="J387" i="6"/>
  <c r="M387" i="6" s="1"/>
  <c r="K709" i="6"/>
  <c r="J547" i="6"/>
  <c r="M547" i="6" s="1"/>
  <c r="K589" i="6"/>
  <c r="J662" i="6"/>
  <c r="M662" i="6" s="1"/>
  <c r="J463" i="6"/>
  <c r="M463" i="6" s="1"/>
  <c r="J383" i="6"/>
  <c r="M383" i="6" s="1"/>
  <c r="J543" i="6"/>
  <c r="M543" i="6" s="1"/>
  <c r="J435" i="6"/>
  <c r="M435" i="6" s="1"/>
  <c r="J690" i="6"/>
  <c r="M690" i="6" s="1"/>
  <c r="J627" i="6"/>
  <c r="M627" i="6" s="1"/>
  <c r="J570" i="6"/>
  <c r="M570" i="6" s="1"/>
  <c r="J542" i="6"/>
  <c r="M542" i="6" s="1"/>
  <c r="J487" i="6"/>
  <c r="M487" i="6" s="1"/>
  <c r="J434" i="6"/>
  <c r="M434" i="6" s="1"/>
  <c r="J408" i="6"/>
  <c r="M408" i="6" s="1"/>
  <c r="J354" i="6"/>
  <c r="M354" i="6" s="1"/>
  <c r="J425" i="6"/>
  <c r="M425" i="6" s="1"/>
  <c r="K689" i="6"/>
  <c r="J409" i="6"/>
  <c r="M409" i="6" s="1"/>
  <c r="K568" i="6"/>
  <c r="J688" i="6"/>
  <c r="M688" i="6" s="1"/>
  <c r="J626" i="6"/>
  <c r="M626" i="6" s="1"/>
  <c r="J569" i="6"/>
  <c r="M569" i="6" s="1"/>
  <c r="J486" i="6"/>
  <c r="M486" i="6" s="1"/>
  <c r="J407" i="6"/>
  <c r="M407" i="6" s="1"/>
  <c r="J344" i="6"/>
  <c r="M344" i="6" s="1"/>
  <c r="J742" i="6"/>
  <c r="M742" i="6" s="1"/>
  <c r="J422" i="6"/>
  <c r="M422" i="6" s="1"/>
  <c r="J343" i="6"/>
  <c r="M343" i="6" s="1"/>
  <c r="J503" i="6"/>
  <c r="M503" i="6" s="1"/>
  <c r="J527" i="6"/>
  <c r="M527" i="6" s="1"/>
  <c r="J472" i="6"/>
  <c r="M472" i="6" s="1"/>
  <c r="J366" i="6"/>
  <c r="M366" i="6" s="1"/>
  <c r="J762" i="6"/>
  <c r="M762" i="6" s="1"/>
  <c r="J548" i="6"/>
  <c r="M548" i="6" s="1"/>
  <c r="J449" i="6"/>
  <c r="M449" i="6" s="1"/>
  <c r="J603" i="6"/>
  <c r="M603" i="6" s="1"/>
  <c r="J602" i="6"/>
  <c r="M602" i="6" s="1"/>
  <c r="J722" i="6"/>
  <c r="M722" i="6" s="1"/>
  <c r="J628" i="6"/>
  <c r="M628" i="6" s="1"/>
  <c r="J489" i="6"/>
  <c r="M489" i="6" s="1"/>
  <c r="J356" i="6"/>
  <c r="M356" i="6" s="1"/>
  <c r="K405" i="6"/>
  <c r="J687" i="6"/>
  <c r="M687" i="6" s="1"/>
  <c r="J567" i="6"/>
  <c r="M567" i="6" s="1"/>
  <c r="J430" i="6"/>
  <c r="M430" i="6" s="1"/>
  <c r="J406" i="6"/>
  <c r="M406" i="6" s="1"/>
  <c r="J351" i="6"/>
  <c r="M351" i="6" s="1"/>
  <c r="J586" i="6"/>
  <c r="M586" i="6" s="1"/>
  <c r="J726" i="6"/>
  <c r="M726" i="6" s="1"/>
  <c r="J663" i="6"/>
  <c r="M663" i="6" s="1"/>
  <c r="J465" i="6"/>
  <c r="M465" i="6" s="1"/>
  <c r="J385" i="6"/>
  <c r="M385" i="6" s="1"/>
  <c r="J723" i="6"/>
  <c r="M723" i="6" s="1"/>
  <c r="J629" i="6"/>
  <c r="M629" i="6" s="1"/>
  <c r="J490" i="6"/>
  <c r="M490" i="6" s="1"/>
  <c r="J410" i="6"/>
  <c r="M410" i="6" s="1"/>
  <c r="J691" i="6"/>
  <c r="M691" i="6" s="1"/>
  <c r="J571" i="6"/>
  <c r="M571" i="6" s="1"/>
  <c r="J382" i="6"/>
  <c r="M382" i="6" s="1"/>
  <c r="J751" i="6"/>
  <c r="M751" i="6" s="1"/>
  <c r="J623" i="6"/>
  <c r="M623" i="6" s="1"/>
  <c r="J511" i="6"/>
  <c r="M511" i="6" s="1"/>
  <c r="J457" i="6"/>
  <c r="M457" i="6" s="1"/>
  <c r="J429" i="6"/>
  <c r="M429" i="6" s="1"/>
  <c r="J404" i="6"/>
  <c r="M404" i="6" s="1"/>
  <c r="J350" i="6"/>
  <c r="M350" i="6" s="1"/>
  <c r="J323" i="6"/>
  <c r="M323" i="6" s="1"/>
  <c r="J322" i="6"/>
  <c r="M322" i="6" s="1"/>
  <c r="J320" i="6"/>
  <c r="M320" i="6" s="1"/>
  <c r="J318" i="6"/>
  <c r="M318" i="6" s="1"/>
  <c r="J317" i="6"/>
  <c r="M317" i="6" s="1"/>
  <c r="J316" i="6"/>
  <c r="M316" i="6" s="1"/>
  <c r="J315" i="6"/>
  <c r="M315" i="6" s="1"/>
  <c r="K284" i="6"/>
  <c r="J292" i="6"/>
  <c r="M292" i="6" s="1"/>
  <c r="J289" i="6"/>
  <c r="M289" i="6" s="1"/>
  <c r="J282" i="6"/>
  <c r="M282" i="6" s="1"/>
  <c r="J287" i="6"/>
  <c r="M287" i="6" s="1"/>
  <c r="J286" i="6"/>
  <c r="M286" i="6" s="1"/>
  <c r="J241" i="6"/>
  <c r="M241" i="6" s="1"/>
  <c r="J263" i="6"/>
  <c r="M263" i="6" s="1"/>
  <c r="J257" i="6"/>
  <c r="M257" i="6" s="1"/>
  <c r="J247" i="6"/>
  <c r="M247" i="6" s="1"/>
  <c r="J245" i="6"/>
  <c r="M245" i="6" s="1"/>
  <c r="J243" i="6"/>
  <c r="M243" i="6" s="1"/>
  <c r="J220" i="6"/>
  <c r="M220" i="6" s="1"/>
  <c r="J236" i="6"/>
  <c r="M236" i="6" s="1"/>
  <c r="J231" i="6"/>
  <c r="M231" i="6" s="1"/>
  <c r="J230" i="6"/>
  <c r="M230" i="6" s="1"/>
  <c r="J228" i="6"/>
  <c r="M228" i="6" s="1"/>
  <c r="J227" i="6"/>
  <c r="M227" i="6" s="1"/>
  <c r="J226" i="6"/>
  <c r="M226" i="6" s="1"/>
  <c r="J225" i="6"/>
  <c r="M225" i="6" s="1"/>
  <c r="J186" i="6"/>
  <c r="M186" i="6" s="1"/>
  <c r="J185" i="6"/>
  <c r="M185" i="6" s="1"/>
  <c r="J204" i="6"/>
  <c r="M204" i="6" s="1"/>
  <c r="J199" i="6"/>
  <c r="M199" i="6" s="1"/>
  <c r="J198" i="6"/>
  <c r="M198" i="6" s="1"/>
  <c r="J196" i="6"/>
  <c r="M196" i="6" s="1"/>
  <c r="J201" i="6"/>
  <c r="M201" i="6" s="1"/>
  <c r="J195" i="6"/>
  <c r="M195" i="6" s="1"/>
  <c r="J194" i="6"/>
  <c r="M194" i="6" s="1"/>
  <c r="J162" i="6"/>
  <c r="M162" i="6" s="1"/>
  <c r="J177" i="6"/>
  <c r="M177" i="6" s="1"/>
  <c r="J172" i="6"/>
  <c r="M172" i="6" s="1"/>
  <c r="J170" i="6"/>
  <c r="M170" i="6" s="1"/>
  <c r="J169" i="6"/>
  <c r="M169" i="6" s="1"/>
  <c r="J168" i="6"/>
  <c r="M168" i="6" s="1"/>
  <c r="J167" i="6"/>
  <c r="M167" i="6" s="1"/>
  <c r="J164" i="6"/>
  <c r="M164" i="6" s="1"/>
  <c r="J124" i="6"/>
  <c r="M124" i="6" s="1"/>
  <c r="J149" i="6"/>
  <c r="M149" i="6" s="1"/>
  <c r="J144" i="6"/>
  <c r="M144" i="6" s="1"/>
  <c r="J141" i="6"/>
  <c r="M141" i="6" s="1"/>
  <c r="J138" i="6"/>
  <c r="M138" i="6" s="1"/>
  <c r="K148" i="6"/>
  <c r="J136" i="6"/>
  <c r="M136" i="6" s="1"/>
  <c r="J135" i="6"/>
  <c r="M135" i="6" s="1"/>
  <c r="J130" i="6"/>
  <c r="M130" i="6" s="1"/>
  <c r="J128" i="6"/>
  <c r="M128" i="6" s="1"/>
  <c r="J119" i="6"/>
  <c r="M119" i="6" s="1"/>
  <c r="J110" i="6"/>
  <c r="M110" i="6" s="1"/>
  <c r="J109" i="6"/>
  <c r="M109" i="6" s="1"/>
  <c r="J107" i="6"/>
  <c r="M107" i="6" s="1"/>
  <c r="J106" i="6"/>
  <c r="M106" i="6" s="1"/>
  <c r="J105" i="6"/>
  <c r="M105" i="6" s="1"/>
  <c r="J89" i="6"/>
  <c r="M89" i="6" s="1"/>
  <c r="J88" i="6"/>
  <c r="M88" i="6" s="1"/>
  <c r="J87" i="6"/>
  <c r="M87" i="6" s="1"/>
  <c r="J78" i="6"/>
  <c r="M78" i="6" s="1"/>
  <c r="J72" i="6"/>
  <c r="M72" i="6" s="1"/>
  <c r="J74" i="6"/>
  <c r="M74" i="6" s="1"/>
  <c r="J71" i="6"/>
  <c r="M71" i="6" s="1"/>
  <c r="J58" i="6"/>
  <c r="M58" i="6" s="1"/>
  <c r="J56" i="6"/>
  <c r="M56" i="6" s="1"/>
  <c r="J55" i="6"/>
  <c r="M55" i="6" s="1"/>
  <c r="K57" i="6"/>
  <c r="J50" i="6"/>
  <c r="M50" i="6" s="1"/>
  <c r="J49" i="6"/>
  <c r="M49" i="6" s="1"/>
  <c r="K35" i="6"/>
  <c r="J42" i="6"/>
  <c r="M42" i="6" s="1"/>
  <c r="J30" i="6"/>
  <c r="M30" i="6" s="1"/>
  <c r="J29" i="6"/>
  <c r="M29" i="6" s="1"/>
  <c r="J26" i="6"/>
  <c r="M26" i="6" s="1"/>
  <c r="J19" i="6"/>
  <c r="M19" i="6" s="1"/>
  <c r="J18" i="6"/>
  <c r="M18" i="6" s="1"/>
  <c r="J17" i="6"/>
  <c r="M17" i="6" s="1"/>
  <c r="J14" i="6"/>
  <c r="M14" i="6" s="1"/>
  <c r="J13" i="6"/>
  <c r="M13" i="6" s="1"/>
  <c r="J10" i="6"/>
  <c r="M10" i="6" s="1"/>
  <c r="P124" i="3"/>
  <c r="R124" i="3" s="1"/>
  <c r="P82" i="3"/>
  <c r="P57" i="3"/>
  <c r="P35" i="3"/>
  <c r="P51" i="3"/>
  <c r="Q124" i="3"/>
  <c r="K46" i="3"/>
  <c r="P46" i="3" s="1"/>
  <c r="K26" i="3"/>
  <c r="P26" i="3" s="1"/>
  <c r="K105" i="3"/>
  <c r="P105" i="3" s="1"/>
  <c r="K121" i="3"/>
  <c r="P121" i="3" s="1"/>
  <c r="K82" i="3"/>
  <c r="K87" i="3"/>
  <c r="P87" i="3" s="1"/>
  <c r="K102" i="3"/>
  <c r="P102" i="3" s="1"/>
  <c r="K415" i="1"/>
  <c r="K406" i="1"/>
  <c r="K236" i="1"/>
  <c r="K178" i="1"/>
  <c r="L116" i="1"/>
  <c r="M116" i="1" s="1"/>
  <c r="V116" i="1" s="1"/>
  <c r="K100" i="3"/>
  <c r="P100" i="3" s="1"/>
  <c r="K945" i="1"/>
  <c r="O945" i="1" s="1"/>
  <c r="L945" i="1"/>
  <c r="K761" i="1"/>
  <c r="O761" i="1" s="1"/>
  <c r="L761" i="1"/>
  <c r="K720" i="1"/>
  <c r="O720" i="1" s="1"/>
  <c r="L720" i="1"/>
  <c r="L439" i="1"/>
  <c r="M439" i="1" s="1"/>
  <c r="V439" i="1" s="1"/>
  <c r="K12" i="3"/>
  <c r="P12" i="3" s="1"/>
  <c r="L976" i="1"/>
  <c r="M976" i="1" s="1"/>
  <c r="V976" i="1" s="1"/>
  <c r="L56" i="1"/>
  <c r="M56" i="1" s="1"/>
  <c r="V56" i="1" s="1"/>
  <c r="K416" i="1"/>
  <c r="K402" i="1"/>
  <c r="L760" i="1"/>
  <c r="M760" i="1" s="1"/>
  <c r="V760" i="1" s="1"/>
  <c r="K385" i="1"/>
  <c r="L735" i="1"/>
  <c r="M735" i="1" s="1"/>
  <c r="V735" i="1" s="1"/>
  <c r="K345" i="1"/>
  <c r="K334" i="1"/>
  <c r="L665" i="1"/>
  <c r="M665" i="1" s="1"/>
  <c r="V665" i="1" s="1"/>
  <c r="L655" i="1"/>
  <c r="M655" i="1" s="1"/>
  <c r="V655" i="1" s="1"/>
  <c r="K226" i="1"/>
  <c r="L506" i="1"/>
  <c r="M506" i="1" s="1"/>
  <c r="V506" i="1" s="1"/>
  <c r="K216" i="1"/>
  <c r="L505" i="1"/>
  <c r="M505" i="1" s="1"/>
  <c r="V505" i="1" s="1"/>
  <c r="K862" i="1"/>
  <c r="K186" i="1"/>
  <c r="K685" i="1"/>
  <c r="L365" i="1"/>
  <c r="M365" i="1" s="1"/>
  <c r="V365" i="1" s="1"/>
  <c r="K683" i="1"/>
  <c r="K175" i="1"/>
  <c r="L357" i="1"/>
  <c r="M357" i="1" s="1"/>
  <c r="V357" i="1" s="1"/>
  <c r="K676" i="1"/>
  <c r="K154" i="1"/>
  <c r="O154" i="1" s="1"/>
  <c r="L160" i="1"/>
  <c r="M160" i="1" s="1"/>
  <c r="V160" i="1" s="1"/>
  <c r="K674" i="1"/>
  <c r="K136" i="1"/>
  <c r="L156" i="1"/>
  <c r="M156" i="1" s="1"/>
  <c r="V156" i="1" s="1"/>
  <c r="K666" i="1"/>
  <c r="K66" i="1"/>
  <c r="L145" i="1"/>
  <c r="M145" i="1" s="1"/>
  <c r="V145" i="1" s="1"/>
  <c r="K636" i="1"/>
  <c r="K26" i="1"/>
  <c r="L141" i="1"/>
  <c r="M141" i="1" s="1"/>
  <c r="V141" i="1" s="1"/>
  <c r="K635" i="1"/>
  <c r="K15" i="1"/>
  <c r="K585" i="1"/>
  <c r="K6" i="1"/>
  <c r="O6" i="1" s="1"/>
  <c r="K425" i="1"/>
  <c r="K5" i="1"/>
  <c r="L22" i="1"/>
  <c r="M22" i="1" s="1"/>
  <c r="V22" i="1" s="1"/>
  <c r="L746" i="1"/>
  <c r="M746" i="1" s="1"/>
  <c r="V746" i="1" s="1"/>
  <c r="L444" i="1"/>
  <c r="M444" i="1" s="1"/>
  <c r="V444" i="1" s="1"/>
  <c r="K675" i="1"/>
  <c r="K414" i="1"/>
  <c r="K215" i="1"/>
  <c r="K13" i="1"/>
  <c r="L736" i="1"/>
  <c r="M736" i="1" s="1"/>
  <c r="V736" i="1" s="1"/>
  <c r="L440" i="1"/>
  <c r="M440" i="1" s="1"/>
  <c r="V440" i="1" s="1"/>
  <c r="L142" i="1"/>
  <c r="M142" i="1" s="1"/>
  <c r="V142" i="1" s="1"/>
  <c r="L424" i="1"/>
  <c r="M424" i="1" s="1"/>
  <c r="V424" i="1" s="1"/>
  <c r="K960" i="1"/>
  <c r="K654" i="1"/>
  <c r="K394" i="1"/>
  <c r="K176" i="1"/>
  <c r="K3" i="1"/>
  <c r="L680" i="1"/>
  <c r="M680" i="1" s="1"/>
  <c r="V680" i="1" s="1"/>
  <c r="L100" i="1"/>
  <c r="M100" i="1" s="1"/>
  <c r="V100" i="1" s="1"/>
  <c r="K940" i="1"/>
  <c r="L400" i="1"/>
  <c r="M400" i="1" s="1"/>
  <c r="V400" i="1" s="1"/>
  <c r="L61" i="1"/>
  <c r="M61" i="1" s="1"/>
  <c r="V61" i="1" s="1"/>
  <c r="K923" i="1"/>
  <c r="K166" i="1"/>
  <c r="O166" i="1" s="1"/>
  <c r="L968" i="1"/>
  <c r="M968" i="1" s="1"/>
  <c r="V968" i="1" s="1"/>
  <c r="L664" i="1"/>
  <c r="M664" i="1" s="1"/>
  <c r="V664" i="1" s="1"/>
  <c r="K863" i="1"/>
  <c r="K605" i="1"/>
  <c r="K335" i="1"/>
  <c r="K162" i="1"/>
  <c r="L965" i="1"/>
  <c r="M965" i="1" s="1"/>
  <c r="V965" i="1" s="1"/>
  <c r="L656" i="1"/>
  <c r="M656" i="1" s="1"/>
  <c r="V656" i="1" s="1"/>
  <c r="L359" i="1"/>
  <c r="M359" i="1" s="1"/>
  <c r="V359" i="1" s="1"/>
  <c r="L40" i="1"/>
  <c r="M40" i="1" s="1"/>
  <c r="V40" i="1" s="1"/>
  <c r="L24" i="1"/>
  <c r="M24" i="1" s="1"/>
  <c r="V24" i="1" s="1"/>
  <c r="K860" i="1"/>
  <c r="K566" i="1"/>
  <c r="K326" i="1"/>
  <c r="L916" i="1"/>
  <c r="M916" i="1" s="1"/>
  <c r="V916" i="1" s="1"/>
  <c r="L640" i="1"/>
  <c r="M640" i="1" s="1"/>
  <c r="V640" i="1" s="1"/>
  <c r="L356" i="1"/>
  <c r="M356" i="1" s="1"/>
  <c r="V356" i="1" s="1"/>
  <c r="K840" i="1"/>
  <c r="K556" i="1"/>
  <c r="K325" i="1"/>
  <c r="K135" i="1"/>
  <c r="O135" i="1" s="1"/>
  <c r="L895" i="1"/>
  <c r="M895" i="1" s="1"/>
  <c r="V895" i="1" s="1"/>
  <c r="L627" i="1"/>
  <c r="M627" i="1" s="1"/>
  <c r="V627" i="1" s="1"/>
  <c r="L336" i="1"/>
  <c r="M336" i="1" s="1"/>
  <c r="V336" i="1" s="1"/>
  <c r="L21" i="1"/>
  <c r="M21" i="1" s="1"/>
  <c r="V21" i="1" s="1"/>
  <c r="K828" i="1"/>
  <c r="K555" i="1"/>
  <c r="K322" i="1"/>
  <c r="K106" i="1"/>
  <c r="L879" i="1"/>
  <c r="M879" i="1" s="1"/>
  <c r="V879" i="1" s="1"/>
  <c r="L277" i="1"/>
  <c r="M277" i="1" s="1"/>
  <c r="V277" i="1" s="1"/>
  <c r="K84" i="3"/>
  <c r="P84" i="3" s="1"/>
  <c r="K820" i="1"/>
  <c r="K495" i="1"/>
  <c r="K298" i="1"/>
  <c r="K103" i="1"/>
  <c r="L876" i="1"/>
  <c r="M876" i="1" s="1"/>
  <c r="V876" i="1" s="1"/>
  <c r="L560" i="1"/>
  <c r="M560" i="1" s="1"/>
  <c r="V560" i="1" s="1"/>
  <c r="L267" i="1"/>
  <c r="M267" i="1" s="1"/>
  <c r="V267" i="1" s="1"/>
  <c r="K819" i="1"/>
  <c r="K494" i="1"/>
  <c r="K102" i="1"/>
  <c r="L866" i="1"/>
  <c r="M866" i="1" s="1"/>
  <c r="V866" i="1" s="1"/>
  <c r="L557" i="1"/>
  <c r="M557" i="1" s="1"/>
  <c r="V557" i="1" s="1"/>
  <c r="L265" i="1"/>
  <c r="M265" i="1" s="1"/>
  <c r="V265" i="1" s="1"/>
  <c r="K780" i="1"/>
  <c r="K486" i="1"/>
  <c r="K266" i="1"/>
  <c r="K86" i="1"/>
  <c r="L549" i="1"/>
  <c r="M549" i="1" s="1"/>
  <c r="V549" i="1" s="1"/>
  <c r="L245" i="1"/>
  <c r="M245" i="1" s="1"/>
  <c r="V245" i="1" s="1"/>
  <c r="K89" i="3"/>
  <c r="P89" i="3" s="1"/>
  <c r="K768" i="1"/>
  <c r="K476" i="1"/>
  <c r="K79" i="1"/>
  <c r="O79" i="1" s="1"/>
  <c r="L826" i="1"/>
  <c r="M826" i="1" s="1"/>
  <c r="V826" i="1" s="1"/>
  <c r="L546" i="1"/>
  <c r="M546" i="1" s="1"/>
  <c r="V546" i="1" s="1"/>
  <c r="L240" i="1"/>
  <c r="M240" i="1" s="1"/>
  <c r="V240" i="1" s="1"/>
  <c r="K58" i="3"/>
  <c r="P58" i="3" s="1"/>
  <c r="K25" i="3"/>
  <c r="P25" i="3" s="1"/>
  <c r="K19" i="3"/>
  <c r="P19" i="3" s="1"/>
  <c r="K43" i="3"/>
  <c r="P43" i="3" s="1"/>
  <c r="K475" i="1"/>
  <c r="K254" i="1"/>
  <c r="K77" i="1"/>
  <c r="L786" i="1"/>
  <c r="M786" i="1" s="1"/>
  <c r="V786" i="1" s="1"/>
  <c r="L525" i="1"/>
  <c r="M525" i="1" s="1"/>
  <c r="V525" i="1" s="1"/>
  <c r="K465" i="1"/>
  <c r="K237" i="1"/>
  <c r="K76" i="1"/>
  <c r="O76" i="1" s="1"/>
  <c r="L765" i="1"/>
  <c r="M765" i="1" s="1"/>
  <c r="V765" i="1" s="1"/>
  <c r="L524" i="1"/>
  <c r="M524" i="1" s="1"/>
  <c r="V524" i="1" s="1"/>
  <c r="L177" i="1"/>
  <c r="M177" i="1" s="1"/>
  <c r="V177" i="1" s="1"/>
  <c r="K949" i="1"/>
  <c r="O949" i="1" s="1"/>
  <c r="L949" i="1"/>
  <c r="L909" i="1"/>
  <c r="K909" i="1"/>
  <c r="O909" i="1" s="1"/>
  <c r="K889" i="1"/>
  <c r="O889" i="1" s="1"/>
  <c r="L889" i="1"/>
  <c r="L809" i="1"/>
  <c r="K809" i="1"/>
  <c r="O809" i="1" s="1"/>
  <c r="L709" i="1"/>
  <c r="K709" i="1"/>
  <c r="O709" i="1" s="1"/>
  <c r="K689" i="1"/>
  <c r="O689" i="1" s="1"/>
  <c r="L689" i="1"/>
  <c r="L509" i="1"/>
  <c r="K509" i="1"/>
  <c r="O509" i="1" s="1"/>
  <c r="K747" i="1"/>
  <c r="L987" i="1"/>
  <c r="K987" i="1"/>
  <c r="O987" i="1" s="1"/>
  <c r="K967" i="1"/>
  <c r="O967" i="1" s="1"/>
  <c r="L967" i="1"/>
  <c r="L947" i="1"/>
  <c r="K947" i="1"/>
  <c r="O947" i="1" s="1"/>
  <c r="L927" i="1"/>
  <c r="K927" i="1"/>
  <c r="O927" i="1" s="1"/>
  <c r="L907" i="1"/>
  <c r="K907" i="1"/>
  <c r="O907" i="1" s="1"/>
  <c r="L887" i="1"/>
  <c r="K887" i="1"/>
  <c r="O887" i="1" s="1"/>
  <c r="K867" i="1"/>
  <c r="O867" i="1" s="1"/>
  <c r="L867" i="1"/>
  <c r="L847" i="1"/>
  <c r="K847" i="1"/>
  <c r="O847" i="1" s="1"/>
  <c r="L827" i="1"/>
  <c r="K827" i="1"/>
  <c r="O827" i="1" s="1"/>
  <c r="L807" i="1"/>
  <c r="K807" i="1"/>
  <c r="O807" i="1" s="1"/>
  <c r="K787" i="1"/>
  <c r="O787" i="1" s="1"/>
  <c r="L787" i="1"/>
  <c r="L767" i="1"/>
  <c r="K767" i="1"/>
  <c r="O767" i="1" s="1"/>
  <c r="L727" i="1"/>
  <c r="K727" i="1"/>
  <c r="O727" i="1" s="1"/>
  <c r="K707" i="1"/>
  <c r="O707" i="1" s="1"/>
  <c r="L707" i="1"/>
  <c r="L667" i="1"/>
  <c r="K667" i="1"/>
  <c r="O667" i="1" s="1"/>
  <c r="L607" i="1"/>
  <c r="K607" i="1"/>
  <c r="O607" i="1" s="1"/>
  <c r="L567" i="1"/>
  <c r="K567" i="1"/>
  <c r="O567" i="1" s="1"/>
  <c r="K547" i="1"/>
  <c r="O547" i="1" s="1"/>
  <c r="L547" i="1"/>
  <c r="L487" i="1"/>
  <c r="K487" i="1"/>
  <c r="O487" i="1" s="1"/>
  <c r="L467" i="1"/>
  <c r="K467" i="1"/>
  <c r="O467" i="1" s="1"/>
  <c r="K427" i="1"/>
  <c r="O427" i="1" s="1"/>
  <c r="L427" i="1"/>
  <c r="L407" i="1"/>
  <c r="K407" i="1"/>
  <c r="O407" i="1" s="1"/>
  <c r="L347" i="1"/>
  <c r="K347" i="1"/>
  <c r="O347" i="1" s="1"/>
  <c r="K327" i="1"/>
  <c r="O327" i="1" s="1"/>
  <c r="L327" i="1"/>
  <c r="L307" i="1"/>
  <c r="K307" i="1"/>
  <c r="O307" i="1" s="1"/>
  <c r="K247" i="1"/>
  <c r="O247" i="1" s="1"/>
  <c r="L247" i="1"/>
  <c r="L227" i="1"/>
  <c r="K227" i="1"/>
  <c r="O227" i="1" s="1"/>
  <c r="K207" i="1"/>
  <c r="O207" i="1" s="1"/>
  <c r="L207" i="1"/>
  <c r="K187" i="1"/>
  <c r="L187" i="1"/>
  <c r="L167" i="1"/>
  <c r="K167" i="1"/>
  <c r="O167" i="1" s="1"/>
  <c r="K147" i="1"/>
  <c r="O147" i="1" s="1"/>
  <c r="L147" i="1"/>
  <c r="L127" i="1"/>
  <c r="K127" i="1"/>
  <c r="O127" i="1" s="1"/>
  <c r="L87" i="1"/>
  <c r="K87" i="1"/>
  <c r="O87" i="1" s="1"/>
  <c r="L67" i="1"/>
  <c r="K67" i="1"/>
  <c r="O67" i="1" s="1"/>
  <c r="L27" i="1"/>
  <c r="K27" i="1"/>
  <c r="O27" i="1" s="1"/>
  <c r="K7" i="1"/>
  <c r="O7" i="1" s="1"/>
  <c r="L7" i="1"/>
  <c r="K613" i="1"/>
  <c r="O613" i="1" s="1"/>
  <c r="L613" i="1"/>
  <c r="K493" i="1"/>
  <c r="O493" i="1" s="1"/>
  <c r="L493" i="1"/>
  <c r="L393" i="1"/>
  <c r="K393" i="1"/>
  <c r="O393" i="1" s="1"/>
  <c r="K353" i="1"/>
  <c r="O353" i="1" s="1"/>
  <c r="L353" i="1"/>
  <c r="K37" i="3"/>
  <c r="P37" i="3" s="1"/>
  <c r="K23" i="3"/>
  <c r="P23" i="3" s="1"/>
  <c r="L449" i="1"/>
  <c r="K449" i="1"/>
  <c r="O449" i="1" s="1"/>
  <c r="L349" i="1"/>
  <c r="K349" i="1"/>
  <c r="O349" i="1" s="1"/>
  <c r="L988" i="1"/>
  <c r="K988" i="1"/>
  <c r="O988" i="1" s="1"/>
  <c r="L928" i="1"/>
  <c r="K928" i="1"/>
  <c r="O928" i="1" s="1"/>
  <c r="L908" i="1"/>
  <c r="K908" i="1"/>
  <c r="O908" i="1" s="1"/>
  <c r="L888" i="1"/>
  <c r="K888" i="1"/>
  <c r="O888" i="1" s="1"/>
  <c r="K868" i="1"/>
  <c r="O868" i="1" s="1"/>
  <c r="L868" i="1"/>
  <c r="L848" i="1"/>
  <c r="K848" i="1"/>
  <c r="O848" i="1" s="1"/>
  <c r="L808" i="1"/>
  <c r="K808" i="1"/>
  <c r="O808" i="1" s="1"/>
  <c r="L788" i="1"/>
  <c r="K788" i="1"/>
  <c r="O788" i="1" s="1"/>
  <c r="L748" i="1"/>
  <c r="K748" i="1"/>
  <c r="O748" i="1" s="1"/>
  <c r="L728" i="1"/>
  <c r="K728" i="1"/>
  <c r="O728" i="1" s="1"/>
  <c r="K708" i="1"/>
  <c r="O708" i="1" s="1"/>
  <c r="L708" i="1"/>
  <c r="L688" i="1"/>
  <c r="K688" i="1"/>
  <c r="O688" i="1" s="1"/>
  <c r="K628" i="1"/>
  <c r="O628" i="1" s="1"/>
  <c r="L628" i="1"/>
  <c r="L608" i="1"/>
  <c r="K608" i="1"/>
  <c r="O608" i="1" s="1"/>
  <c r="L568" i="1"/>
  <c r="K568" i="1"/>
  <c r="O568" i="1" s="1"/>
  <c r="K548" i="1"/>
  <c r="O548" i="1" s="1"/>
  <c r="L548" i="1"/>
  <c r="L488" i="1"/>
  <c r="K488" i="1"/>
  <c r="O488" i="1" s="1"/>
  <c r="K468" i="1"/>
  <c r="O468" i="1" s="1"/>
  <c r="L468" i="1"/>
  <c r="K408" i="1"/>
  <c r="O408" i="1" s="1"/>
  <c r="L408" i="1"/>
  <c r="L368" i="1"/>
  <c r="K368" i="1"/>
  <c r="O368" i="1" s="1"/>
  <c r="L348" i="1"/>
  <c r="K348" i="1"/>
  <c r="O348" i="1" s="1"/>
  <c r="K328" i="1"/>
  <c r="O328" i="1" s="1"/>
  <c r="L328" i="1"/>
  <c r="L308" i="1"/>
  <c r="K308" i="1"/>
  <c r="O308" i="1" s="1"/>
  <c r="K844" i="1"/>
  <c r="O844" i="1" s="1"/>
  <c r="L844" i="1"/>
  <c r="L763" i="1"/>
  <c r="K763" i="1"/>
  <c r="O763" i="1" s="1"/>
  <c r="K944" i="1"/>
  <c r="O944" i="1" s="1"/>
  <c r="L944" i="1"/>
  <c r="K948" i="1"/>
  <c r="L448" i="1"/>
  <c r="M448" i="1" s="1"/>
  <c r="V448" i="1" s="1"/>
  <c r="K583" i="1"/>
  <c r="L442" i="1"/>
  <c r="M442" i="1" s="1"/>
  <c r="V442" i="1" s="1"/>
  <c r="L264" i="1"/>
  <c r="M264" i="1" s="1"/>
  <c r="V264" i="1" s="1"/>
  <c r="L48" i="1"/>
  <c r="M48" i="1" s="1"/>
  <c r="V48" i="1" s="1"/>
  <c r="K762" i="1"/>
  <c r="K582" i="1"/>
  <c r="K262" i="1"/>
  <c r="O262" i="1" s="1"/>
  <c r="L764" i="1"/>
  <c r="M764" i="1" s="1"/>
  <c r="V764" i="1" s="1"/>
  <c r="L248" i="1"/>
  <c r="M248" i="1" s="1"/>
  <c r="V248" i="1" s="1"/>
  <c r="L144" i="1"/>
  <c r="M144" i="1" s="1"/>
  <c r="V144" i="1" s="1"/>
  <c r="K403" i="1"/>
  <c r="K323" i="1"/>
  <c r="K163" i="1"/>
  <c r="K920" i="1"/>
  <c r="K740" i="1"/>
  <c r="K558" i="1"/>
  <c r="K399" i="1"/>
  <c r="K319" i="1"/>
  <c r="K235" i="1"/>
  <c r="K159" i="1"/>
  <c r="K75" i="1"/>
  <c r="L865" i="1"/>
  <c r="M865" i="1" s="1"/>
  <c r="V865" i="1" s="1"/>
  <c r="L745" i="1"/>
  <c r="M745" i="1" s="1"/>
  <c r="V745" i="1" s="1"/>
  <c r="L626" i="1"/>
  <c r="M626" i="1" s="1"/>
  <c r="V626" i="1" s="1"/>
  <c r="L522" i="1"/>
  <c r="M522" i="1" s="1"/>
  <c r="V522" i="1" s="1"/>
  <c r="L422" i="1"/>
  <c r="M422" i="1" s="1"/>
  <c r="V422" i="1" s="1"/>
  <c r="L125" i="1"/>
  <c r="M125" i="1" s="1"/>
  <c r="V125" i="1" s="1"/>
  <c r="L20" i="1"/>
  <c r="M20" i="1" s="1"/>
  <c r="V20" i="1" s="1"/>
  <c r="K919" i="1"/>
  <c r="K823" i="1"/>
  <c r="K662" i="1"/>
  <c r="K466" i="1"/>
  <c r="K395" i="1"/>
  <c r="K155" i="1"/>
  <c r="L966" i="1"/>
  <c r="M966" i="1" s="1"/>
  <c r="V966" i="1" s="1"/>
  <c r="L845" i="1"/>
  <c r="M845" i="1" s="1"/>
  <c r="V845" i="1" s="1"/>
  <c r="L744" i="1"/>
  <c r="M744" i="1" s="1"/>
  <c r="V744" i="1" s="1"/>
  <c r="L520" i="1"/>
  <c r="M520" i="1" s="1"/>
  <c r="V520" i="1" s="1"/>
  <c r="L421" i="1"/>
  <c r="M421" i="1" s="1"/>
  <c r="V421" i="1" s="1"/>
  <c r="L217" i="1"/>
  <c r="M217" i="1" s="1"/>
  <c r="V217" i="1" s="1"/>
  <c r="L124" i="1"/>
  <c r="M124" i="1" s="1"/>
  <c r="V124" i="1" s="1"/>
  <c r="L8" i="1"/>
  <c r="M8" i="1" s="1"/>
  <c r="V8" i="1" s="1"/>
  <c r="L324" i="1"/>
  <c r="M324" i="1" s="1"/>
  <c r="V324" i="1" s="1"/>
  <c r="L122" i="1"/>
  <c r="M122" i="1" s="1"/>
  <c r="V122" i="1" s="1"/>
  <c r="K723" i="1"/>
  <c r="K463" i="1"/>
  <c r="K302" i="1"/>
  <c r="K63" i="1"/>
  <c r="L604" i="1"/>
  <c r="M604" i="1" s="1"/>
  <c r="V604" i="1" s="1"/>
  <c r="L208" i="1"/>
  <c r="M208" i="1" s="1"/>
  <c r="V208" i="1" s="1"/>
  <c r="K462" i="1"/>
  <c r="K62" i="1"/>
  <c r="L602" i="1"/>
  <c r="M602" i="1" s="1"/>
  <c r="V602" i="1" s="1"/>
  <c r="L504" i="1"/>
  <c r="M504" i="1" s="1"/>
  <c r="V504" i="1" s="1"/>
  <c r="K900" i="1"/>
  <c r="K719" i="1"/>
  <c r="K545" i="1"/>
  <c r="K376" i="1"/>
  <c r="K296" i="1"/>
  <c r="K206" i="1"/>
  <c r="K130" i="1"/>
  <c r="K55" i="1"/>
  <c r="L825" i="1"/>
  <c r="M825" i="1" s="1"/>
  <c r="V825" i="1" s="1"/>
  <c r="L600" i="1"/>
  <c r="M600" i="1" s="1"/>
  <c r="V600" i="1" s="1"/>
  <c r="L499" i="1"/>
  <c r="M499" i="1" s="1"/>
  <c r="V499" i="1" s="1"/>
  <c r="L396" i="1"/>
  <c r="M396" i="1" s="1"/>
  <c r="V396" i="1" s="1"/>
  <c r="L306" i="1"/>
  <c r="M306" i="1" s="1"/>
  <c r="V306" i="1" s="1"/>
  <c r="L205" i="1"/>
  <c r="M205" i="1" s="1"/>
  <c r="V205" i="1" s="1"/>
  <c r="L96" i="1"/>
  <c r="M96" i="1" s="1"/>
  <c r="V96" i="1" s="1"/>
  <c r="K983" i="1"/>
  <c r="K542" i="1"/>
  <c r="K288" i="1"/>
  <c r="K129" i="1"/>
  <c r="K54" i="1"/>
  <c r="L943" i="1"/>
  <c r="M943" i="1" s="1"/>
  <c r="V943" i="1" s="1"/>
  <c r="L824" i="1"/>
  <c r="M824" i="1" s="1"/>
  <c r="V824" i="1" s="1"/>
  <c r="L586" i="1"/>
  <c r="M586" i="1" s="1"/>
  <c r="V586" i="1" s="1"/>
  <c r="L496" i="1"/>
  <c r="M496" i="1" s="1"/>
  <c r="V496" i="1" s="1"/>
  <c r="L386" i="1"/>
  <c r="M386" i="1" s="1"/>
  <c r="V386" i="1" s="1"/>
  <c r="L300" i="1"/>
  <c r="M300" i="1" s="1"/>
  <c r="V300" i="1" s="1"/>
  <c r="L204" i="1"/>
  <c r="M204" i="1" s="1"/>
  <c r="V204" i="1" s="1"/>
  <c r="L85" i="1"/>
  <c r="M85" i="1" s="1"/>
  <c r="V85" i="1" s="1"/>
  <c r="K127" i="3"/>
  <c r="P127" i="3" s="1"/>
  <c r="K980" i="1"/>
  <c r="K800" i="1"/>
  <c r="K616" i="1"/>
  <c r="K536" i="1"/>
  <c r="K443" i="1"/>
  <c r="K355" i="1"/>
  <c r="K286" i="1"/>
  <c r="K203" i="1"/>
  <c r="K36" i="1"/>
  <c r="L706" i="1"/>
  <c r="M706" i="1" s="1"/>
  <c r="V706" i="1" s="1"/>
  <c r="L299" i="1"/>
  <c r="M299" i="1" s="1"/>
  <c r="V299" i="1" s="1"/>
  <c r="L202" i="1"/>
  <c r="M202" i="1" s="1"/>
  <c r="V202" i="1" s="1"/>
  <c r="L84" i="1"/>
  <c r="M84" i="1" s="1"/>
  <c r="V84" i="1" s="1"/>
  <c r="K88" i="3"/>
  <c r="P88" i="3" s="1"/>
  <c r="K67" i="3"/>
  <c r="P67" i="3" s="1"/>
  <c r="K15" i="3"/>
  <c r="P15" i="3" s="1"/>
  <c r="K45" i="3"/>
  <c r="P45" i="3" s="1"/>
  <c r="K90" i="3"/>
  <c r="P90" i="3" s="1"/>
  <c r="K68" i="3"/>
  <c r="P68" i="3" s="1"/>
  <c r="K979" i="1"/>
  <c r="K883" i="1"/>
  <c r="K614" i="1"/>
  <c r="K535" i="1"/>
  <c r="K354" i="1"/>
  <c r="K285" i="1"/>
  <c r="K126" i="1"/>
  <c r="K35" i="1"/>
  <c r="L926" i="1"/>
  <c r="M926" i="1" s="1"/>
  <c r="V926" i="1" s="1"/>
  <c r="L817" i="1"/>
  <c r="M817" i="1" s="1"/>
  <c r="V817" i="1" s="1"/>
  <c r="L584" i="1"/>
  <c r="M584" i="1" s="1"/>
  <c r="V584" i="1" s="1"/>
  <c r="L384" i="1"/>
  <c r="M384" i="1" s="1"/>
  <c r="V384" i="1" s="1"/>
  <c r="L82" i="1"/>
  <c r="M82" i="1" s="1"/>
  <c r="V82" i="1" s="1"/>
  <c r="K56" i="3"/>
  <c r="P56" i="3" s="1"/>
  <c r="K880" i="1"/>
  <c r="K697" i="1"/>
  <c r="K534" i="1"/>
  <c r="K283" i="1"/>
  <c r="K199" i="1"/>
  <c r="K29" i="1"/>
  <c r="L925" i="1"/>
  <c r="M925" i="1" s="1"/>
  <c r="V925" i="1" s="1"/>
  <c r="L816" i="1"/>
  <c r="M816" i="1" s="1"/>
  <c r="V816" i="1" s="1"/>
  <c r="L576" i="1"/>
  <c r="M576" i="1" s="1"/>
  <c r="V576" i="1" s="1"/>
  <c r="L480" i="1"/>
  <c r="M480" i="1" s="1"/>
  <c r="V480" i="1" s="1"/>
  <c r="L382" i="1"/>
  <c r="M382" i="1" s="1"/>
  <c r="V382" i="1" s="1"/>
  <c r="L280" i="1"/>
  <c r="M280" i="1" s="1"/>
  <c r="V280" i="1" s="1"/>
  <c r="L185" i="1"/>
  <c r="M185" i="1" s="1"/>
  <c r="V185" i="1" s="1"/>
  <c r="L80" i="1"/>
  <c r="M80" i="1" s="1"/>
  <c r="V80" i="1" s="1"/>
  <c r="K783" i="1"/>
  <c r="K696" i="1"/>
  <c r="K426" i="1"/>
  <c r="K276" i="1"/>
  <c r="K115" i="1"/>
  <c r="L815" i="1"/>
  <c r="M815" i="1" s="1"/>
  <c r="V815" i="1" s="1"/>
  <c r="L684" i="1"/>
  <c r="M684" i="1" s="1"/>
  <c r="V684" i="1" s="1"/>
  <c r="L575" i="1"/>
  <c r="M575" i="1" s="1"/>
  <c r="V575" i="1" s="1"/>
  <c r="L366" i="1"/>
  <c r="M366" i="1" s="1"/>
  <c r="V366" i="1" s="1"/>
  <c r="L279" i="1"/>
  <c r="M279" i="1" s="1"/>
  <c r="V279" i="1" s="1"/>
  <c r="L184" i="1"/>
  <c r="M184" i="1" s="1"/>
  <c r="V184" i="1" s="1"/>
  <c r="K963" i="1"/>
  <c r="K275" i="1"/>
  <c r="L64" i="1"/>
  <c r="M64" i="1" s="1"/>
  <c r="V64" i="1" s="1"/>
  <c r="K77" i="3"/>
  <c r="P77" i="3" s="1"/>
  <c r="K109" i="3"/>
  <c r="N109" i="3" s="1"/>
  <c r="K116" i="3"/>
  <c r="P116" i="3" s="1"/>
  <c r="K962" i="1"/>
  <c r="K779" i="1"/>
  <c r="K686" i="1"/>
  <c r="K606" i="1"/>
  <c r="K418" i="1"/>
  <c r="K346" i="1"/>
  <c r="K274" i="1"/>
  <c r="K179" i="1"/>
  <c r="K105" i="1"/>
  <c r="K16" i="1"/>
  <c r="L896" i="1"/>
  <c r="M896" i="1" s="1"/>
  <c r="V896" i="1" s="1"/>
  <c r="L559" i="1"/>
  <c r="M559" i="1" s="1"/>
  <c r="V559" i="1" s="1"/>
  <c r="L364" i="1"/>
  <c r="M364" i="1" s="1"/>
  <c r="V364" i="1" s="1"/>
  <c r="L268" i="1"/>
  <c r="M268" i="1" s="1"/>
  <c r="V268" i="1" s="1"/>
  <c r="K972" i="1"/>
  <c r="O972" i="1" s="1"/>
  <c r="L972" i="1"/>
  <c r="L492" i="1"/>
  <c r="K492" i="1"/>
  <c r="O492" i="1" s="1"/>
  <c r="K272" i="1"/>
  <c r="O272" i="1" s="1"/>
  <c r="L272" i="1"/>
  <c r="L72" i="1"/>
  <c r="K72" i="1"/>
  <c r="O72" i="1" s="1"/>
  <c r="L831" i="1"/>
  <c r="K831" i="1"/>
  <c r="O831" i="1" s="1"/>
  <c r="K512" i="1"/>
  <c r="K252" i="1"/>
  <c r="L632" i="1"/>
  <c r="M632" i="1" s="1"/>
  <c r="V632" i="1" s="1"/>
  <c r="L573" i="1"/>
  <c r="M573" i="1" s="1"/>
  <c r="V573" i="1" s="1"/>
  <c r="K969" i="1"/>
  <c r="K922" i="1"/>
  <c r="K869" i="1"/>
  <c r="K822" i="1"/>
  <c r="K769" i="1"/>
  <c r="K722" i="1"/>
  <c r="K673" i="1"/>
  <c r="K511" i="1"/>
  <c r="K297" i="1"/>
  <c r="K251" i="1"/>
  <c r="K189" i="1"/>
  <c r="K78" i="1"/>
  <c r="L953" i="1"/>
  <c r="M953" i="1" s="1"/>
  <c r="V953" i="1" s="1"/>
  <c r="L693" i="1"/>
  <c r="M693" i="1" s="1"/>
  <c r="V693" i="1" s="1"/>
  <c r="L629" i="1"/>
  <c r="M629" i="1" s="1"/>
  <c r="V629" i="1" s="1"/>
  <c r="L497" i="1"/>
  <c r="M497" i="1" s="1"/>
  <c r="V497" i="1" s="1"/>
  <c r="K973" i="1"/>
  <c r="O973" i="1" s="1"/>
  <c r="L973" i="1"/>
  <c r="L933" i="1"/>
  <c r="K933" i="1"/>
  <c r="O933" i="1" s="1"/>
  <c r="K913" i="1"/>
  <c r="O913" i="1" s="1"/>
  <c r="L913" i="1"/>
  <c r="K873" i="1"/>
  <c r="O873" i="1" s="1"/>
  <c r="L873" i="1"/>
  <c r="K833" i="1"/>
  <c r="O833" i="1" s="1"/>
  <c r="L833" i="1"/>
  <c r="K793" i="1"/>
  <c r="O793" i="1" s="1"/>
  <c r="L793" i="1"/>
  <c r="K753" i="1"/>
  <c r="O753" i="1" s="1"/>
  <c r="L753" i="1"/>
  <c r="K713" i="1"/>
  <c r="O713" i="1" s="1"/>
  <c r="L713" i="1"/>
  <c r="L633" i="1"/>
  <c r="K633" i="1"/>
  <c r="O633" i="1" s="1"/>
  <c r="K593" i="1"/>
  <c r="O593" i="1" s="1"/>
  <c r="L593" i="1"/>
  <c r="K553" i="1"/>
  <c r="O553" i="1" s="1"/>
  <c r="L553" i="1"/>
  <c r="L453" i="1"/>
  <c r="K453" i="1"/>
  <c r="O453" i="1" s="1"/>
  <c r="K433" i="1"/>
  <c r="O433" i="1" s="1"/>
  <c r="L433" i="1"/>
  <c r="L373" i="1"/>
  <c r="K373" i="1"/>
  <c r="O373" i="1" s="1"/>
  <c r="K333" i="1"/>
  <c r="O333" i="1" s="1"/>
  <c r="L333" i="1"/>
  <c r="L313" i="1"/>
  <c r="K313" i="1"/>
  <c r="O313" i="1" s="1"/>
  <c r="K293" i="1"/>
  <c r="O293" i="1" s="1"/>
  <c r="L293" i="1"/>
  <c r="L193" i="1"/>
  <c r="K193" i="1"/>
  <c r="O193" i="1" s="1"/>
  <c r="L133" i="1"/>
  <c r="K133" i="1"/>
  <c r="O133" i="1" s="1"/>
  <c r="L73" i="1"/>
  <c r="K73" i="1"/>
  <c r="O73" i="1" s="1"/>
  <c r="K921" i="1"/>
  <c r="K821" i="1"/>
  <c r="K721" i="1"/>
  <c r="K510" i="1"/>
  <c r="K450" i="1"/>
  <c r="K250" i="1"/>
  <c r="K131" i="1"/>
  <c r="L952" i="1"/>
  <c r="M952" i="1" s="1"/>
  <c r="V952" i="1" s="1"/>
  <c r="L893" i="1"/>
  <c r="M893" i="1" s="1"/>
  <c r="V893" i="1" s="1"/>
  <c r="L692" i="1"/>
  <c r="M692" i="1" s="1"/>
  <c r="V692" i="1" s="1"/>
  <c r="K812" i="1"/>
  <c r="O812" i="1" s="1"/>
  <c r="L812" i="1"/>
  <c r="L890" i="1"/>
  <c r="K890" i="1"/>
  <c r="O890" i="1" s="1"/>
  <c r="L750" i="1"/>
  <c r="K750" i="1"/>
  <c r="O750" i="1" s="1"/>
  <c r="L530" i="1"/>
  <c r="K530" i="1"/>
  <c r="O530" i="1" s="1"/>
  <c r="L70" i="1"/>
  <c r="K70" i="1"/>
  <c r="O70" i="1" s="1"/>
  <c r="L669" i="1"/>
  <c r="K669" i="1"/>
  <c r="O669" i="1" s="1"/>
  <c r="K569" i="1"/>
  <c r="O569" i="1" s="1"/>
  <c r="L569" i="1"/>
  <c r="K289" i="1"/>
  <c r="O289" i="1" s="1"/>
  <c r="L289" i="1"/>
  <c r="L69" i="1"/>
  <c r="K69" i="1"/>
  <c r="O69" i="1" s="1"/>
  <c r="L9" i="1"/>
  <c r="K9" i="1"/>
  <c r="O9" i="1" s="1"/>
  <c r="K961" i="1"/>
  <c r="K861" i="1"/>
  <c r="K659" i="1"/>
  <c r="K392" i="1"/>
  <c r="K231" i="1"/>
  <c r="K12" i="1"/>
  <c r="L877" i="1"/>
  <c r="M877" i="1" s="1"/>
  <c r="V877" i="1" s="1"/>
  <c r="L682" i="1"/>
  <c r="M682" i="1" s="1"/>
  <c r="V682" i="1" s="1"/>
  <c r="L612" i="1"/>
  <c r="M612" i="1" s="1"/>
  <c r="V612" i="1" s="1"/>
  <c r="L479" i="1"/>
  <c r="M479" i="1" s="1"/>
  <c r="V479" i="1" s="1"/>
  <c r="L413" i="1"/>
  <c r="M413" i="1" s="1"/>
  <c r="V413" i="1" s="1"/>
  <c r="L352" i="1"/>
  <c r="M352" i="1" s="1"/>
  <c r="V352" i="1" s="1"/>
  <c r="L269" i="1"/>
  <c r="M269" i="1" s="1"/>
  <c r="V269" i="1" s="1"/>
  <c r="L53" i="1"/>
  <c r="M53" i="1" s="1"/>
  <c r="V53" i="1" s="1"/>
  <c r="L751" i="1"/>
  <c r="K751" i="1"/>
  <c r="O751" i="1" s="1"/>
  <c r="L942" i="1"/>
  <c r="M942" i="1" s="1"/>
  <c r="V942" i="1" s="1"/>
  <c r="K832" i="1"/>
  <c r="O832" i="1" s="1"/>
  <c r="L832" i="1"/>
  <c r="L192" i="1"/>
  <c r="K192" i="1"/>
  <c r="O192" i="1" s="1"/>
  <c r="L971" i="1"/>
  <c r="K971" i="1"/>
  <c r="O971" i="1" s="1"/>
  <c r="L791" i="1"/>
  <c r="K791" i="1"/>
  <c r="O791" i="1" s="1"/>
  <c r="L571" i="1"/>
  <c r="K571" i="1"/>
  <c r="O571" i="1" s="1"/>
  <c r="L411" i="1"/>
  <c r="K411" i="1"/>
  <c r="O411" i="1" s="1"/>
  <c r="L271" i="1"/>
  <c r="K271" i="1"/>
  <c r="O271" i="1" s="1"/>
  <c r="L990" i="1"/>
  <c r="K990" i="1"/>
  <c r="O990" i="1" s="1"/>
  <c r="L870" i="1"/>
  <c r="K870" i="1"/>
  <c r="O870" i="1" s="1"/>
  <c r="L770" i="1"/>
  <c r="K770" i="1"/>
  <c r="O770" i="1" s="1"/>
  <c r="L390" i="1"/>
  <c r="K390" i="1"/>
  <c r="O390" i="1" s="1"/>
  <c r="L270" i="1"/>
  <c r="K270" i="1"/>
  <c r="O270" i="1" s="1"/>
  <c r="L190" i="1"/>
  <c r="K190" i="1"/>
  <c r="O190" i="1" s="1"/>
  <c r="L110" i="1"/>
  <c r="K110" i="1"/>
  <c r="O110" i="1" s="1"/>
  <c r="L10" i="1"/>
  <c r="K10" i="1"/>
  <c r="O10" i="1" s="1"/>
  <c r="K389" i="1"/>
  <c r="O389" i="1" s="1"/>
  <c r="L389" i="1"/>
  <c r="K149" i="1"/>
  <c r="O149" i="1" s="1"/>
  <c r="L149" i="1"/>
  <c r="K658" i="1"/>
  <c r="K391" i="1"/>
  <c r="K332" i="1"/>
  <c r="K230" i="1"/>
  <c r="K11" i="1"/>
  <c r="L681" i="1"/>
  <c r="M681" i="1" s="1"/>
  <c r="V681" i="1" s="1"/>
  <c r="L609" i="1"/>
  <c r="M609" i="1" s="1"/>
  <c r="V609" i="1" s="1"/>
  <c r="L477" i="1"/>
  <c r="M477" i="1" s="1"/>
  <c r="V477" i="1" s="1"/>
  <c r="L412" i="1"/>
  <c r="M412" i="1" s="1"/>
  <c r="V412" i="1" s="1"/>
  <c r="L339" i="1"/>
  <c r="M339" i="1" s="1"/>
  <c r="V339" i="1" s="1"/>
  <c r="L117" i="1"/>
  <c r="M117" i="1" s="1"/>
  <c r="V117" i="1" s="1"/>
  <c r="L52" i="1"/>
  <c r="M52" i="1" s="1"/>
  <c r="V52" i="1" s="1"/>
  <c r="K959" i="1"/>
  <c r="K903" i="1"/>
  <c r="K859" i="1"/>
  <c r="K803" i="1"/>
  <c r="K759" i="1"/>
  <c r="K702" i="1"/>
  <c r="K543" i="1"/>
  <c r="K489" i="1"/>
  <c r="K438" i="1"/>
  <c r="K331" i="1"/>
  <c r="K229" i="1"/>
  <c r="L941" i="1"/>
  <c r="M941" i="1" s="1"/>
  <c r="V941" i="1" s="1"/>
  <c r="L813" i="1"/>
  <c r="M813" i="1" s="1"/>
  <c r="V813" i="1" s="1"/>
  <c r="L739" i="1"/>
  <c r="M739" i="1" s="1"/>
  <c r="V739" i="1" s="1"/>
  <c r="L472" i="1"/>
  <c r="M472" i="1" s="1"/>
  <c r="V472" i="1" s="1"/>
  <c r="L409" i="1"/>
  <c r="M409" i="1" s="1"/>
  <c r="V409" i="1" s="1"/>
  <c r="L337" i="1"/>
  <c r="M337" i="1" s="1"/>
  <c r="V337" i="1" s="1"/>
  <c r="L49" i="1"/>
  <c r="M49" i="1" s="1"/>
  <c r="V49" i="1" s="1"/>
  <c r="K292" i="1"/>
  <c r="O292" i="1" s="1"/>
  <c r="L292" i="1"/>
  <c r="L951" i="1"/>
  <c r="K951" i="1"/>
  <c r="O951" i="1" s="1"/>
  <c r="L311" i="1"/>
  <c r="K311" i="1"/>
  <c r="O311" i="1" s="1"/>
  <c r="L191" i="1"/>
  <c r="K191" i="1"/>
  <c r="L71" i="1"/>
  <c r="K71" i="1"/>
  <c r="O71" i="1" s="1"/>
  <c r="L910" i="1"/>
  <c r="K910" i="1"/>
  <c r="O910" i="1" s="1"/>
  <c r="L810" i="1"/>
  <c r="K810" i="1"/>
  <c r="O810" i="1" s="1"/>
  <c r="L670" i="1"/>
  <c r="K670" i="1"/>
  <c r="O670" i="1" s="1"/>
  <c r="L410" i="1"/>
  <c r="K410" i="1"/>
  <c r="O410" i="1" s="1"/>
  <c r="L150" i="1"/>
  <c r="K150" i="1"/>
  <c r="O150" i="1" s="1"/>
  <c r="L649" i="1"/>
  <c r="K649" i="1"/>
  <c r="O649" i="1" s="1"/>
  <c r="K429" i="1"/>
  <c r="O429" i="1" s="1"/>
  <c r="L429" i="1"/>
  <c r="L329" i="1"/>
  <c r="K329" i="1"/>
  <c r="O329" i="1" s="1"/>
  <c r="L249" i="1"/>
  <c r="K249" i="1"/>
  <c r="O249" i="1" s="1"/>
  <c r="L209" i="1"/>
  <c r="K209" i="1"/>
  <c r="O209" i="1" s="1"/>
  <c r="K169" i="1"/>
  <c r="O169" i="1" s="1"/>
  <c r="L169" i="1"/>
  <c r="K490" i="1"/>
  <c r="K902" i="1"/>
  <c r="K849" i="1"/>
  <c r="K802" i="1"/>
  <c r="K749" i="1"/>
  <c r="K699" i="1"/>
  <c r="K653" i="1"/>
  <c r="K603" i="1"/>
  <c r="K437" i="1"/>
  <c r="K378" i="1"/>
  <c r="K330" i="1"/>
  <c r="K113" i="1"/>
  <c r="K59" i="1"/>
  <c r="L737" i="1"/>
  <c r="M737" i="1" s="1"/>
  <c r="V737" i="1" s="1"/>
  <c r="L533" i="1"/>
  <c r="M533" i="1" s="1"/>
  <c r="V533" i="1" s="1"/>
  <c r="L469" i="1"/>
  <c r="M469" i="1" s="1"/>
  <c r="V469" i="1" s="1"/>
  <c r="K912" i="1"/>
  <c r="O912" i="1" s="1"/>
  <c r="L912" i="1"/>
  <c r="K572" i="1"/>
  <c r="O572" i="1" s="1"/>
  <c r="L572" i="1"/>
  <c r="K432" i="1"/>
  <c r="O432" i="1" s="1"/>
  <c r="L432" i="1"/>
  <c r="L711" i="1"/>
  <c r="K711" i="1"/>
  <c r="O711" i="1" s="1"/>
  <c r="L950" i="1"/>
  <c r="K950" i="1"/>
  <c r="O950" i="1" s="1"/>
  <c r="L790" i="1"/>
  <c r="K790" i="1"/>
  <c r="O790" i="1" s="1"/>
  <c r="L690" i="1"/>
  <c r="K690" i="1"/>
  <c r="O690" i="1" s="1"/>
  <c r="L570" i="1"/>
  <c r="K570" i="1"/>
  <c r="O570" i="1" s="1"/>
  <c r="L290" i="1"/>
  <c r="K290" i="1"/>
  <c r="O290" i="1" s="1"/>
  <c r="L170" i="1"/>
  <c r="K170" i="1"/>
  <c r="O170" i="1" s="1"/>
  <c r="L50" i="1"/>
  <c r="K50" i="1"/>
  <c r="O50" i="1" s="1"/>
  <c r="K901" i="1"/>
  <c r="K801" i="1"/>
  <c r="K698" i="1"/>
  <c r="K652" i="1"/>
  <c r="K591" i="1"/>
  <c r="K377" i="1"/>
  <c r="K112" i="1"/>
  <c r="L799" i="1"/>
  <c r="M799" i="1" s="1"/>
  <c r="V799" i="1" s="1"/>
  <c r="L532" i="1"/>
  <c r="M532" i="1" s="1"/>
  <c r="V532" i="1" s="1"/>
  <c r="L932" i="1"/>
  <c r="K932" i="1"/>
  <c r="O932" i="1" s="1"/>
  <c r="L232" i="1"/>
  <c r="K232" i="1"/>
  <c r="O232" i="1" s="1"/>
  <c r="L891" i="1"/>
  <c r="K891" i="1"/>
  <c r="O891" i="1" s="1"/>
  <c r="L671" i="1"/>
  <c r="K671" i="1"/>
  <c r="O671" i="1" s="1"/>
  <c r="L531" i="1"/>
  <c r="K531" i="1"/>
  <c r="O531" i="1" s="1"/>
  <c r="L451" i="1"/>
  <c r="K451" i="1"/>
  <c r="O451" i="1" s="1"/>
  <c r="L351" i="1"/>
  <c r="K351" i="1"/>
  <c r="O351" i="1" s="1"/>
  <c r="L930" i="1"/>
  <c r="K930" i="1"/>
  <c r="O930" i="1" s="1"/>
  <c r="L850" i="1"/>
  <c r="K850" i="1"/>
  <c r="O850" i="1" s="1"/>
  <c r="L730" i="1"/>
  <c r="K730" i="1"/>
  <c r="O730" i="1" s="1"/>
  <c r="L610" i="1"/>
  <c r="K610" i="1"/>
  <c r="O610" i="1" s="1"/>
  <c r="L470" i="1"/>
  <c r="K470" i="1"/>
  <c r="O470" i="1" s="1"/>
  <c r="L350" i="1"/>
  <c r="K350" i="1"/>
  <c r="O350" i="1" s="1"/>
  <c r="L210" i="1"/>
  <c r="K210" i="1"/>
  <c r="O210" i="1" s="1"/>
  <c r="L90" i="1"/>
  <c r="K90" i="1"/>
  <c r="O90" i="1" s="1"/>
  <c r="K651" i="1"/>
  <c r="K273" i="1"/>
  <c r="K111" i="1"/>
  <c r="L797" i="1"/>
  <c r="M797" i="1" s="1"/>
  <c r="V797" i="1" s="1"/>
  <c r="L601" i="1"/>
  <c r="M601" i="1" s="1"/>
  <c r="V601" i="1" s="1"/>
  <c r="L529" i="1"/>
  <c r="M529" i="1" s="1"/>
  <c r="V529" i="1" s="1"/>
  <c r="L109" i="1"/>
  <c r="M109" i="1" s="1"/>
  <c r="V109" i="1" s="1"/>
  <c r="L911" i="1"/>
  <c r="K911" i="1"/>
  <c r="O911" i="1" s="1"/>
  <c r="L771" i="1"/>
  <c r="K771" i="1"/>
  <c r="O771" i="1" s="1"/>
  <c r="L491" i="1"/>
  <c r="K491" i="1"/>
  <c r="O491" i="1" s="1"/>
  <c r="L291" i="1"/>
  <c r="K291" i="1"/>
  <c r="O291" i="1" s="1"/>
  <c r="L970" i="1"/>
  <c r="K970" i="1"/>
  <c r="O970" i="1" s="1"/>
  <c r="L830" i="1"/>
  <c r="K830" i="1"/>
  <c r="O830" i="1" s="1"/>
  <c r="L710" i="1"/>
  <c r="K710" i="1"/>
  <c r="O710" i="1" s="1"/>
  <c r="L550" i="1"/>
  <c r="K550" i="1"/>
  <c r="O550" i="1" s="1"/>
  <c r="L430" i="1"/>
  <c r="K430" i="1"/>
  <c r="O430" i="1" s="1"/>
  <c r="L310" i="1"/>
  <c r="K310" i="1"/>
  <c r="O310" i="1" s="1"/>
  <c r="K590" i="1"/>
  <c r="L992" i="1"/>
  <c r="M992" i="1" s="1"/>
  <c r="V992" i="1" s="1"/>
  <c r="L33" i="1"/>
  <c r="M33" i="1" s="1"/>
  <c r="V33" i="1" s="1"/>
  <c r="L703" i="1"/>
  <c r="K703" i="1"/>
  <c r="O703" i="1" s="1"/>
  <c r="L663" i="1"/>
  <c r="K663" i="1"/>
  <c r="O663" i="1" s="1"/>
  <c r="L643" i="1"/>
  <c r="K643" i="1"/>
  <c r="O643" i="1" s="1"/>
  <c r="L623" i="1"/>
  <c r="K623" i="1"/>
  <c r="O623" i="1" s="1"/>
  <c r="L563" i="1"/>
  <c r="K563" i="1"/>
  <c r="O563" i="1" s="1"/>
  <c r="L523" i="1"/>
  <c r="K523" i="1"/>
  <c r="O523" i="1" s="1"/>
  <c r="L503" i="1"/>
  <c r="K503" i="1"/>
  <c r="O503" i="1" s="1"/>
  <c r="L483" i="1"/>
  <c r="K483" i="1"/>
  <c r="O483" i="1" s="1"/>
  <c r="K899" i="1"/>
  <c r="K843" i="1"/>
  <c r="K743" i="1"/>
  <c r="K650" i="1"/>
  <c r="K589" i="1"/>
  <c r="K372" i="1"/>
  <c r="L989" i="1"/>
  <c r="M989" i="1" s="1"/>
  <c r="V989" i="1" s="1"/>
  <c r="L792" i="1"/>
  <c r="M792" i="1" s="1"/>
  <c r="V792" i="1" s="1"/>
  <c r="L733" i="1"/>
  <c r="M733" i="1" s="1"/>
  <c r="V733" i="1" s="1"/>
  <c r="L32" i="1"/>
  <c r="M32" i="1" s="1"/>
  <c r="V32" i="1" s="1"/>
  <c r="K872" i="1"/>
  <c r="O872" i="1" s="1"/>
  <c r="L872" i="1"/>
  <c r="L811" i="1"/>
  <c r="K811" i="1"/>
  <c r="O811" i="1" s="1"/>
  <c r="L171" i="1"/>
  <c r="K171" i="1"/>
  <c r="O171" i="1" s="1"/>
  <c r="K14" i="3"/>
  <c r="P14" i="3" s="1"/>
  <c r="K97" i="3"/>
  <c r="P97" i="3" s="1"/>
  <c r="K13" i="3"/>
  <c r="P13" i="3" s="1"/>
  <c r="L642" i="1"/>
  <c r="K642" i="1"/>
  <c r="O642" i="1" s="1"/>
  <c r="K842" i="1"/>
  <c r="K789" i="1"/>
  <c r="K742" i="1"/>
  <c r="K637" i="1"/>
  <c r="K371" i="1"/>
  <c r="K213" i="1"/>
  <c r="L853" i="1"/>
  <c r="M853" i="1" s="1"/>
  <c r="V853" i="1" s="1"/>
  <c r="L657" i="1"/>
  <c r="M657" i="1" s="1"/>
  <c r="V657" i="1" s="1"/>
  <c r="L452" i="1"/>
  <c r="M452" i="1" s="1"/>
  <c r="V452" i="1" s="1"/>
  <c r="L173" i="1"/>
  <c r="M173" i="1" s="1"/>
  <c r="V173" i="1" s="1"/>
  <c r="K701" i="1"/>
  <c r="O701" i="1" s="1"/>
  <c r="L701" i="1"/>
  <c r="K661" i="1"/>
  <c r="O661" i="1" s="1"/>
  <c r="L661" i="1"/>
  <c r="K641" i="1"/>
  <c r="O641" i="1" s="1"/>
  <c r="L641" i="1"/>
  <c r="K621" i="1"/>
  <c r="O621" i="1" s="1"/>
  <c r="L621" i="1"/>
  <c r="K581" i="1"/>
  <c r="O581" i="1" s="1"/>
  <c r="L581" i="1"/>
  <c r="K561" i="1"/>
  <c r="O561" i="1" s="1"/>
  <c r="L561" i="1"/>
  <c r="K541" i="1"/>
  <c r="O541" i="1" s="1"/>
  <c r="L541" i="1"/>
  <c r="K501" i="1"/>
  <c r="O501" i="1" s="1"/>
  <c r="L501" i="1"/>
  <c r="K481" i="1"/>
  <c r="O481" i="1" s="1"/>
  <c r="L481" i="1"/>
  <c r="K461" i="1"/>
  <c r="O461" i="1" s="1"/>
  <c r="L461" i="1"/>
  <c r="K401" i="1"/>
  <c r="O401" i="1" s="1"/>
  <c r="L401" i="1"/>
  <c r="K361" i="1"/>
  <c r="O361" i="1" s="1"/>
  <c r="L361" i="1"/>
  <c r="K341" i="1"/>
  <c r="O341" i="1" s="1"/>
  <c r="L341" i="1"/>
  <c r="K321" i="1"/>
  <c r="O321" i="1" s="1"/>
  <c r="L321" i="1"/>
  <c r="K281" i="1"/>
  <c r="O281" i="1" s="1"/>
  <c r="L281" i="1"/>
  <c r="K261" i="1"/>
  <c r="O261" i="1" s="1"/>
  <c r="L261" i="1"/>
  <c r="K241" i="1"/>
  <c r="O241" i="1" s="1"/>
  <c r="L241" i="1"/>
  <c r="K221" i="1"/>
  <c r="O221" i="1" s="1"/>
  <c r="L221" i="1"/>
  <c r="K201" i="1"/>
  <c r="O201" i="1" s="1"/>
  <c r="L201" i="1"/>
  <c r="K181" i="1"/>
  <c r="O181" i="1" s="1"/>
  <c r="L181" i="1"/>
  <c r="K161" i="1"/>
  <c r="O161" i="1" s="1"/>
  <c r="L161" i="1"/>
  <c r="K121" i="1"/>
  <c r="O121" i="1" s="1"/>
  <c r="L121" i="1"/>
  <c r="K101" i="1"/>
  <c r="O101" i="1" s="1"/>
  <c r="L101" i="1"/>
  <c r="K41" i="1"/>
  <c r="O41" i="1" s="1"/>
  <c r="L41" i="1"/>
  <c r="K841" i="1"/>
  <c r="K741" i="1"/>
  <c r="K473" i="1"/>
  <c r="K417" i="1"/>
  <c r="K370" i="1"/>
  <c r="K212" i="1"/>
  <c r="K51" i="1"/>
  <c r="L977" i="1"/>
  <c r="M977" i="1" s="1"/>
  <c r="V977" i="1" s="1"/>
  <c r="L852" i="1"/>
  <c r="M852" i="1" s="1"/>
  <c r="V852" i="1" s="1"/>
  <c r="L172" i="1"/>
  <c r="M172" i="1" s="1"/>
  <c r="V172" i="1" s="1"/>
  <c r="L93" i="1"/>
  <c r="M93" i="1" s="1"/>
  <c r="V93" i="1" s="1"/>
  <c r="L672" i="1"/>
  <c r="K672" i="1"/>
  <c r="O672" i="1" s="1"/>
  <c r="L132" i="1"/>
  <c r="K132" i="1"/>
  <c r="O132" i="1" s="1"/>
  <c r="L871" i="1"/>
  <c r="K871" i="1"/>
  <c r="O871" i="1" s="1"/>
  <c r="L611" i="1"/>
  <c r="K611" i="1"/>
  <c r="O611" i="1" s="1"/>
  <c r="L91" i="1"/>
  <c r="K91" i="1"/>
  <c r="O91" i="1" s="1"/>
  <c r="K28" i="3"/>
  <c r="P28" i="3" s="1"/>
  <c r="K369" i="1"/>
  <c r="K309" i="1"/>
  <c r="K211" i="1"/>
  <c r="K37" i="1"/>
  <c r="L917" i="1"/>
  <c r="M917" i="1" s="1"/>
  <c r="V917" i="1" s="1"/>
  <c r="L717" i="1"/>
  <c r="M717" i="1" s="1"/>
  <c r="V717" i="1" s="1"/>
  <c r="L521" i="1"/>
  <c r="M521" i="1" s="1"/>
  <c r="V521" i="1" s="1"/>
  <c r="L239" i="1"/>
  <c r="M239" i="1" s="1"/>
  <c r="V239" i="1" s="1"/>
  <c r="L92" i="1"/>
  <c r="M92" i="1" s="1"/>
  <c r="V92" i="1" s="1"/>
  <c r="K732" i="1"/>
  <c r="O732" i="1" s="1"/>
  <c r="L732" i="1"/>
  <c r="L892" i="1"/>
  <c r="M892" i="1" s="1"/>
  <c r="V892" i="1" s="1"/>
  <c r="L679" i="1"/>
  <c r="K679" i="1"/>
  <c r="O679" i="1" s="1"/>
  <c r="L619" i="1"/>
  <c r="K619" i="1"/>
  <c r="O619" i="1" s="1"/>
  <c r="K599" i="1"/>
  <c r="O599" i="1" s="1"/>
  <c r="L599" i="1"/>
  <c r="L539" i="1"/>
  <c r="K539" i="1"/>
  <c r="O539" i="1" s="1"/>
  <c r="L459" i="1"/>
  <c r="K459" i="1"/>
  <c r="O459" i="1" s="1"/>
  <c r="K419" i="1"/>
  <c r="O419" i="1" s="1"/>
  <c r="L419" i="1"/>
  <c r="K379" i="1"/>
  <c r="O379" i="1" s="1"/>
  <c r="L379" i="1"/>
  <c r="K139" i="1"/>
  <c r="O139" i="1" s="1"/>
  <c r="L139" i="1"/>
  <c r="K119" i="1"/>
  <c r="O119" i="1" s="1"/>
  <c r="L119" i="1"/>
  <c r="K39" i="1"/>
  <c r="O39" i="1" s="1"/>
  <c r="L39" i="1"/>
  <c r="K19" i="1"/>
  <c r="O19" i="1" s="1"/>
  <c r="L19" i="1"/>
  <c r="K939" i="1"/>
  <c r="K839" i="1"/>
  <c r="K631" i="1"/>
  <c r="K579" i="1"/>
  <c r="K519" i="1"/>
  <c r="K471" i="1"/>
  <c r="K259" i="1"/>
  <c r="K153" i="1"/>
  <c r="K99" i="1"/>
  <c r="L712" i="1"/>
  <c r="M712" i="1" s="1"/>
  <c r="V712" i="1" s="1"/>
  <c r="L157" i="1"/>
  <c r="M157" i="1" s="1"/>
  <c r="V157" i="1" s="1"/>
  <c r="K752" i="1"/>
  <c r="O752" i="1" s="1"/>
  <c r="L752" i="1"/>
  <c r="L991" i="1"/>
  <c r="K991" i="1"/>
  <c r="O991" i="1" s="1"/>
  <c r="L978" i="1"/>
  <c r="K978" i="1"/>
  <c r="O978" i="1" s="1"/>
  <c r="L958" i="1"/>
  <c r="K958" i="1"/>
  <c r="O958" i="1" s="1"/>
  <c r="L938" i="1"/>
  <c r="K938" i="1"/>
  <c r="O938" i="1" s="1"/>
  <c r="L918" i="1"/>
  <c r="K918" i="1"/>
  <c r="O918" i="1" s="1"/>
  <c r="L898" i="1"/>
  <c r="K898" i="1"/>
  <c r="O898" i="1" s="1"/>
  <c r="L878" i="1"/>
  <c r="K878" i="1"/>
  <c r="O878" i="1" s="1"/>
  <c r="L858" i="1"/>
  <c r="K858" i="1"/>
  <c r="O858" i="1" s="1"/>
  <c r="L838" i="1"/>
  <c r="K838" i="1"/>
  <c r="O838" i="1" s="1"/>
  <c r="L818" i="1"/>
  <c r="K818" i="1"/>
  <c r="O818" i="1" s="1"/>
  <c r="L798" i="1"/>
  <c r="K798" i="1"/>
  <c r="O798" i="1" s="1"/>
  <c r="L778" i="1"/>
  <c r="K778" i="1"/>
  <c r="O778" i="1" s="1"/>
  <c r="L758" i="1"/>
  <c r="K758" i="1"/>
  <c r="O758" i="1" s="1"/>
  <c r="L738" i="1"/>
  <c r="K738" i="1"/>
  <c r="O738" i="1" s="1"/>
  <c r="L718" i="1"/>
  <c r="K718" i="1"/>
  <c r="O718" i="1" s="1"/>
  <c r="L678" i="1"/>
  <c r="K678" i="1"/>
  <c r="O678" i="1" s="1"/>
  <c r="L638" i="1"/>
  <c r="K638" i="1"/>
  <c r="O638" i="1" s="1"/>
  <c r="L618" i="1"/>
  <c r="K618" i="1"/>
  <c r="O618" i="1" s="1"/>
  <c r="L598" i="1"/>
  <c r="K598" i="1"/>
  <c r="O598" i="1" s="1"/>
  <c r="L538" i="1"/>
  <c r="K538" i="1"/>
  <c r="O538" i="1" s="1"/>
  <c r="L498" i="1"/>
  <c r="K498" i="1"/>
  <c r="O498" i="1" s="1"/>
  <c r="L478" i="1"/>
  <c r="K478" i="1"/>
  <c r="O478" i="1" s="1"/>
  <c r="L458" i="1"/>
  <c r="K458" i="1"/>
  <c r="O458" i="1" s="1"/>
  <c r="L398" i="1"/>
  <c r="K398" i="1"/>
  <c r="O398" i="1" s="1"/>
  <c r="L358" i="1"/>
  <c r="K358" i="1"/>
  <c r="O358" i="1" s="1"/>
  <c r="L338" i="1"/>
  <c r="K338" i="1"/>
  <c r="O338" i="1" s="1"/>
  <c r="L318" i="1"/>
  <c r="K318" i="1"/>
  <c r="O318" i="1" s="1"/>
  <c r="L278" i="1"/>
  <c r="K278" i="1"/>
  <c r="O278" i="1" s="1"/>
  <c r="L238" i="1"/>
  <c r="K238" i="1"/>
  <c r="O238" i="1" s="1"/>
  <c r="L218" i="1"/>
  <c r="K218" i="1"/>
  <c r="O218" i="1" s="1"/>
  <c r="L198" i="1"/>
  <c r="K198" i="1"/>
  <c r="O198" i="1" s="1"/>
  <c r="L158" i="1"/>
  <c r="K158" i="1"/>
  <c r="O158" i="1" s="1"/>
  <c r="L138" i="1"/>
  <c r="K138" i="1"/>
  <c r="O138" i="1" s="1"/>
  <c r="L118" i="1"/>
  <c r="K118" i="1"/>
  <c r="O118" i="1" s="1"/>
  <c r="L98" i="1"/>
  <c r="K98" i="1"/>
  <c r="O98" i="1" s="1"/>
  <c r="L58" i="1"/>
  <c r="K58" i="1"/>
  <c r="O58" i="1" s="1"/>
  <c r="L38" i="1"/>
  <c r="K38" i="1"/>
  <c r="O38" i="1" s="1"/>
  <c r="L18" i="1"/>
  <c r="K18" i="1"/>
  <c r="O18" i="1" s="1"/>
  <c r="K982" i="1"/>
  <c r="K929" i="1"/>
  <c r="K882" i="1"/>
  <c r="K829" i="1"/>
  <c r="K782" i="1"/>
  <c r="K729" i="1"/>
  <c r="K677" i="1"/>
  <c r="K630" i="1"/>
  <c r="K578" i="1"/>
  <c r="K518" i="1"/>
  <c r="K258" i="1"/>
  <c r="K152" i="1"/>
  <c r="K89" i="1"/>
  <c r="L773" i="1"/>
  <c r="M773" i="1" s="1"/>
  <c r="V773" i="1" s="1"/>
  <c r="L577" i="1"/>
  <c r="M577" i="1" s="1"/>
  <c r="V577" i="1" s="1"/>
  <c r="K592" i="1"/>
  <c r="O592" i="1" s="1"/>
  <c r="L592" i="1"/>
  <c r="L851" i="1"/>
  <c r="K851" i="1"/>
  <c r="O851" i="1" s="1"/>
  <c r="L691" i="1"/>
  <c r="K691" i="1"/>
  <c r="O691" i="1" s="1"/>
  <c r="L431" i="1"/>
  <c r="K431" i="1"/>
  <c r="O431" i="1" s="1"/>
  <c r="L552" i="1"/>
  <c r="M552" i="1" s="1"/>
  <c r="V552" i="1" s="1"/>
  <c r="L957" i="1"/>
  <c r="K957" i="1"/>
  <c r="O957" i="1" s="1"/>
  <c r="L937" i="1"/>
  <c r="K937" i="1"/>
  <c r="O937" i="1" s="1"/>
  <c r="L837" i="1"/>
  <c r="K837" i="1"/>
  <c r="O837" i="1" s="1"/>
  <c r="L617" i="1"/>
  <c r="K617" i="1"/>
  <c r="O617" i="1" s="1"/>
  <c r="K597" i="1"/>
  <c r="O597" i="1" s="1"/>
  <c r="L597" i="1"/>
  <c r="L537" i="1"/>
  <c r="K537" i="1"/>
  <c r="O537" i="1" s="1"/>
  <c r="L457" i="1"/>
  <c r="K457" i="1"/>
  <c r="O457" i="1" s="1"/>
  <c r="L397" i="1"/>
  <c r="K397" i="1"/>
  <c r="O397" i="1" s="1"/>
  <c r="L317" i="1"/>
  <c r="K317" i="1"/>
  <c r="O317" i="1" s="1"/>
  <c r="K517" i="1"/>
  <c r="L639" i="1"/>
  <c r="M639" i="1" s="1"/>
  <c r="V639" i="1" s="1"/>
  <c r="L441" i="1"/>
  <c r="M441" i="1" s="1"/>
  <c r="V441" i="1" s="1"/>
  <c r="L381" i="1"/>
  <c r="M381" i="1" s="1"/>
  <c r="V381" i="1" s="1"/>
  <c r="L301" i="1"/>
  <c r="M301" i="1" s="1"/>
  <c r="V301" i="1" s="1"/>
  <c r="L233" i="1"/>
  <c r="M233" i="1" s="1"/>
  <c r="V233" i="1" s="1"/>
  <c r="L312" i="1"/>
  <c r="K312" i="1"/>
  <c r="O312" i="1" s="1"/>
  <c r="L931" i="1"/>
  <c r="K931" i="1"/>
  <c r="O931" i="1" s="1"/>
  <c r="L731" i="1"/>
  <c r="K731" i="1"/>
  <c r="O731" i="1" s="1"/>
  <c r="L551" i="1"/>
  <c r="K551" i="1"/>
  <c r="O551" i="1" s="1"/>
  <c r="K897" i="1"/>
  <c r="O897" i="1" s="1"/>
  <c r="L897" i="1"/>
  <c r="L857" i="1"/>
  <c r="K857" i="1"/>
  <c r="O857" i="1" s="1"/>
  <c r="L777" i="1"/>
  <c r="K777" i="1"/>
  <c r="O777" i="1" s="1"/>
  <c r="L757" i="1"/>
  <c r="K757" i="1"/>
  <c r="O757" i="1" s="1"/>
  <c r="L257" i="1"/>
  <c r="K257" i="1"/>
  <c r="O257" i="1" s="1"/>
  <c r="L197" i="1"/>
  <c r="K197" i="1"/>
  <c r="O197" i="1" s="1"/>
  <c r="L97" i="1"/>
  <c r="K97" i="1"/>
  <c r="O97" i="1" s="1"/>
  <c r="L57" i="1"/>
  <c r="K57" i="1"/>
  <c r="O57" i="1" s="1"/>
  <c r="K17" i="1"/>
  <c r="O17" i="1" s="1"/>
  <c r="L17" i="1"/>
  <c r="K981" i="1"/>
  <c r="K881" i="1"/>
  <c r="K781" i="1"/>
  <c r="K151" i="1"/>
  <c r="K31" i="1"/>
  <c r="L772" i="1"/>
  <c r="M772" i="1" s="1"/>
  <c r="V772" i="1" s="1"/>
  <c r="K513" i="1"/>
  <c r="K253" i="1"/>
  <c r="K137" i="1"/>
  <c r="K30" i="1"/>
  <c r="L219" i="1"/>
  <c r="M219" i="1" s="1"/>
  <c r="V219" i="1" s="1"/>
  <c r="L81" i="1"/>
  <c r="M81" i="1" s="1"/>
  <c r="V81" i="1" s="1"/>
  <c r="K986" i="1"/>
  <c r="K946" i="1"/>
  <c r="K906" i="1"/>
  <c r="K886" i="1"/>
  <c r="K846" i="1"/>
  <c r="K806" i="1"/>
  <c r="K766" i="1"/>
  <c r="K726" i="1"/>
  <c r="K634" i="1"/>
  <c r="K588" i="1"/>
  <c r="K565" i="1"/>
  <c r="K516" i="1"/>
  <c r="K447" i="1"/>
  <c r="K423" i="1"/>
  <c r="K375" i="1"/>
  <c r="K282" i="1"/>
  <c r="K234" i="1"/>
  <c r="K134" i="1"/>
  <c r="K34" i="1"/>
  <c r="L975" i="1"/>
  <c r="M975" i="1" s="1"/>
  <c r="V975" i="1" s="1"/>
  <c r="L924" i="1"/>
  <c r="M924" i="1" s="1"/>
  <c r="V924" i="1" s="1"/>
  <c r="L875" i="1"/>
  <c r="M875" i="1" s="1"/>
  <c r="V875" i="1" s="1"/>
  <c r="L796" i="1"/>
  <c r="M796" i="1" s="1"/>
  <c r="V796" i="1" s="1"/>
  <c r="L716" i="1"/>
  <c r="M716" i="1" s="1"/>
  <c r="V716" i="1" s="1"/>
  <c r="L528" i="1"/>
  <c r="M528" i="1" s="1"/>
  <c r="V528" i="1" s="1"/>
  <c r="L502" i="1"/>
  <c r="M502" i="1" s="1"/>
  <c r="V502" i="1" s="1"/>
  <c r="L420" i="1"/>
  <c r="M420" i="1" s="1"/>
  <c r="V420" i="1" s="1"/>
  <c r="L362" i="1"/>
  <c r="M362" i="1" s="1"/>
  <c r="V362" i="1" s="1"/>
  <c r="L305" i="1"/>
  <c r="M305" i="1" s="1"/>
  <c r="V305" i="1" s="1"/>
  <c r="L244" i="1"/>
  <c r="M244" i="1" s="1"/>
  <c r="V244" i="1" s="1"/>
  <c r="L182" i="1"/>
  <c r="M182" i="1" s="1"/>
  <c r="V182" i="1" s="1"/>
  <c r="L60" i="1"/>
  <c r="M60" i="1" s="1"/>
  <c r="V60" i="1" s="1"/>
  <c r="L28" i="1"/>
  <c r="M28" i="1" s="1"/>
  <c r="V28" i="1" s="1"/>
  <c r="K985" i="1"/>
  <c r="K905" i="1"/>
  <c r="K885" i="1"/>
  <c r="K805" i="1"/>
  <c r="K785" i="1"/>
  <c r="K725" i="1"/>
  <c r="K705" i="1"/>
  <c r="K587" i="1"/>
  <c r="K515" i="1"/>
  <c r="K446" i="1"/>
  <c r="K374" i="1"/>
  <c r="K256" i="1"/>
  <c r="K183" i="1"/>
  <c r="K83" i="1"/>
  <c r="L795" i="1"/>
  <c r="M795" i="1" s="1"/>
  <c r="V795" i="1" s="1"/>
  <c r="L715" i="1"/>
  <c r="M715" i="1" s="1"/>
  <c r="V715" i="1" s="1"/>
  <c r="L687" i="1"/>
  <c r="M687" i="1" s="1"/>
  <c r="V687" i="1" s="1"/>
  <c r="L527" i="1"/>
  <c r="M527" i="1" s="1"/>
  <c r="V527" i="1" s="1"/>
  <c r="L388" i="1"/>
  <c r="M388" i="1" s="1"/>
  <c r="V388" i="1" s="1"/>
  <c r="L304" i="1"/>
  <c r="M304" i="1" s="1"/>
  <c r="V304" i="1" s="1"/>
  <c r="L242" i="1"/>
  <c r="M242" i="1" s="1"/>
  <c r="V242" i="1" s="1"/>
  <c r="L120" i="1"/>
  <c r="M120" i="1" s="1"/>
  <c r="V120" i="1" s="1"/>
  <c r="L88" i="1"/>
  <c r="M88" i="1" s="1"/>
  <c r="V88" i="1" s="1"/>
  <c r="K984" i="1"/>
  <c r="K964" i="1"/>
  <c r="K904" i="1"/>
  <c r="K884" i="1"/>
  <c r="K864" i="1"/>
  <c r="K804" i="1"/>
  <c r="K784" i="1"/>
  <c r="K724" i="1"/>
  <c r="K562" i="1"/>
  <c r="K514" i="1"/>
  <c r="K445" i="1"/>
  <c r="K303" i="1"/>
  <c r="K255" i="1"/>
  <c r="K107" i="1"/>
  <c r="L660" i="1"/>
  <c r="M660" i="1" s="1"/>
  <c r="V660" i="1" s="1"/>
  <c r="L580" i="1"/>
  <c r="M580" i="1" s="1"/>
  <c r="V580" i="1" s="1"/>
  <c r="L526" i="1"/>
  <c r="M526" i="1" s="1"/>
  <c r="V526" i="1" s="1"/>
  <c r="L500" i="1"/>
  <c r="M500" i="1" s="1"/>
  <c r="V500" i="1" s="1"/>
  <c r="L387" i="1"/>
  <c r="M387" i="1" s="1"/>
  <c r="V387" i="1" s="1"/>
  <c r="L360" i="1"/>
  <c r="M360" i="1" s="1"/>
  <c r="V360" i="1" s="1"/>
  <c r="L180" i="1"/>
  <c r="M180" i="1" s="1"/>
  <c r="V180" i="1" s="1"/>
  <c r="L148" i="1"/>
  <c r="M148" i="1" s="1"/>
  <c r="V148" i="1" s="1"/>
  <c r="L25" i="1"/>
  <c r="M25" i="1" s="1"/>
  <c r="V25" i="1" s="1"/>
  <c r="K695" i="1"/>
  <c r="K554" i="1"/>
  <c r="K508" i="1"/>
  <c r="K485" i="1"/>
  <c r="K436" i="1"/>
  <c r="K367" i="1"/>
  <c r="K343" i="1"/>
  <c r="K295" i="1"/>
  <c r="K225" i="1"/>
  <c r="K174" i="1"/>
  <c r="K74" i="1"/>
  <c r="L915" i="1"/>
  <c r="M915" i="1" s="1"/>
  <c r="V915" i="1" s="1"/>
  <c r="L625" i="1"/>
  <c r="M625" i="1" s="1"/>
  <c r="V625" i="1" s="1"/>
  <c r="L380" i="1"/>
  <c r="M380" i="1" s="1"/>
  <c r="V380" i="1" s="1"/>
  <c r="L140" i="1"/>
  <c r="M140" i="1" s="1"/>
  <c r="V140" i="1" s="1"/>
  <c r="L108" i="1"/>
  <c r="M108" i="1" s="1"/>
  <c r="V108" i="1" s="1"/>
  <c r="L47" i="1"/>
  <c r="M47" i="1" s="1"/>
  <c r="V47" i="1" s="1"/>
  <c r="K694" i="1"/>
  <c r="K648" i="1"/>
  <c r="K507" i="1"/>
  <c r="K435" i="1"/>
  <c r="K342" i="1"/>
  <c r="K294" i="1"/>
  <c r="K223" i="1"/>
  <c r="K123" i="1"/>
  <c r="K23" i="1"/>
  <c r="L704" i="1"/>
  <c r="M704" i="1" s="1"/>
  <c r="V704" i="1" s="1"/>
  <c r="L624" i="1"/>
  <c r="M624" i="1" s="1"/>
  <c r="V624" i="1" s="1"/>
  <c r="L544" i="1"/>
  <c r="M544" i="1" s="1"/>
  <c r="V544" i="1" s="1"/>
  <c r="L464" i="1"/>
  <c r="M464" i="1" s="1"/>
  <c r="V464" i="1" s="1"/>
  <c r="L200" i="1"/>
  <c r="M200" i="1" s="1"/>
  <c r="V200" i="1" s="1"/>
  <c r="L168" i="1"/>
  <c r="M168" i="1" s="1"/>
  <c r="V168" i="1" s="1"/>
  <c r="L45" i="1"/>
  <c r="M45" i="1" s="1"/>
  <c r="V45" i="1" s="1"/>
  <c r="K956" i="1"/>
  <c r="K936" i="1"/>
  <c r="K856" i="1"/>
  <c r="K836" i="1"/>
  <c r="K776" i="1"/>
  <c r="K756" i="1"/>
  <c r="K647" i="1"/>
  <c r="K482" i="1"/>
  <c r="K434" i="1"/>
  <c r="K316" i="1"/>
  <c r="K222" i="1"/>
  <c r="K196" i="1"/>
  <c r="L622" i="1"/>
  <c r="M622" i="1" s="1"/>
  <c r="V622" i="1" s="1"/>
  <c r="L596" i="1"/>
  <c r="M596" i="1" s="1"/>
  <c r="V596" i="1" s="1"/>
  <c r="L405" i="1"/>
  <c r="M405" i="1" s="1"/>
  <c r="V405" i="1" s="1"/>
  <c r="L320" i="1"/>
  <c r="M320" i="1" s="1"/>
  <c r="V320" i="1" s="1"/>
  <c r="L260" i="1"/>
  <c r="M260" i="1" s="1"/>
  <c r="V260" i="1" s="1"/>
  <c r="L228" i="1"/>
  <c r="M228" i="1" s="1"/>
  <c r="V228" i="1" s="1"/>
  <c r="L44" i="1"/>
  <c r="M44" i="1" s="1"/>
  <c r="V44" i="1" s="1"/>
  <c r="K79" i="3"/>
  <c r="P79" i="3" s="1"/>
  <c r="K955" i="1"/>
  <c r="K935" i="1"/>
  <c r="K855" i="1"/>
  <c r="K835" i="1"/>
  <c r="K775" i="1"/>
  <c r="K755" i="1"/>
  <c r="K646" i="1"/>
  <c r="K574" i="1"/>
  <c r="K456" i="1"/>
  <c r="K363" i="1"/>
  <c r="K315" i="1"/>
  <c r="K246" i="1"/>
  <c r="K195" i="1"/>
  <c r="K146" i="1"/>
  <c r="K95" i="1"/>
  <c r="K46" i="1"/>
  <c r="L595" i="1"/>
  <c r="M595" i="1" s="1"/>
  <c r="V595" i="1" s="1"/>
  <c r="L404" i="1"/>
  <c r="M404" i="1" s="1"/>
  <c r="V404" i="1" s="1"/>
  <c r="L165" i="1"/>
  <c r="M165" i="1" s="1"/>
  <c r="V165" i="1" s="1"/>
  <c r="L104" i="1"/>
  <c r="M104" i="1" s="1"/>
  <c r="V104" i="1" s="1"/>
  <c r="L42" i="1"/>
  <c r="M42" i="1" s="1"/>
  <c r="V42" i="1" s="1"/>
  <c r="K974" i="1"/>
  <c r="K954" i="1"/>
  <c r="K934" i="1"/>
  <c r="K914" i="1"/>
  <c r="K894" i="1"/>
  <c r="K874" i="1"/>
  <c r="K854" i="1"/>
  <c r="K834" i="1"/>
  <c r="K814" i="1"/>
  <c r="K794" i="1"/>
  <c r="K774" i="1"/>
  <c r="K754" i="1"/>
  <c r="K734" i="1"/>
  <c r="K714" i="1"/>
  <c r="K668" i="1"/>
  <c r="K645" i="1"/>
  <c r="K455" i="1"/>
  <c r="K314" i="1"/>
  <c r="K194" i="1"/>
  <c r="K94" i="1"/>
  <c r="L700" i="1"/>
  <c r="M700" i="1" s="1"/>
  <c r="V700" i="1" s="1"/>
  <c r="L620" i="1"/>
  <c r="M620" i="1" s="1"/>
  <c r="V620" i="1" s="1"/>
  <c r="L540" i="1"/>
  <c r="M540" i="1" s="1"/>
  <c r="V540" i="1" s="1"/>
  <c r="L460" i="1"/>
  <c r="M460" i="1" s="1"/>
  <c r="V460" i="1" s="1"/>
  <c r="L287" i="1"/>
  <c r="M287" i="1" s="1"/>
  <c r="V287" i="1" s="1"/>
  <c r="L164" i="1"/>
  <c r="M164" i="1" s="1"/>
  <c r="V164" i="1" s="1"/>
  <c r="K454" i="1"/>
  <c r="K243" i="1"/>
  <c r="K143" i="1"/>
  <c r="K43" i="1"/>
  <c r="L428" i="1"/>
  <c r="M428" i="1" s="1"/>
  <c r="V428" i="1" s="1"/>
  <c r="L344" i="1"/>
  <c r="M344" i="1" s="1"/>
  <c r="V344" i="1" s="1"/>
  <c r="L224" i="1"/>
  <c r="M224" i="1" s="1"/>
  <c r="V224" i="1" s="1"/>
  <c r="K594" i="1"/>
  <c r="K383" i="1"/>
  <c r="L644" i="1"/>
  <c r="M644" i="1" s="1"/>
  <c r="V644" i="1" s="1"/>
  <c r="L564" i="1"/>
  <c r="M564" i="1" s="1"/>
  <c r="V564" i="1" s="1"/>
  <c r="L484" i="1"/>
  <c r="M484" i="1" s="1"/>
  <c r="V484" i="1" s="1"/>
  <c r="L284" i="1"/>
  <c r="M284" i="1" s="1"/>
  <c r="V284" i="1" s="1"/>
  <c r="L68" i="1"/>
  <c r="M68" i="1" s="1"/>
  <c r="V68" i="1" s="1"/>
  <c r="L128" i="1"/>
  <c r="M128" i="1" s="1"/>
  <c r="V128" i="1" s="1"/>
  <c r="K615" i="1"/>
  <c r="K474" i="1"/>
  <c r="K263" i="1"/>
  <c r="K214" i="1"/>
  <c r="K114" i="1"/>
  <c r="K65" i="1"/>
  <c r="K14" i="1"/>
  <c r="L340" i="1"/>
  <c r="M340" i="1" s="1"/>
  <c r="V340" i="1" s="1"/>
  <c r="L220" i="1"/>
  <c r="M220" i="1" s="1"/>
  <c r="V220" i="1" s="1"/>
  <c r="L188" i="1"/>
  <c r="M188" i="1" s="1"/>
  <c r="V188" i="1" s="1"/>
  <c r="L4" i="1"/>
  <c r="M4" i="1" s="1"/>
  <c r="V4" i="1" s="1"/>
  <c r="K73" i="3"/>
  <c r="P73" i="3" s="1"/>
  <c r="K123" i="3"/>
  <c r="P123" i="3" s="1"/>
  <c r="N35" i="3"/>
  <c r="N51" i="3"/>
  <c r="N57" i="3"/>
  <c r="N69" i="3" l="1"/>
  <c r="O69" i="3" s="1"/>
  <c r="M243" i="1"/>
  <c r="V243" i="1" s="1"/>
  <c r="O243" i="1"/>
  <c r="M285" i="1"/>
  <c r="V285" i="1" s="1"/>
  <c r="O285" i="1"/>
  <c r="M103" i="1"/>
  <c r="V103" i="1" s="1"/>
  <c r="O103" i="1"/>
  <c r="M65" i="1"/>
  <c r="V65" i="1" s="1"/>
  <c r="O65" i="1"/>
  <c r="M435" i="1"/>
  <c r="V435" i="1" s="1"/>
  <c r="O435" i="1"/>
  <c r="M12" i="1"/>
  <c r="V12" i="1" s="1"/>
  <c r="O12" i="1"/>
  <c r="M186" i="1"/>
  <c r="V186" i="1" s="1"/>
  <c r="O186" i="1"/>
  <c r="M30" i="1"/>
  <c r="V30" i="1" s="1"/>
  <c r="O30" i="1"/>
  <c r="M614" i="1"/>
  <c r="V614" i="1" s="1"/>
  <c r="O614" i="1"/>
  <c r="M263" i="1"/>
  <c r="V263" i="1" s="1"/>
  <c r="O263" i="1"/>
  <c r="M914" i="1"/>
  <c r="V914" i="1" s="1"/>
  <c r="O914" i="1"/>
  <c r="M775" i="1"/>
  <c r="V775" i="1" s="1"/>
  <c r="O775" i="1"/>
  <c r="M776" i="1"/>
  <c r="V776" i="1" s="1"/>
  <c r="O776" i="1"/>
  <c r="M694" i="1"/>
  <c r="V694" i="1" s="1"/>
  <c r="O694" i="1"/>
  <c r="M984" i="1"/>
  <c r="V984" i="1" s="1"/>
  <c r="O984" i="1"/>
  <c r="M805" i="1"/>
  <c r="V805" i="1" s="1"/>
  <c r="O805" i="1"/>
  <c r="M234" i="1"/>
  <c r="V234" i="1" s="1"/>
  <c r="O234" i="1"/>
  <c r="M137" i="1"/>
  <c r="V137" i="1" s="1"/>
  <c r="O137" i="1"/>
  <c r="M517" i="1"/>
  <c r="V517" i="1" s="1"/>
  <c r="O517" i="1"/>
  <c r="M882" i="1"/>
  <c r="V882" i="1" s="1"/>
  <c r="O882" i="1"/>
  <c r="M213" i="1"/>
  <c r="V213" i="1" s="1"/>
  <c r="O213" i="1"/>
  <c r="M378" i="1"/>
  <c r="V378" i="1" s="1"/>
  <c r="O378" i="1"/>
  <c r="M659" i="1"/>
  <c r="V659" i="1" s="1"/>
  <c r="O659" i="1"/>
  <c r="M297" i="1"/>
  <c r="V297" i="1" s="1"/>
  <c r="O297" i="1"/>
  <c r="M883" i="1"/>
  <c r="V883" i="1" s="1"/>
  <c r="O883" i="1"/>
  <c r="M980" i="1"/>
  <c r="V980" i="1" s="1"/>
  <c r="O980" i="1"/>
  <c r="M860" i="1"/>
  <c r="V860" i="1" s="1"/>
  <c r="O860" i="1"/>
  <c r="M176" i="1"/>
  <c r="V176" i="1" s="1"/>
  <c r="O176" i="1"/>
  <c r="M635" i="1"/>
  <c r="V635" i="1" s="1"/>
  <c r="O635" i="1"/>
  <c r="M554" i="1"/>
  <c r="V554" i="1" s="1"/>
  <c r="O554" i="1"/>
  <c r="M677" i="1"/>
  <c r="V677" i="1" s="1"/>
  <c r="O677" i="1"/>
  <c r="M482" i="1"/>
  <c r="V482" i="1" s="1"/>
  <c r="O482" i="1"/>
  <c r="M729" i="1"/>
  <c r="V729" i="1" s="1"/>
  <c r="O729" i="1"/>
  <c r="M302" i="1"/>
  <c r="V302" i="1" s="1"/>
  <c r="O302" i="1"/>
  <c r="M34" i="1"/>
  <c r="V34" i="1" s="1"/>
  <c r="O34" i="1"/>
  <c r="M535" i="1"/>
  <c r="V535" i="1" s="1"/>
  <c r="O535" i="1"/>
  <c r="M495" i="1"/>
  <c r="V495" i="1" s="1"/>
  <c r="O495" i="1"/>
  <c r="M585" i="1"/>
  <c r="V585" i="1" s="1"/>
  <c r="O585" i="1"/>
  <c r="M755" i="1"/>
  <c r="V755" i="1" s="1"/>
  <c r="O755" i="1"/>
  <c r="M648" i="1"/>
  <c r="V648" i="1" s="1"/>
  <c r="O648" i="1"/>
  <c r="M134" i="1"/>
  <c r="V134" i="1" s="1"/>
  <c r="O134" i="1"/>
  <c r="M829" i="1"/>
  <c r="V829" i="1" s="1"/>
  <c r="O829" i="1"/>
  <c r="M330" i="1"/>
  <c r="V330" i="1" s="1"/>
  <c r="O330" i="1"/>
  <c r="M251" i="1"/>
  <c r="V251" i="1" s="1"/>
  <c r="O251" i="1"/>
  <c r="M723" i="1"/>
  <c r="V723" i="1" s="1"/>
  <c r="O723" i="1"/>
  <c r="M768" i="1"/>
  <c r="V768" i="1" s="1"/>
  <c r="O768" i="1"/>
  <c r="M820" i="1"/>
  <c r="V820" i="1" s="1"/>
  <c r="O820" i="1"/>
  <c r="M566" i="1"/>
  <c r="V566" i="1" s="1"/>
  <c r="O566" i="1"/>
  <c r="M3" i="1"/>
  <c r="V3" i="1" s="1"/>
  <c r="O3" i="1"/>
  <c r="M862" i="1"/>
  <c r="V862" i="1" s="1"/>
  <c r="O862" i="1"/>
  <c r="M474" i="1"/>
  <c r="V474" i="1" s="1"/>
  <c r="O474" i="1"/>
  <c r="M934" i="1"/>
  <c r="V934" i="1" s="1"/>
  <c r="O934" i="1"/>
  <c r="M835" i="1"/>
  <c r="V835" i="1" s="1"/>
  <c r="O835" i="1"/>
  <c r="M836" i="1"/>
  <c r="V836" i="1" s="1"/>
  <c r="O836" i="1"/>
  <c r="M885" i="1"/>
  <c r="V885" i="1" s="1"/>
  <c r="O885" i="1"/>
  <c r="M282" i="1"/>
  <c r="V282" i="1" s="1"/>
  <c r="O282" i="1"/>
  <c r="M253" i="1"/>
  <c r="V253" i="1" s="1"/>
  <c r="O253" i="1"/>
  <c r="M929" i="1"/>
  <c r="V929" i="1" s="1"/>
  <c r="O929" i="1"/>
  <c r="M51" i="1"/>
  <c r="V51" i="1" s="1"/>
  <c r="O51" i="1"/>
  <c r="M371" i="1"/>
  <c r="V371" i="1" s="1"/>
  <c r="O371" i="1"/>
  <c r="M372" i="1"/>
  <c r="V372" i="1" s="1"/>
  <c r="O372" i="1"/>
  <c r="M437" i="1"/>
  <c r="V437" i="1" s="1"/>
  <c r="O437" i="1"/>
  <c r="M861" i="1"/>
  <c r="V861" i="1" s="1"/>
  <c r="O861" i="1"/>
  <c r="M511" i="1"/>
  <c r="V511" i="1" s="1"/>
  <c r="O511" i="1"/>
  <c r="M275" i="1"/>
  <c r="V275" i="1" s="1"/>
  <c r="O275" i="1"/>
  <c r="M979" i="1"/>
  <c r="V979" i="1" s="1"/>
  <c r="O979" i="1"/>
  <c r="M394" i="1"/>
  <c r="V394" i="1" s="1"/>
  <c r="O394" i="1"/>
  <c r="M216" i="1"/>
  <c r="V216" i="1" s="1"/>
  <c r="O216" i="1"/>
  <c r="M214" i="1"/>
  <c r="V214" i="1" s="1"/>
  <c r="O214" i="1"/>
  <c r="M964" i="1"/>
  <c r="V964" i="1" s="1"/>
  <c r="O964" i="1"/>
  <c r="M15" i="1"/>
  <c r="V15" i="1" s="1"/>
  <c r="O15" i="1"/>
  <c r="M905" i="1"/>
  <c r="V905" i="1" s="1"/>
  <c r="O905" i="1"/>
  <c r="M375" i="1"/>
  <c r="V375" i="1" s="1"/>
  <c r="O375" i="1"/>
  <c r="M513" i="1"/>
  <c r="V513" i="1" s="1"/>
  <c r="O513" i="1"/>
  <c r="M982" i="1"/>
  <c r="V982" i="1" s="1"/>
  <c r="O982" i="1"/>
  <c r="M37" i="1"/>
  <c r="V37" i="1" s="1"/>
  <c r="O37" i="1"/>
  <c r="M212" i="1"/>
  <c r="V212" i="1" s="1"/>
  <c r="O212" i="1"/>
  <c r="M637" i="1"/>
  <c r="V637" i="1" s="1"/>
  <c r="O637" i="1"/>
  <c r="M589" i="1"/>
  <c r="V589" i="1" s="1"/>
  <c r="O589" i="1"/>
  <c r="M603" i="1"/>
  <c r="V603" i="1" s="1"/>
  <c r="O603" i="1"/>
  <c r="M961" i="1"/>
  <c r="V961" i="1" s="1"/>
  <c r="O961" i="1"/>
  <c r="M673" i="1"/>
  <c r="V673" i="1" s="1"/>
  <c r="O673" i="1"/>
  <c r="M963" i="1"/>
  <c r="V963" i="1" s="1"/>
  <c r="O963" i="1"/>
  <c r="M29" i="1"/>
  <c r="V29" i="1" s="1"/>
  <c r="O29" i="1"/>
  <c r="M55" i="1"/>
  <c r="V55" i="1" s="1"/>
  <c r="O55" i="1"/>
  <c r="M654" i="1"/>
  <c r="V654" i="1" s="1"/>
  <c r="O654" i="1"/>
  <c r="M26" i="1"/>
  <c r="V26" i="1" s="1"/>
  <c r="O26" i="1"/>
  <c r="M443" i="1"/>
  <c r="V443" i="1" s="1"/>
  <c r="O443" i="1"/>
  <c r="M574" i="1"/>
  <c r="V574" i="1" s="1"/>
  <c r="O574" i="1"/>
  <c r="M884" i="1"/>
  <c r="V884" i="1" s="1"/>
  <c r="O884" i="1"/>
  <c r="M59" i="1"/>
  <c r="V59" i="1" s="1"/>
  <c r="O59" i="1"/>
  <c r="M354" i="1"/>
  <c r="V354" i="1" s="1"/>
  <c r="O354" i="1"/>
  <c r="M685" i="1"/>
  <c r="V685" i="1" s="1"/>
  <c r="O685" i="1"/>
  <c r="M874" i="1"/>
  <c r="V874" i="1" s="1"/>
  <c r="O874" i="1"/>
  <c r="M903" i="1"/>
  <c r="V903" i="1" s="1"/>
  <c r="O903" i="1"/>
  <c r="M616" i="1"/>
  <c r="V616" i="1" s="1"/>
  <c r="O616" i="1"/>
  <c r="M463" i="1"/>
  <c r="V463" i="1" s="1"/>
  <c r="O463" i="1"/>
  <c r="M582" i="1"/>
  <c r="V582" i="1" s="1"/>
  <c r="O582" i="1"/>
  <c r="M476" i="1"/>
  <c r="V476" i="1" s="1"/>
  <c r="O476" i="1"/>
  <c r="M326" i="1"/>
  <c r="V326" i="1" s="1"/>
  <c r="O326" i="1"/>
  <c r="M894" i="1"/>
  <c r="V894" i="1" s="1"/>
  <c r="O894" i="1"/>
  <c r="M756" i="1"/>
  <c r="V756" i="1" s="1"/>
  <c r="O756" i="1"/>
  <c r="M785" i="1"/>
  <c r="V785" i="1" s="1"/>
  <c r="O785" i="1"/>
  <c r="M959" i="1"/>
  <c r="V959" i="1" s="1"/>
  <c r="O959" i="1"/>
  <c r="M392" i="1"/>
  <c r="V392" i="1" s="1"/>
  <c r="O392" i="1"/>
  <c r="M800" i="1"/>
  <c r="V800" i="1" s="1"/>
  <c r="O800" i="1"/>
  <c r="M762" i="1"/>
  <c r="V762" i="1" s="1"/>
  <c r="O762" i="1"/>
  <c r="M615" i="1"/>
  <c r="V615" i="1" s="1"/>
  <c r="O615" i="1"/>
  <c r="M954" i="1"/>
  <c r="V954" i="1" s="1"/>
  <c r="O954" i="1"/>
  <c r="M855" i="1"/>
  <c r="V855" i="1" s="1"/>
  <c r="O855" i="1"/>
  <c r="M856" i="1"/>
  <c r="V856" i="1" s="1"/>
  <c r="O856" i="1"/>
  <c r="M974" i="1"/>
  <c r="V974" i="1" s="1"/>
  <c r="O974" i="1"/>
  <c r="M935" i="1"/>
  <c r="V935" i="1" s="1"/>
  <c r="O935" i="1"/>
  <c r="M936" i="1"/>
  <c r="V936" i="1" s="1"/>
  <c r="O936" i="1"/>
  <c r="M985" i="1"/>
  <c r="V985" i="1" s="1"/>
  <c r="O985" i="1"/>
  <c r="M423" i="1"/>
  <c r="V423" i="1" s="1"/>
  <c r="O423" i="1"/>
  <c r="M99" i="1"/>
  <c r="V99" i="1" s="1"/>
  <c r="O99" i="1"/>
  <c r="M211" i="1"/>
  <c r="V211" i="1" s="1"/>
  <c r="O211" i="1"/>
  <c r="M370" i="1"/>
  <c r="V370" i="1" s="1"/>
  <c r="O370" i="1"/>
  <c r="M742" i="1"/>
  <c r="V742" i="1" s="1"/>
  <c r="O742" i="1"/>
  <c r="M650" i="1"/>
  <c r="V650" i="1" s="1"/>
  <c r="O650" i="1"/>
  <c r="M653" i="1"/>
  <c r="V653" i="1" s="1"/>
  <c r="O653" i="1"/>
  <c r="M722" i="1"/>
  <c r="V722" i="1" s="1"/>
  <c r="O722" i="1"/>
  <c r="M199" i="1"/>
  <c r="V199" i="1" s="1"/>
  <c r="O199" i="1"/>
  <c r="M130" i="1"/>
  <c r="V130" i="1" s="1"/>
  <c r="O130" i="1"/>
  <c r="M75" i="1"/>
  <c r="V75" i="1" s="1"/>
  <c r="O75" i="1"/>
  <c r="M583" i="1"/>
  <c r="V583" i="1" s="1"/>
  <c r="O583" i="1"/>
  <c r="M237" i="1"/>
  <c r="V237" i="1" s="1"/>
  <c r="O237" i="1"/>
  <c r="M86" i="1"/>
  <c r="V86" i="1" s="1"/>
  <c r="O86" i="1"/>
  <c r="M106" i="1"/>
  <c r="V106" i="1" s="1"/>
  <c r="O106" i="1"/>
  <c r="M960" i="1"/>
  <c r="V960" i="1" s="1"/>
  <c r="O960" i="1"/>
  <c r="M636" i="1"/>
  <c r="V636" i="1" s="1"/>
  <c r="O636" i="1"/>
  <c r="M226" i="1"/>
  <c r="V226" i="1" s="1"/>
  <c r="O226" i="1"/>
  <c r="M864" i="1"/>
  <c r="V864" i="1" s="1"/>
  <c r="O864" i="1"/>
  <c r="M854" i="1"/>
  <c r="V854" i="1" s="1"/>
  <c r="O854" i="1"/>
  <c r="M206" i="1"/>
  <c r="V206" i="1" s="1"/>
  <c r="O206" i="1"/>
  <c r="M159" i="1"/>
  <c r="V159" i="1" s="1"/>
  <c r="O159" i="1"/>
  <c r="M747" i="1"/>
  <c r="V747" i="1" s="1"/>
  <c r="O747" i="1"/>
  <c r="M465" i="1"/>
  <c r="V465" i="1" s="1"/>
  <c r="O465" i="1"/>
  <c r="M266" i="1"/>
  <c r="V266" i="1" s="1"/>
  <c r="O266" i="1"/>
  <c r="M322" i="1"/>
  <c r="V322" i="1" s="1"/>
  <c r="O322" i="1"/>
  <c r="M194" i="1"/>
  <c r="V194" i="1" s="1"/>
  <c r="O194" i="1"/>
  <c r="M516" i="1"/>
  <c r="V516" i="1" s="1"/>
  <c r="O516" i="1"/>
  <c r="M151" i="1"/>
  <c r="V151" i="1" s="1"/>
  <c r="O151" i="1"/>
  <c r="M259" i="1"/>
  <c r="V259" i="1" s="1"/>
  <c r="O259" i="1"/>
  <c r="M369" i="1"/>
  <c r="V369" i="1" s="1"/>
  <c r="O369" i="1"/>
  <c r="M473" i="1"/>
  <c r="V473" i="1" s="1"/>
  <c r="O473" i="1"/>
  <c r="M842" i="1"/>
  <c r="V842" i="1" s="1"/>
  <c r="O842" i="1"/>
  <c r="M843" i="1"/>
  <c r="V843" i="1" s="1"/>
  <c r="O843" i="1"/>
  <c r="M590" i="1"/>
  <c r="V590" i="1" s="1"/>
  <c r="O590" i="1"/>
  <c r="M112" i="1"/>
  <c r="V112" i="1" s="1"/>
  <c r="O112" i="1"/>
  <c r="M749" i="1"/>
  <c r="V749" i="1" s="1"/>
  <c r="O749" i="1"/>
  <c r="M822" i="1"/>
  <c r="V822" i="1" s="1"/>
  <c r="O822" i="1"/>
  <c r="M534" i="1"/>
  <c r="V534" i="1" s="1"/>
  <c r="O534" i="1"/>
  <c r="M296" i="1"/>
  <c r="V296" i="1" s="1"/>
  <c r="O296" i="1"/>
  <c r="M235" i="1"/>
  <c r="V235" i="1" s="1"/>
  <c r="O235" i="1"/>
  <c r="M948" i="1"/>
  <c r="V948" i="1" s="1"/>
  <c r="O948" i="1"/>
  <c r="M486" i="1"/>
  <c r="V486" i="1" s="1"/>
  <c r="O486" i="1"/>
  <c r="M555" i="1"/>
  <c r="V555" i="1" s="1"/>
  <c r="O555" i="1"/>
  <c r="M66" i="1"/>
  <c r="V66" i="1" s="1"/>
  <c r="O66" i="1"/>
  <c r="M178" i="1"/>
  <c r="V178" i="1" s="1"/>
  <c r="O178" i="1"/>
  <c r="M647" i="1"/>
  <c r="V647" i="1" s="1"/>
  <c r="O647" i="1"/>
  <c r="M956" i="1"/>
  <c r="V956" i="1" s="1"/>
  <c r="O956" i="1"/>
  <c r="M743" i="1"/>
  <c r="V743" i="1" s="1"/>
  <c r="O743" i="1"/>
  <c r="M314" i="1"/>
  <c r="V314" i="1" s="1"/>
  <c r="O314" i="1"/>
  <c r="M565" i="1"/>
  <c r="V565" i="1" s="1"/>
  <c r="O565" i="1"/>
  <c r="M781" i="1"/>
  <c r="V781" i="1" s="1"/>
  <c r="O781" i="1"/>
  <c r="M471" i="1"/>
  <c r="V471" i="1" s="1"/>
  <c r="O471" i="1"/>
  <c r="M741" i="1"/>
  <c r="V741" i="1" s="1"/>
  <c r="O741" i="1"/>
  <c r="M899" i="1"/>
  <c r="V899" i="1" s="1"/>
  <c r="O899" i="1"/>
  <c r="M377" i="1"/>
  <c r="V377" i="1" s="1"/>
  <c r="O377" i="1"/>
  <c r="M802" i="1"/>
  <c r="V802" i="1" s="1"/>
  <c r="O802" i="1"/>
  <c r="M131" i="1"/>
  <c r="V131" i="1" s="1"/>
  <c r="O131" i="1"/>
  <c r="M869" i="1"/>
  <c r="V869" i="1" s="1"/>
  <c r="O869" i="1"/>
  <c r="M697" i="1"/>
  <c r="V697" i="1" s="1"/>
  <c r="O697" i="1"/>
  <c r="M376" i="1"/>
  <c r="V376" i="1" s="1"/>
  <c r="O376" i="1"/>
  <c r="M319" i="1"/>
  <c r="V319" i="1" s="1"/>
  <c r="O319" i="1"/>
  <c r="M780" i="1"/>
  <c r="V780" i="1" s="1"/>
  <c r="O780" i="1"/>
  <c r="M828" i="1"/>
  <c r="V828" i="1" s="1"/>
  <c r="O828" i="1"/>
  <c r="M162" i="1"/>
  <c r="V162" i="1" s="1"/>
  <c r="O162" i="1"/>
  <c r="M666" i="1"/>
  <c r="V666" i="1" s="1"/>
  <c r="O666" i="1"/>
  <c r="M334" i="1"/>
  <c r="V334" i="1" s="1"/>
  <c r="O334" i="1"/>
  <c r="M236" i="1"/>
  <c r="V236" i="1" s="1"/>
  <c r="O236" i="1"/>
  <c r="M456" i="1"/>
  <c r="V456" i="1" s="1"/>
  <c r="O456" i="1"/>
  <c r="K10" i="3"/>
  <c r="P10" i="3" s="1"/>
  <c r="O187" i="1"/>
  <c r="M345" i="1"/>
  <c r="V345" i="1" s="1"/>
  <c r="O345" i="1"/>
  <c r="M406" i="1"/>
  <c r="V406" i="1" s="1"/>
  <c r="O406" i="1"/>
  <c r="M434" i="1"/>
  <c r="V434" i="1" s="1"/>
  <c r="O434" i="1"/>
  <c r="M519" i="1"/>
  <c r="V519" i="1" s="1"/>
  <c r="O519" i="1"/>
  <c r="M591" i="1"/>
  <c r="V591" i="1" s="1"/>
  <c r="O591" i="1"/>
  <c r="M11" i="1"/>
  <c r="V11" i="1" s="1"/>
  <c r="O11" i="1"/>
  <c r="M250" i="1"/>
  <c r="V250" i="1" s="1"/>
  <c r="O250" i="1"/>
  <c r="M922" i="1"/>
  <c r="V922" i="1" s="1"/>
  <c r="O922" i="1"/>
  <c r="M880" i="1"/>
  <c r="V880" i="1" s="1"/>
  <c r="O880" i="1"/>
  <c r="M545" i="1"/>
  <c r="V545" i="1" s="1"/>
  <c r="O545" i="1"/>
  <c r="M335" i="1"/>
  <c r="V335" i="1" s="1"/>
  <c r="O335" i="1"/>
  <c r="M645" i="1"/>
  <c r="V645" i="1" s="1"/>
  <c r="O645" i="1"/>
  <c r="M174" i="1"/>
  <c r="V174" i="1" s="1"/>
  <c r="O174" i="1"/>
  <c r="M981" i="1"/>
  <c r="V981" i="1" s="1"/>
  <c r="O981" i="1"/>
  <c r="M579" i="1"/>
  <c r="V579" i="1" s="1"/>
  <c r="O579" i="1"/>
  <c r="M450" i="1"/>
  <c r="V450" i="1" s="1"/>
  <c r="O450" i="1"/>
  <c r="M969" i="1"/>
  <c r="V969" i="1" s="1"/>
  <c r="O969" i="1"/>
  <c r="M105" i="1"/>
  <c r="V105" i="1" s="1"/>
  <c r="O105" i="1"/>
  <c r="M719" i="1"/>
  <c r="V719" i="1" s="1"/>
  <c r="O719" i="1"/>
  <c r="M558" i="1"/>
  <c r="V558" i="1" s="1"/>
  <c r="O558" i="1"/>
  <c r="M254" i="1"/>
  <c r="V254" i="1" s="1"/>
  <c r="O254" i="1"/>
  <c r="M605" i="1"/>
  <c r="V605" i="1" s="1"/>
  <c r="O605" i="1"/>
  <c r="M13" i="1"/>
  <c r="V13" i="1" s="1"/>
  <c r="O13" i="1"/>
  <c r="M136" i="1"/>
  <c r="V136" i="1" s="1"/>
  <c r="O136" i="1"/>
  <c r="M415" i="1"/>
  <c r="V415" i="1" s="1"/>
  <c r="O415" i="1"/>
  <c r="M383" i="1"/>
  <c r="V383" i="1" s="1"/>
  <c r="O383" i="1"/>
  <c r="M668" i="1"/>
  <c r="V668" i="1" s="1"/>
  <c r="O668" i="1"/>
  <c r="M46" i="1"/>
  <c r="V46" i="1" s="1"/>
  <c r="O46" i="1"/>
  <c r="M225" i="1"/>
  <c r="V225" i="1" s="1"/>
  <c r="O225" i="1"/>
  <c r="M303" i="1"/>
  <c r="V303" i="1" s="1"/>
  <c r="O303" i="1"/>
  <c r="M726" i="1"/>
  <c r="V726" i="1" s="1"/>
  <c r="O726" i="1"/>
  <c r="M631" i="1"/>
  <c r="V631" i="1" s="1"/>
  <c r="O631" i="1"/>
  <c r="M698" i="1"/>
  <c r="V698" i="1" s="1"/>
  <c r="O698" i="1"/>
  <c r="M490" i="1"/>
  <c r="V490" i="1" s="1"/>
  <c r="O490" i="1"/>
  <c r="M229" i="1"/>
  <c r="V229" i="1" s="1"/>
  <c r="O229" i="1"/>
  <c r="M332" i="1"/>
  <c r="V332" i="1" s="1"/>
  <c r="O332" i="1"/>
  <c r="M510" i="1"/>
  <c r="V510" i="1" s="1"/>
  <c r="O510" i="1"/>
  <c r="M179" i="1"/>
  <c r="V179" i="1" s="1"/>
  <c r="O179" i="1"/>
  <c r="M115" i="1"/>
  <c r="V115" i="1" s="1"/>
  <c r="O115" i="1"/>
  <c r="M900" i="1"/>
  <c r="V900" i="1" s="1"/>
  <c r="O900" i="1"/>
  <c r="M740" i="1"/>
  <c r="V740" i="1" s="1"/>
  <c r="O740" i="1"/>
  <c r="M475" i="1"/>
  <c r="V475" i="1" s="1"/>
  <c r="O475" i="1"/>
  <c r="M863" i="1"/>
  <c r="V863" i="1" s="1"/>
  <c r="O863" i="1"/>
  <c r="M215" i="1"/>
  <c r="V215" i="1" s="1"/>
  <c r="O215" i="1"/>
  <c r="M674" i="1"/>
  <c r="V674" i="1" s="1"/>
  <c r="O674" i="1"/>
  <c r="M385" i="1"/>
  <c r="V385" i="1" s="1"/>
  <c r="O385" i="1"/>
  <c r="M14" i="1"/>
  <c r="V14" i="1" s="1"/>
  <c r="O14" i="1"/>
  <c r="M587" i="1"/>
  <c r="V587" i="1" s="1"/>
  <c r="O587" i="1"/>
  <c r="M803" i="1"/>
  <c r="V803" i="1" s="1"/>
  <c r="O803" i="1"/>
  <c r="M940" i="1"/>
  <c r="V940" i="1" s="1"/>
  <c r="O940" i="1"/>
  <c r="M695" i="1"/>
  <c r="V695" i="1" s="1"/>
  <c r="O695" i="1"/>
  <c r="M859" i="1"/>
  <c r="V859" i="1" s="1"/>
  <c r="O859" i="1"/>
  <c r="M646" i="1"/>
  <c r="V646" i="1" s="1"/>
  <c r="O646" i="1"/>
  <c r="M782" i="1"/>
  <c r="V782" i="1" s="1"/>
  <c r="O782" i="1"/>
  <c r="M113" i="1"/>
  <c r="V113" i="1" s="1"/>
  <c r="O113" i="1"/>
  <c r="M455" i="1"/>
  <c r="V455" i="1" s="1"/>
  <c r="O455" i="1"/>
  <c r="M16" i="1"/>
  <c r="V16" i="1" s="1"/>
  <c r="O16" i="1"/>
  <c r="M714" i="1"/>
  <c r="V714" i="1" s="1"/>
  <c r="O714" i="1"/>
  <c r="M295" i="1"/>
  <c r="V295" i="1" s="1"/>
  <c r="O295" i="1"/>
  <c r="M83" i="1"/>
  <c r="V83" i="1" s="1"/>
  <c r="O83" i="1"/>
  <c r="M766" i="1"/>
  <c r="V766" i="1" s="1"/>
  <c r="O766" i="1"/>
  <c r="M839" i="1"/>
  <c r="V839" i="1" s="1"/>
  <c r="O839" i="1"/>
  <c r="M111" i="1"/>
  <c r="V111" i="1" s="1"/>
  <c r="O111" i="1"/>
  <c r="M801" i="1"/>
  <c r="V801" i="1" s="1"/>
  <c r="O801" i="1"/>
  <c r="M331" i="1"/>
  <c r="V331" i="1" s="1"/>
  <c r="O331" i="1"/>
  <c r="M391" i="1"/>
  <c r="V391" i="1" s="1"/>
  <c r="O391" i="1"/>
  <c r="M721" i="1"/>
  <c r="V721" i="1" s="1"/>
  <c r="O721" i="1"/>
  <c r="M274" i="1"/>
  <c r="V274" i="1" s="1"/>
  <c r="O274" i="1"/>
  <c r="M276" i="1"/>
  <c r="V276" i="1" s="1"/>
  <c r="O276" i="1"/>
  <c r="M54" i="1"/>
  <c r="V54" i="1" s="1"/>
  <c r="O54" i="1"/>
  <c r="M155" i="1"/>
  <c r="V155" i="1" s="1"/>
  <c r="O155" i="1"/>
  <c r="M920" i="1"/>
  <c r="V920" i="1" s="1"/>
  <c r="O920" i="1"/>
  <c r="M102" i="1"/>
  <c r="V102" i="1" s="1"/>
  <c r="O102" i="1"/>
  <c r="M414" i="1"/>
  <c r="V414" i="1" s="1"/>
  <c r="O414" i="1"/>
  <c r="M834" i="1"/>
  <c r="V834" i="1" s="1"/>
  <c r="O834" i="1"/>
  <c r="M986" i="1"/>
  <c r="V986" i="1" s="1"/>
  <c r="O986" i="1"/>
  <c r="M425" i="1"/>
  <c r="V425" i="1" s="1"/>
  <c r="O425" i="1"/>
  <c r="M454" i="1"/>
  <c r="V454" i="1" s="1"/>
  <c r="O454" i="1"/>
  <c r="M705" i="1"/>
  <c r="V705" i="1" s="1"/>
  <c r="O705" i="1"/>
  <c r="M298" i="1"/>
  <c r="V298" i="1" s="1"/>
  <c r="O298" i="1"/>
  <c r="M231" i="1"/>
  <c r="V231" i="1" s="1"/>
  <c r="O231" i="1"/>
  <c r="M31" i="1"/>
  <c r="V31" i="1" s="1"/>
  <c r="O31" i="1"/>
  <c r="M153" i="1"/>
  <c r="V153" i="1" s="1"/>
  <c r="O153" i="1"/>
  <c r="M417" i="1"/>
  <c r="V417" i="1" s="1"/>
  <c r="O417" i="1"/>
  <c r="M841" i="1"/>
  <c r="V841" i="1" s="1"/>
  <c r="O841" i="1"/>
  <c r="M849" i="1"/>
  <c r="V849" i="1" s="1"/>
  <c r="O849" i="1"/>
  <c r="M399" i="1"/>
  <c r="V399" i="1" s="1"/>
  <c r="O399" i="1"/>
  <c r="M77" i="1"/>
  <c r="V77" i="1" s="1"/>
  <c r="O77" i="1"/>
  <c r="M255" i="1"/>
  <c r="V255" i="1" s="1"/>
  <c r="O255" i="1"/>
  <c r="M634" i="1"/>
  <c r="V634" i="1" s="1"/>
  <c r="O634" i="1"/>
  <c r="M652" i="1"/>
  <c r="V652" i="1" s="1"/>
  <c r="O652" i="1"/>
  <c r="M902" i="1"/>
  <c r="V902" i="1" s="1"/>
  <c r="O902" i="1"/>
  <c r="M230" i="1"/>
  <c r="V230" i="1" s="1"/>
  <c r="O230" i="1"/>
  <c r="M594" i="1"/>
  <c r="V594" i="1" s="1"/>
  <c r="O594" i="1"/>
  <c r="M95" i="1"/>
  <c r="V95" i="1" s="1"/>
  <c r="O95" i="1"/>
  <c r="M445" i="1"/>
  <c r="V445" i="1" s="1"/>
  <c r="O445" i="1"/>
  <c r="M89" i="1"/>
  <c r="V89" i="1" s="1"/>
  <c r="O89" i="1"/>
  <c r="M734" i="1"/>
  <c r="V734" i="1" s="1"/>
  <c r="O734" i="1"/>
  <c r="M146" i="1"/>
  <c r="V146" i="1" s="1"/>
  <c r="O146" i="1"/>
  <c r="M343" i="1"/>
  <c r="V343" i="1" s="1"/>
  <c r="O343" i="1"/>
  <c r="M514" i="1"/>
  <c r="V514" i="1" s="1"/>
  <c r="O514" i="1"/>
  <c r="M183" i="1"/>
  <c r="V183" i="1" s="1"/>
  <c r="O183" i="1"/>
  <c r="M806" i="1"/>
  <c r="V806" i="1" s="1"/>
  <c r="O806" i="1"/>
  <c r="M152" i="1"/>
  <c r="V152" i="1" s="1"/>
  <c r="O152" i="1"/>
  <c r="M939" i="1"/>
  <c r="V939" i="1" s="1"/>
  <c r="O939" i="1"/>
  <c r="M273" i="1"/>
  <c r="V273" i="1" s="1"/>
  <c r="O273" i="1"/>
  <c r="M901" i="1"/>
  <c r="V901" i="1" s="1"/>
  <c r="O901" i="1"/>
  <c r="M438" i="1"/>
  <c r="V438" i="1" s="1"/>
  <c r="O438" i="1"/>
  <c r="M658" i="1"/>
  <c r="V658" i="1" s="1"/>
  <c r="O658" i="1"/>
  <c r="M821" i="1"/>
  <c r="V821" i="1" s="1"/>
  <c r="O821" i="1"/>
  <c r="M252" i="1"/>
  <c r="V252" i="1" s="1"/>
  <c r="O252" i="1"/>
  <c r="M346" i="1"/>
  <c r="V346" i="1" s="1"/>
  <c r="O346" i="1"/>
  <c r="M426" i="1"/>
  <c r="V426" i="1" s="1"/>
  <c r="O426" i="1"/>
  <c r="M129" i="1"/>
  <c r="V129" i="1" s="1"/>
  <c r="O129" i="1"/>
  <c r="M395" i="1"/>
  <c r="V395" i="1" s="1"/>
  <c r="O395" i="1"/>
  <c r="M163" i="1"/>
  <c r="V163" i="1" s="1"/>
  <c r="O163" i="1"/>
  <c r="M494" i="1"/>
  <c r="V494" i="1" s="1"/>
  <c r="O494" i="1"/>
  <c r="M675" i="1"/>
  <c r="V675" i="1" s="1"/>
  <c r="O675" i="1"/>
  <c r="M402" i="1"/>
  <c r="V402" i="1" s="1"/>
  <c r="O402" i="1"/>
  <c r="M78" i="1"/>
  <c r="V78" i="1" s="1"/>
  <c r="O78" i="1"/>
  <c r="M904" i="1"/>
  <c r="V904" i="1" s="1"/>
  <c r="O904" i="1"/>
  <c r="M955" i="1"/>
  <c r="V955" i="1" s="1"/>
  <c r="O955" i="1"/>
  <c r="M769" i="1"/>
  <c r="V769" i="1" s="1"/>
  <c r="O769" i="1"/>
  <c r="M588" i="1"/>
  <c r="V588" i="1" s="1"/>
  <c r="O588" i="1"/>
  <c r="M754" i="1"/>
  <c r="V754" i="1" s="1"/>
  <c r="O754" i="1"/>
  <c r="M195" i="1"/>
  <c r="V195" i="1" s="1"/>
  <c r="O195" i="1"/>
  <c r="M23" i="1"/>
  <c r="V23" i="1" s="1"/>
  <c r="O23" i="1"/>
  <c r="M367" i="1"/>
  <c r="V367" i="1" s="1"/>
  <c r="O367" i="1"/>
  <c r="M256" i="1"/>
  <c r="V256" i="1" s="1"/>
  <c r="O256" i="1"/>
  <c r="M342" i="1"/>
  <c r="V342" i="1" s="1"/>
  <c r="O342" i="1"/>
  <c r="M63" i="1"/>
  <c r="V63" i="1" s="1"/>
  <c r="O63" i="1"/>
  <c r="M536" i="1"/>
  <c r="V536" i="1" s="1"/>
  <c r="O536" i="1"/>
  <c r="M507" i="1"/>
  <c r="V507" i="1" s="1"/>
  <c r="O507" i="1"/>
  <c r="M94" i="1"/>
  <c r="V94" i="1" s="1"/>
  <c r="O94" i="1"/>
  <c r="M447" i="1"/>
  <c r="V447" i="1" s="1"/>
  <c r="O447" i="1"/>
  <c r="M309" i="1"/>
  <c r="V309" i="1" s="1"/>
  <c r="O309" i="1"/>
  <c r="M789" i="1"/>
  <c r="V789" i="1" s="1"/>
  <c r="O789" i="1"/>
  <c r="M699" i="1"/>
  <c r="V699" i="1" s="1"/>
  <c r="O699" i="1"/>
  <c r="M283" i="1"/>
  <c r="V283" i="1" s="1"/>
  <c r="O283" i="1"/>
  <c r="M74" i="1"/>
  <c r="V74" i="1" s="1"/>
  <c r="O74" i="1"/>
  <c r="M107" i="1"/>
  <c r="V107" i="1" s="1"/>
  <c r="O107" i="1"/>
  <c r="M881" i="1"/>
  <c r="V881" i="1" s="1"/>
  <c r="O881" i="1"/>
  <c r="M562" i="1"/>
  <c r="V562" i="1" s="1"/>
  <c r="O562" i="1"/>
  <c r="M846" i="1"/>
  <c r="V846" i="1" s="1"/>
  <c r="O846" i="1"/>
  <c r="M258" i="1"/>
  <c r="V258" i="1" s="1"/>
  <c r="O258" i="1"/>
  <c r="M651" i="1"/>
  <c r="V651" i="1" s="1"/>
  <c r="O651" i="1"/>
  <c r="M489" i="1"/>
  <c r="V489" i="1" s="1"/>
  <c r="O489" i="1"/>
  <c r="M921" i="1"/>
  <c r="V921" i="1" s="1"/>
  <c r="O921" i="1"/>
  <c r="M512" i="1"/>
  <c r="V512" i="1" s="1"/>
  <c r="O512" i="1"/>
  <c r="M418" i="1"/>
  <c r="V418" i="1" s="1"/>
  <c r="O418" i="1"/>
  <c r="M696" i="1"/>
  <c r="V696" i="1" s="1"/>
  <c r="O696" i="1"/>
  <c r="M36" i="1"/>
  <c r="V36" i="1" s="1"/>
  <c r="O36" i="1"/>
  <c r="M288" i="1"/>
  <c r="V288" i="1" s="1"/>
  <c r="O288" i="1"/>
  <c r="M62" i="1"/>
  <c r="V62" i="1" s="1"/>
  <c r="O62" i="1"/>
  <c r="M466" i="1"/>
  <c r="V466" i="1" s="1"/>
  <c r="O466" i="1"/>
  <c r="M323" i="1"/>
  <c r="V323" i="1" s="1"/>
  <c r="O323" i="1"/>
  <c r="M819" i="1"/>
  <c r="V819" i="1" s="1"/>
  <c r="O819" i="1"/>
  <c r="M325" i="1"/>
  <c r="V325" i="1" s="1"/>
  <c r="O325" i="1"/>
  <c r="M676" i="1"/>
  <c r="V676" i="1" s="1"/>
  <c r="O676" i="1"/>
  <c r="M416" i="1"/>
  <c r="V416" i="1" s="1"/>
  <c r="O416" i="1"/>
  <c r="M774" i="1"/>
  <c r="V774" i="1" s="1"/>
  <c r="O774" i="1"/>
  <c r="M246" i="1"/>
  <c r="V246" i="1" s="1"/>
  <c r="O246" i="1"/>
  <c r="M196" i="1"/>
  <c r="V196" i="1" s="1"/>
  <c r="O196" i="1"/>
  <c r="M123" i="1"/>
  <c r="V123" i="1" s="1"/>
  <c r="O123" i="1"/>
  <c r="M436" i="1"/>
  <c r="V436" i="1" s="1"/>
  <c r="O436" i="1"/>
  <c r="M724" i="1"/>
  <c r="V724" i="1" s="1"/>
  <c r="O724" i="1"/>
  <c r="M374" i="1"/>
  <c r="V374" i="1" s="1"/>
  <c r="O374" i="1"/>
  <c r="M886" i="1"/>
  <c r="V886" i="1" s="1"/>
  <c r="O886" i="1"/>
  <c r="M518" i="1"/>
  <c r="V518" i="1" s="1"/>
  <c r="O518" i="1"/>
  <c r="M543" i="1"/>
  <c r="V543" i="1" s="1"/>
  <c r="O543" i="1"/>
  <c r="M606" i="1"/>
  <c r="V606" i="1" s="1"/>
  <c r="O606" i="1"/>
  <c r="M783" i="1"/>
  <c r="V783" i="1" s="1"/>
  <c r="O783" i="1"/>
  <c r="M203" i="1"/>
  <c r="V203" i="1" s="1"/>
  <c r="O203" i="1"/>
  <c r="M542" i="1"/>
  <c r="V542" i="1" s="1"/>
  <c r="O542" i="1"/>
  <c r="M462" i="1"/>
  <c r="V462" i="1" s="1"/>
  <c r="O462" i="1"/>
  <c r="M662" i="1"/>
  <c r="V662" i="1" s="1"/>
  <c r="O662" i="1"/>
  <c r="M403" i="1"/>
  <c r="V403" i="1" s="1"/>
  <c r="O403" i="1"/>
  <c r="M556" i="1"/>
  <c r="V556" i="1" s="1"/>
  <c r="O556" i="1"/>
  <c r="M923" i="1"/>
  <c r="V923" i="1" s="1"/>
  <c r="O923" i="1"/>
  <c r="M725" i="1"/>
  <c r="V725" i="1" s="1"/>
  <c r="O725" i="1"/>
  <c r="M189" i="1"/>
  <c r="V189" i="1" s="1"/>
  <c r="O189" i="1"/>
  <c r="M43" i="1"/>
  <c r="V43" i="1" s="1"/>
  <c r="O43" i="1"/>
  <c r="M315" i="1"/>
  <c r="V315" i="1" s="1"/>
  <c r="O315" i="1"/>
  <c r="M223" i="1"/>
  <c r="V223" i="1" s="1"/>
  <c r="O223" i="1"/>
  <c r="M784" i="1"/>
  <c r="V784" i="1" s="1"/>
  <c r="O784" i="1"/>
  <c r="M446" i="1"/>
  <c r="V446" i="1" s="1"/>
  <c r="O446" i="1"/>
  <c r="M906" i="1"/>
  <c r="V906" i="1" s="1"/>
  <c r="O906" i="1"/>
  <c r="M578" i="1"/>
  <c r="V578" i="1" s="1"/>
  <c r="O578" i="1"/>
  <c r="M702" i="1"/>
  <c r="V702" i="1" s="1"/>
  <c r="O702" i="1"/>
  <c r="M686" i="1"/>
  <c r="V686" i="1" s="1"/>
  <c r="O686" i="1"/>
  <c r="M35" i="1"/>
  <c r="V35" i="1" s="1"/>
  <c r="O35" i="1"/>
  <c r="M286" i="1"/>
  <c r="V286" i="1" s="1"/>
  <c r="O286" i="1"/>
  <c r="M983" i="1"/>
  <c r="V983" i="1" s="1"/>
  <c r="O983" i="1"/>
  <c r="M823" i="1"/>
  <c r="V823" i="1" s="1"/>
  <c r="O823" i="1"/>
  <c r="M840" i="1"/>
  <c r="V840" i="1" s="1"/>
  <c r="O840" i="1"/>
  <c r="M175" i="1"/>
  <c r="V175" i="1" s="1"/>
  <c r="O175" i="1"/>
  <c r="M962" i="1"/>
  <c r="V962" i="1" s="1"/>
  <c r="O962" i="1"/>
  <c r="M114" i="1"/>
  <c r="V114" i="1" s="1"/>
  <c r="O114" i="1"/>
  <c r="M794" i="1"/>
  <c r="V794" i="1" s="1"/>
  <c r="O794" i="1"/>
  <c r="M222" i="1"/>
  <c r="V222" i="1" s="1"/>
  <c r="O222" i="1"/>
  <c r="M485" i="1"/>
  <c r="V485" i="1" s="1"/>
  <c r="O485" i="1"/>
  <c r="K42" i="3"/>
  <c r="P42" i="3" s="1"/>
  <c r="O191" i="1"/>
  <c r="M143" i="1"/>
  <c r="V143" i="1" s="1"/>
  <c r="O143" i="1"/>
  <c r="M814" i="1"/>
  <c r="V814" i="1" s="1"/>
  <c r="O814" i="1"/>
  <c r="M363" i="1"/>
  <c r="V363" i="1" s="1"/>
  <c r="O363" i="1"/>
  <c r="M316" i="1"/>
  <c r="V316" i="1" s="1"/>
  <c r="O316" i="1"/>
  <c r="M294" i="1"/>
  <c r="V294" i="1" s="1"/>
  <c r="O294" i="1"/>
  <c r="M508" i="1"/>
  <c r="V508" i="1" s="1"/>
  <c r="O508" i="1"/>
  <c r="M804" i="1"/>
  <c r="V804" i="1" s="1"/>
  <c r="O804" i="1"/>
  <c r="M515" i="1"/>
  <c r="V515" i="1" s="1"/>
  <c r="O515" i="1"/>
  <c r="M946" i="1"/>
  <c r="V946" i="1" s="1"/>
  <c r="O946" i="1"/>
  <c r="M630" i="1"/>
  <c r="V630" i="1" s="1"/>
  <c r="O630" i="1"/>
  <c r="M759" i="1"/>
  <c r="V759" i="1" s="1"/>
  <c r="O759" i="1"/>
  <c r="M779" i="1"/>
  <c r="V779" i="1" s="1"/>
  <c r="O779" i="1"/>
  <c r="M126" i="1"/>
  <c r="V126" i="1" s="1"/>
  <c r="O126" i="1"/>
  <c r="M355" i="1"/>
  <c r="V355" i="1" s="1"/>
  <c r="O355" i="1"/>
  <c r="M919" i="1"/>
  <c r="V919" i="1" s="1"/>
  <c r="O919" i="1"/>
  <c r="M5" i="1"/>
  <c r="V5" i="1" s="1"/>
  <c r="O5" i="1"/>
  <c r="M683" i="1"/>
  <c r="V683" i="1" s="1"/>
  <c r="O683" i="1"/>
  <c r="P109" i="3"/>
  <c r="N46" i="3"/>
  <c r="O46" i="3" s="1"/>
  <c r="N87" i="3"/>
  <c r="O87" i="3" s="1"/>
  <c r="S124" i="3"/>
  <c r="N26" i="3"/>
  <c r="Q26" i="3" s="1"/>
  <c r="S26" i="3" s="1"/>
  <c r="N82" i="3"/>
  <c r="Q82" i="3" s="1"/>
  <c r="S82" i="3" s="1"/>
  <c r="N90" i="3"/>
  <c r="O35" i="3"/>
  <c r="Q35" i="3"/>
  <c r="S35" i="3" s="1"/>
  <c r="N123" i="3"/>
  <c r="N56" i="3"/>
  <c r="O51" i="3"/>
  <c r="Q51" i="3"/>
  <c r="S51" i="3" s="1"/>
  <c r="N121" i="3"/>
  <c r="N105" i="3"/>
  <c r="N102" i="3"/>
  <c r="O57" i="3"/>
  <c r="Q57" i="3"/>
  <c r="S57" i="3" s="1"/>
  <c r="N89" i="3"/>
  <c r="N45" i="3"/>
  <c r="O109" i="3"/>
  <c r="Q109" i="3"/>
  <c r="M97" i="1"/>
  <c r="V97" i="1" s="1"/>
  <c r="M312" i="1"/>
  <c r="V312" i="1" s="1"/>
  <c r="M837" i="1"/>
  <c r="V837" i="1" s="1"/>
  <c r="M138" i="1"/>
  <c r="V138" i="1" s="1"/>
  <c r="M458" i="1"/>
  <c r="V458" i="1" s="1"/>
  <c r="M758" i="1"/>
  <c r="V758" i="1" s="1"/>
  <c r="M909" i="1"/>
  <c r="V909" i="1" s="1"/>
  <c r="M663" i="1"/>
  <c r="V663" i="1" s="1"/>
  <c r="M470" i="1"/>
  <c r="V470" i="1" s="1"/>
  <c r="M232" i="1"/>
  <c r="V232" i="1" s="1"/>
  <c r="M890" i="1"/>
  <c r="V890" i="1" s="1"/>
  <c r="M492" i="1"/>
  <c r="V492" i="1" s="1"/>
  <c r="M313" i="1"/>
  <c r="V313" i="1" s="1"/>
  <c r="M748" i="1"/>
  <c r="V748" i="1" s="1"/>
  <c r="M449" i="1"/>
  <c r="V449" i="1" s="1"/>
  <c r="M127" i="1"/>
  <c r="V127" i="1" s="1"/>
  <c r="M407" i="1"/>
  <c r="V407" i="1" s="1"/>
  <c r="M767" i="1"/>
  <c r="V767" i="1" s="1"/>
  <c r="M457" i="1"/>
  <c r="V457" i="1" s="1"/>
  <c r="M38" i="1"/>
  <c r="V38" i="1" s="1"/>
  <c r="M318" i="1"/>
  <c r="V318" i="1" s="1"/>
  <c r="M638" i="1"/>
  <c r="V638" i="1" s="1"/>
  <c r="M878" i="1"/>
  <c r="V878" i="1" s="1"/>
  <c r="M850" i="1"/>
  <c r="V850" i="1" s="1"/>
  <c r="M69" i="1"/>
  <c r="V69" i="1" s="1"/>
  <c r="M373" i="1"/>
  <c r="V373" i="1" s="1"/>
  <c r="M763" i="1"/>
  <c r="V763" i="1" s="1"/>
  <c r="M353" i="1"/>
  <c r="V353" i="1" s="1"/>
  <c r="K110" i="3"/>
  <c r="P110" i="3" s="1"/>
  <c r="K101" i="3"/>
  <c r="P101" i="3" s="1"/>
  <c r="M39" i="1"/>
  <c r="V39" i="1" s="1"/>
  <c r="K66" i="3"/>
  <c r="P66" i="3" s="1"/>
  <c r="M431" i="1"/>
  <c r="V431" i="1" s="1"/>
  <c r="M713" i="1"/>
  <c r="V713" i="1" s="1"/>
  <c r="M752" i="1"/>
  <c r="V752" i="1" s="1"/>
  <c r="M949" i="1"/>
  <c r="V949" i="1" s="1"/>
  <c r="K120" i="3"/>
  <c r="P120" i="3" s="1"/>
  <c r="M691" i="1"/>
  <c r="V691" i="1" s="1"/>
  <c r="M703" i="1"/>
  <c r="V703" i="1" s="1"/>
  <c r="M610" i="1"/>
  <c r="V610" i="1" s="1"/>
  <c r="M932" i="1"/>
  <c r="V932" i="1" s="1"/>
  <c r="M272" i="1"/>
  <c r="V272" i="1" s="1"/>
  <c r="M730" i="1"/>
  <c r="V730" i="1" s="1"/>
  <c r="M9" i="1"/>
  <c r="V9" i="1" s="1"/>
  <c r="M551" i="1"/>
  <c r="V551" i="1" s="1"/>
  <c r="M537" i="1"/>
  <c r="V537" i="1" s="1"/>
  <c r="M58" i="1"/>
  <c r="V58" i="1" s="1"/>
  <c r="M338" i="1"/>
  <c r="V338" i="1" s="1"/>
  <c r="M678" i="1"/>
  <c r="V678" i="1" s="1"/>
  <c r="M898" i="1"/>
  <c r="V898" i="1" s="1"/>
  <c r="M91" i="1"/>
  <c r="V91" i="1" s="1"/>
  <c r="M642" i="1"/>
  <c r="V642" i="1" s="1"/>
  <c r="M310" i="1"/>
  <c r="V310" i="1" s="1"/>
  <c r="M711" i="1"/>
  <c r="V711" i="1" s="1"/>
  <c r="M670" i="1"/>
  <c r="V670" i="1" s="1"/>
  <c r="M770" i="1"/>
  <c r="V770" i="1" s="1"/>
  <c r="M481" i="1"/>
  <c r="V481" i="1" s="1"/>
  <c r="M41" i="1"/>
  <c r="V41" i="1" s="1"/>
  <c r="M17" i="1"/>
  <c r="V17" i="1" s="1"/>
  <c r="M101" i="1"/>
  <c r="V101" i="1" s="1"/>
  <c r="M341" i="1"/>
  <c r="V341" i="1" s="1"/>
  <c r="M641" i="1"/>
  <c r="V641" i="1" s="1"/>
  <c r="M568" i="1"/>
  <c r="V568" i="1" s="1"/>
  <c r="M847" i="1"/>
  <c r="V847" i="1" s="1"/>
  <c r="M720" i="1"/>
  <c r="V720" i="1" s="1"/>
  <c r="M597" i="1"/>
  <c r="V597" i="1" s="1"/>
  <c r="M171" i="1"/>
  <c r="V171" i="1" s="1"/>
  <c r="M523" i="1"/>
  <c r="V523" i="1" s="1"/>
  <c r="M451" i="1"/>
  <c r="V451" i="1" s="1"/>
  <c r="M572" i="1"/>
  <c r="V572" i="1" s="1"/>
  <c r="M169" i="1"/>
  <c r="V169" i="1" s="1"/>
  <c r="M669" i="1"/>
  <c r="V669" i="1" s="1"/>
  <c r="M958" i="1"/>
  <c r="V958" i="1" s="1"/>
  <c r="M628" i="1"/>
  <c r="V628" i="1" s="1"/>
  <c r="M389" i="1"/>
  <c r="V389" i="1" s="1"/>
  <c r="M247" i="1"/>
  <c r="V247" i="1" s="1"/>
  <c r="M257" i="1"/>
  <c r="V257" i="1" s="1"/>
  <c r="M957" i="1"/>
  <c r="V957" i="1" s="1"/>
  <c r="M198" i="1"/>
  <c r="V198" i="1" s="1"/>
  <c r="M498" i="1"/>
  <c r="V498" i="1" s="1"/>
  <c r="M798" i="1"/>
  <c r="V798" i="1" s="1"/>
  <c r="M991" i="1"/>
  <c r="V991" i="1" s="1"/>
  <c r="M119" i="1"/>
  <c r="V119" i="1" s="1"/>
  <c r="N100" i="3"/>
  <c r="M970" i="1"/>
  <c r="V970" i="1" s="1"/>
  <c r="M290" i="1"/>
  <c r="V290" i="1" s="1"/>
  <c r="M329" i="1"/>
  <c r="V329" i="1" s="1"/>
  <c r="M311" i="1"/>
  <c r="V311" i="1" s="1"/>
  <c r="M10" i="1"/>
  <c r="V10" i="1" s="1"/>
  <c r="M571" i="1"/>
  <c r="V571" i="1" s="1"/>
  <c r="N12" i="3"/>
  <c r="M201" i="1"/>
  <c r="V201" i="1" s="1"/>
  <c r="M291" i="1"/>
  <c r="V291" i="1" s="1"/>
  <c r="M570" i="1"/>
  <c r="V570" i="1" s="1"/>
  <c r="M951" i="1"/>
  <c r="V951" i="1" s="1"/>
  <c r="M110" i="1"/>
  <c r="V110" i="1" s="1"/>
  <c r="M791" i="1"/>
  <c r="V791" i="1" s="1"/>
  <c r="K106" i="3"/>
  <c r="P106" i="3" s="1"/>
  <c r="M688" i="1"/>
  <c r="V688" i="1" s="1"/>
  <c r="M928" i="1"/>
  <c r="V928" i="1" s="1"/>
  <c r="M27" i="1"/>
  <c r="V27" i="1" s="1"/>
  <c r="M307" i="1"/>
  <c r="V307" i="1" s="1"/>
  <c r="M667" i="1"/>
  <c r="V667" i="1" s="1"/>
  <c r="M907" i="1"/>
  <c r="V907" i="1" s="1"/>
  <c r="M761" i="1"/>
  <c r="V761" i="1" s="1"/>
  <c r="M777" i="1"/>
  <c r="V777" i="1" s="1"/>
  <c r="M317" i="1"/>
  <c r="V317" i="1" s="1"/>
  <c r="M238" i="1"/>
  <c r="V238" i="1" s="1"/>
  <c r="M598" i="1"/>
  <c r="V598" i="1" s="1"/>
  <c r="M838" i="1"/>
  <c r="V838" i="1" s="1"/>
  <c r="M491" i="1"/>
  <c r="V491" i="1" s="1"/>
  <c r="M690" i="1"/>
  <c r="V690" i="1" s="1"/>
  <c r="M649" i="1"/>
  <c r="V649" i="1" s="1"/>
  <c r="M190" i="1"/>
  <c r="V190" i="1" s="1"/>
  <c r="M971" i="1"/>
  <c r="V971" i="1" s="1"/>
  <c r="M348" i="1"/>
  <c r="V348" i="1" s="1"/>
  <c r="M988" i="1"/>
  <c r="V988" i="1" s="1"/>
  <c r="M67" i="1"/>
  <c r="V67" i="1" s="1"/>
  <c r="M927" i="1"/>
  <c r="V927" i="1" s="1"/>
  <c r="K83" i="3"/>
  <c r="P83" i="3" s="1"/>
  <c r="M857" i="1"/>
  <c r="V857" i="1" s="1"/>
  <c r="M397" i="1"/>
  <c r="V397" i="1" s="1"/>
  <c r="M18" i="1"/>
  <c r="V18" i="1" s="1"/>
  <c r="M278" i="1"/>
  <c r="V278" i="1" s="1"/>
  <c r="M618" i="1"/>
  <c r="V618" i="1" s="1"/>
  <c r="M858" i="1"/>
  <c r="V858" i="1" s="1"/>
  <c r="M368" i="1"/>
  <c r="V368" i="1" s="1"/>
  <c r="M728" i="1"/>
  <c r="V728" i="1" s="1"/>
  <c r="M349" i="1"/>
  <c r="V349" i="1" s="1"/>
  <c r="M87" i="1"/>
  <c r="V87" i="1" s="1"/>
  <c r="M347" i="1"/>
  <c r="V347" i="1" s="1"/>
  <c r="M727" i="1"/>
  <c r="V727" i="1" s="1"/>
  <c r="M947" i="1"/>
  <c r="V947" i="1" s="1"/>
  <c r="M592" i="1"/>
  <c r="V592" i="1" s="1"/>
  <c r="M468" i="1"/>
  <c r="V468" i="1" s="1"/>
  <c r="M147" i="1"/>
  <c r="V147" i="1" s="1"/>
  <c r="M427" i="1"/>
  <c r="V427" i="1" s="1"/>
  <c r="M787" i="1"/>
  <c r="V787" i="1" s="1"/>
  <c r="M832" i="1"/>
  <c r="V832" i="1" s="1"/>
  <c r="M611" i="1"/>
  <c r="V611" i="1" s="1"/>
  <c r="M321" i="1"/>
  <c r="V321" i="1" s="1"/>
  <c r="M621" i="1"/>
  <c r="V621" i="1" s="1"/>
  <c r="M430" i="1"/>
  <c r="V430" i="1" s="1"/>
  <c r="M810" i="1"/>
  <c r="V810" i="1" s="1"/>
  <c r="M870" i="1"/>
  <c r="V870" i="1" s="1"/>
  <c r="M289" i="1"/>
  <c r="V289" i="1" s="1"/>
  <c r="M433" i="1"/>
  <c r="V433" i="1" s="1"/>
  <c r="M913" i="1"/>
  <c r="V913" i="1" s="1"/>
  <c r="M619" i="1"/>
  <c r="V619" i="1" s="1"/>
  <c r="M569" i="1"/>
  <c r="V569" i="1" s="1"/>
  <c r="M944" i="1"/>
  <c r="V944" i="1" s="1"/>
  <c r="M848" i="1"/>
  <c r="V848" i="1" s="1"/>
  <c r="M393" i="1"/>
  <c r="V393" i="1" s="1"/>
  <c r="M487" i="1"/>
  <c r="V487" i="1" s="1"/>
  <c r="M827" i="1"/>
  <c r="V827" i="1" s="1"/>
  <c r="M19" i="1"/>
  <c r="V19" i="1" s="1"/>
  <c r="M811" i="1"/>
  <c r="V811" i="1" s="1"/>
  <c r="M563" i="1"/>
  <c r="V563" i="1" s="1"/>
  <c r="M90" i="1"/>
  <c r="V90" i="1" s="1"/>
  <c r="M531" i="1"/>
  <c r="V531" i="1" s="1"/>
  <c r="M912" i="1"/>
  <c r="V912" i="1" s="1"/>
  <c r="M149" i="1"/>
  <c r="V149" i="1" s="1"/>
  <c r="M70" i="1"/>
  <c r="V70" i="1" s="1"/>
  <c r="M73" i="1"/>
  <c r="V73" i="1" s="1"/>
  <c r="M831" i="1"/>
  <c r="V831" i="1" s="1"/>
  <c r="M689" i="1"/>
  <c r="V689" i="1" s="1"/>
  <c r="M197" i="1"/>
  <c r="V197" i="1" s="1"/>
  <c r="M937" i="1"/>
  <c r="V937" i="1" s="1"/>
  <c r="M158" i="1"/>
  <c r="V158" i="1" s="1"/>
  <c r="M478" i="1"/>
  <c r="V478" i="1" s="1"/>
  <c r="M778" i="1"/>
  <c r="V778" i="1" s="1"/>
  <c r="M978" i="1"/>
  <c r="V978" i="1" s="1"/>
  <c r="M608" i="1"/>
  <c r="V608" i="1" s="1"/>
  <c r="M888" i="1"/>
  <c r="V888" i="1" s="1"/>
  <c r="M227" i="1"/>
  <c r="V227" i="1" s="1"/>
  <c r="M567" i="1"/>
  <c r="V567" i="1" s="1"/>
  <c r="M623" i="1"/>
  <c r="V623" i="1" s="1"/>
  <c r="M210" i="1"/>
  <c r="V210" i="1" s="1"/>
  <c r="M671" i="1"/>
  <c r="V671" i="1" s="1"/>
  <c r="M530" i="1"/>
  <c r="V530" i="1" s="1"/>
  <c r="M133" i="1"/>
  <c r="V133" i="1" s="1"/>
  <c r="M633" i="1"/>
  <c r="V633" i="1" s="1"/>
  <c r="M72" i="1"/>
  <c r="V72" i="1" s="1"/>
  <c r="M809" i="1"/>
  <c r="V809" i="1" s="1"/>
  <c r="M419" i="1"/>
  <c r="V419" i="1" s="1"/>
  <c r="M292" i="1"/>
  <c r="V292" i="1" s="1"/>
  <c r="M851" i="1"/>
  <c r="V851" i="1" s="1"/>
  <c r="M459" i="1"/>
  <c r="V459" i="1" s="1"/>
  <c r="M241" i="1"/>
  <c r="V241" i="1" s="1"/>
  <c r="M541" i="1"/>
  <c r="V541" i="1" s="1"/>
  <c r="M771" i="1"/>
  <c r="V771" i="1" s="1"/>
  <c r="M790" i="1"/>
  <c r="V790" i="1" s="1"/>
  <c r="M150" i="1"/>
  <c r="V150" i="1" s="1"/>
  <c r="M270" i="1"/>
  <c r="V270" i="1" s="1"/>
  <c r="M192" i="1"/>
  <c r="V192" i="1" s="1"/>
  <c r="M812" i="1"/>
  <c r="V812" i="1" s="1"/>
  <c r="M793" i="1"/>
  <c r="V793" i="1" s="1"/>
  <c r="M972" i="1"/>
  <c r="V972" i="1" s="1"/>
  <c r="M708" i="1"/>
  <c r="V708" i="1" s="1"/>
  <c r="M327" i="1"/>
  <c r="V327" i="1" s="1"/>
  <c r="M707" i="1"/>
  <c r="V707" i="1" s="1"/>
  <c r="K118" i="3"/>
  <c r="P118" i="3" s="1"/>
  <c r="M79" i="1"/>
  <c r="V79" i="1" s="1"/>
  <c r="K78" i="3"/>
  <c r="P78" i="3" s="1"/>
  <c r="M166" i="1"/>
  <c r="V166" i="1" s="1"/>
  <c r="M429" i="1"/>
  <c r="V429" i="1" s="1"/>
  <c r="M897" i="1"/>
  <c r="V897" i="1" s="1"/>
  <c r="M539" i="1"/>
  <c r="V539" i="1" s="1"/>
  <c r="K63" i="3"/>
  <c r="P63" i="3" s="1"/>
  <c r="M261" i="1"/>
  <c r="V261" i="1" s="1"/>
  <c r="M561" i="1"/>
  <c r="V561" i="1" s="1"/>
  <c r="M911" i="1"/>
  <c r="V911" i="1" s="1"/>
  <c r="M950" i="1"/>
  <c r="V950" i="1" s="1"/>
  <c r="M410" i="1"/>
  <c r="V410" i="1" s="1"/>
  <c r="M390" i="1"/>
  <c r="V390" i="1" s="1"/>
  <c r="M333" i="1"/>
  <c r="V333" i="1" s="1"/>
  <c r="M833" i="1"/>
  <c r="V833" i="1" s="1"/>
  <c r="K31" i="3"/>
  <c r="P31" i="3" s="1"/>
  <c r="M6" i="1"/>
  <c r="V6" i="1" s="1"/>
  <c r="M293" i="1"/>
  <c r="V293" i="1" s="1"/>
  <c r="M328" i="1"/>
  <c r="V328" i="1" s="1"/>
  <c r="M281" i="1"/>
  <c r="V281" i="1" s="1"/>
  <c r="M581" i="1"/>
  <c r="V581" i="1" s="1"/>
  <c r="M873" i="1"/>
  <c r="V873" i="1" s="1"/>
  <c r="M408" i="1"/>
  <c r="V408" i="1" s="1"/>
  <c r="M967" i="1"/>
  <c r="V967" i="1" s="1"/>
  <c r="M731" i="1"/>
  <c r="V731" i="1" s="1"/>
  <c r="M98" i="1"/>
  <c r="V98" i="1" s="1"/>
  <c r="M358" i="1"/>
  <c r="V358" i="1" s="1"/>
  <c r="M718" i="1"/>
  <c r="V718" i="1" s="1"/>
  <c r="M918" i="1"/>
  <c r="V918" i="1" s="1"/>
  <c r="M599" i="1"/>
  <c r="V599" i="1" s="1"/>
  <c r="M483" i="1"/>
  <c r="V483" i="1" s="1"/>
  <c r="M930" i="1"/>
  <c r="V930" i="1" s="1"/>
  <c r="M751" i="1"/>
  <c r="V751" i="1" s="1"/>
  <c r="M788" i="1"/>
  <c r="V788" i="1" s="1"/>
  <c r="M987" i="1"/>
  <c r="V987" i="1" s="1"/>
  <c r="M76" i="1"/>
  <c r="V76" i="1" s="1"/>
  <c r="M501" i="1"/>
  <c r="V501" i="1" s="1"/>
  <c r="M753" i="1"/>
  <c r="V753" i="1" s="1"/>
  <c r="M889" i="1"/>
  <c r="V889" i="1" s="1"/>
  <c r="K40" i="3"/>
  <c r="P40" i="3" s="1"/>
  <c r="M262" i="1"/>
  <c r="V262" i="1" s="1"/>
  <c r="M57" i="1"/>
  <c r="V57" i="1" s="1"/>
  <c r="M931" i="1"/>
  <c r="V931" i="1" s="1"/>
  <c r="M617" i="1"/>
  <c r="V617" i="1" s="1"/>
  <c r="M118" i="1"/>
  <c r="V118" i="1" s="1"/>
  <c r="M398" i="1"/>
  <c r="V398" i="1" s="1"/>
  <c r="M738" i="1"/>
  <c r="V738" i="1" s="1"/>
  <c r="M938" i="1"/>
  <c r="V938" i="1" s="1"/>
  <c r="M503" i="1"/>
  <c r="V503" i="1" s="1"/>
  <c r="M351" i="1"/>
  <c r="V351" i="1" s="1"/>
  <c r="M432" i="1"/>
  <c r="V432" i="1" s="1"/>
  <c r="M453" i="1"/>
  <c r="V453" i="1" s="1"/>
  <c r="M933" i="1"/>
  <c r="V933" i="1" s="1"/>
  <c r="K32" i="3"/>
  <c r="P32" i="3" s="1"/>
  <c r="M488" i="1"/>
  <c r="V488" i="1" s="1"/>
  <c r="M808" i="1"/>
  <c r="V808" i="1" s="1"/>
  <c r="M167" i="1"/>
  <c r="V167" i="1" s="1"/>
  <c r="M467" i="1"/>
  <c r="V467" i="1" s="1"/>
  <c r="M807" i="1"/>
  <c r="V807" i="1" s="1"/>
  <c r="M679" i="1"/>
  <c r="V679" i="1" s="1"/>
  <c r="M871" i="1"/>
  <c r="V871" i="1" s="1"/>
  <c r="M550" i="1"/>
  <c r="V550" i="1" s="1"/>
  <c r="M910" i="1"/>
  <c r="V910" i="1" s="1"/>
  <c r="M990" i="1"/>
  <c r="V990" i="1" s="1"/>
  <c r="M509" i="1"/>
  <c r="V509" i="1" s="1"/>
  <c r="K29" i="3"/>
  <c r="P29" i="3" s="1"/>
  <c r="M154" i="1"/>
  <c r="V154" i="1" s="1"/>
  <c r="M221" i="1"/>
  <c r="V221" i="1" s="1"/>
  <c r="M132" i="1"/>
  <c r="V132" i="1" s="1"/>
  <c r="M121" i="1"/>
  <c r="V121" i="1" s="1"/>
  <c r="M361" i="1"/>
  <c r="V361" i="1" s="1"/>
  <c r="M661" i="1"/>
  <c r="V661" i="1" s="1"/>
  <c r="M710" i="1"/>
  <c r="V710" i="1" s="1"/>
  <c r="M50" i="1"/>
  <c r="V50" i="1" s="1"/>
  <c r="M209" i="1"/>
  <c r="V209" i="1" s="1"/>
  <c r="M71" i="1"/>
  <c r="V71" i="1" s="1"/>
  <c r="M271" i="1"/>
  <c r="V271" i="1" s="1"/>
  <c r="M553" i="1"/>
  <c r="V553" i="1" s="1"/>
  <c r="M973" i="1"/>
  <c r="V973" i="1" s="1"/>
  <c r="M548" i="1"/>
  <c r="V548" i="1" s="1"/>
  <c r="M187" i="1"/>
  <c r="V187" i="1" s="1"/>
  <c r="M945" i="1"/>
  <c r="V945" i="1" s="1"/>
  <c r="M732" i="1"/>
  <c r="V732" i="1" s="1"/>
  <c r="M672" i="1"/>
  <c r="V672" i="1" s="1"/>
  <c r="M161" i="1"/>
  <c r="V161" i="1" s="1"/>
  <c r="M401" i="1"/>
  <c r="V401" i="1" s="1"/>
  <c r="M701" i="1"/>
  <c r="V701" i="1" s="1"/>
  <c r="M830" i="1"/>
  <c r="V830" i="1" s="1"/>
  <c r="M170" i="1"/>
  <c r="V170" i="1" s="1"/>
  <c r="M249" i="1"/>
  <c r="V249" i="1" s="1"/>
  <c r="M191" i="1"/>
  <c r="V191" i="1" s="1"/>
  <c r="M411" i="1"/>
  <c r="V411" i="1" s="1"/>
  <c r="M593" i="1"/>
  <c r="V593" i="1" s="1"/>
  <c r="M868" i="1"/>
  <c r="V868" i="1" s="1"/>
  <c r="M493" i="1"/>
  <c r="V493" i="1" s="1"/>
  <c r="M207" i="1"/>
  <c r="V207" i="1" s="1"/>
  <c r="M547" i="1"/>
  <c r="V547" i="1" s="1"/>
  <c r="M709" i="1"/>
  <c r="V709" i="1" s="1"/>
  <c r="M461" i="1"/>
  <c r="V461" i="1" s="1"/>
  <c r="M872" i="1"/>
  <c r="V872" i="1" s="1"/>
  <c r="M613" i="1"/>
  <c r="V613" i="1" s="1"/>
  <c r="K52" i="3"/>
  <c r="P52" i="3" s="1"/>
  <c r="M135" i="1"/>
  <c r="V135" i="1" s="1"/>
  <c r="K122" i="3"/>
  <c r="P122" i="3" s="1"/>
  <c r="M7" i="1"/>
  <c r="V7" i="1" s="1"/>
  <c r="M379" i="1"/>
  <c r="V379" i="1" s="1"/>
  <c r="M181" i="1"/>
  <c r="V181" i="1" s="1"/>
  <c r="M844" i="1"/>
  <c r="V844" i="1" s="1"/>
  <c r="M867" i="1"/>
  <c r="V867" i="1" s="1"/>
  <c r="M757" i="1"/>
  <c r="V757" i="1" s="1"/>
  <c r="M218" i="1"/>
  <c r="V218" i="1" s="1"/>
  <c r="M538" i="1"/>
  <c r="V538" i="1" s="1"/>
  <c r="M818" i="1"/>
  <c r="V818" i="1" s="1"/>
  <c r="M139" i="1"/>
  <c r="V139" i="1" s="1"/>
  <c r="M643" i="1"/>
  <c r="V643" i="1" s="1"/>
  <c r="M350" i="1"/>
  <c r="V350" i="1" s="1"/>
  <c r="M891" i="1"/>
  <c r="V891" i="1" s="1"/>
  <c r="M750" i="1"/>
  <c r="V750" i="1" s="1"/>
  <c r="M193" i="1"/>
  <c r="V193" i="1" s="1"/>
  <c r="M308" i="1"/>
  <c r="V308" i="1" s="1"/>
  <c r="M908" i="1"/>
  <c r="V908" i="1" s="1"/>
  <c r="M607" i="1"/>
  <c r="V607" i="1" s="1"/>
  <c r="M887" i="1"/>
  <c r="V887" i="1" s="1"/>
  <c r="N77" i="3"/>
  <c r="N15" i="3"/>
  <c r="N67" i="3"/>
  <c r="N19" i="3"/>
  <c r="N84" i="3"/>
  <c r="N88" i="3"/>
  <c r="N73" i="3"/>
  <c r="K64" i="3"/>
  <c r="P64" i="3" s="1"/>
  <c r="N116" i="3"/>
  <c r="N37" i="3"/>
  <c r="N58" i="3"/>
  <c r="N25" i="3"/>
  <c r="K126" i="3"/>
  <c r="P126" i="3" s="1"/>
  <c r="K33" i="3"/>
  <c r="P33" i="3" s="1"/>
  <c r="N23" i="3"/>
  <c r="N97" i="3"/>
  <c r="N43" i="3"/>
  <c r="N127" i="3"/>
  <c r="K18" i="3"/>
  <c r="P18" i="3" s="1"/>
  <c r="K54" i="3"/>
  <c r="P54" i="3" s="1"/>
  <c r="K41" i="3"/>
  <c r="P41" i="3" s="1"/>
  <c r="K17" i="3"/>
  <c r="P17" i="3" s="1"/>
  <c r="K48" i="3"/>
  <c r="P48" i="3" s="1"/>
  <c r="K24" i="3"/>
  <c r="P24" i="3" s="1"/>
  <c r="K104" i="3"/>
  <c r="P104" i="3" s="1"/>
  <c r="K61" i="3"/>
  <c r="P61" i="3" s="1"/>
  <c r="K112" i="3"/>
  <c r="P112" i="3" s="1"/>
  <c r="K80" i="3"/>
  <c r="P80" i="3" s="1"/>
  <c r="K119" i="3"/>
  <c r="P119" i="3" s="1"/>
  <c r="N79" i="3"/>
  <c r="K92" i="3"/>
  <c r="P92" i="3" s="1"/>
  <c r="K103" i="3"/>
  <c r="P103" i="3" s="1"/>
  <c r="K95" i="3"/>
  <c r="P95" i="3" s="1"/>
  <c r="K108" i="3"/>
  <c r="P108" i="3" s="1"/>
  <c r="K11" i="3"/>
  <c r="P11" i="3" s="1"/>
  <c r="K107" i="3"/>
  <c r="P107" i="3" s="1"/>
  <c r="K65" i="3"/>
  <c r="P65" i="3" s="1"/>
  <c r="K36" i="3"/>
  <c r="P36" i="3" s="1"/>
  <c r="K22" i="3"/>
  <c r="P22" i="3" s="1"/>
  <c r="K99" i="3"/>
  <c r="P99" i="3" s="1"/>
  <c r="K55" i="3"/>
  <c r="P55" i="3" s="1"/>
  <c r="K16" i="3"/>
  <c r="P16" i="3" s="1"/>
  <c r="K91" i="3"/>
  <c r="P91" i="3" s="1"/>
  <c r="K8" i="3"/>
  <c r="P8" i="3" s="1"/>
  <c r="N68" i="3"/>
  <c r="K117" i="3"/>
  <c r="P117" i="3" s="1"/>
  <c r="K113" i="3"/>
  <c r="P113" i="3" s="1"/>
  <c r="K93" i="3"/>
  <c r="P93" i="3" s="1"/>
  <c r="K50" i="3"/>
  <c r="P50" i="3" s="1"/>
  <c r="K96" i="3"/>
  <c r="P96" i="3" s="1"/>
  <c r="K125" i="3"/>
  <c r="P125" i="3" s="1"/>
  <c r="K115" i="3"/>
  <c r="P115" i="3" s="1"/>
  <c r="K34" i="3"/>
  <c r="P34" i="3" s="1"/>
  <c r="K94" i="3"/>
  <c r="P94" i="3" s="1"/>
  <c r="K44" i="3"/>
  <c r="P44" i="3" s="1"/>
  <c r="K30" i="3"/>
  <c r="P30" i="3" s="1"/>
  <c r="K60" i="3"/>
  <c r="P60" i="3" s="1"/>
  <c r="K20" i="3"/>
  <c r="P20" i="3" s="1"/>
  <c r="K9" i="3"/>
  <c r="P9" i="3" s="1"/>
  <c r="N28" i="3"/>
  <c r="N13" i="3"/>
  <c r="N14" i="3"/>
  <c r="Q69" i="3" l="1"/>
  <c r="S69" i="3" s="1"/>
  <c r="R35" i="3"/>
  <c r="N10" i="3"/>
  <c r="R82" i="3"/>
  <c r="R69" i="3"/>
  <c r="R109" i="3"/>
  <c r="R51" i="3"/>
  <c r="N42" i="3"/>
  <c r="O42" i="3" s="1"/>
  <c r="R26" i="3"/>
  <c r="R57" i="3"/>
  <c r="Q46" i="3"/>
  <c r="Q87" i="3"/>
  <c r="S109" i="3"/>
  <c r="O26" i="3"/>
  <c r="O82" i="3"/>
  <c r="N22" i="3"/>
  <c r="N40" i="3"/>
  <c r="O121" i="3"/>
  <c r="Q121" i="3"/>
  <c r="N103" i="3"/>
  <c r="O58" i="3"/>
  <c r="Q58" i="3"/>
  <c r="N126" i="3"/>
  <c r="O79" i="3"/>
  <c r="Q79" i="3"/>
  <c r="N20" i="3"/>
  <c r="O43" i="3"/>
  <c r="Q43" i="3"/>
  <c r="O97" i="3"/>
  <c r="Q97" i="3"/>
  <c r="O23" i="3"/>
  <c r="Q23" i="3"/>
  <c r="O25" i="3"/>
  <c r="Q25" i="3"/>
  <c r="N7" i="3"/>
  <c r="Q7" i="3" s="1"/>
  <c r="R7" i="3" s="1"/>
  <c r="N64" i="3"/>
  <c r="O45" i="3"/>
  <c r="Q45" i="3"/>
  <c r="O123" i="3"/>
  <c r="Q123" i="3"/>
  <c r="N113" i="3"/>
  <c r="O73" i="3"/>
  <c r="Q73" i="3"/>
  <c r="N115" i="3"/>
  <c r="O116" i="3"/>
  <c r="Q116" i="3"/>
  <c r="O88" i="3"/>
  <c r="Q88" i="3"/>
  <c r="O89" i="3"/>
  <c r="Q89" i="3"/>
  <c r="O84" i="3"/>
  <c r="Q84" i="3"/>
  <c r="N8" i="3"/>
  <c r="N24" i="3"/>
  <c r="O10" i="3"/>
  <c r="Q10" i="3"/>
  <c r="O12" i="3"/>
  <c r="Q12" i="3"/>
  <c r="O14" i="3"/>
  <c r="Q14" i="3"/>
  <c r="O19" i="3"/>
  <c r="Q19" i="3"/>
  <c r="O127" i="3"/>
  <c r="Q127" i="3"/>
  <c r="O100" i="3"/>
  <c r="Q100" i="3"/>
  <c r="O37" i="3"/>
  <c r="Q37" i="3"/>
  <c r="N120" i="3"/>
  <c r="O56" i="3"/>
  <c r="Q56" i="3"/>
  <c r="N119" i="3"/>
  <c r="O68" i="3"/>
  <c r="Q68" i="3"/>
  <c r="N104" i="3"/>
  <c r="O13" i="3"/>
  <c r="Q13" i="3"/>
  <c r="N16" i="3"/>
  <c r="O67" i="3"/>
  <c r="Q67" i="3"/>
  <c r="N110" i="3"/>
  <c r="O102" i="3"/>
  <c r="Q102" i="3"/>
  <c r="O90" i="3"/>
  <c r="Q90" i="3"/>
  <c r="N9" i="3"/>
  <c r="O28" i="3"/>
  <c r="Q28" i="3"/>
  <c r="N55" i="3"/>
  <c r="O15" i="3"/>
  <c r="Q15" i="3"/>
  <c r="O77" i="3"/>
  <c r="Q77" i="3"/>
  <c r="N122" i="3"/>
  <c r="O105" i="3"/>
  <c r="Q105" i="3"/>
  <c r="W315" i="1"/>
  <c r="W863" i="1"/>
  <c r="W329" i="1"/>
  <c r="W457" i="1"/>
  <c r="W714" i="1"/>
  <c r="W987" i="1"/>
  <c r="W904" i="1"/>
  <c r="W699" i="1"/>
  <c r="W569" i="1"/>
  <c r="W367" i="1"/>
  <c r="W216" i="1"/>
  <c r="W393" i="1"/>
  <c r="W591" i="1"/>
  <c r="W353" i="1"/>
  <c r="W96" i="1"/>
  <c r="W288" i="1"/>
  <c r="W545" i="1"/>
  <c r="W783" i="1"/>
  <c r="W63" i="1"/>
  <c r="W322" i="1"/>
  <c r="W601" i="1"/>
  <c r="W660" i="1"/>
  <c r="W599" i="1"/>
  <c r="W638" i="1"/>
  <c r="W386" i="1"/>
  <c r="W793" i="1"/>
  <c r="W209" i="1"/>
  <c r="W414" i="1"/>
  <c r="W880" i="1"/>
  <c r="W271" i="1"/>
  <c r="W930" i="1"/>
  <c r="W732" i="1"/>
  <c r="W597" i="1"/>
  <c r="W396" i="1"/>
  <c r="W71" i="1"/>
  <c r="W626" i="1"/>
  <c r="W424" i="1"/>
  <c r="W171" i="1"/>
  <c r="W57" i="1"/>
  <c r="W308" i="1"/>
  <c r="W565" i="1"/>
  <c r="W823" i="1"/>
  <c r="W83" i="1"/>
  <c r="W342" i="1"/>
  <c r="W661" i="1"/>
  <c r="W700" i="1"/>
  <c r="W619" i="1"/>
  <c r="W678" i="1"/>
  <c r="W273" i="1"/>
  <c r="W936" i="1"/>
  <c r="W484" i="1"/>
  <c r="W957" i="1"/>
  <c r="W875" i="1"/>
  <c r="W948" i="1"/>
  <c r="W992" i="1"/>
  <c r="W586" i="1"/>
  <c r="W311" i="1"/>
  <c r="W506" i="1"/>
  <c r="W333" i="1"/>
  <c r="W958" i="1"/>
  <c r="W906" i="1"/>
  <c r="W876" i="1"/>
  <c r="W850" i="1"/>
  <c r="W670" i="1"/>
  <c r="W497" i="1"/>
  <c r="W292" i="1"/>
  <c r="W72" i="1"/>
  <c r="W357" i="1"/>
  <c r="W555" i="1"/>
  <c r="W284" i="1"/>
  <c r="W64" i="1"/>
  <c r="W928" i="1"/>
  <c r="W228" i="1"/>
  <c r="W505" i="1"/>
  <c r="W763" i="1"/>
  <c r="W23" i="1"/>
  <c r="W282" i="1"/>
  <c r="W521" i="1"/>
  <c r="W640" i="1"/>
  <c r="W579" i="1"/>
  <c r="W598" i="1"/>
  <c r="W547" i="1"/>
  <c r="W366" i="1"/>
  <c r="W681" i="1"/>
  <c r="W917" i="1"/>
  <c r="W743" i="1"/>
  <c r="W838" i="1"/>
  <c r="W830" i="1"/>
  <c r="W551" i="1"/>
  <c r="W167" i="1"/>
  <c r="W53" i="1"/>
  <c r="W878" i="1"/>
  <c r="W852" i="1"/>
  <c r="W796" i="1"/>
  <c r="W636" i="1"/>
  <c r="W570" i="1"/>
  <c r="W397" i="1"/>
  <c r="W186" i="1"/>
  <c r="W949" i="1"/>
  <c r="W107" i="1"/>
  <c r="W455" i="1"/>
  <c r="W210" i="1"/>
  <c r="W967" i="1"/>
  <c r="W868" i="1"/>
  <c r="W128" i="1"/>
  <c r="W425" i="1"/>
  <c r="W703" i="1"/>
  <c r="W962" i="1"/>
  <c r="W222" i="1"/>
  <c r="W461" i="1"/>
  <c r="W500" i="1"/>
  <c r="W519" i="1"/>
  <c r="W518" i="1"/>
  <c r="W669" i="1"/>
  <c r="W52" i="1"/>
  <c r="W979" i="1"/>
  <c r="W451" i="1"/>
  <c r="W350" i="1"/>
  <c r="W753" i="1"/>
  <c r="W933" i="1"/>
  <c r="W877" i="1"/>
  <c r="W824" i="1"/>
  <c r="W767" i="1"/>
  <c r="W604" i="1"/>
  <c r="W433" i="1"/>
  <c r="W254" i="1"/>
  <c r="W34" i="1"/>
  <c r="W251" i="1"/>
  <c r="W491" i="1"/>
  <c r="W247" i="1"/>
  <c r="W492" i="1"/>
  <c r="W888" i="1"/>
  <c r="W148" i="1"/>
  <c r="W485" i="1"/>
  <c r="W982" i="1"/>
  <c r="W262" i="1"/>
  <c r="W501" i="1"/>
  <c r="W580" i="1"/>
  <c r="W539" i="1"/>
  <c r="W578" i="1"/>
  <c r="W676" i="1"/>
  <c r="W651" i="1"/>
  <c r="W813" i="1"/>
  <c r="W879" i="1"/>
  <c r="W866" i="1"/>
  <c r="W771" i="1"/>
  <c r="W797" i="1"/>
  <c r="W735" i="1"/>
  <c r="W607" i="1"/>
  <c r="W470" i="1"/>
  <c r="W369" i="1"/>
  <c r="W111" i="1"/>
  <c r="W919" i="1"/>
  <c r="W70" i="1"/>
  <c r="W354" i="1"/>
  <c r="W134" i="1"/>
  <c r="W938" i="1"/>
  <c r="W828" i="1"/>
  <c r="W88" i="1"/>
  <c r="W345" i="1"/>
  <c r="W683" i="1"/>
  <c r="W942" i="1"/>
  <c r="W182" i="1"/>
  <c r="W441" i="1"/>
  <c r="W480" i="1"/>
  <c r="W459" i="1"/>
  <c r="W498" i="1"/>
  <c r="W720" i="1"/>
  <c r="W571" i="1"/>
  <c r="W733" i="1"/>
  <c r="W704" i="1"/>
  <c r="W770" i="1"/>
  <c r="W536" i="1"/>
  <c r="W293" i="1"/>
  <c r="W869" i="1"/>
  <c r="W211" i="1"/>
  <c r="W913" i="1"/>
  <c r="W68" i="1"/>
  <c r="W623" i="1"/>
  <c r="W162" i="1"/>
  <c r="W440" i="1"/>
  <c r="W379" i="1"/>
  <c r="W435" i="1"/>
  <c r="W17" i="1"/>
  <c r="W515" i="1"/>
  <c r="W615" i="1"/>
  <c r="W612" i="1"/>
  <c r="W675" i="1"/>
  <c r="W736" i="1"/>
  <c r="W637" i="1"/>
  <c r="W507" i="1"/>
  <c r="W294" i="1"/>
  <c r="W256" i="1"/>
  <c r="W36" i="1"/>
  <c r="W814" i="1"/>
  <c r="W427" i="1"/>
  <c r="W173" i="1"/>
  <c r="W969" i="1"/>
  <c r="W858" i="1"/>
  <c r="W768" i="1"/>
  <c r="W28" i="1"/>
  <c r="W285" i="1"/>
  <c r="W543" i="1"/>
  <c r="W882" i="1"/>
  <c r="W142" i="1"/>
  <c r="W361" i="1"/>
  <c r="W420" i="1"/>
  <c r="W359" i="1"/>
  <c r="W358" i="1"/>
  <c r="W90" i="1"/>
  <c r="W698" i="1"/>
  <c r="W413" i="1"/>
  <c r="W800" i="1"/>
  <c r="W737" i="1"/>
  <c r="W673" i="1"/>
  <c r="W332" i="1"/>
  <c r="W73" i="1"/>
  <c r="W527" i="1"/>
  <c r="W97" i="1"/>
  <c r="W788" i="1"/>
  <c r="W325" i="1"/>
  <c r="W902" i="1"/>
  <c r="W401" i="1"/>
  <c r="W438" i="1"/>
  <c r="W69" i="1"/>
  <c r="W990" i="1"/>
  <c r="W384" i="1"/>
  <c r="W349" i="1"/>
  <c r="W477" i="1"/>
  <c r="W646" i="1"/>
  <c r="W674" i="1"/>
  <c r="W609" i="1"/>
  <c r="W436" i="1"/>
  <c r="W226" i="1"/>
  <c r="W150" i="1"/>
  <c r="W975" i="1"/>
  <c r="W789" i="1"/>
  <c r="W250" i="1"/>
  <c r="W104" i="1"/>
  <c r="W859" i="1"/>
  <c r="W833" i="1"/>
  <c r="W748" i="1"/>
  <c r="W985" i="1"/>
  <c r="W265" i="1"/>
  <c r="W523" i="1"/>
  <c r="W822" i="1"/>
  <c r="W102" i="1"/>
  <c r="W341" i="1"/>
  <c r="W380" i="1"/>
  <c r="W319" i="1"/>
  <c r="W338" i="1"/>
  <c r="W206" i="1"/>
  <c r="W912" i="1"/>
  <c r="W296" i="1"/>
  <c r="W575" i="1"/>
  <c r="W544" i="1"/>
  <c r="W189" i="1"/>
  <c r="W6" i="1"/>
  <c r="W950" i="1"/>
  <c r="W755" i="1"/>
  <c r="W31" i="1"/>
  <c r="W67" i="1"/>
  <c r="W834" i="1"/>
  <c r="W749" i="1"/>
  <c r="W708" i="1"/>
  <c r="W965" i="1"/>
  <c r="W225" i="1"/>
  <c r="W483" i="1"/>
  <c r="W742" i="1"/>
  <c r="W82" i="1"/>
  <c r="W321" i="1"/>
  <c r="W340" i="1"/>
  <c r="W299" i="1"/>
  <c r="W298" i="1"/>
  <c r="W123" i="1"/>
  <c r="W130" i="1"/>
  <c r="W812" i="1"/>
  <c r="W511" i="1"/>
  <c r="W113" i="1"/>
  <c r="W777" i="1"/>
  <c r="W259" i="1"/>
  <c r="W656" i="1"/>
  <c r="W955" i="1"/>
  <c r="W691" i="1"/>
  <c r="W659" i="1"/>
  <c r="W463" i="1"/>
  <c r="W786" i="1"/>
  <c r="W671" i="1"/>
  <c r="W973" i="1"/>
  <c r="W726" i="1"/>
  <c r="W799" i="1"/>
  <c r="W131" i="1"/>
  <c r="W475" i="1"/>
  <c r="W444" i="1"/>
  <c r="W473" i="1"/>
  <c r="W297" i="1"/>
  <c r="W44" i="1"/>
  <c r="W924" i="1"/>
  <c r="W756" i="1"/>
  <c r="W664" i="1"/>
  <c r="W556" i="1"/>
  <c r="W915" i="1"/>
  <c r="W750" i="1"/>
  <c r="W587" i="1"/>
  <c r="W628" i="1"/>
  <c r="W905" i="1"/>
  <c r="W165" i="1"/>
  <c r="W423" i="1"/>
  <c r="W682" i="1"/>
  <c r="W921" i="1"/>
  <c r="W261" i="1"/>
  <c r="W300" i="1"/>
  <c r="W219" i="1"/>
  <c r="W238" i="1"/>
  <c r="W959" i="1"/>
  <c r="W50" i="1"/>
  <c r="W532" i="1"/>
  <c r="W170" i="1"/>
  <c r="W346" i="1"/>
  <c r="W606" i="1"/>
  <c r="W964" i="1"/>
  <c r="W372" i="1"/>
  <c r="W92" i="1"/>
  <c r="W837" i="1"/>
  <c r="W234" i="1"/>
  <c r="W947" i="1"/>
  <c r="W169" i="1"/>
  <c r="W510" i="1"/>
  <c r="W509" i="1"/>
  <c r="W334" i="1"/>
  <c r="W976" i="1"/>
  <c r="W870" i="1"/>
  <c r="W694" i="1"/>
  <c r="W592" i="1"/>
  <c r="W970" i="1"/>
  <c r="W616" i="1"/>
  <c r="W688" i="1"/>
  <c r="W945" i="1"/>
  <c r="W185" i="1"/>
  <c r="W722" i="1"/>
  <c r="W22" i="1"/>
  <c r="W281" i="1"/>
  <c r="W320" i="1"/>
  <c r="W278" i="1"/>
  <c r="W775" i="1"/>
  <c r="W557" i="1"/>
  <c r="W829" i="1"/>
  <c r="W635" i="1"/>
  <c r="W712" i="1"/>
  <c r="W56" i="1"/>
  <c r="W446" i="1"/>
  <c r="W410" i="1"/>
  <c r="W409" i="1"/>
  <c r="W229" i="1"/>
  <c r="W7" i="1"/>
  <c r="W896" i="1"/>
  <c r="W729" i="1"/>
  <c r="W564" i="1"/>
  <c r="W392" i="1"/>
  <c r="W890" i="1"/>
  <c r="W689" i="1"/>
  <c r="W516" i="1"/>
  <c r="W548" i="1"/>
  <c r="W885" i="1"/>
  <c r="W145" i="1"/>
  <c r="W383" i="1"/>
  <c r="W662" i="1"/>
  <c r="W901" i="1"/>
  <c r="W201" i="1"/>
  <c r="W260" i="1"/>
  <c r="W199" i="1"/>
  <c r="W198" i="1"/>
  <c r="W422" i="1"/>
  <c r="W375" i="1"/>
  <c r="W861" i="1"/>
  <c r="W348" i="1"/>
  <c r="W454" i="1"/>
  <c r="W867" i="1"/>
  <c r="W406" i="1"/>
  <c r="W476" i="1"/>
  <c r="W267" i="1"/>
  <c r="W977" i="1"/>
  <c r="W666" i="1"/>
  <c r="W356" i="1"/>
  <c r="W617" i="1"/>
  <c r="W487" i="1"/>
  <c r="W825" i="1"/>
  <c r="W105" i="1"/>
  <c r="W363" i="1"/>
  <c r="W622" i="1"/>
  <c r="W121" i="1"/>
  <c r="W179" i="1"/>
  <c r="W935" i="1"/>
  <c r="W197" i="1"/>
  <c r="W447" i="1"/>
  <c r="W269" i="1"/>
  <c r="W230" i="1"/>
  <c r="W926" i="1"/>
  <c r="W791" i="1"/>
  <c r="W631" i="1"/>
  <c r="W971" i="1"/>
  <c r="W810" i="1"/>
  <c r="W589" i="1"/>
  <c r="W416" i="1"/>
  <c r="W488" i="1"/>
  <c r="W745" i="1"/>
  <c r="W85" i="1"/>
  <c r="W343" i="1"/>
  <c r="W582" i="1"/>
  <c r="W841" i="1"/>
  <c r="W101" i="1"/>
  <c r="W180" i="1"/>
  <c r="W38" i="1"/>
  <c r="W854" i="1"/>
  <c r="W934" i="1"/>
  <c r="W855" i="1"/>
  <c r="W856" i="1"/>
  <c r="W471" i="1"/>
  <c r="W376" i="1"/>
  <c r="W307" i="1"/>
  <c r="W231" i="1"/>
  <c r="W154" i="1"/>
  <c r="W953" i="1"/>
  <c r="W897" i="1"/>
  <c r="W757" i="1"/>
  <c r="W566" i="1"/>
  <c r="W327" i="1"/>
  <c r="W864" i="1"/>
  <c r="W779" i="1"/>
  <c r="W553" i="1"/>
  <c r="W351" i="1"/>
  <c r="W468" i="1"/>
  <c r="W725" i="1"/>
  <c r="W25" i="1"/>
  <c r="W303" i="1"/>
  <c r="W562" i="1"/>
  <c r="W801" i="1"/>
  <c r="W61" i="1"/>
  <c r="W100" i="1"/>
  <c r="W119" i="1"/>
  <c r="W713" i="1"/>
  <c r="W585" i="1"/>
  <c r="W15" i="1"/>
  <c r="W58" i="1"/>
  <c r="W458" i="1"/>
  <c r="W79" i="1"/>
  <c r="W479" i="1"/>
  <c r="W200" i="1"/>
  <c r="W600" i="1"/>
  <c r="W221" i="1"/>
  <c r="W621" i="1"/>
  <c r="W42" i="1"/>
  <c r="W442" i="1"/>
  <c r="W842" i="1"/>
  <c r="W243" i="1"/>
  <c r="W643" i="1"/>
  <c r="W45" i="1"/>
  <c r="W445" i="1"/>
  <c r="W845" i="1"/>
  <c r="W248" i="1"/>
  <c r="W648" i="1"/>
  <c r="W94" i="1"/>
  <c r="W776" i="1"/>
  <c r="W389" i="1"/>
  <c r="W29" i="1"/>
  <c r="W717" i="1"/>
  <c r="W391" i="1"/>
  <c r="W212" i="1"/>
  <c r="W289" i="1"/>
  <c r="W594" i="1"/>
  <c r="W253" i="1"/>
  <c r="W895" i="1"/>
  <c r="W567" i="1"/>
  <c r="W187" i="1"/>
  <c r="W846" i="1"/>
  <c r="W504" i="1"/>
  <c r="W116" i="1"/>
  <c r="W795" i="1"/>
  <c r="W437" i="1"/>
  <c r="W12" i="1"/>
  <c r="W709" i="1"/>
  <c r="W270" i="1"/>
  <c r="W907" i="1"/>
  <c r="W93" i="1"/>
  <c r="W946" i="1"/>
  <c r="W493" i="1"/>
  <c r="W960" i="1"/>
  <c r="W911" i="1"/>
  <c r="W899" i="1"/>
  <c r="W550" i="1"/>
  <c r="W272" i="1"/>
  <c r="W773" i="1"/>
  <c r="W35" i="1"/>
  <c r="W78" i="1"/>
  <c r="W478" i="1"/>
  <c r="W99" i="1"/>
  <c r="W499" i="1"/>
  <c r="W220" i="1"/>
  <c r="W620" i="1"/>
  <c r="W241" i="1"/>
  <c r="W641" i="1"/>
  <c r="W62" i="1"/>
  <c r="W462" i="1"/>
  <c r="W862" i="1"/>
  <c r="W263" i="1"/>
  <c r="W663" i="1"/>
  <c r="W65" i="1"/>
  <c r="W465" i="1"/>
  <c r="W865" i="1"/>
  <c r="W268" i="1"/>
  <c r="W668" i="1"/>
  <c r="W132" i="1"/>
  <c r="W807" i="1"/>
  <c r="W417" i="1"/>
  <c r="W66" i="1"/>
  <c r="W751" i="1"/>
  <c r="W426" i="1"/>
  <c r="W287" i="1"/>
  <c r="W326" i="1"/>
  <c r="W630" i="1"/>
  <c r="W291" i="1"/>
  <c r="W920" i="1"/>
  <c r="W596" i="1"/>
  <c r="W224" i="1"/>
  <c r="W534" i="1"/>
  <c r="W153" i="1"/>
  <c r="W820" i="1"/>
  <c r="W55" i="1"/>
  <c r="W98" i="1"/>
  <c r="W75" i="1"/>
  <c r="W118" i="1"/>
  <c r="W95" i="1"/>
  <c r="W138" i="1"/>
  <c r="W538" i="1"/>
  <c r="W159" i="1"/>
  <c r="W559" i="1"/>
  <c r="W280" i="1"/>
  <c r="W680" i="1"/>
  <c r="W301" i="1"/>
  <c r="W701" i="1"/>
  <c r="W122" i="1"/>
  <c r="W522" i="1"/>
  <c r="W922" i="1"/>
  <c r="W323" i="1"/>
  <c r="W723" i="1"/>
  <c r="W125" i="1"/>
  <c r="W525" i="1"/>
  <c r="W925" i="1"/>
  <c r="W328" i="1"/>
  <c r="W728" i="1"/>
  <c r="W244" i="1"/>
  <c r="W887" i="1"/>
  <c r="W517" i="1"/>
  <c r="W172" i="1"/>
  <c r="W835" i="1"/>
  <c r="W526" i="1"/>
  <c r="W456" i="1"/>
  <c r="W33" i="1"/>
  <c r="W727" i="1"/>
  <c r="W395" i="1"/>
  <c r="W4" i="1"/>
  <c r="W696" i="1"/>
  <c r="W331" i="1"/>
  <c r="W952" i="1"/>
  <c r="W634" i="1"/>
  <c r="W266" i="1"/>
  <c r="W900" i="1"/>
  <c r="W573" i="1"/>
  <c r="W156" i="1"/>
  <c r="W826" i="1"/>
  <c r="W411" i="1"/>
  <c r="W14" i="1"/>
  <c r="W312" i="1"/>
  <c r="W774" i="1"/>
  <c r="W954" i="1"/>
  <c r="W514" i="1"/>
  <c r="W9" i="1"/>
  <c r="W237" i="1"/>
  <c r="W910" i="1"/>
  <c r="W766" i="1"/>
  <c r="W450" i="1"/>
  <c r="W115" i="1"/>
  <c r="W158" i="1"/>
  <c r="W558" i="1"/>
  <c r="W135" i="1"/>
  <c r="W155" i="1"/>
  <c r="W175" i="1"/>
  <c r="W218" i="1"/>
  <c r="W618" i="1"/>
  <c r="W239" i="1"/>
  <c r="W639" i="1"/>
  <c r="W360" i="1"/>
  <c r="W760" i="1"/>
  <c r="W381" i="1"/>
  <c r="W781" i="1"/>
  <c r="W202" i="1"/>
  <c r="W602" i="1"/>
  <c r="W3" i="1"/>
  <c r="W403" i="1"/>
  <c r="W803" i="1"/>
  <c r="W205" i="1"/>
  <c r="W605" i="1"/>
  <c r="W8" i="1"/>
  <c r="W408" i="1"/>
  <c r="W808" i="1"/>
  <c r="W387" i="1"/>
  <c r="W106" i="1"/>
  <c r="W653" i="1"/>
  <c r="W316" i="1"/>
  <c r="W940" i="1"/>
  <c r="W655" i="1"/>
  <c r="W174" i="1"/>
  <c r="W177" i="1"/>
  <c r="W839" i="1"/>
  <c r="W531" i="1"/>
  <c r="W149" i="1"/>
  <c r="W816" i="1"/>
  <c r="W469" i="1"/>
  <c r="W76" i="1"/>
  <c r="W764" i="1"/>
  <c r="W407" i="1"/>
  <c r="W11" i="1"/>
  <c r="W707" i="1"/>
  <c r="W306" i="1"/>
  <c r="W932" i="1"/>
  <c r="W546" i="1"/>
  <c r="W164" i="1"/>
  <c r="W787" i="1"/>
  <c r="W347" i="1"/>
  <c r="W627" i="1"/>
  <c r="W886" i="1"/>
  <c r="W739" i="1"/>
  <c r="W549" i="1"/>
  <c r="W54" i="1"/>
  <c r="W77" i="1"/>
  <c r="W310" i="1"/>
  <c r="W215" i="1"/>
  <c r="W258" i="1"/>
  <c r="W658" i="1"/>
  <c r="W279" i="1"/>
  <c r="W679" i="1"/>
  <c r="W400" i="1"/>
  <c r="W21" i="1"/>
  <c r="W421" i="1"/>
  <c r="W821" i="1"/>
  <c r="W242" i="1"/>
  <c r="W642" i="1"/>
  <c r="W43" i="1"/>
  <c r="W443" i="1"/>
  <c r="W843" i="1"/>
  <c r="W245" i="1"/>
  <c r="W645" i="1"/>
  <c r="W48" i="1"/>
  <c r="W448" i="1"/>
  <c r="W848" i="1"/>
  <c r="W452" i="1"/>
  <c r="W27" i="1"/>
  <c r="W716" i="1"/>
  <c r="W390" i="1"/>
  <c r="W30" i="1"/>
  <c r="W719" i="1"/>
  <c r="W324" i="1"/>
  <c r="W252" i="1"/>
  <c r="W894" i="1"/>
  <c r="W595" i="1"/>
  <c r="W217" i="1"/>
  <c r="W871" i="1"/>
  <c r="W533" i="1"/>
  <c r="W151" i="1"/>
  <c r="W818" i="1"/>
  <c r="W472" i="1"/>
  <c r="W86" i="1"/>
  <c r="W769" i="1"/>
  <c r="W374" i="1"/>
  <c r="W986" i="1"/>
  <c r="W611" i="1"/>
  <c r="W233" i="1"/>
  <c r="W937" i="1"/>
  <c r="W614" i="1"/>
  <c r="W804" i="1"/>
  <c r="W204" i="1"/>
  <c r="W893" i="1"/>
  <c r="W746" i="1"/>
  <c r="W429" i="1"/>
  <c r="W449" i="1"/>
  <c r="W235" i="1"/>
  <c r="W275" i="1"/>
  <c r="W318" i="1"/>
  <c r="W718" i="1"/>
  <c r="W339" i="1"/>
  <c r="W60" i="1"/>
  <c r="W460" i="1"/>
  <c r="W81" i="1"/>
  <c r="W481" i="1"/>
  <c r="W881" i="1"/>
  <c r="W302" i="1"/>
  <c r="W702" i="1"/>
  <c r="W103" i="1"/>
  <c r="W503" i="1"/>
  <c r="W903" i="1"/>
  <c r="W305" i="1"/>
  <c r="W705" i="1"/>
  <c r="W108" i="1"/>
  <c r="W508" i="1"/>
  <c r="W908" i="1"/>
  <c r="W552" i="1"/>
  <c r="W133" i="1"/>
  <c r="W809" i="1"/>
  <c r="W490" i="1"/>
  <c r="W136" i="1"/>
  <c r="W811" i="1"/>
  <c r="W32" i="1"/>
  <c r="W364" i="1"/>
  <c r="W974" i="1"/>
  <c r="W695" i="1"/>
  <c r="W330" i="1"/>
  <c r="W951" i="1"/>
  <c r="W633" i="1"/>
  <c r="W257" i="1"/>
  <c r="W898" i="1"/>
  <c r="W572" i="1"/>
  <c r="W192" i="1"/>
  <c r="W851" i="1"/>
  <c r="W474" i="1"/>
  <c r="W13" i="1"/>
  <c r="W710" i="1"/>
  <c r="W412" i="1"/>
  <c r="W137" i="1"/>
  <c r="W874" i="1"/>
  <c r="W190" i="1"/>
  <c r="W647" i="1"/>
  <c r="W16" i="1"/>
  <c r="W657" i="1"/>
  <c r="W754" i="1"/>
  <c r="W772" i="1"/>
  <c r="W335" i="1"/>
  <c r="W378" i="1"/>
  <c r="W778" i="1"/>
  <c r="W399" i="1"/>
  <c r="W120" i="1"/>
  <c r="W520" i="1"/>
  <c r="W141" i="1"/>
  <c r="W541" i="1"/>
  <c r="W941" i="1"/>
  <c r="W362" i="1"/>
  <c r="W762" i="1"/>
  <c r="W163" i="1"/>
  <c r="W563" i="1"/>
  <c r="W963" i="1"/>
  <c r="W365" i="1"/>
  <c r="W765" i="1"/>
  <c r="W168" i="1"/>
  <c r="W568" i="1"/>
  <c r="W968" i="1"/>
  <c r="W652" i="1"/>
  <c r="W246" i="1"/>
  <c r="W889" i="1"/>
  <c r="W590" i="1"/>
  <c r="W249" i="1"/>
  <c r="W891" i="1"/>
  <c r="W144" i="1"/>
  <c r="W464" i="1"/>
  <c r="W110" i="1"/>
  <c r="W790" i="1"/>
  <c r="W432" i="1"/>
  <c r="W37" i="1"/>
  <c r="W731" i="1"/>
  <c r="W370" i="1"/>
  <c r="W978" i="1"/>
  <c r="W672" i="1"/>
  <c r="W304" i="1"/>
  <c r="W931" i="1"/>
  <c r="W574" i="1"/>
  <c r="W126" i="1"/>
  <c r="W798" i="1"/>
  <c r="W512" i="1"/>
  <c r="W613" i="1"/>
  <c r="W692" i="1"/>
  <c r="W629" i="1"/>
  <c r="W892" i="1"/>
  <c r="W535" i="1"/>
  <c r="W693" i="1"/>
  <c r="W991" i="1"/>
  <c r="W91" i="1"/>
  <c r="W355" i="1"/>
  <c r="W398" i="1"/>
  <c r="W19" i="1"/>
  <c r="W419" i="1"/>
  <c r="W140" i="1"/>
  <c r="W540" i="1"/>
  <c r="W161" i="1"/>
  <c r="W561" i="1"/>
  <c r="W961" i="1"/>
  <c r="W382" i="1"/>
  <c r="W782" i="1"/>
  <c r="W183" i="1"/>
  <c r="W583" i="1"/>
  <c r="W983" i="1"/>
  <c r="W385" i="1"/>
  <c r="W785" i="1"/>
  <c r="W188" i="1"/>
  <c r="W588" i="1"/>
  <c r="W988" i="1"/>
  <c r="W687" i="1"/>
  <c r="W277" i="1"/>
  <c r="W914" i="1"/>
  <c r="W624" i="1"/>
  <c r="W286" i="1"/>
  <c r="W916" i="1"/>
  <c r="W176" i="1"/>
  <c r="W494" i="1"/>
  <c r="W147" i="1"/>
  <c r="W815" i="1"/>
  <c r="W467" i="1"/>
  <c r="W74" i="1"/>
  <c r="W759" i="1"/>
  <c r="W404" i="1"/>
  <c r="W10" i="1"/>
  <c r="W706" i="1"/>
  <c r="W336" i="1"/>
  <c r="W956" i="1"/>
  <c r="W610" i="1"/>
  <c r="W157" i="1"/>
  <c r="W827" i="1"/>
  <c r="W576" i="1"/>
  <c r="W711" i="1"/>
  <c r="W857" i="1"/>
  <c r="W724" i="1"/>
  <c r="W966" i="1"/>
  <c r="W650" i="1"/>
  <c r="W46" i="1"/>
  <c r="W929" i="1"/>
  <c r="W274" i="1"/>
  <c r="W18" i="1"/>
  <c r="W418" i="1"/>
  <c r="W39" i="1"/>
  <c r="W439" i="1"/>
  <c r="W160" i="1"/>
  <c r="W560" i="1"/>
  <c r="W181" i="1"/>
  <c r="W581" i="1"/>
  <c r="W981" i="1"/>
  <c r="W402" i="1"/>
  <c r="W802" i="1"/>
  <c r="W203" i="1"/>
  <c r="W603" i="1"/>
  <c r="W5" i="1"/>
  <c r="W405" i="1"/>
  <c r="W805" i="1"/>
  <c r="W208" i="1"/>
  <c r="W608" i="1"/>
  <c r="W26" i="1"/>
  <c r="W715" i="1"/>
  <c r="W314" i="1"/>
  <c r="W939" i="1"/>
  <c r="W654" i="1"/>
  <c r="W317" i="1"/>
  <c r="W944" i="1"/>
  <c r="W213" i="1"/>
  <c r="W530" i="1"/>
  <c r="W184" i="1"/>
  <c r="W840" i="1"/>
  <c r="W496" i="1"/>
  <c r="W112" i="1"/>
  <c r="W792" i="1"/>
  <c r="W434" i="1"/>
  <c r="W47" i="1"/>
  <c r="W734" i="1"/>
  <c r="W373" i="1"/>
  <c r="W984" i="1"/>
  <c r="W644" i="1"/>
  <c r="W194" i="1"/>
  <c r="W853" i="1"/>
  <c r="W24" i="1"/>
  <c r="W794" i="1"/>
  <c r="W166" i="1"/>
  <c r="W806" i="1"/>
  <c r="W529" i="1"/>
  <c r="W744" i="1"/>
  <c r="W236" i="1"/>
  <c r="W686" i="1"/>
  <c r="W584" i="1"/>
  <c r="W909" i="1"/>
  <c r="W537" i="1"/>
  <c r="W129" i="1"/>
  <c r="W377" i="1"/>
  <c r="W844" i="1"/>
  <c r="W240" i="1"/>
  <c r="W593" i="1"/>
  <c r="W227" i="1"/>
  <c r="W152" i="1"/>
  <c r="W344" i="1"/>
  <c r="W84" i="1"/>
  <c r="W394" i="1"/>
  <c r="W139" i="1"/>
  <c r="W684" i="1"/>
  <c r="W989" i="1"/>
  <c r="W972" i="1"/>
  <c r="W884" i="1"/>
  <c r="W114" i="1"/>
  <c r="W309" i="1"/>
  <c r="W232" i="1"/>
  <c r="W193" i="1"/>
  <c r="W117" i="1"/>
  <c r="W927" i="1"/>
  <c r="W872" i="1"/>
  <c r="W730" i="1"/>
  <c r="W495" i="1"/>
  <c r="W290" i="1"/>
  <c r="W836" i="1"/>
  <c r="W690" i="1"/>
  <c r="W489" i="1"/>
  <c r="W313" i="1"/>
  <c r="W428" i="1"/>
  <c r="W685" i="1"/>
  <c r="W943" i="1"/>
  <c r="W283" i="1"/>
  <c r="W542" i="1"/>
  <c r="W761" i="1"/>
  <c r="W41" i="1"/>
  <c r="W80" i="1"/>
  <c r="W59" i="1"/>
  <c r="W295" i="1"/>
  <c r="W109" i="1"/>
  <c r="W577" i="1"/>
  <c r="W677" i="1"/>
  <c r="W264" i="1"/>
  <c r="W486" i="1"/>
  <c r="W337" i="1"/>
  <c r="W191" i="1"/>
  <c r="W430" i="1"/>
  <c r="W860" i="1"/>
  <c r="W528" i="1"/>
  <c r="W178" i="1"/>
  <c r="W918" i="1"/>
  <c r="W831" i="1"/>
  <c r="W819" i="1"/>
  <c r="W513" i="1"/>
  <c r="W832" i="1"/>
  <c r="W196" i="1"/>
  <c r="W89" i="1"/>
  <c r="W124" i="1"/>
  <c r="W49" i="1"/>
  <c r="W873" i="1"/>
  <c r="W817" i="1"/>
  <c r="W667" i="1"/>
  <c r="W466" i="1"/>
  <c r="W214" i="1"/>
  <c r="W784" i="1"/>
  <c r="W554" i="1"/>
  <c r="W453" i="1"/>
  <c r="W276" i="1"/>
  <c r="W388" i="1"/>
  <c r="W665" i="1"/>
  <c r="W923" i="1"/>
  <c r="W223" i="1"/>
  <c r="W502" i="1"/>
  <c r="W741" i="1"/>
  <c r="W780" i="1"/>
  <c r="W40" i="1"/>
  <c r="W758" i="1"/>
  <c r="W255" i="1"/>
  <c r="W849" i="1"/>
  <c r="W747" i="1"/>
  <c r="W649" i="1"/>
  <c r="W371" i="1"/>
  <c r="W415" i="1"/>
  <c r="W127" i="1"/>
  <c r="W51" i="1"/>
  <c r="W87" i="1"/>
  <c r="W980" i="1"/>
  <c r="W847" i="1"/>
  <c r="W697" i="1"/>
  <c r="W632" i="1"/>
  <c r="W431" i="1"/>
  <c r="W146" i="1"/>
  <c r="W752" i="1"/>
  <c r="W524" i="1"/>
  <c r="W352" i="1"/>
  <c r="W207" i="1"/>
  <c r="W368" i="1"/>
  <c r="W625" i="1"/>
  <c r="W883" i="1"/>
  <c r="W143" i="1"/>
  <c r="W482" i="1"/>
  <c r="W721" i="1"/>
  <c r="W740" i="1"/>
  <c r="W20" i="1"/>
  <c r="W738" i="1"/>
  <c r="W195" i="1"/>
  <c r="K75" i="3"/>
  <c r="P75" i="3" s="1"/>
  <c r="N66" i="3"/>
  <c r="N106" i="3"/>
  <c r="N83" i="3"/>
  <c r="N101" i="3"/>
  <c r="N31" i="3"/>
  <c r="N63" i="3"/>
  <c r="N29" i="3"/>
  <c r="N52" i="3"/>
  <c r="N118" i="3"/>
  <c r="N32" i="3"/>
  <c r="K81" i="3"/>
  <c r="P81" i="3" s="1"/>
  <c r="N78" i="3"/>
  <c r="N65" i="3"/>
  <c r="N50" i="3"/>
  <c r="N33" i="3"/>
  <c r="N125" i="3"/>
  <c r="N18" i="3"/>
  <c r="N112" i="3"/>
  <c r="N107" i="3"/>
  <c r="N11" i="3"/>
  <c r="N30" i="3"/>
  <c r="N95" i="3"/>
  <c r="N41" i="3"/>
  <c r="N54" i="3"/>
  <c r="N80" i="3"/>
  <c r="N99" i="3"/>
  <c r="K53" i="3"/>
  <c r="P53" i="3" s="1"/>
  <c r="N60" i="3"/>
  <c r="N91" i="3"/>
  <c r="K72" i="3"/>
  <c r="P72" i="3" s="1"/>
  <c r="K39" i="3"/>
  <c r="P39" i="3" s="1"/>
  <c r="K27" i="3"/>
  <c r="P27" i="3" s="1"/>
  <c r="K62" i="3"/>
  <c r="P62" i="3" s="1"/>
  <c r="K111" i="3"/>
  <c r="P111" i="3" s="1"/>
  <c r="K59" i="3"/>
  <c r="P59" i="3" s="1"/>
  <c r="N93" i="3"/>
  <c r="N94" i="3"/>
  <c r="K71" i="3"/>
  <c r="P71" i="3" s="1"/>
  <c r="K76" i="3"/>
  <c r="P76" i="3" s="1"/>
  <c r="N96" i="3"/>
  <c r="K21" i="3"/>
  <c r="P21" i="3" s="1"/>
  <c r="K74" i="3"/>
  <c r="P74" i="3" s="1"/>
  <c r="N34" i="3"/>
  <c r="K85" i="3"/>
  <c r="P85" i="3" s="1"/>
  <c r="N44" i="3"/>
  <c r="K38" i="3"/>
  <c r="P38" i="3" s="1"/>
  <c r="K86" i="3"/>
  <c r="P86" i="3" s="1"/>
  <c r="N117" i="3"/>
  <c r="N36" i="3"/>
  <c r="K98" i="3"/>
  <c r="P98" i="3" s="1"/>
  <c r="N108" i="3"/>
  <c r="N48" i="3"/>
  <c r="N92" i="3"/>
  <c r="K70" i="3"/>
  <c r="P70" i="3" s="1"/>
  <c r="N17" i="3"/>
  <c r="K49" i="3"/>
  <c r="P49" i="3" s="1"/>
  <c r="N61" i="3"/>
  <c r="K114" i="3"/>
  <c r="P114" i="3" s="1"/>
  <c r="K47" i="3"/>
  <c r="P47" i="3" s="1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240" i="2"/>
  <c r="H21" i="2"/>
  <c r="H19" i="2"/>
  <c r="H20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8" i="2"/>
  <c r="K18" i="2"/>
  <c r="L18" i="2" s="1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I18" i="2"/>
  <c r="M18" i="2" s="1"/>
  <c r="I137" i="2"/>
  <c r="I138" i="2"/>
  <c r="M138" i="2" s="1"/>
  <c r="I136" i="2"/>
  <c r="M136" i="2" s="1"/>
  <c r="I135" i="2"/>
  <c r="M135" i="2" s="1"/>
  <c r="I134" i="2"/>
  <c r="M134" i="2" s="1"/>
  <c r="I133" i="2"/>
  <c r="M133" i="2" s="1"/>
  <c r="I132" i="2"/>
  <c r="M132" i="2" s="1"/>
  <c r="I131" i="2"/>
  <c r="M131" i="2" s="1"/>
  <c r="I130" i="2"/>
  <c r="M130" i="2" s="1"/>
  <c r="I129" i="2"/>
  <c r="M129" i="2" s="1"/>
  <c r="I128" i="2"/>
  <c r="M128" i="2" s="1"/>
  <c r="I127" i="2"/>
  <c r="M127" i="2" s="1"/>
  <c r="I126" i="2"/>
  <c r="M126" i="2" s="1"/>
  <c r="I125" i="2"/>
  <c r="M125" i="2" s="1"/>
  <c r="I124" i="2"/>
  <c r="M124" i="2" s="1"/>
  <c r="I123" i="2"/>
  <c r="M123" i="2" s="1"/>
  <c r="I122" i="2"/>
  <c r="M122" i="2" s="1"/>
  <c r="I121" i="2"/>
  <c r="M121" i="2" s="1"/>
  <c r="I120" i="2"/>
  <c r="M120" i="2" s="1"/>
  <c r="I119" i="2"/>
  <c r="M119" i="2" s="1"/>
  <c r="I118" i="2"/>
  <c r="M118" i="2" s="1"/>
  <c r="I117" i="2"/>
  <c r="M117" i="2" s="1"/>
  <c r="I116" i="2"/>
  <c r="I115" i="2"/>
  <c r="M115" i="2" s="1"/>
  <c r="I114" i="2"/>
  <c r="M114" i="2" s="1"/>
  <c r="I113" i="2"/>
  <c r="M113" i="2" s="1"/>
  <c r="I112" i="2"/>
  <c r="M112" i="2" s="1"/>
  <c r="I111" i="2"/>
  <c r="M111" i="2" s="1"/>
  <c r="I110" i="2"/>
  <c r="M110" i="2" s="1"/>
  <c r="I109" i="2"/>
  <c r="M109" i="2" s="1"/>
  <c r="I108" i="2"/>
  <c r="M108" i="2" s="1"/>
  <c r="I107" i="2"/>
  <c r="M107" i="2" s="1"/>
  <c r="I106" i="2"/>
  <c r="M106" i="2" s="1"/>
  <c r="I105" i="2"/>
  <c r="M105" i="2" s="1"/>
  <c r="I104" i="2"/>
  <c r="M104" i="2" s="1"/>
  <c r="I103" i="2"/>
  <c r="M103" i="2" s="1"/>
  <c r="I102" i="2"/>
  <c r="M102" i="2" s="1"/>
  <c r="I101" i="2"/>
  <c r="M101" i="2" s="1"/>
  <c r="I100" i="2"/>
  <c r="M100" i="2" s="1"/>
  <c r="I99" i="2"/>
  <c r="M99" i="2" s="1"/>
  <c r="I98" i="2"/>
  <c r="M98" i="2" s="1"/>
  <c r="I97" i="2"/>
  <c r="M97" i="2" s="1"/>
  <c r="I96" i="2"/>
  <c r="I95" i="2"/>
  <c r="M95" i="2" s="1"/>
  <c r="I94" i="2"/>
  <c r="M94" i="2" s="1"/>
  <c r="I93" i="2"/>
  <c r="M93" i="2" s="1"/>
  <c r="I92" i="2"/>
  <c r="I91" i="2"/>
  <c r="M91" i="2" s="1"/>
  <c r="I90" i="2"/>
  <c r="M90" i="2" s="1"/>
  <c r="I89" i="2"/>
  <c r="M89" i="2" s="1"/>
  <c r="I88" i="2"/>
  <c r="M88" i="2" s="1"/>
  <c r="I87" i="2"/>
  <c r="M87" i="2" s="1"/>
  <c r="I86" i="2"/>
  <c r="M86" i="2" s="1"/>
  <c r="I85" i="2"/>
  <c r="M85" i="2" s="1"/>
  <c r="I84" i="2"/>
  <c r="M84" i="2" s="1"/>
  <c r="I83" i="2"/>
  <c r="M83" i="2" s="1"/>
  <c r="I82" i="2"/>
  <c r="M82" i="2" s="1"/>
  <c r="I81" i="2"/>
  <c r="M81" i="2" s="1"/>
  <c r="I80" i="2"/>
  <c r="M80" i="2" s="1"/>
  <c r="I79" i="2"/>
  <c r="M79" i="2" s="1"/>
  <c r="I78" i="2"/>
  <c r="M78" i="2" s="1"/>
  <c r="I77" i="2"/>
  <c r="M77" i="2" s="1"/>
  <c r="I76" i="2"/>
  <c r="M76" i="2" s="1"/>
  <c r="I75" i="2"/>
  <c r="M75" i="2" s="1"/>
  <c r="I74" i="2"/>
  <c r="M74" i="2" s="1"/>
  <c r="I73" i="2"/>
  <c r="M73" i="2" s="1"/>
  <c r="I72" i="2"/>
  <c r="M72" i="2" s="1"/>
  <c r="I71" i="2"/>
  <c r="M71" i="2" s="1"/>
  <c r="I70" i="2"/>
  <c r="M70" i="2" s="1"/>
  <c r="I69" i="2"/>
  <c r="M69" i="2" s="1"/>
  <c r="I68" i="2"/>
  <c r="M68" i="2" s="1"/>
  <c r="I67" i="2"/>
  <c r="M67" i="2" s="1"/>
  <c r="I66" i="2"/>
  <c r="M66" i="2" s="1"/>
  <c r="I65" i="2"/>
  <c r="M65" i="2" s="1"/>
  <c r="I64" i="2"/>
  <c r="M64" i="2" s="1"/>
  <c r="I63" i="2"/>
  <c r="M63" i="2" s="1"/>
  <c r="I62" i="2"/>
  <c r="M62" i="2" s="1"/>
  <c r="I61" i="2"/>
  <c r="M61" i="2" s="1"/>
  <c r="I60" i="2"/>
  <c r="M60" i="2" s="1"/>
  <c r="I59" i="2"/>
  <c r="M59" i="2" s="1"/>
  <c r="I58" i="2"/>
  <c r="M58" i="2" s="1"/>
  <c r="I57" i="2"/>
  <c r="M57" i="2" s="1"/>
  <c r="I56" i="2"/>
  <c r="I55" i="2"/>
  <c r="M55" i="2" s="1"/>
  <c r="I54" i="2"/>
  <c r="M54" i="2" s="1"/>
  <c r="I53" i="2"/>
  <c r="M53" i="2" s="1"/>
  <c r="I52" i="2"/>
  <c r="I51" i="2"/>
  <c r="M51" i="2" s="1"/>
  <c r="I50" i="2"/>
  <c r="M50" i="2" s="1"/>
  <c r="I49" i="2"/>
  <c r="M49" i="2" s="1"/>
  <c r="I48" i="2"/>
  <c r="M48" i="2" s="1"/>
  <c r="I47" i="2"/>
  <c r="M47" i="2" s="1"/>
  <c r="I46" i="2"/>
  <c r="M46" i="2" s="1"/>
  <c r="I45" i="2"/>
  <c r="M45" i="2" s="1"/>
  <c r="I44" i="2"/>
  <c r="M44" i="2" s="1"/>
  <c r="I43" i="2"/>
  <c r="M43" i="2" s="1"/>
  <c r="I42" i="2"/>
  <c r="M42" i="2" s="1"/>
  <c r="I41" i="2"/>
  <c r="M41" i="2" s="1"/>
  <c r="I40" i="2"/>
  <c r="M40" i="2" s="1"/>
  <c r="I39" i="2"/>
  <c r="I38" i="2"/>
  <c r="M38" i="2" s="1"/>
  <c r="I37" i="2"/>
  <c r="M37" i="2" s="1"/>
  <c r="I36" i="2"/>
  <c r="I35" i="2"/>
  <c r="M35" i="2" s="1"/>
  <c r="I34" i="2"/>
  <c r="M34" i="2" s="1"/>
  <c r="I33" i="2"/>
  <c r="M33" i="2" s="1"/>
  <c r="I32" i="2"/>
  <c r="I31" i="2"/>
  <c r="M31" i="2" s="1"/>
  <c r="I30" i="2"/>
  <c r="M30" i="2" s="1"/>
  <c r="I29" i="2"/>
  <c r="M29" i="2" s="1"/>
  <c r="I28" i="2"/>
  <c r="M28" i="2" s="1"/>
  <c r="I27" i="2"/>
  <c r="M27" i="2" s="1"/>
  <c r="I26" i="2"/>
  <c r="M26" i="2" s="1"/>
  <c r="I25" i="2"/>
  <c r="M25" i="2" s="1"/>
  <c r="I24" i="2"/>
  <c r="M24" i="2" s="1"/>
  <c r="I23" i="2"/>
  <c r="M23" i="2" s="1"/>
  <c r="I22" i="2"/>
  <c r="M22" i="2" s="1"/>
  <c r="I21" i="2"/>
  <c r="M21" i="2" s="1"/>
  <c r="I20" i="2"/>
  <c r="M20" i="2" s="1"/>
  <c r="I19" i="2"/>
  <c r="M19" i="2" s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G309" i="2"/>
  <c r="G228" i="2"/>
  <c r="G205" i="2"/>
  <c r="G306" i="2"/>
  <c r="G187" i="2"/>
  <c r="G251" i="2"/>
  <c r="G320" i="2"/>
  <c r="G253" i="2"/>
  <c r="G330" i="2"/>
  <c r="G208" i="2"/>
  <c r="G297" i="2"/>
  <c r="G295" i="2"/>
  <c r="G217" i="2"/>
  <c r="G250" i="2"/>
  <c r="G308" i="2"/>
  <c r="G326" i="2"/>
  <c r="G271" i="2"/>
  <c r="G249" i="2"/>
  <c r="G321" i="2"/>
  <c r="G340" i="2"/>
  <c r="G229" i="2"/>
  <c r="G299" i="2"/>
  <c r="G287" i="2"/>
  <c r="G182" i="2"/>
  <c r="G302" i="2"/>
  <c r="G335" i="2"/>
  <c r="G336" i="2"/>
  <c r="G291" i="2"/>
  <c r="G296" i="2"/>
  <c r="G173" i="2"/>
  <c r="G246" i="2"/>
  <c r="G281" i="2"/>
  <c r="G278" i="2"/>
  <c r="G266" i="2"/>
  <c r="G332" i="2"/>
  <c r="G231" i="2"/>
  <c r="G240" i="2"/>
  <c r="G276" i="2"/>
  <c r="G282" i="2"/>
  <c r="G305" i="2"/>
  <c r="G188" i="2"/>
  <c r="G223" i="2"/>
  <c r="G167" i="2"/>
  <c r="G327" i="2"/>
  <c r="G166" i="2"/>
  <c r="G183" i="2"/>
  <c r="G178" i="2"/>
  <c r="G319" i="2"/>
  <c r="G333" i="2"/>
  <c r="G338" i="2"/>
  <c r="G184" i="2"/>
  <c r="C6" i="2"/>
  <c r="G324" i="2"/>
  <c r="G221" i="2"/>
  <c r="G294" i="2"/>
  <c r="C12" i="2"/>
  <c r="G152" i="2"/>
  <c r="G193" i="2"/>
  <c r="G224" i="2"/>
  <c r="G211" i="2"/>
  <c r="G156" i="2"/>
  <c r="G230" i="2"/>
  <c r="G161" i="2"/>
  <c r="G317" i="2"/>
  <c r="G315" i="2"/>
  <c r="G172" i="2"/>
  <c r="G328" i="2"/>
  <c r="C9" i="2"/>
  <c r="G199" i="2"/>
  <c r="G331" i="2"/>
  <c r="G264" i="2"/>
  <c r="G197" i="2"/>
  <c r="G210" i="2"/>
  <c r="G359" i="2"/>
  <c r="G171" i="2"/>
  <c r="C11" i="2"/>
  <c r="G226" i="2"/>
  <c r="G157" i="2"/>
  <c r="G329" i="2"/>
  <c r="G304" i="2"/>
  <c r="G350" i="2"/>
  <c r="G209" i="2"/>
  <c r="G337" i="2"/>
  <c r="G349" i="2"/>
  <c r="G245" i="2"/>
  <c r="C8" i="2"/>
  <c r="G244" i="2"/>
  <c r="G354" i="2"/>
  <c r="G177" i="2"/>
  <c r="G313" i="2"/>
  <c r="G165" i="2"/>
  <c r="G356" i="2"/>
  <c r="G200" i="2"/>
  <c r="G292" i="2"/>
  <c r="G220" i="2"/>
  <c r="G241" i="2"/>
  <c r="G189" i="2"/>
  <c r="G300" i="2"/>
  <c r="G255" i="2"/>
  <c r="G248" i="2"/>
  <c r="G310" i="2"/>
  <c r="G213" i="2"/>
  <c r="G154" i="2"/>
  <c r="G289" i="2"/>
  <c r="G179" i="2"/>
  <c r="G185" i="2"/>
  <c r="G267" i="2"/>
  <c r="C10" i="2"/>
  <c r="G202" i="2"/>
  <c r="G286" i="2"/>
  <c r="G341" i="2"/>
  <c r="G162" i="2"/>
  <c r="G283" i="2"/>
  <c r="G174" i="2"/>
  <c r="G343" i="2"/>
  <c r="G175" i="2"/>
  <c r="G204" i="2"/>
  <c r="G195" i="2"/>
  <c r="G314" i="2"/>
  <c r="G260" i="2"/>
  <c r="G274" i="2"/>
  <c r="G277" i="2"/>
  <c r="G190" i="2"/>
  <c r="G273" i="2"/>
  <c r="G272" i="2"/>
  <c r="G261" i="2"/>
  <c r="G203" i="2"/>
  <c r="G352" i="2"/>
  <c r="G265" i="2"/>
  <c r="G146" i="2"/>
  <c r="G270" i="2"/>
  <c r="G201" i="2"/>
  <c r="G164" i="2"/>
  <c r="G207" i="2"/>
  <c r="G258" i="2"/>
  <c r="G225" i="2"/>
  <c r="G322" i="2"/>
  <c r="G155" i="2"/>
  <c r="G360" i="2"/>
  <c r="G181" i="2"/>
  <c r="G148" i="2"/>
  <c r="G254" i="2"/>
  <c r="G192" i="2"/>
  <c r="G259" i="2"/>
  <c r="G325" i="2"/>
  <c r="G256" i="2"/>
  <c r="G149" i="2"/>
  <c r="G159" i="2"/>
  <c r="G212" i="2"/>
  <c r="G163" i="2"/>
  <c r="G215" i="2"/>
  <c r="G186" i="2"/>
  <c r="G290" i="2"/>
  <c r="G316" i="2"/>
  <c r="G263" i="2"/>
  <c r="G214" i="2"/>
  <c r="G198" i="2"/>
  <c r="G312" i="2"/>
  <c r="G252" i="2"/>
  <c r="G196" i="2"/>
  <c r="G348" i="2"/>
  <c r="G194" i="2"/>
  <c r="G307" i="2"/>
  <c r="G169" i="2"/>
  <c r="G191" i="2"/>
  <c r="G151" i="2"/>
  <c r="G323" i="2"/>
  <c r="G219" i="2"/>
  <c r="G145" i="2"/>
  <c r="G233" i="2"/>
  <c r="G298" i="2"/>
  <c r="G311" i="2"/>
  <c r="G353" i="2"/>
  <c r="G345" i="2"/>
  <c r="G262" i="2"/>
  <c r="G243" i="2"/>
  <c r="G334" i="2"/>
  <c r="G180" i="2"/>
  <c r="G176" i="2"/>
  <c r="G301" i="2"/>
  <c r="G216" i="2"/>
  <c r="G358" i="2"/>
  <c r="G247" i="2"/>
  <c r="G303" i="2"/>
  <c r="G355" i="2"/>
  <c r="G232" i="2"/>
  <c r="G257" i="2"/>
  <c r="G227" i="2"/>
  <c r="G206" i="2"/>
  <c r="G347" i="2"/>
  <c r="G242" i="2"/>
  <c r="G269" i="2"/>
  <c r="G288" i="2"/>
  <c r="G150" i="2"/>
  <c r="G170" i="2"/>
  <c r="G280" i="2"/>
  <c r="G318" i="2"/>
  <c r="G346" i="2"/>
  <c r="G284" i="2"/>
  <c r="G160" i="2"/>
  <c r="G222" i="2"/>
  <c r="G218" i="2"/>
  <c r="G168" i="2"/>
  <c r="G293" i="2"/>
  <c r="G268" i="2"/>
  <c r="G158" i="2"/>
  <c r="G285" i="2"/>
  <c r="G357" i="2"/>
  <c r="G351" i="2"/>
  <c r="G342" i="2"/>
  <c r="G275" i="2"/>
  <c r="G344" i="2"/>
  <c r="C7" i="2"/>
  <c r="G279" i="2"/>
  <c r="G153" i="2"/>
  <c r="G339" i="2"/>
  <c r="G147" i="2"/>
  <c r="Q42" i="3" l="1"/>
  <c r="T60" i="3"/>
  <c r="N272" i="6"/>
  <c r="N707" i="6"/>
  <c r="T118" i="3"/>
  <c r="N214" i="6"/>
  <c r="T58" i="3"/>
  <c r="T18" i="3"/>
  <c r="N229" i="6"/>
  <c r="T99" i="3"/>
  <c r="N412" i="6"/>
  <c r="N639" i="6"/>
  <c r="T127" i="3"/>
  <c r="N674" i="6"/>
  <c r="T19" i="3"/>
  <c r="T100" i="3"/>
  <c r="N517" i="6"/>
  <c r="N612" i="6"/>
  <c r="T107" i="3"/>
  <c r="T20" i="3"/>
  <c r="N713" i="6"/>
  <c r="T38" i="3"/>
  <c r="N780" i="6"/>
  <c r="N753" i="6"/>
  <c r="T21" i="3"/>
  <c r="N254" i="6"/>
  <c r="T104" i="3"/>
  <c r="T71" i="3"/>
  <c r="N346" i="6"/>
  <c r="T22" i="3"/>
  <c r="N357" i="6"/>
  <c r="T23" i="3"/>
  <c r="N134" i="6"/>
  <c r="T108" i="3"/>
  <c r="N154" i="6"/>
  <c r="T123" i="3"/>
  <c r="N330" i="6"/>
  <c r="N476" i="6"/>
  <c r="T73" i="3"/>
  <c r="N581" i="6"/>
  <c r="T68" i="3"/>
  <c r="T32" i="3"/>
  <c r="N9" i="6"/>
  <c r="T111" i="3"/>
  <c r="N319" i="6"/>
  <c r="N777" i="6"/>
  <c r="T120" i="3"/>
  <c r="N764" i="6"/>
  <c r="T94" i="3"/>
  <c r="T34" i="3"/>
  <c r="N31" i="6"/>
  <c r="T13" i="3"/>
  <c r="N692" i="6"/>
  <c r="T92" i="3"/>
  <c r="N697" i="6"/>
  <c r="T81" i="3"/>
  <c r="N491" i="6"/>
  <c r="T51" i="3"/>
  <c r="N437" i="6"/>
  <c r="N775" i="6"/>
  <c r="T7" i="3"/>
  <c r="T84" i="3"/>
  <c r="N464" i="6"/>
  <c r="N540" i="6"/>
  <c r="T30" i="3"/>
  <c r="T49" i="3"/>
  <c r="N760" i="6"/>
  <c r="T11" i="3"/>
  <c r="N115" i="6"/>
  <c r="T69" i="3"/>
  <c r="N512" i="6"/>
  <c r="T16" i="3"/>
  <c r="N632" i="6"/>
  <c r="N724" i="6"/>
  <c r="T97" i="3"/>
  <c r="N182" i="6"/>
  <c r="T80" i="3"/>
  <c r="N616" i="6"/>
  <c r="T61" i="3"/>
  <c r="T119" i="3"/>
  <c r="N221" i="6"/>
  <c r="T82" i="3"/>
  <c r="N166" i="6"/>
  <c r="T62" i="3"/>
  <c r="N498" i="6"/>
  <c r="T50" i="3"/>
  <c r="N86" i="6"/>
  <c r="N533" i="6"/>
  <c r="T95" i="3"/>
  <c r="T63" i="3"/>
  <c r="N54" i="6"/>
  <c r="T26" i="3"/>
  <c r="N773" i="6"/>
  <c r="N100" i="6"/>
  <c r="T64" i="3"/>
  <c r="T78" i="3"/>
  <c r="N702" i="6"/>
  <c r="T65" i="3"/>
  <c r="N48" i="6"/>
  <c r="N719" i="6"/>
  <c r="T28" i="3"/>
  <c r="T24" i="3"/>
  <c r="N386" i="6"/>
  <c r="N749" i="6"/>
  <c r="T35" i="3"/>
  <c r="N20" i="6"/>
  <c r="T29" i="3"/>
  <c r="N352" i="6"/>
  <c r="T17" i="3"/>
  <c r="T31" i="3"/>
  <c r="N655" i="6"/>
  <c r="T75" i="3"/>
  <c r="N340" i="6"/>
  <c r="T42" i="3"/>
  <c r="N325" i="6"/>
  <c r="T121" i="3"/>
  <c r="N588" i="6"/>
  <c r="N373" i="6"/>
  <c r="T113" i="3"/>
  <c r="N191" i="6"/>
  <c r="T44" i="3"/>
  <c r="N660" i="6"/>
  <c r="T79" i="3"/>
  <c r="N456" i="6"/>
  <c r="T114" i="3"/>
  <c r="T112" i="3"/>
  <c r="N60" i="6"/>
  <c r="N364" i="6"/>
  <c r="T36" i="3"/>
  <c r="N746" i="6"/>
  <c r="T122" i="3"/>
  <c r="T109" i="3"/>
  <c r="N296" i="6"/>
  <c r="T40" i="3"/>
  <c r="N423" i="6"/>
  <c r="N277" i="6"/>
  <c r="T125" i="3"/>
  <c r="N665" i="6"/>
  <c r="T66" i="3"/>
  <c r="T53" i="3"/>
  <c r="N70" i="6"/>
  <c r="T86" i="3"/>
  <c r="N160" i="6"/>
  <c r="T48" i="3"/>
  <c r="N557" i="6"/>
  <c r="T10" i="3"/>
  <c r="N743" i="6"/>
  <c r="T43" i="3"/>
  <c r="N739" i="6"/>
  <c r="N94" i="6"/>
  <c r="T46" i="3"/>
  <c r="T101" i="3"/>
  <c r="N505" i="6"/>
  <c r="N769" i="6"/>
  <c r="T39" i="3"/>
  <c r="T41" i="3"/>
  <c r="N63" i="6"/>
  <c r="N335" i="6"/>
  <c r="T106" i="3"/>
  <c r="N207" i="6"/>
  <c r="T25" i="3"/>
  <c r="T72" i="3"/>
  <c r="N108" i="6"/>
  <c r="N248" i="6"/>
  <c r="T47" i="3"/>
  <c r="N468" i="6"/>
  <c r="T110" i="3"/>
  <c r="T54" i="3"/>
  <c r="N377" i="6"/>
  <c r="T87" i="3"/>
  <c r="N605" i="6"/>
  <c r="N200" i="6"/>
  <c r="T117" i="3"/>
  <c r="T93" i="3"/>
  <c r="N147" i="6"/>
  <c r="T52" i="3"/>
  <c r="N44" i="6"/>
  <c r="N481" i="6"/>
  <c r="T9" i="3"/>
  <c r="T89" i="3"/>
  <c r="N291" i="6"/>
  <c r="N81" i="6"/>
  <c r="T27" i="3"/>
  <c r="T102" i="3"/>
  <c r="N650" i="6"/>
  <c r="N526" i="6"/>
  <c r="T126" i="3"/>
  <c r="N399" i="6"/>
  <c r="T8" i="3"/>
  <c r="N240" i="6"/>
  <c r="T12" i="3"/>
  <c r="N120" i="6"/>
  <c r="T56" i="3"/>
  <c r="N625" i="6"/>
  <c r="T90" i="3"/>
  <c r="N679" i="6"/>
  <c r="T67" i="3"/>
  <c r="N686" i="6"/>
  <c r="T88" i="3"/>
  <c r="N392" i="6"/>
  <c r="T70" i="3"/>
  <c r="N670" i="6"/>
  <c r="T14" i="3"/>
  <c r="N261" i="6"/>
  <c r="T57" i="3"/>
  <c r="T91" i="3"/>
  <c r="N566" i="6"/>
  <c r="T83" i="3"/>
  <c r="N129" i="6"/>
  <c r="N302" i="6"/>
  <c r="T103" i="3"/>
  <c r="N431" i="6"/>
  <c r="T116" i="3"/>
  <c r="T15" i="3"/>
  <c r="N645" i="6"/>
  <c r="N574" i="6"/>
  <c r="T59" i="3"/>
  <c r="N447" i="6"/>
  <c r="T96" i="3"/>
  <c r="N314" i="6"/>
  <c r="T37" i="3"/>
  <c r="N28" i="6"/>
  <c r="T115" i="3"/>
  <c r="N521" i="6"/>
  <c r="T105" i="3"/>
  <c r="Z1" i="1"/>
  <c r="S15" i="3"/>
  <c r="R15" i="3"/>
  <c r="S56" i="3"/>
  <c r="R56" i="3"/>
  <c r="S46" i="3"/>
  <c r="R46" i="3"/>
  <c r="S89" i="3"/>
  <c r="R89" i="3"/>
  <c r="S97" i="3"/>
  <c r="R97" i="3"/>
  <c r="S28" i="3"/>
  <c r="R28" i="3"/>
  <c r="S37" i="3"/>
  <c r="R37" i="3"/>
  <c r="S88" i="3"/>
  <c r="R88" i="3"/>
  <c r="S43" i="3"/>
  <c r="R43" i="3"/>
  <c r="S90" i="3"/>
  <c r="R90" i="3"/>
  <c r="S73" i="3"/>
  <c r="R73" i="3"/>
  <c r="S19" i="3"/>
  <c r="R19" i="3"/>
  <c r="S58" i="3"/>
  <c r="R58" i="3"/>
  <c r="S127" i="3"/>
  <c r="R127" i="3"/>
  <c r="S102" i="3"/>
  <c r="R102" i="3"/>
  <c r="S67" i="3"/>
  <c r="R67" i="3"/>
  <c r="S14" i="3"/>
  <c r="R14" i="3"/>
  <c r="S123" i="3"/>
  <c r="R123" i="3"/>
  <c r="S121" i="3"/>
  <c r="R121" i="3"/>
  <c r="S116" i="3"/>
  <c r="R116" i="3"/>
  <c r="S105" i="3"/>
  <c r="R105" i="3"/>
  <c r="S12" i="3"/>
  <c r="R12" i="3"/>
  <c r="S45" i="3"/>
  <c r="R45" i="3"/>
  <c r="S79" i="3"/>
  <c r="R79" i="3"/>
  <c r="S10" i="3"/>
  <c r="R10" i="3"/>
  <c r="S13" i="3"/>
  <c r="R13" i="3"/>
  <c r="S77" i="3"/>
  <c r="R77" i="3"/>
  <c r="S100" i="3"/>
  <c r="R100" i="3"/>
  <c r="S68" i="3"/>
  <c r="R68" i="3"/>
  <c r="S25" i="3"/>
  <c r="R25" i="3"/>
  <c r="S42" i="3"/>
  <c r="R42" i="3"/>
  <c r="S84" i="3"/>
  <c r="R84" i="3"/>
  <c r="S23" i="3"/>
  <c r="R23" i="3"/>
  <c r="S87" i="3"/>
  <c r="R87" i="3"/>
  <c r="O63" i="3"/>
  <c r="Q63" i="3"/>
  <c r="O80" i="3"/>
  <c r="Q80" i="3"/>
  <c r="N85" i="3"/>
  <c r="O54" i="3"/>
  <c r="Q54" i="3"/>
  <c r="O101" i="3"/>
  <c r="Q101" i="3"/>
  <c r="O110" i="3"/>
  <c r="Q110" i="3"/>
  <c r="N38" i="3"/>
  <c r="O44" i="3"/>
  <c r="Q44" i="3"/>
  <c r="O31" i="3"/>
  <c r="Q31" i="3"/>
  <c r="O122" i="3"/>
  <c r="Q122" i="3"/>
  <c r="O34" i="3"/>
  <c r="Q34" i="3"/>
  <c r="O41" i="3"/>
  <c r="Q41" i="3"/>
  <c r="O83" i="3"/>
  <c r="Q83" i="3"/>
  <c r="O16" i="3"/>
  <c r="Q16" i="3"/>
  <c r="O115" i="3"/>
  <c r="Q115" i="3"/>
  <c r="N74" i="3"/>
  <c r="O106" i="3"/>
  <c r="Q106" i="3"/>
  <c r="N21" i="3"/>
  <c r="O30" i="3"/>
  <c r="Q30" i="3"/>
  <c r="O66" i="3"/>
  <c r="Q66" i="3"/>
  <c r="O20" i="3"/>
  <c r="Q20" i="3"/>
  <c r="O96" i="3"/>
  <c r="Q96" i="3"/>
  <c r="O11" i="3"/>
  <c r="Q11" i="3"/>
  <c r="N75" i="3"/>
  <c r="O95" i="3"/>
  <c r="Q95" i="3"/>
  <c r="N76" i="3"/>
  <c r="O104" i="3"/>
  <c r="Q104" i="3"/>
  <c r="O113" i="3"/>
  <c r="Q113" i="3"/>
  <c r="O29" i="3"/>
  <c r="Q29" i="3"/>
  <c r="O99" i="3"/>
  <c r="Q99" i="3"/>
  <c r="N47" i="3"/>
  <c r="O107" i="3"/>
  <c r="Q107" i="3"/>
  <c r="N114" i="3"/>
  <c r="N71" i="3"/>
  <c r="O112" i="3"/>
  <c r="Q112" i="3"/>
  <c r="O61" i="3"/>
  <c r="Q61" i="3"/>
  <c r="O94" i="3"/>
  <c r="Q94" i="3"/>
  <c r="O18" i="3"/>
  <c r="Q18" i="3"/>
  <c r="O55" i="3"/>
  <c r="Q55" i="3"/>
  <c r="O126" i="3"/>
  <c r="Q126" i="3"/>
  <c r="N86" i="3"/>
  <c r="N49" i="3"/>
  <c r="O93" i="3"/>
  <c r="Q93" i="3"/>
  <c r="O125" i="3"/>
  <c r="Q125" i="3"/>
  <c r="O17" i="3"/>
  <c r="Q17" i="3"/>
  <c r="N59" i="3"/>
  <c r="O33" i="3"/>
  <c r="Q33" i="3"/>
  <c r="O119" i="3"/>
  <c r="Q119" i="3"/>
  <c r="O24" i="3"/>
  <c r="Q24" i="3"/>
  <c r="N70" i="3"/>
  <c r="N111" i="3"/>
  <c r="O50" i="3"/>
  <c r="Q50" i="3"/>
  <c r="O9" i="3"/>
  <c r="Q9" i="3"/>
  <c r="O8" i="3"/>
  <c r="Q8" i="3"/>
  <c r="O103" i="3"/>
  <c r="Q103" i="3"/>
  <c r="O92" i="3"/>
  <c r="Q92" i="3"/>
  <c r="N62" i="3"/>
  <c r="O65" i="3"/>
  <c r="Q65" i="3"/>
  <c r="O64" i="3"/>
  <c r="Q64" i="3"/>
  <c r="O48" i="3"/>
  <c r="Q48" i="3"/>
  <c r="N27" i="3"/>
  <c r="O78" i="3"/>
  <c r="Q78" i="3"/>
  <c r="O108" i="3"/>
  <c r="Q108" i="3"/>
  <c r="N39" i="3"/>
  <c r="N81" i="3"/>
  <c r="O120" i="3"/>
  <c r="Q120" i="3"/>
  <c r="S7" i="3"/>
  <c r="N98" i="3"/>
  <c r="N72" i="3"/>
  <c r="O32" i="3"/>
  <c r="Q32" i="3"/>
  <c r="O36" i="3"/>
  <c r="Q36" i="3"/>
  <c r="O91" i="3"/>
  <c r="Q91" i="3"/>
  <c r="O118" i="3"/>
  <c r="Q118" i="3"/>
  <c r="O7" i="3"/>
  <c r="O40" i="3"/>
  <c r="Q40" i="3"/>
  <c r="O117" i="3"/>
  <c r="Q117" i="3"/>
  <c r="O60" i="3"/>
  <c r="Q60" i="3"/>
  <c r="O52" i="3"/>
  <c r="Q52" i="3"/>
  <c r="N53" i="3"/>
  <c r="O22" i="3"/>
  <c r="Q22" i="3"/>
  <c r="Z993" i="1"/>
  <c r="AA605" i="1" s="1"/>
  <c r="I245" i="2"/>
  <c r="M245" i="2" s="1"/>
  <c r="I265" i="2"/>
  <c r="M265" i="2" s="1"/>
  <c r="I285" i="2"/>
  <c r="M285" i="2" s="1"/>
  <c r="I305" i="2"/>
  <c r="M305" i="2" s="1"/>
  <c r="I325" i="2"/>
  <c r="M325" i="2" s="1"/>
  <c r="I345" i="2"/>
  <c r="M345" i="2" s="1"/>
  <c r="I246" i="2"/>
  <c r="M246" i="2" s="1"/>
  <c r="I266" i="2"/>
  <c r="M266" i="2" s="1"/>
  <c r="I286" i="2"/>
  <c r="M286" i="2" s="1"/>
  <c r="I306" i="2"/>
  <c r="M306" i="2" s="1"/>
  <c r="I326" i="2"/>
  <c r="M326" i="2" s="1"/>
  <c r="I346" i="2"/>
  <c r="M346" i="2" s="1"/>
  <c r="I252" i="2"/>
  <c r="M252" i="2" s="1"/>
  <c r="I272" i="2"/>
  <c r="M272" i="2" s="1"/>
  <c r="I292" i="2"/>
  <c r="M292" i="2" s="1"/>
  <c r="I312" i="2"/>
  <c r="M312" i="2" s="1"/>
  <c r="I332" i="2"/>
  <c r="M332" i="2" s="1"/>
  <c r="I352" i="2"/>
  <c r="M352" i="2" s="1"/>
  <c r="I253" i="2"/>
  <c r="M253" i="2" s="1"/>
  <c r="I273" i="2"/>
  <c r="M273" i="2" s="1"/>
  <c r="I293" i="2"/>
  <c r="M293" i="2" s="1"/>
  <c r="I313" i="2"/>
  <c r="M313" i="2" s="1"/>
  <c r="I333" i="2"/>
  <c r="M333" i="2" s="1"/>
  <c r="I353" i="2"/>
  <c r="M353" i="2" s="1"/>
  <c r="I255" i="2"/>
  <c r="M255" i="2" s="1"/>
  <c r="I275" i="2"/>
  <c r="M275" i="2" s="1"/>
  <c r="I295" i="2"/>
  <c r="M295" i="2" s="1"/>
  <c r="I315" i="2"/>
  <c r="M315" i="2" s="1"/>
  <c r="I335" i="2"/>
  <c r="M335" i="2" s="1"/>
  <c r="I355" i="2"/>
  <c r="M355" i="2" s="1"/>
  <c r="I256" i="2"/>
  <c r="M256" i="2" s="1"/>
  <c r="I276" i="2"/>
  <c r="M276" i="2" s="1"/>
  <c r="I296" i="2"/>
  <c r="M296" i="2" s="1"/>
  <c r="I316" i="2"/>
  <c r="M316" i="2" s="1"/>
  <c r="I336" i="2"/>
  <c r="M336" i="2" s="1"/>
  <c r="I356" i="2"/>
  <c r="M356" i="2" s="1"/>
  <c r="I247" i="2"/>
  <c r="M247" i="2" s="1"/>
  <c r="I267" i="2"/>
  <c r="M267" i="2" s="1"/>
  <c r="I287" i="2"/>
  <c r="M287" i="2" s="1"/>
  <c r="I307" i="2"/>
  <c r="M307" i="2" s="1"/>
  <c r="I327" i="2"/>
  <c r="M327" i="2" s="1"/>
  <c r="I347" i="2"/>
  <c r="M347" i="2" s="1"/>
  <c r="I248" i="2"/>
  <c r="M248" i="2" s="1"/>
  <c r="I268" i="2"/>
  <c r="M268" i="2" s="1"/>
  <c r="I288" i="2"/>
  <c r="M288" i="2" s="1"/>
  <c r="I308" i="2"/>
  <c r="M308" i="2" s="1"/>
  <c r="I328" i="2"/>
  <c r="M328" i="2" s="1"/>
  <c r="I348" i="2"/>
  <c r="M348" i="2" s="1"/>
  <c r="I249" i="2"/>
  <c r="M249" i="2" s="1"/>
  <c r="I269" i="2"/>
  <c r="M269" i="2" s="1"/>
  <c r="I289" i="2"/>
  <c r="M289" i="2" s="1"/>
  <c r="I309" i="2"/>
  <c r="M309" i="2" s="1"/>
  <c r="I329" i="2"/>
  <c r="M329" i="2" s="1"/>
  <c r="I349" i="2"/>
  <c r="M349" i="2" s="1"/>
  <c r="I250" i="2"/>
  <c r="M250" i="2" s="1"/>
  <c r="I270" i="2"/>
  <c r="M270" i="2" s="1"/>
  <c r="I290" i="2"/>
  <c r="M290" i="2" s="1"/>
  <c r="I310" i="2"/>
  <c r="M310" i="2" s="1"/>
  <c r="I330" i="2"/>
  <c r="M330" i="2" s="1"/>
  <c r="I350" i="2"/>
  <c r="M350" i="2" s="1"/>
  <c r="I251" i="2"/>
  <c r="M251" i="2" s="1"/>
  <c r="I271" i="2"/>
  <c r="M271" i="2" s="1"/>
  <c r="I291" i="2"/>
  <c r="M291" i="2" s="1"/>
  <c r="I311" i="2"/>
  <c r="M311" i="2" s="1"/>
  <c r="I331" i="2"/>
  <c r="M331" i="2" s="1"/>
  <c r="I351" i="2"/>
  <c r="M351" i="2" s="1"/>
  <c r="I254" i="2"/>
  <c r="M254" i="2" s="1"/>
  <c r="I274" i="2"/>
  <c r="M274" i="2" s="1"/>
  <c r="I294" i="2"/>
  <c r="M294" i="2" s="1"/>
  <c r="I314" i="2"/>
  <c r="M314" i="2" s="1"/>
  <c r="I334" i="2"/>
  <c r="M334" i="2" s="1"/>
  <c r="I354" i="2"/>
  <c r="M354" i="2" s="1"/>
  <c r="I257" i="2"/>
  <c r="M257" i="2" s="1"/>
  <c r="I277" i="2"/>
  <c r="M277" i="2" s="1"/>
  <c r="I297" i="2"/>
  <c r="M297" i="2" s="1"/>
  <c r="I317" i="2"/>
  <c r="M317" i="2" s="1"/>
  <c r="I337" i="2"/>
  <c r="M337" i="2" s="1"/>
  <c r="I357" i="2"/>
  <c r="M357" i="2" s="1"/>
  <c r="I258" i="2"/>
  <c r="M258" i="2" s="1"/>
  <c r="I278" i="2"/>
  <c r="M278" i="2" s="1"/>
  <c r="I298" i="2"/>
  <c r="M298" i="2" s="1"/>
  <c r="I318" i="2"/>
  <c r="M318" i="2" s="1"/>
  <c r="I338" i="2"/>
  <c r="M338" i="2" s="1"/>
  <c r="I358" i="2"/>
  <c r="M358" i="2" s="1"/>
  <c r="I260" i="2"/>
  <c r="M260" i="2" s="1"/>
  <c r="I280" i="2"/>
  <c r="M280" i="2" s="1"/>
  <c r="I300" i="2"/>
  <c r="M300" i="2" s="1"/>
  <c r="I320" i="2"/>
  <c r="M320" i="2" s="1"/>
  <c r="I340" i="2"/>
  <c r="M340" i="2" s="1"/>
  <c r="I360" i="2"/>
  <c r="M360" i="2" s="1"/>
  <c r="I241" i="2"/>
  <c r="M241" i="2" s="1"/>
  <c r="I261" i="2"/>
  <c r="M261" i="2" s="1"/>
  <c r="I281" i="2"/>
  <c r="M281" i="2" s="1"/>
  <c r="I301" i="2"/>
  <c r="M301" i="2" s="1"/>
  <c r="I321" i="2"/>
  <c r="M321" i="2" s="1"/>
  <c r="I341" i="2"/>
  <c r="M341" i="2" s="1"/>
  <c r="I240" i="2"/>
  <c r="M240" i="2" s="1"/>
  <c r="I242" i="2"/>
  <c r="M242" i="2" s="1"/>
  <c r="I262" i="2"/>
  <c r="M262" i="2" s="1"/>
  <c r="I282" i="2"/>
  <c r="M282" i="2" s="1"/>
  <c r="I302" i="2"/>
  <c r="M302" i="2" s="1"/>
  <c r="I322" i="2"/>
  <c r="M322" i="2" s="1"/>
  <c r="I342" i="2"/>
  <c r="M342" i="2" s="1"/>
  <c r="I243" i="2"/>
  <c r="M243" i="2" s="1"/>
  <c r="I263" i="2"/>
  <c r="M263" i="2" s="1"/>
  <c r="I283" i="2"/>
  <c r="M283" i="2" s="1"/>
  <c r="I303" i="2"/>
  <c r="M303" i="2" s="1"/>
  <c r="I323" i="2"/>
  <c r="M323" i="2" s="1"/>
  <c r="I343" i="2"/>
  <c r="M343" i="2" s="1"/>
  <c r="I244" i="2"/>
  <c r="M244" i="2" s="1"/>
  <c r="I264" i="2"/>
  <c r="M264" i="2" s="1"/>
  <c r="I284" i="2"/>
  <c r="M284" i="2" s="1"/>
  <c r="I304" i="2"/>
  <c r="M304" i="2" s="1"/>
  <c r="I324" i="2"/>
  <c r="M324" i="2" s="1"/>
  <c r="I344" i="2"/>
  <c r="M344" i="2" s="1"/>
  <c r="I339" i="2"/>
  <c r="M339" i="2" s="1"/>
  <c r="I359" i="2"/>
  <c r="M359" i="2" s="1"/>
  <c r="I259" i="2"/>
  <c r="M259" i="2" s="1"/>
  <c r="I279" i="2"/>
  <c r="M279" i="2" s="1"/>
  <c r="I299" i="2"/>
  <c r="M299" i="2" s="1"/>
  <c r="I319" i="2"/>
  <c r="M319" i="2" s="1"/>
  <c r="H149" i="2"/>
  <c r="H227" i="2"/>
  <c r="H170" i="2"/>
  <c r="H226" i="2"/>
  <c r="H200" i="2"/>
  <c r="H225" i="2"/>
  <c r="H199" i="2"/>
  <c r="H166" i="2"/>
  <c r="H223" i="2"/>
  <c r="H192" i="2"/>
  <c r="H222" i="2"/>
  <c r="H164" i="2"/>
  <c r="H190" i="2"/>
  <c r="H188" i="2"/>
  <c r="H187" i="2"/>
  <c r="H213" i="2"/>
  <c r="H186" i="2"/>
  <c r="H160" i="2"/>
  <c r="H201" i="2"/>
  <c r="H168" i="2"/>
  <c r="H167" i="2"/>
  <c r="H224" i="2"/>
  <c r="H193" i="2"/>
  <c r="H165" i="2"/>
  <c r="H191" i="2"/>
  <c r="H221" i="2"/>
  <c r="H163" i="2"/>
  <c r="H220" i="2"/>
  <c r="H162" i="2"/>
  <c r="H219" i="2"/>
  <c r="H161" i="2"/>
  <c r="H212" i="2"/>
  <c r="H185" i="2"/>
  <c r="H159" i="2"/>
  <c r="H210" i="2"/>
  <c r="H211" i="2"/>
  <c r="H184" i="2"/>
  <c r="H183" i="2"/>
  <c r="H151" i="2"/>
  <c r="H207" i="2"/>
  <c r="H181" i="2"/>
  <c r="H233" i="2"/>
  <c r="H148" i="2"/>
  <c r="H232" i="2"/>
  <c r="H205" i="2"/>
  <c r="H179" i="2"/>
  <c r="H147" i="2"/>
  <c r="H153" i="2"/>
  <c r="H152" i="2"/>
  <c r="H208" i="2"/>
  <c r="H182" i="2"/>
  <c r="H150" i="2"/>
  <c r="H206" i="2"/>
  <c r="H180" i="2"/>
  <c r="H231" i="2"/>
  <c r="H204" i="2"/>
  <c r="H173" i="2"/>
  <c r="H146" i="2"/>
  <c r="H230" i="2"/>
  <c r="H203" i="2"/>
  <c r="H172" i="2"/>
  <c r="H145" i="2"/>
  <c r="H228" i="2"/>
  <c r="H202" i="2"/>
  <c r="H171" i="2"/>
  <c r="H177" i="2"/>
  <c r="H176" i="2"/>
  <c r="H215" i="2"/>
  <c r="H195" i="2"/>
  <c r="H175" i="2"/>
  <c r="H155" i="2"/>
  <c r="H218" i="2"/>
  <c r="H198" i="2"/>
  <c r="H178" i="2"/>
  <c r="H158" i="2"/>
  <c r="H217" i="2"/>
  <c r="H197" i="2"/>
  <c r="H157" i="2"/>
  <c r="H216" i="2"/>
  <c r="H196" i="2"/>
  <c r="H156" i="2"/>
  <c r="H214" i="2"/>
  <c r="H194" i="2"/>
  <c r="H174" i="2"/>
  <c r="H154" i="2"/>
  <c r="H229" i="2"/>
  <c r="H209" i="2"/>
  <c r="H189" i="2"/>
  <c r="H169" i="2"/>
  <c r="I145" i="2"/>
  <c r="M145" i="2" s="1"/>
  <c r="I163" i="2"/>
  <c r="M163" i="2" s="1"/>
  <c r="I183" i="2"/>
  <c r="M183" i="2" s="1"/>
  <c r="I203" i="2"/>
  <c r="M203" i="2" s="1"/>
  <c r="I223" i="2"/>
  <c r="M223" i="2" s="1"/>
  <c r="I164" i="2"/>
  <c r="M164" i="2" s="1"/>
  <c r="I184" i="2"/>
  <c r="M184" i="2" s="1"/>
  <c r="I204" i="2"/>
  <c r="M204" i="2" s="1"/>
  <c r="I224" i="2"/>
  <c r="M224" i="2" s="1"/>
  <c r="I165" i="2"/>
  <c r="M165" i="2" s="1"/>
  <c r="I185" i="2"/>
  <c r="M185" i="2" s="1"/>
  <c r="I205" i="2"/>
  <c r="M205" i="2" s="1"/>
  <c r="I225" i="2"/>
  <c r="M225" i="2" s="1"/>
  <c r="I146" i="2"/>
  <c r="M146" i="2" s="1"/>
  <c r="I166" i="2"/>
  <c r="M166" i="2" s="1"/>
  <c r="I186" i="2"/>
  <c r="M186" i="2" s="1"/>
  <c r="I206" i="2"/>
  <c r="M206" i="2" s="1"/>
  <c r="I226" i="2"/>
  <c r="M226" i="2" s="1"/>
  <c r="I147" i="2"/>
  <c r="M147" i="2" s="1"/>
  <c r="I167" i="2"/>
  <c r="M167" i="2" s="1"/>
  <c r="I187" i="2"/>
  <c r="M187" i="2" s="1"/>
  <c r="I207" i="2"/>
  <c r="M207" i="2" s="1"/>
  <c r="I227" i="2"/>
  <c r="M227" i="2" s="1"/>
  <c r="I148" i="2"/>
  <c r="M148" i="2" s="1"/>
  <c r="I168" i="2"/>
  <c r="M168" i="2" s="1"/>
  <c r="I188" i="2"/>
  <c r="M188" i="2" s="1"/>
  <c r="I208" i="2"/>
  <c r="M208" i="2" s="1"/>
  <c r="I228" i="2"/>
  <c r="M228" i="2" s="1"/>
  <c r="I149" i="2"/>
  <c r="M149" i="2" s="1"/>
  <c r="I169" i="2"/>
  <c r="M169" i="2" s="1"/>
  <c r="I189" i="2"/>
  <c r="M189" i="2" s="1"/>
  <c r="I209" i="2"/>
  <c r="M209" i="2" s="1"/>
  <c r="I229" i="2"/>
  <c r="M229" i="2" s="1"/>
  <c r="I150" i="2"/>
  <c r="M150" i="2" s="1"/>
  <c r="I170" i="2"/>
  <c r="M170" i="2" s="1"/>
  <c r="I190" i="2"/>
  <c r="M190" i="2" s="1"/>
  <c r="I210" i="2"/>
  <c r="M210" i="2" s="1"/>
  <c r="I230" i="2"/>
  <c r="M230" i="2" s="1"/>
  <c r="I173" i="2"/>
  <c r="M173" i="2" s="1"/>
  <c r="I193" i="2"/>
  <c r="M193" i="2" s="1"/>
  <c r="I213" i="2"/>
  <c r="M213" i="2" s="1"/>
  <c r="I233" i="2"/>
  <c r="M233" i="2" s="1"/>
  <c r="I154" i="2"/>
  <c r="M154" i="2" s="1"/>
  <c r="I174" i="2"/>
  <c r="M174" i="2" s="1"/>
  <c r="I194" i="2"/>
  <c r="M194" i="2" s="1"/>
  <c r="I214" i="2"/>
  <c r="M214" i="2" s="1"/>
  <c r="I155" i="2"/>
  <c r="M155" i="2" s="1"/>
  <c r="I195" i="2"/>
  <c r="M195" i="2" s="1"/>
  <c r="I215" i="2"/>
  <c r="M215" i="2" s="1"/>
  <c r="I181" i="2"/>
  <c r="M181" i="2" s="1"/>
  <c r="I201" i="2"/>
  <c r="M201" i="2" s="1"/>
  <c r="I221" i="2"/>
  <c r="M221" i="2" s="1"/>
  <c r="I162" i="2"/>
  <c r="M162" i="2" s="1"/>
  <c r="I182" i="2"/>
  <c r="M182" i="2" s="1"/>
  <c r="I202" i="2"/>
  <c r="M202" i="2" s="1"/>
  <c r="I151" i="2"/>
  <c r="M151" i="2" s="1"/>
  <c r="I171" i="2"/>
  <c r="M171" i="2" s="1"/>
  <c r="I191" i="2"/>
  <c r="M191" i="2" s="1"/>
  <c r="I211" i="2"/>
  <c r="M211" i="2" s="1"/>
  <c r="I231" i="2"/>
  <c r="M231" i="2" s="1"/>
  <c r="I152" i="2"/>
  <c r="M152" i="2" s="1"/>
  <c r="I172" i="2"/>
  <c r="M172" i="2" s="1"/>
  <c r="I192" i="2"/>
  <c r="M192" i="2" s="1"/>
  <c r="I212" i="2"/>
  <c r="M212" i="2" s="1"/>
  <c r="I232" i="2"/>
  <c r="M232" i="2" s="1"/>
  <c r="I153" i="2"/>
  <c r="M153" i="2" s="1"/>
  <c r="I175" i="2"/>
  <c r="M175" i="2" s="1"/>
  <c r="I156" i="2"/>
  <c r="M156" i="2" s="1"/>
  <c r="I176" i="2"/>
  <c r="M176" i="2" s="1"/>
  <c r="I196" i="2"/>
  <c r="M196" i="2" s="1"/>
  <c r="I216" i="2"/>
  <c r="M216" i="2" s="1"/>
  <c r="I157" i="2"/>
  <c r="M157" i="2" s="1"/>
  <c r="I177" i="2"/>
  <c r="M177" i="2" s="1"/>
  <c r="I197" i="2"/>
  <c r="M197" i="2" s="1"/>
  <c r="I217" i="2"/>
  <c r="M217" i="2" s="1"/>
  <c r="I158" i="2"/>
  <c r="M158" i="2" s="1"/>
  <c r="I178" i="2"/>
  <c r="M178" i="2" s="1"/>
  <c r="I198" i="2"/>
  <c r="M198" i="2" s="1"/>
  <c r="I218" i="2"/>
  <c r="M218" i="2" s="1"/>
  <c r="I159" i="2"/>
  <c r="M159" i="2" s="1"/>
  <c r="I179" i="2"/>
  <c r="M179" i="2" s="1"/>
  <c r="I199" i="2"/>
  <c r="M199" i="2" s="1"/>
  <c r="I219" i="2"/>
  <c r="M219" i="2" s="1"/>
  <c r="I160" i="2"/>
  <c r="M160" i="2" s="1"/>
  <c r="I180" i="2"/>
  <c r="M180" i="2" s="1"/>
  <c r="I200" i="2"/>
  <c r="M200" i="2" s="1"/>
  <c r="I220" i="2"/>
  <c r="M220" i="2" s="1"/>
  <c r="I161" i="2"/>
  <c r="M161" i="2" s="1"/>
  <c r="I222" i="2"/>
  <c r="M222" i="2" s="1"/>
  <c r="M32" i="2"/>
  <c r="M52" i="2"/>
  <c r="L89" i="2"/>
  <c r="L21" i="2"/>
  <c r="L115" i="2"/>
  <c r="L130" i="2"/>
  <c r="L112" i="2"/>
  <c r="L135" i="2"/>
  <c r="L138" i="2"/>
  <c r="L19" i="2"/>
  <c r="L119" i="2"/>
  <c r="L20" i="2"/>
  <c r="L120" i="2"/>
  <c r="L41" i="2"/>
  <c r="L22" i="2"/>
  <c r="L23" i="2"/>
  <c r="L123" i="2"/>
  <c r="L24" i="2"/>
  <c r="L124" i="2"/>
  <c r="L25" i="2"/>
  <c r="L26" i="2"/>
  <c r="L126" i="2"/>
  <c r="L27" i="2"/>
  <c r="M137" i="2"/>
  <c r="L87" i="2"/>
  <c r="L108" i="2"/>
  <c r="L80" i="2"/>
  <c r="L61" i="2"/>
  <c r="L81" i="2"/>
  <c r="L101" i="2"/>
  <c r="L121" i="2"/>
  <c r="L42" i="2"/>
  <c r="L62" i="2"/>
  <c r="L82" i="2"/>
  <c r="L102" i="2"/>
  <c r="L122" i="2"/>
  <c r="L84" i="2"/>
  <c r="L45" i="2"/>
  <c r="L65" i="2"/>
  <c r="L85" i="2"/>
  <c r="L105" i="2"/>
  <c r="L125" i="2"/>
  <c r="L83" i="2"/>
  <c r="L129" i="2"/>
  <c r="L86" i="2"/>
  <c r="L60" i="2"/>
  <c r="L127" i="2"/>
  <c r="L69" i="2"/>
  <c r="L32" i="2"/>
  <c r="L72" i="2"/>
  <c r="L132" i="2"/>
  <c r="L33" i="2"/>
  <c r="L53" i="2"/>
  <c r="L73" i="2"/>
  <c r="L93" i="2"/>
  <c r="L113" i="2"/>
  <c r="L133" i="2"/>
  <c r="L34" i="2"/>
  <c r="L54" i="2"/>
  <c r="L74" i="2"/>
  <c r="L94" i="2"/>
  <c r="L114" i="2"/>
  <c r="L134" i="2"/>
  <c r="L67" i="2"/>
  <c r="L59" i="2"/>
  <c r="L99" i="2"/>
  <c r="L100" i="2"/>
  <c r="L63" i="2"/>
  <c r="L103" i="2"/>
  <c r="L64" i="2"/>
  <c r="L104" i="2"/>
  <c r="L66" i="2"/>
  <c r="L106" i="2"/>
  <c r="L107" i="2"/>
  <c r="L28" i="2"/>
  <c r="L68" i="2"/>
  <c r="L128" i="2"/>
  <c r="L109" i="2"/>
  <c r="L50" i="2"/>
  <c r="L90" i="2"/>
  <c r="L110" i="2"/>
  <c r="L51" i="2"/>
  <c r="L91" i="2"/>
  <c r="L131" i="2"/>
  <c r="L52" i="2"/>
  <c r="L92" i="2"/>
  <c r="L36" i="2"/>
  <c r="L56" i="2"/>
  <c r="L76" i="2"/>
  <c r="L96" i="2"/>
  <c r="L116" i="2"/>
  <c r="L136" i="2"/>
  <c r="L40" i="2"/>
  <c r="L47" i="2"/>
  <c r="L49" i="2"/>
  <c r="L137" i="2"/>
  <c r="L39" i="2"/>
  <c r="L79" i="2"/>
  <c r="L43" i="2"/>
  <c r="L44" i="2"/>
  <c r="L46" i="2"/>
  <c r="L48" i="2"/>
  <c r="L88" i="2"/>
  <c r="L29" i="2"/>
  <c r="L30" i="2"/>
  <c r="L70" i="2"/>
  <c r="L31" i="2"/>
  <c r="L71" i="2"/>
  <c r="L111" i="2"/>
  <c r="L35" i="2"/>
  <c r="L55" i="2"/>
  <c r="L75" i="2"/>
  <c r="L95" i="2"/>
  <c r="L37" i="2"/>
  <c r="L57" i="2"/>
  <c r="L77" i="2"/>
  <c r="L97" i="2"/>
  <c r="L117" i="2"/>
  <c r="L38" i="2"/>
  <c r="L58" i="2"/>
  <c r="L78" i="2"/>
  <c r="L98" i="2"/>
  <c r="L118" i="2"/>
  <c r="M36" i="2"/>
  <c r="M56" i="2"/>
  <c r="M96" i="2"/>
  <c r="M116" i="2"/>
  <c r="M39" i="2"/>
  <c r="M92" i="2"/>
  <c r="T76" i="3" l="1"/>
  <c r="N283" i="6"/>
  <c r="T45" i="3"/>
  <c r="N551" i="6"/>
  <c r="T33" i="3"/>
  <c r="N732" i="6"/>
  <c r="P39" i="2"/>
  <c r="P40" i="2"/>
  <c r="N173" i="6"/>
  <c r="T124" i="3"/>
  <c r="T74" i="3"/>
  <c r="N728" i="6"/>
  <c r="N545" i="6"/>
  <c r="T85" i="3"/>
  <c r="N597" i="6"/>
  <c r="T77" i="3"/>
  <c r="P41" i="2"/>
  <c r="T98" i="3"/>
  <c r="N308" i="6"/>
  <c r="T55" i="3"/>
  <c r="N681" i="6"/>
  <c r="S9" i="3"/>
  <c r="R9" i="3"/>
  <c r="S126" i="3"/>
  <c r="R126" i="3"/>
  <c r="S110" i="3"/>
  <c r="R110" i="3"/>
  <c r="S40" i="3"/>
  <c r="R40" i="3"/>
  <c r="S78" i="3"/>
  <c r="R78" i="3"/>
  <c r="S104" i="3"/>
  <c r="R104" i="3"/>
  <c r="S115" i="3"/>
  <c r="R115" i="3"/>
  <c r="S117" i="3"/>
  <c r="R117" i="3"/>
  <c r="S55" i="3"/>
  <c r="R55" i="3"/>
  <c r="S95" i="3"/>
  <c r="R95" i="3"/>
  <c r="S83" i="3"/>
  <c r="R83" i="3"/>
  <c r="S64" i="3"/>
  <c r="R64" i="3"/>
  <c r="S61" i="3"/>
  <c r="R61" i="3"/>
  <c r="S33" i="3"/>
  <c r="R33" i="3"/>
  <c r="S11" i="3"/>
  <c r="R11" i="3"/>
  <c r="S41" i="3"/>
  <c r="R41" i="3"/>
  <c r="S63" i="3"/>
  <c r="R63" i="3"/>
  <c r="S29" i="3"/>
  <c r="R29" i="3"/>
  <c r="S106" i="3"/>
  <c r="R106" i="3"/>
  <c r="S36" i="3"/>
  <c r="R36" i="3"/>
  <c r="S65" i="3"/>
  <c r="R65" i="3"/>
  <c r="S112" i="3"/>
  <c r="R112" i="3"/>
  <c r="S96" i="3"/>
  <c r="R96" i="3"/>
  <c r="S34" i="3"/>
  <c r="R34" i="3"/>
  <c r="S50" i="3"/>
  <c r="R50" i="3"/>
  <c r="S101" i="3"/>
  <c r="R101" i="3"/>
  <c r="S54" i="3"/>
  <c r="R54" i="3"/>
  <c r="S48" i="3"/>
  <c r="R48" i="3"/>
  <c r="S20" i="3"/>
  <c r="R20" i="3"/>
  <c r="S122" i="3"/>
  <c r="R122" i="3"/>
  <c r="S22" i="3"/>
  <c r="R22" i="3"/>
  <c r="S125" i="3"/>
  <c r="R125" i="3"/>
  <c r="S107" i="3"/>
  <c r="R107" i="3"/>
  <c r="S16" i="3"/>
  <c r="R16" i="3"/>
  <c r="S91" i="3"/>
  <c r="R91" i="3"/>
  <c r="S32" i="3"/>
  <c r="R32" i="3"/>
  <c r="S31" i="3"/>
  <c r="R31" i="3"/>
  <c r="S60" i="3"/>
  <c r="R60" i="3"/>
  <c r="S108" i="3"/>
  <c r="R108" i="3"/>
  <c r="S113" i="3"/>
  <c r="R113" i="3"/>
  <c r="S18" i="3"/>
  <c r="R18" i="3"/>
  <c r="S24" i="3"/>
  <c r="R24" i="3"/>
  <c r="S118" i="3"/>
  <c r="R118" i="3"/>
  <c r="S94" i="3"/>
  <c r="R94" i="3"/>
  <c r="S119" i="3"/>
  <c r="R119" i="3"/>
  <c r="S80" i="3"/>
  <c r="R80" i="3"/>
  <c r="S17" i="3"/>
  <c r="R17" i="3"/>
  <c r="S92" i="3"/>
  <c r="R92" i="3"/>
  <c r="S103" i="3"/>
  <c r="R103" i="3"/>
  <c r="S66" i="3"/>
  <c r="R66" i="3"/>
  <c r="S93" i="3"/>
  <c r="R93" i="3"/>
  <c r="S52" i="3"/>
  <c r="R52" i="3"/>
  <c r="S120" i="3"/>
  <c r="R120" i="3"/>
  <c r="S8" i="3"/>
  <c r="R8" i="3"/>
  <c r="S99" i="3"/>
  <c r="R99" i="3"/>
  <c r="S30" i="3"/>
  <c r="R30" i="3"/>
  <c r="S44" i="3"/>
  <c r="R44" i="3"/>
  <c r="O47" i="3"/>
  <c r="Q47" i="3"/>
  <c r="O111" i="3"/>
  <c r="Q111" i="3"/>
  <c r="O98" i="3"/>
  <c r="Q98" i="3"/>
  <c r="O53" i="3"/>
  <c r="Q53" i="3"/>
  <c r="O38" i="3"/>
  <c r="Q38" i="3"/>
  <c r="O86" i="3"/>
  <c r="Q86" i="3"/>
  <c r="O21" i="3"/>
  <c r="Q21" i="3"/>
  <c r="O62" i="3"/>
  <c r="Q62" i="3"/>
  <c r="O59" i="3"/>
  <c r="Q59" i="3"/>
  <c r="O76" i="3"/>
  <c r="Q76" i="3"/>
  <c r="O74" i="3"/>
  <c r="Q74" i="3"/>
  <c r="O81" i="3"/>
  <c r="Q81" i="3"/>
  <c r="O27" i="3"/>
  <c r="Q27" i="3"/>
  <c r="O70" i="3"/>
  <c r="Q70" i="3"/>
  <c r="O72" i="3"/>
  <c r="Q72" i="3"/>
  <c r="O39" i="3"/>
  <c r="Q39" i="3"/>
  <c r="O71" i="3"/>
  <c r="Q71" i="3"/>
  <c r="O75" i="3"/>
  <c r="Q75" i="3"/>
  <c r="O114" i="3"/>
  <c r="Q114" i="3"/>
  <c r="O85" i="3"/>
  <c r="Q85" i="3"/>
  <c r="O49" i="3"/>
  <c r="Q49" i="3"/>
  <c r="AA23" i="1"/>
  <c r="AA867" i="1"/>
  <c r="AA535" i="1"/>
  <c r="AA43" i="1"/>
  <c r="AA404" i="1"/>
  <c r="AA615" i="1"/>
  <c r="AA424" i="1"/>
  <c r="AA639" i="1"/>
  <c r="AA787" i="1"/>
  <c r="AA226" i="1"/>
  <c r="AA246" i="1"/>
  <c r="AA827" i="1"/>
  <c r="AA927" i="1"/>
  <c r="AA370" i="1"/>
  <c r="AA771" i="1"/>
  <c r="AA732" i="1"/>
  <c r="AA768" i="1"/>
  <c r="AA808" i="1"/>
  <c r="AA812" i="1"/>
  <c r="AA690" i="1"/>
  <c r="AA329" i="1"/>
  <c r="AA294" i="1"/>
  <c r="AA634" i="1"/>
  <c r="AA934" i="1"/>
  <c r="AA872" i="1"/>
  <c r="AA51" i="1"/>
  <c r="AA740" i="1"/>
  <c r="AA928" i="1"/>
  <c r="AA566" i="1"/>
  <c r="AA145" i="1"/>
  <c r="AA515" i="1"/>
  <c r="AA123" i="1"/>
  <c r="AA987" i="1"/>
  <c r="AA670" i="1"/>
  <c r="AA211" i="1"/>
  <c r="AA251" i="1"/>
  <c r="AA547" i="1"/>
  <c r="AA563" i="1"/>
  <c r="AA866" i="1"/>
  <c r="AA606" i="1"/>
  <c r="AA687" i="1"/>
  <c r="AA291" i="1"/>
  <c r="AA132" i="1"/>
  <c r="AA468" i="1"/>
  <c r="AA582" i="1"/>
  <c r="AA659" i="1"/>
  <c r="AA910" i="1"/>
  <c r="AA635" i="1"/>
  <c r="AA882" i="1"/>
  <c r="AA342" i="1"/>
  <c r="AA982" i="1"/>
  <c r="AA319" i="1"/>
  <c r="AA4" i="1"/>
  <c r="AA804" i="1"/>
  <c r="AA926" i="1"/>
  <c r="AA626" i="1"/>
  <c r="AA747" i="1"/>
  <c r="AA351" i="1"/>
  <c r="AA212" i="1"/>
  <c r="AA508" i="1"/>
  <c r="AA762" i="1"/>
  <c r="AA779" i="1"/>
  <c r="AA990" i="1"/>
  <c r="AA440" i="1"/>
  <c r="AA703" i="1"/>
  <c r="AA402" i="1"/>
  <c r="AA983" i="1"/>
  <c r="AA19" i="1"/>
  <c r="AA24" i="1"/>
  <c r="AA824" i="1"/>
  <c r="AA986" i="1"/>
  <c r="AA646" i="1"/>
  <c r="AA847" i="1"/>
  <c r="AA371" i="1"/>
  <c r="AA332" i="1"/>
  <c r="AA548" i="1"/>
  <c r="AA942" i="1"/>
  <c r="AA300" i="1"/>
  <c r="AA839" i="1"/>
  <c r="AA760" i="1"/>
  <c r="AA963" i="1"/>
  <c r="AA542" i="1"/>
  <c r="AA280" i="1"/>
  <c r="AA79" i="1"/>
  <c r="AA84" i="1"/>
  <c r="AA884" i="1"/>
  <c r="AA507" i="1"/>
  <c r="AA706" i="1"/>
  <c r="AA30" i="1"/>
  <c r="AA451" i="1"/>
  <c r="AA352" i="1"/>
  <c r="AA608" i="1"/>
  <c r="AA623" i="1"/>
  <c r="AA460" i="1"/>
  <c r="AA800" i="1"/>
  <c r="AA743" i="1"/>
  <c r="AA14" i="1"/>
  <c r="AA922" i="1"/>
  <c r="AA940" i="1"/>
  <c r="AA810" i="1"/>
  <c r="AA575" i="1"/>
  <c r="AA484" i="1"/>
  <c r="AA890" i="1"/>
  <c r="AA67" i="1"/>
  <c r="AA669" i="1"/>
  <c r="AA559" i="1"/>
  <c r="AA584" i="1"/>
  <c r="AA599" i="1"/>
  <c r="AA620" i="1"/>
  <c r="AA426" i="1"/>
  <c r="AA8" i="1"/>
  <c r="AA889" i="1"/>
  <c r="AA526" i="1"/>
  <c r="AA560" i="1"/>
  <c r="AA362" i="1"/>
  <c r="AA851" i="1"/>
  <c r="AA335" i="1"/>
  <c r="AA47" i="1"/>
  <c r="AA674" i="1"/>
  <c r="AA65" i="1"/>
  <c r="AA950" i="1"/>
  <c r="AA755" i="1"/>
  <c r="AA171" i="1"/>
  <c r="AA834" i="1"/>
  <c r="AA223" i="1"/>
  <c r="AA191" i="1"/>
  <c r="AA894" i="1"/>
  <c r="AA363" i="1"/>
  <c r="AA480" i="1"/>
  <c r="AA395" i="1"/>
  <c r="AA349" i="1"/>
  <c r="AA103" i="1"/>
  <c r="AA489" i="1"/>
  <c r="AA792" i="1"/>
  <c r="AA619" i="1"/>
  <c r="AA306" i="1"/>
  <c r="AA991" i="1"/>
  <c r="AA715" i="1"/>
  <c r="AA504" i="1"/>
  <c r="AA772" i="1"/>
  <c r="AA734" i="1"/>
  <c r="AA406" i="1"/>
  <c r="AA832" i="1"/>
  <c r="AA809" i="1"/>
  <c r="AA835" i="1"/>
  <c r="AA604" i="1"/>
  <c r="AA12" i="1"/>
  <c r="AA799" i="1"/>
  <c r="AA704" i="1"/>
  <c r="AA367" i="1"/>
  <c r="AA108" i="1"/>
  <c r="AA450" i="1"/>
  <c r="AA954" i="1"/>
  <c r="AA880" i="1"/>
  <c r="AA383" i="1"/>
  <c r="AA285" i="1"/>
  <c r="AA447" i="1"/>
  <c r="AA148" i="1"/>
  <c r="AA850" i="1"/>
  <c r="AA315" i="1"/>
  <c r="AA700" i="1"/>
  <c r="AA119" i="1"/>
  <c r="AA744" i="1"/>
  <c r="AA271" i="1"/>
  <c r="AA288" i="1"/>
  <c r="AA630" i="1"/>
  <c r="AA142" i="1"/>
  <c r="AA239" i="1"/>
  <c r="AA139" i="1"/>
  <c r="AA904" i="1"/>
  <c r="AA726" i="1"/>
  <c r="AA571" i="1"/>
  <c r="AA628" i="1"/>
  <c r="AA663" i="1"/>
  <c r="AA314" i="1"/>
  <c r="AA603" i="1"/>
  <c r="AA184" i="1"/>
  <c r="AA6" i="1"/>
  <c r="AA130" i="1"/>
  <c r="AA412" i="1"/>
  <c r="AA28" i="1"/>
  <c r="AA442" i="1"/>
  <c r="AA134" i="1"/>
  <c r="AA829" i="1"/>
  <c r="AA283" i="1"/>
  <c r="AA746" i="1"/>
  <c r="AA250" i="1"/>
  <c r="AA432" i="1"/>
  <c r="AA89" i="1"/>
  <c r="AA528" i="1"/>
  <c r="AA643" i="1"/>
  <c r="AA614" i="1"/>
  <c r="AA274" i="1"/>
  <c r="AA195" i="1"/>
  <c r="AA303" i="1"/>
  <c r="AA324" i="1"/>
  <c r="AA427" i="1"/>
  <c r="AA146" i="1"/>
  <c r="AA587" i="1"/>
  <c r="AA290" i="1"/>
  <c r="AA671" i="1"/>
  <c r="AA512" i="1"/>
  <c r="AA569" i="1"/>
  <c r="AA588" i="1"/>
  <c r="AA189" i="1"/>
  <c r="AA783" i="1"/>
  <c r="AA694" i="1"/>
  <c r="AA654" i="1"/>
  <c r="AA235" i="1"/>
  <c r="AA485" i="1"/>
  <c r="AA705" i="1"/>
  <c r="AA45" i="1"/>
  <c r="AA852" i="1"/>
  <c r="AA580" i="1"/>
  <c r="AA326" i="1"/>
  <c r="AA947" i="1"/>
  <c r="AA968" i="1"/>
  <c r="AA795" i="1"/>
  <c r="AA203" i="1"/>
  <c r="AA147" i="1"/>
  <c r="AA729" i="1"/>
  <c r="AA855" i="1"/>
  <c r="AA165" i="1"/>
  <c r="AA167" i="1"/>
  <c r="AA859" i="1"/>
  <c r="AA579" i="1"/>
  <c r="AA299" i="1"/>
  <c r="AA265" i="1"/>
  <c r="AA32" i="1"/>
  <c r="AA770" i="1"/>
  <c r="AA899" i="1"/>
  <c r="AA359" i="1"/>
  <c r="AA724" i="1"/>
  <c r="AA546" i="1"/>
  <c r="AA52" i="1"/>
  <c r="AA302" i="1"/>
  <c r="AA550" i="1"/>
  <c r="AA360" i="1"/>
  <c r="AA522" i="1"/>
  <c r="AA443" i="1"/>
  <c r="AA305" i="1"/>
  <c r="AA112" i="1"/>
  <c r="AA499" i="1"/>
  <c r="AA802" i="1"/>
  <c r="AA742" i="1"/>
  <c r="AA784" i="1"/>
  <c r="AA104" i="1"/>
  <c r="AA627" i="1"/>
  <c r="AA50" i="1"/>
  <c r="AA372" i="1"/>
  <c r="AA967" i="1"/>
  <c r="AA182" i="1"/>
  <c r="AA34" i="1"/>
  <c r="AA389" i="1"/>
  <c r="AA339" i="1"/>
  <c r="AA984" i="1"/>
  <c r="AA886" i="1"/>
  <c r="AA591" i="1"/>
  <c r="AA668" i="1"/>
  <c r="AA69" i="1"/>
  <c r="AA374" i="1"/>
  <c r="AA35" i="1"/>
  <c r="AA204" i="1"/>
  <c r="AA26" i="1"/>
  <c r="AA946" i="1"/>
  <c r="AA611" i="1"/>
  <c r="AA788" i="1"/>
  <c r="AA208" i="1"/>
  <c r="AA842" i="1"/>
  <c r="AA434" i="1"/>
  <c r="AA154" i="1"/>
  <c r="AA155" i="1"/>
  <c r="AA759" i="1"/>
  <c r="AA583" i="1"/>
  <c r="AA347" i="1"/>
  <c r="AA126" i="1"/>
  <c r="AA270" i="1"/>
  <c r="AA828" i="1"/>
  <c r="AA325" i="1"/>
  <c r="AA463" i="1"/>
  <c r="AA344" i="1"/>
  <c r="AA487" i="1"/>
  <c r="AA166" i="1"/>
  <c r="AA647" i="1"/>
  <c r="AA330" i="1"/>
  <c r="AA691" i="1"/>
  <c r="AA532" i="1"/>
  <c r="AA510" i="1"/>
  <c r="AA648" i="1"/>
  <c r="AA209" i="1"/>
  <c r="AA972" i="1"/>
  <c r="AA914" i="1"/>
  <c r="AA714" i="1"/>
  <c r="AA355" i="1"/>
  <c r="AA665" i="1"/>
  <c r="AA304" i="1"/>
  <c r="AA527" i="1"/>
  <c r="AA651" i="1"/>
  <c r="AA452" i="1"/>
  <c r="AA129" i="1"/>
  <c r="AA3" i="1"/>
  <c r="AA384" i="1"/>
  <c r="AA667" i="1"/>
  <c r="AA206" i="1"/>
  <c r="AA767" i="1"/>
  <c r="AA350" i="1"/>
  <c r="AA751" i="1"/>
  <c r="AA612" i="1"/>
  <c r="AA590" i="1"/>
  <c r="AA728" i="1"/>
  <c r="AA249" i="1"/>
  <c r="AA992" i="1"/>
  <c r="AA455" i="1"/>
  <c r="AA774" i="1"/>
  <c r="AA475" i="1"/>
  <c r="AA925" i="1"/>
  <c r="AA179" i="1"/>
  <c r="AA523" i="1"/>
  <c r="AA503" i="1"/>
  <c r="AA364" i="1"/>
  <c r="AA764" i="1"/>
  <c r="AA567" i="1"/>
  <c r="AA786" i="1"/>
  <c r="AA186" i="1"/>
  <c r="AA586" i="1"/>
  <c r="AA707" i="1"/>
  <c r="AA607" i="1"/>
  <c r="AA310" i="1"/>
  <c r="AA231" i="1"/>
  <c r="AA631" i="1"/>
  <c r="AA892" i="1"/>
  <c r="AA392" i="1"/>
  <c r="AA932" i="1"/>
  <c r="AA568" i="1"/>
  <c r="AA750" i="1"/>
  <c r="AA662" i="1"/>
  <c r="AA688" i="1"/>
  <c r="AA970" i="1"/>
  <c r="AA149" i="1"/>
  <c r="AA949" i="1"/>
  <c r="AA642" i="1"/>
  <c r="AA794" i="1"/>
  <c r="AA114" i="1"/>
  <c r="AA655" i="1"/>
  <c r="AA843" i="1"/>
  <c r="AA854" i="1"/>
  <c r="AA242" i="1"/>
  <c r="AA275" i="1"/>
  <c r="AA980" i="1"/>
  <c r="AA939" i="1"/>
  <c r="AA39" i="1"/>
  <c r="AA63" i="1"/>
  <c r="AA44" i="1"/>
  <c r="AA444" i="1"/>
  <c r="AA844" i="1"/>
  <c r="AA5" i="1"/>
  <c r="AA247" i="1"/>
  <c r="AA266" i="1"/>
  <c r="AA666" i="1"/>
  <c r="AA7" i="1"/>
  <c r="AA907" i="1"/>
  <c r="AA971" i="1"/>
  <c r="AA311" i="1"/>
  <c r="AA711" i="1"/>
  <c r="AA72" i="1"/>
  <c r="AA472" i="1"/>
  <c r="AA48" i="1"/>
  <c r="AA708" i="1"/>
  <c r="AA379" i="1"/>
  <c r="AA763" i="1"/>
  <c r="AA848" i="1"/>
  <c r="AA919" i="1"/>
  <c r="AA289" i="1"/>
  <c r="AA730" i="1"/>
  <c r="AA923" i="1"/>
  <c r="AA175" i="1"/>
  <c r="AA494" i="1"/>
  <c r="AA915" i="1"/>
  <c r="AA74" i="1"/>
  <c r="AA595" i="1"/>
  <c r="AA702" i="1"/>
  <c r="AA775" i="1"/>
  <c r="AA683" i="1"/>
  <c r="AA785" i="1"/>
  <c r="AA59" i="1"/>
  <c r="AA83" i="1"/>
  <c r="AA64" i="1"/>
  <c r="AA464" i="1"/>
  <c r="AA864" i="1"/>
  <c r="AA25" i="1"/>
  <c r="AA407" i="1"/>
  <c r="AA286" i="1"/>
  <c r="AA686" i="1"/>
  <c r="AA27" i="1"/>
  <c r="AA10" i="1"/>
  <c r="AA752" i="1"/>
  <c r="AA331" i="1"/>
  <c r="AA731" i="1"/>
  <c r="AA92" i="1"/>
  <c r="AA492" i="1"/>
  <c r="AA88" i="1"/>
  <c r="AA748" i="1"/>
  <c r="AA479" i="1"/>
  <c r="AA903" i="1"/>
  <c r="AA888" i="1"/>
  <c r="AA160" i="1"/>
  <c r="AA309" i="1"/>
  <c r="AA790" i="1"/>
  <c r="AA952" i="1"/>
  <c r="AA255" i="1"/>
  <c r="AA554" i="1"/>
  <c r="AA419" i="1"/>
  <c r="AA94" i="1"/>
  <c r="AA675" i="1"/>
  <c r="AA822" i="1"/>
  <c r="AA955" i="1"/>
  <c r="AA863" i="1"/>
  <c r="AA845" i="1"/>
  <c r="AA159" i="1"/>
  <c r="AA143" i="1"/>
  <c r="AA124" i="1"/>
  <c r="AA524" i="1"/>
  <c r="AA924" i="1"/>
  <c r="AA85" i="1"/>
  <c r="AA727" i="1"/>
  <c r="AA346" i="1"/>
  <c r="AA766" i="1"/>
  <c r="AA87" i="1"/>
  <c r="AA70" i="1"/>
  <c r="AA912" i="1"/>
  <c r="AA391" i="1"/>
  <c r="AA791" i="1"/>
  <c r="AA152" i="1"/>
  <c r="AA552" i="1"/>
  <c r="AA188" i="1"/>
  <c r="AA868" i="1"/>
  <c r="AA40" i="1"/>
  <c r="AA68" i="1"/>
  <c r="AA988" i="1"/>
  <c r="AA600" i="1"/>
  <c r="AA369" i="1"/>
  <c r="AA975" i="1"/>
  <c r="AA54" i="1"/>
  <c r="AA435" i="1"/>
  <c r="AA754" i="1"/>
  <c r="AA80" i="1"/>
  <c r="AA174" i="1"/>
  <c r="AA895" i="1"/>
  <c r="AA723" i="1"/>
  <c r="AA602" i="1"/>
  <c r="AA500" i="1"/>
  <c r="AA365" i="1"/>
  <c r="AA219" i="1"/>
  <c r="AA163" i="1"/>
  <c r="AA144" i="1"/>
  <c r="AA544" i="1"/>
  <c r="AA944" i="1"/>
  <c r="AA105" i="1"/>
  <c r="AA807" i="1"/>
  <c r="AA366" i="1"/>
  <c r="AA806" i="1"/>
  <c r="AA107" i="1"/>
  <c r="AA90" i="1"/>
  <c r="AA11" i="1"/>
  <c r="AA411" i="1"/>
  <c r="AA811" i="1"/>
  <c r="AA172" i="1"/>
  <c r="AA572" i="1"/>
  <c r="AA228" i="1"/>
  <c r="AA908" i="1"/>
  <c r="AA180" i="1"/>
  <c r="AA128" i="1"/>
  <c r="AA609" i="1"/>
  <c r="AA860" i="1"/>
  <c r="AA409" i="1"/>
  <c r="AA439" i="1"/>
  <c r="AA194" i="1"/>
  <c r="AA495" i="1"/>
  <c r="AA814" i="1"/>
  <c r="AA120" i="1"/>
  <c r="AA214" i="1"/>
  <c r="AA399" i="1"/>
  <c r="AA883" i="1"/>
  <c r="AA803" i="1"/>
  <c r="AA820" i="1"/>
  <c r="AA445" i="1"/>
  <c r="AA279" i="1"/>
  <c r="AA183" i="1"/>
  <c r="AA164" i="1"/>
  <c r="AA564" i="1"/>
  <c r="AA964" i="1"/>
  <c r="AA125" i="1"/>
  <c r="AA887" i="1"/>
  <c r="AA386" i="1"/>
  <c r="AA826" i="1"/>
  <c r="AA127" i="1"/>
  <c r="AA110" i="1"/>
  <c r="AA31" i="1"/>
  <c r="AA431" i="1"/>
  <c r="AA831" i="1"/>
  <c r="AA192" i="1"/>
  <c r="AA592" i="1"/>
  <c r="AA248" i="1"/>
  <c r="AA948" i="1"/>
  <c r="AA320" i="1"/>
  <c r="AA168" i="1"/>
  <c r="AA689" i="1"/>
  <c r="AA482" i="1"/>
  <c r="AA449" i="1"/>
  <c r="AA679" i="1"/>
  <c r="AA254" i="1"/>
  <c r="AA555" i="1"/>
  <c r="AA874" i="1"/>
  <c r="AA240" i="1"/>
  <c r="AA234" i="1"/>
  <c r="AA519" i="1"/>
  <c r="AA15" i="1"/>
  <c r="AA459" i="1"/>
  <c r="AA900" i="1"/>
  <c r="AA13" i="1"/>
  <c r="AA33" i="1"/>
  <c r="AA53" i="1"/>
  <c r="AA73" i="1"/>
  <c r="AA93" i="1"/>
  <c r="AA113" i="1"/>
  <c r="AA133" i="1"/>
  <c r="AA153" i="1"/>
  <c r="AA173" i="1"/>
  <c r="AA193" i="1"/>
  <c r="AA213" i="1"/>
  <c r="AA233" i="1"/>
  <c r="AA253" i="1"/>
  <c r="AA273" i="1"/>
  <c r="AA293" i="1"/>
  <c r="AA313" i="1"/>
  <c r="AA333" i="1"/>
  <c r="AA353" i="1"/>
  <c r="AA373" i="1"/>
  <c r="AA118" i="1"/>
  <c r="AA177" i="1"/>
  <c r="AA236" i="1"/>
  <c r="AA341" i="1"/>
  <c r="AA390" i="1"/>
  <c r="AA430" i="1"/>
  <c r="AA470" i="1"/>
  <c r="AA505" i="1"/>
  <c r="AA541" i="1"/>
  <c r="AA617" i="1"/>
  <c r="AA653" i="1"/>
  <c r="AA722" i="1"/>
  <c r="AA798" i="1"/>
  <c r="AA61" i="1"/>
  <c r="AA178" i="1"/>
  <c r="AA237" i="1"/>
  <c r="AA296" i="1"/>
  <c r="AA393" i="1"/>
  <c r="AA433" i="1"/>
  <c r="AA473" i="1"/>
  <c r="AA618" i="1"/>
  <c r="AA656" i="1"/>
  <c r="AA761" i="1"/>
  <c r="AA837" i="1"/>
  <c r="AA873" i="1"/>
  <c r="AA913" i="1"/>
  <c r="AA62" i="1"/>
  <c r="AA121" i="1"/>
  <c r="AA238" i="1"/>
  <c r="AA297" i="1"/>
  <c r="AA345" i="1"/>
  <c r="AA396" i="1"/>
  <c r="AA436" i="1"/>
  <c r="AA476" i="1"/>
  <c r="AA545" i="1"/>
  <c r="AA581" i="1"/>
  <c r="AA657" i="1"/>
  <c r="AA693" i="1"/>
  <c r="AA838" i="1"/>
  <c r="AA876" i="1"/>
  <c r="AA981" i="1"/>
  <c r="AA877" i="1"/>
  <c r="AA122" i="1"/>
  <c r="AA181" i="1"/>
  <c r="AA298" i="1"/>
  <c r="AA397" i="1"/>
  <c r="AA437" i="1"/>
  <c r="AA477" i="1"/>
  <c r="AA513" i="1"/>
  <c r="AA658" i="1"/>
  <c r="AA696" i="1"/>
  <c r="AA765" i="1"/>
  <c r="AA801" i="1"/>
  <c r="AA76" i="1"/>
  <c r="AA241" i="1"/>
  <c r="AA356" i="1"/>
  <c r="AA398" i="1"/>
  <c r="AA438" i="1"/>
  <c r="AA478" i="1"/>
  <c r="AA516" i="1"/>
  <c r="AA585" i="1"/>
  <c r="AA621" i="1"/>
  <c r="AA697" i="1"/>
  <c r="AA733" i="1"/>
  <c r="AA878" i="1"/>
  <c r="AA916" i="1"/>
  <c r="AA985" i="1"/>
  <c r="AA16" i="1"/>
  <c r="AA77" i="1"/>
  <c r="AA136" i="1"/>
  <c r="AA301" i="1"/>
  <c r="AA357" i="1"/>
  <c r="AA517" i="1"/>
  <c r="AA553" i="1"/>
  <c r="AA698" i="1"/>
  <c r="AA736" i="1"/>
  <c r="AA841" i="1"/>
  <c r="AA917" i="1"/>
  <c r="AA953" i="1"/>
  <c r="AA518" i="1"/>
  <c r="AA737" i="1"/>
  <c r="AA956" i="1"/>
  <c r="AA17" i="1"/>
  <c r="AA78" i="1"/>
  <c r="AA137" i="1"/>
  <c r="AA196" i="1"/>
  <c r="AA358" i="1"/>
  <c r="AA401" i="1"/>
  <c r="AA441" i="1"/>
  <c r="AA556" i="1"/>
  <c r="AA661" i="1"/>
  <c r="AA773" i="1"/>
  <c r="AA918" i="1"/>
  <c r="AA18" i="1"/>
  <c r="AA138" i="1"/>
  <c r="AA197" i="1"/>
  <c r="AA256" i="1"/>
  <c r="AA481" i="1"/>
  <c r="AA557" i="1"/>
  <c r="AA593" i="1"/>
  <c r="AA738" i="1"/>
  <c r="AA776" i="1"/>
  <c r="AA881" i="1"/>
  <c r="AA957" i="1"/>
  <c r="AA81" i="1"/>
  <c r="AA198" i="1"/>
  <c r="AA257" i="1"/>
  <c r="AA316" i="1"/>
  <c r="AA361" i="1"/>
  <c r="AA558" i="1"/>
  <c r="AA596" i="1"/>
  <c r="AA701" i="1"/>
  <c r="AA777" i="1"/>
  <c r="AA813" i="1"/>
  <c r="AA958" i="1"/>
  <c r="AA21" i="1"/>
  <c r="AA82" i="1"/>
  <c r="AA141" i="1"/>
  <c r="AA258" i="1"/>
  <c r="AA317" i="1"/>
  <c r="AA521" i="1"/>
  <c r="AA597" i="1"/>
  <c r="AA633" i="1"/>
  <c r="AA778" i="1"/>
  <c r="AA816" i="1"/>
  <c r="AA921" i="1"/>
  <c r="AA201" i="1"/>
  <c r="AA318" i="1"/>
  <c r="AA598" i="1"/>
  <c r="AA636" i="1"/>
  <c r="AA741" i="1"/>
  <c r="AA817" i="1"/>
  <c r="AA853" i="1"/>
  <c r="AA36" i="1"/>
  <c r="AA96" i="1"/>
  <c r="AA261" i="1"/>
  <c r="AA413" i="1"/>
  <c r="AA453" i="1"/>
  <c r="AA525" i="1"/>
  <c r="AA561" i="1"/>
  <c r="AA637" i="1"/>
  <c r="AA673" i="1"/>
  <c r="AA818" i="1"/>
  <c r="AA856" i="1"/>
  <c r="AA961" i="1"/>
  <c r="AA37" i="1"/>
  <c r="AA97" i="1"/>
  <c r="AA156" i="1"/>
  <c r="AA262" i="1"/>
  <c r="AA321" i="1"/>
  <c r="AA376" i="1"/>
  <c r="AA416" i="1"/>
  <c r="AA456" i="1"/>
  <c r="AA493" i="1"/>
  <c r="AA562" i="1"/>
  <c r="AA638" i="1"/>
  <c r="AA676" i="1"/>
  <c r="AA710" i="1"/>
  <c r="AA745" i="1"/>
  <c r="AA38" i="1"/>
  <c r="AA98" i="1"/>
  <c r="AA157" i="1"/>
  <c r="AA216" i="1"/>
  <c r="AA158" i="1"/>
  <c r="AA217" i="1"/>
  <c r="AA276" i="1"/>
  <c r="AA378" i="1"/>
  <c r="AA418" i="1"/>
  <c r="AA458" i="1"/>
  <c r="AA497" i="1"/>
  <c r="AA533" i="1"/>
  <c r="AA678" i="1"/>
  <c r="AA716" i="1"/>
  <c r="AA821" i="1"/>
  <c r="AA897" i="1"/>
  <c r="AA933" i="1"/>
  <c r="AA41" i="1"/>
  <c r="AA101" i="1"/>
  <c r="AA218" i="1"/>
  <c r="AA277" i="1"/>
  <c r="AA498" i="1"/>
  <c r="AA536" i="1"/>
  <c r="AA641" i="1"/>
  <c r="AA717" i="1"/>
  <c r="AA753" i="1"/>
  <c r="AA898" i="1"/>
  <c r="AA936" i="1"/>
  <c r="AA42" i="1"/>
  <c r="AA102" i="1"/>
  <c r="AA161" i="1"/>
  <c r="AA278" i="1"/>
  <c r="AA336" i="1"/>
  <c r="AA381" i="1"/>
  <c r="AA421" i="1"/>
  <c r="AA461" i="1"/>
  <c r="AA537" i="1"/>
  <c r="AA573" i="1"/>
  <c r="AA718" i="1"/>
  <c r="AA756" i="1"/>
  <c r="AA861" i="1"/>
  <c r="AA937" i="1"/>
  <c r="AA973" i="1"/>
  <c r="AA565" i="1"/>
  <c r="AA57" i="1"/>
  <c r="AA58" i="1"/>
  <c r="AA385" i="1"/>
  <c r="AA577" i="1"/>
  <c r="AA758" i="1"/>
  <c r="AA896" i="1"/>
  <c r="AA116" i="1"/>
  <c r="AA601" i="1"/>
  <c r="AA901" i="1"/>
  <c r="AA613" i="1"/>
  <c r="AA616" i="1"/>
  <c r="AA281" i="1"/>
  <c r="AA965" i="1"/>
  <c r="AA685" i="1"/>
  <c r="AA322" i="1"/>
  <c r="AA719" i="1"/>
  <c r="AA539" i="1"/>
  <c r="AA865" i="1"/>
  <c r="AA340" i="1"/>
  <c r="AA870" i="1"/>
  <c r="AA578" i="1"/>
  <c r="AA417" i="1"/>
  <c r="AA781" i="1"/>
  <c r="AA162" i="1"/>
  <c r="AA793" i="1"/>
  <c r="AA169" i="1"/>
  <c r="AA796" i="1"/>
  <c r="AA282" i="1"/>
  <c r="AA977" i="1"/>
  <c r="AA538" i="1"/>
  <c r="AA377" i="1"/>
  <c r="AA117" i="1"/>
  <c r="AA422" i="1"/>
  <c r="AA610" i="1"/>
  <c r="AA782" i="1"/>
  <c r="AA902" i="1"/>
  <c r="AA425" i="1"/>
  <c r="AA905" i="1"/>
  <c r="AA429" i="1"/>
  <c r="AA929" i="1"/>
  <c r="AA962" i="1"/>
  <c r="AA869" i="1"/>
  <c r="AA56" i="1"/>
  <c r="AA176" i="1"/>
  <c r="AA457" i="1"/>
  <c r="AA797" i="1"/>
  <c r="AA930" i="1"/>
  <c r="AA221" i="1"/>
  <c r="AA462" i="1"/>
  <c r="AA645" i="1"/>
  <c r="AA938" i="1"/>
  <c r="AA749" i="1"/>
  <c r="AA681" i="1"/>
  <c r="AA833" i="1"/>
  <c r="AA682" i="1"/>
  <c r="AA976" i="1"/>
  <c r="AA858" i="1"/>
  <c r="AA978" i="1"/>
  <c r="AA540" i="1"/>
  <c r="AA222" i="1"/>
  <c r="AA465" i="1"/>
  <c r="AA836" i="1"/>
  <c r="AA502" i="1"/>
  <c r="AA530" i="1"/>
  <c r="AA862" i="1"/>
  <c r="AA338" i="1"/>
  <c r="AA720" i="1"/>
  <c r="AA979" i="1"/>
  <c r="AA721" i="1"/>
  <c r="AA229" i="1"/>
  <c r="AA469" i="1"/>
  <c r="AA650" i="1"/>
  <c r="AA501" i="1"/>
  <c r="AA269" i="1"/>
  <c r="AA496" i="1"/>
  <c r="AA677" i="1"/>
  <c r="AA830" i="1"/>
  <c r="AA941" i="1"/>
  <c r="AA857" i="1"/>
  <c r="AA713" i="1"/>
  <c r="AA337" i="1"/>
  <c r="AA576" i="1"/>
  <c r="AA757" i="1"/>
  <c r="AA893" i="1"/>
  <c r="AA382" i="1"/>
  <c r="AA403" i="1"/>
  <c r="AA243" i="1"/>
  <c r="AA224" i="1"/>
  <c r="AA624" i="1"/>
  <c r="AA846" i="1"/>
  <c r="AA185" i="1"/>
  <c r="AA46" i="1"/>
  <c r="AA446" i="1"/>
  <c r="AA187" i="1"/>
  <c r="AA207" i="1"/>
  <c r="AA170" i="1"/>
  <c r="AA91" i="1"/>
  <c r="AA491" i="1"/>
  <c r="AA891" i="1"/>
  <c r="AA252" i="1"/>
  <c r="AA652" i="1"/>
  <c r="AA348" i="1"/>
  <c r="AA769" i="1"/>
  <c r="AA780" i="1"/>
  <c r="AA328" i="1"/>
  <c r="AA909" i="1"/>
  <c r="AA943" i="1"/>
  <c r="AA529" i="1"/>
  <c r="AA20" i="1"/>
  <c r="AA414" i="1"/>
  <c r="AA735" i="1"/>
  <c r="AA215" i="1"/>
  <c r="AA680" i="1"/>
  <c r="AA394" i="1"/>
  <c r="AA879" i="1"/>
  <c r="AA75" i="1"/>
  <c r="AA100" i="1"/>
  <c r="AA625" i="1"/>
  <c r="AA885" i="1"/>
  <c r="AA150" i="1"/>
  <c r="AA71" i="1"/>
  <c r="AA471" i="1"/>
  <c r="AA871" i="1"/>
  <c r="AA232" i="1"/>
  <c r="AA632" i="1"/>
  <c r="AA308" i="1"/>
  <c r="AA709" i="1"/>
  <c r="AA640" i="1"/>
  <c r="AA268" i="1"/>
  <c r="AA789" i="1"/>
  <c r="AA823" i="1"/>
  <c r="AA509" i="1"/>
  <c r="AA959" i="1"/>
  <c r="AA354" i="1"/>
  <c r="AA695" i="1"/>
  <c r="AA974" i="1"/>
  <c r="AA520" i="1"/>
  <c r="AA334" i="1"/>
  <c r="AA739" i="1"/>
  <c r="AA55" i="1"/>
  <c r="AA699" i="1"/>
  <c r="AA405" i="1"/>
  <c r="AA825" i="1"/>
  <c r="AA99" i="1"/>
  <c r="AA423" i="1"/>
  <c r="AA263" i="1"/>
  <c r="AA244" i="1"/>
  <c r="AA644" i="1"/>
  <c r="AA906" i="1"/>
  <c r="AA205" i="1"/>
  <c r="AA66" i="1"/>
  <c r="AA466" i="1"/>
  <c r="AA327" i="1"/>
  <c r="AA267" i="1"/>
  <c r="AA190" i="1"/>
  <c r="AA111" i="1"/>
  <c r="AA511" i="1"/>
  <c r="AA911" i="1"/>
  <c r="AA272" i="1"/>
  <c r="AA672" i="1"/>
  <c r="AA388" i="1"/>
  <c r="AA849" i="1"/>
  <c r="AA920" i="1"/>
  <c r="AA368" i="1"/>
  <c r="AA989" i="1"/>
  <c r="AA9" i="1"/>
  <c r="AA549" i="1"/>
  <c r="AA220" i="1"/>
  <c r="AA474" i="1"/>
  <c r="AA815" i="1"/>
  <c r="AA295" i="1"/>
  <c r="AA840" i="1"/>
  <c r="AA454" i="1"/>
  <c r="AA60" i="1"/>
  <c r="AA95" i="1"/>
  <c r="AA140" i="1"/>
  <c r="AA725" i="1"/>
  <c r="AA109" i="1"/>
  <c r="AA199" i="1"/>
  <c r="AA483" i="1"/>
  <c r="AA323" i="1"/>
  <c r="AA264" i="1"/>
  <c r="AA664" i="1"/>
  <c r="AA966" i="1"/>
  <c r="AA225" i="1"/>
  <c r="AA86" i="1"/>
  <c r="AA486" i="1"/>
  <c r="AA387" i="1"/>
  <c r="AA287" i="1"/>
  <c r="AA210" i="1"/>
  <c r="AA131" i="1"/>
  <c r="AA531" i="1"/>
  <c r="AA931" i="1"/>
  <c r="AA292" i="1"/>
  <c r="AA692" i="1"/>
  <c r="AA408" i="1"/>
  <c r="AA969" i="1"/>
  <c r="AA22" i="1"/>
  <c r="AA428" i="1"/>
  <c r="AA490" i="1"/>
  <c r="AA29" i="1"/>
  <c r="AA589" i="1"/>
  <c r="AA400" i="1"/>
  <c r="AA514" i="1"/>
  <c r="AA875" i="1"/>
  <c r="AA375" i="1"/>
  <c r="AA960" i="1"/>
  <c r="AA534" i="1"/>
  <c r="AA200" i="1"/>
  <c r="AA115" i="1"/>
  <c r="AA260" i="1"/>
  <c r="AA805" i="1"/>
  <c r="AA649" i="1"/>
  <c r="AA259" i="1"/>
  <c r="AA543" i="1"/>
  <c r="AA343" i="1"/>
  <c r="AA284" i="1"/>
  <c r="AA684" i="1"/>
  <c r="AA227" i="1"/>
  <c r="AA245" i="1"/>
  <c r="AA106" i="1"/>
  <c r="AA506" i="1"/>
  <c r="AA467" i="1"/>
  <c r="AA307" i="1"/>
  <c r="AA230" i="1"/>
  <c r="AA151" i="1"/>
  <c r="AA551" i="1"/>
  <c r="AA951" i="1"/>
  <c r="AA312" i="1"/>
  <c r="AA712" i="1"/>
  <c r="AA448" i="1"/>
  <c r="AA410" i="1"/>
  <c r="AA202" i="1"/>
  <c r="AA488" i="1"/>
  <c r="AA570" i="1"/>
  <c r="AA49" i="1"/>
  <c r="AA629" i="1"/>
  <c r="AA660" i="1"/>
  <c r="AA574" i="1"/>
  <c r="AA935" i="1"/>
  <c r="AA415" i="1"/>
  <c r="AA622" i="1"/>
  <c r="AA594" i="1"/>
  <c r="AA420" i="1"/>
  <c r="AA135" i="1"/>
  <c r="AA380" i="1"/>
  <c r="AA945" i="1"/>
  <c r="AA819" i="1"/>
  <c r="P42" i="2" l="1"/>
  <c r="S27" i="3"/>
  <c r="R27" i="3"/>
  <c r="S98" i="3"/>
  <c r="R98" i="3"/>
  <c r="S81" i="3"/>
  <c r="R81" i="3"/>
  <c r="S111" i="3"/>
  <c r="R111" i="3"/>
  <c r="S49" i="3"/>
  <c r="R49" i="3"/>
  <c r="S74" i="3"/>
  <c r="R74" i="3"/>
  <c r="S47" i="3"/>
  <c r="R47" i="3"/>
  <c r="S85" i="3"/>
  <c r="R85" i="3"/>
  <c r="S76" i="3"/>
  <c r="R76" i="3"/>
  <c r="S114" i="3"/>
  <c r="R114" i="3"/>
  <c r="S75" i="3"/>
  <c r="R75" i="3"/>
  <c r="S62" i="3"/>
  <c r="R62" i="3"/>
  <c r="S71" i="3"/>
  <c r="R71" i="3"/>
  <c r="S21" i="3"/>
  <c r="R21" i="3"/>
  <c r="S39" i="3"/>
  <c r="R39" i="3"/>
  <c r="S86" i="3"/>
  <c r="R86" i="3"/>
  <c r="S72" i="3"/>
  <c r="R72" i="3"/>
  <c r="S38" i="3"/>
  <c r="R38" i="3"/>
  <c r="S59" i="3"/>
  <c r="R59" i="3"/>
  <c r="S70" i="3"/>
  <c r="R70" i="3"/>
  <c r="S53" i="3"/>
  <c r="R5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<sst xmlns="http://schemas.openxmlformats.org/spreadsheetml/2006/main" count="19584" uniqueCount="3572">
  <si>
    <t>Product_Name</t>
  </si>
  <si>
    <t>Catagory</t>
  </si>
  <si>
    <t>Supplier_Name</t>
  </si>
  <si>
    <t>Warehouse_Location</t>
  </si>
  <si>
    <t>Status</t>
  </si>
  <si>
    <t>Product_ID</t>
  </si>
  <si>
    <t>Supplier_ID</t>
  </si>
  <si>
    <t>Date_Received</t>
  </si>
  <si>
    <t>Last_Order_Date</t>
  </si>
  <si>
    <t>Expiration_Date</t>
  </si>
  <si>
    <t>Stock_Quantity</t>
  </si>
  <si>
    <t>Reorder_Level</t>
  </si>
  <si>
    <t>Reorder_Quantity</t>
  </si>
  <si>
    <t>Unit_Price</t>
  </si>
  <si>
    <t>Sales_Volume</t>
  </si>
  <si>
    <t>Inventory_Turnover_Rate</t>
  </si>
  <si>
    <t>percentage</t>
  </si>
  <si>
    <t>Bell Pepper</t>
  </si>
  <si>
    <t>Fruits &amp; Vegetables</t>
  </si>
  <si>
    <t>Eimbee</t>
  </si>
  <si>
    <t>20 Pennsylvania Parkway</t>
  </si>
  <si>
    <t>Discontinued</t>
  </si>
  <si>
    <t>29-017-6255</t>
  </si>
  <si>
    <t>43-348-2450</t>
  </si>
  <si>
    <t>Vegetable Oil</t>
  </si>
  <si>
    <t>Oils &amp; Fats</t>
  </si>
  <si>
    <t>Digitube</t>
  </si>
  <si>
    <t>03643 Oakridge Lane</t>
  </si>
  <si>
    <t>Backordered</t>
  </si>
  <si>
    <t>79-569-8856</t>
  </si>
  <si>
    <t>04-854-7165</t>
  </si>
  <si>
    <t>Parmesan Cheese</t>
  </si>
  <si>
    <t>Dairy</t>
  </si>
  <si>
    <t>BlogXS</t>
  </si>
  <si>
    <t>73 Graedel Street</t>
  </si>
  <si>
    <t>28-146-2641</t>
  </si>
  <si>
    <t>82-995-0739</t>
  </si>
  <si>
    <t>Carrot</t>
  </si>
  <si>
    <t>Avaveo</t>
  </si>
  <si>
    <t>44801 Myrtle Center</t>
  </si>
  <si>
    <t>11-581-9869</t>
  </si>
  <si>
    <t>22-867-3079</t>
  </si>
  <si>
    <t>Garlic</t>
  </si>
  <si>
    <t>Katz</t>
  </si>
  <si>
    <t>6195 Monterey Center</t>
  </si>
  <si>
    <t>13-202-4809</t>
  </si>
  <si>
    <t>24-281-7685</t>
  </si>
  <si>
    <t>Lemon</t>
  </si>
  <si>
    <t>Yata</t>
  </si>
  <si>
    <t>5141 Anniversary Crossing</t>
  </si>
  <si>
    <t>70-145-2550</t>
  </si>
  <si>
    <t>75-849-4524</t>
  </si>
  <si>
    <t>Coconut Sugar</t>
  </si>
  <si>
    <t>Grains &amp; Pulses</t>
  </si>
  <si>
    <t>Lazz</t>
  </si>
  <si>
    <t>38583 2nd Pass</t>
  </si>
  <si>
    <t>Active</t>
  </si>
  <si>
    <t>10-626-8536</t>
  </si>
  <si>
    <t>23-274-3305</t>
  </si>
  <si>
    <t>Anchovies</t>
  </si>
  <si>
    <t>Seafood</t>
  </si>
  <si>
    <t>Zoonder</t>
  </si>
  <si>
    <t>86 Porter Junction</t>
  </si>
  <si>
    <t>42-879-9478</t>
  </si>
  <si>
    <t>00-900-0119</t>
  </si>
  <si>
    <t>Cheese</t>
  </si>
  <si>
    <t>Oozz</t>
  </si>
  <si>
    <t>05518 Saint Paul Street</t>
  </si>
  <si>
    <t>82-380-5378</t>
  </si>
  <si>
    <t>96-353-3049</t>
  </si>
  <si>
    <t>Yogurt</t>
  </si>
  <si>
    <t>Jaxnation</t>
  </si>
  <si>
    <t>14042 Dottie Avenue</t>
  </si>
  <si>
    <t>23-265-8144</t>
  </si>
  <si>
    <t>31-524-1628</t>
  </si>
  <si>
    <t>Cheddar Cheese</t>
  </si>
  <si>
    <t>Gabcube</t>
  </si>
  <si>
    <t>5 Oxford Pass</t>
  </si>
  <si>
    <t>62-393-9939</t>
  </si>
  <si>
    <t>93-877-9384</t>
  </si>
  <si>
    <t>Avocado Oil</t>
  </si>
  <si>
    <t>Dabtype</t>
  </si>
  <si>
    <t>3622 Anhalt Lane</t>
  </si>
  <si>
    <t>90-343-9640</t>
  </si>
  <si>
    <t>54-919-9424</t>
  </si>
  <si>
    <t>Orange</t>
  </si>
  <si>
    <t>Flashdog</t>
  </si>
  <si>
    <t>3 Bashford Court</t>
  </si>
  <si>
    <t>36-899-5324</t>
  </si>
  <si>
    <t>02-656-3112</t>
  </si>
  <si>
    <t>Digestive Biscuit</t>
  </si>
  <si>
    <t>Bakery</t>
  </si>
  <si>
    <t>Devshare</t>
  </si>
  <si>
    <t>2 Carioca Crossing</t>
  </si>
  <si>
    <t>41-538-3129</t>
  </si>
  <si>
    <t>91-589-9007</t>
  </si>
  <si>
    <t>Cauliflower</t>
  </si>
  <si>
    <t>Cogilith</t>
  </si>
  <si>
    <t>01 Northfield Road</t>
  </si>
  <si>
    <t>47-843-8207</t>
  </si>
  <si>
    <t>55-838-9088</t>
  </si>
  <si>
    <t>Pear</t>
  </si>
  <si>
    <t>Roodel</t>
  </si>
  <si>
    <t>2004 Cody Plaza</t>
  </si>
  <si>
    <t>94-071-2261</t>
  </si>
  <si>
    <t>25-706-2146</t>
  </si>
  <si>
    <t>Egg (Turkey)</t>
  </si>
  <si>
    <t>Bluezoom</t>
  </si>
  <si>
    <t>94862 Beilfuss Terrace</t>
  </si>
  <si>
    <t>12-998-3882</t>
  </si>
  <si>
    <t>06-151-9076</t>
  </si>
  <si>
    <t>Ricotta Cheese</t>
  </si>
  <si>
    <t>Skimia</t>
  </si>
  <si>
    <t>10342 Division Place</t>
  </si>
  <si>
    <t>36-127-4273</t>
  </si>
  <si>
    <t>05-719-6858</t>
  </si>
  <si>
    <t>Eggplant</t>
  </si>
  <si>
    <t>Blogpad</t>
  </si>
  <si>
    <t>52 Namekagon Junction</t>
  </si>
  <si>
    <t>13-144-2169</t>
  </si>
  <si>
    <t>11-742-5033</t>
  </si>
  <si>
    <t>Whole Wheat Flour</t>
  </si>
  <si>
    <t>Dabjam</t>
  </si>
  <si>
    <t>21343 Brentwood Circle</t>
  </si>
  <si>
    <t>86-978-6666</t>
  </si>
  <si>
    <t>43-979-2253</t>
  </si>
  <si>
    <t>Arabica Coffee</t>
  </si>
  <si>
    <t>Beverages</t>
  </si>
  <si>
    <t>Feedmix</t>
  </si>
  <si>
    <t>36 3rd Place</t>
  </si>
  <si>
    <t>40-681-9981</t>
  </si>
  <si>
    <t>54-470-2479</t>
  </si>
  <si>
    <t>Sweet Potato</t>
  </si>
  <si>
    <t>Trupe</t>
  </si>
  <si>
    <t>7015 Ramsey Lane</t>
  </si>
  <si>
    <t>13-962-6263</t>
  </si>
  <si>
    <t>26-061-5253</t>
  </si>
  <si>
    <t>Mango</t>
  </si>
  <si>
    <t>Meevee</t>
  </si>
  <si>
    <t>48 Vahlen Place</t>
  </si>
  <si>
    <t>10-002-6494</t>
  </si>
  <si>
    <t>47-509-7282</t>
  </si>
  <si>
    <t>Kale</t>
  </si>
  <si>
    <t>85 Farwell Parkway</t>
  </si>
  <si>
    <t>29-741-8132</t>
  </si>
  <si>
    <t>49-384-4540</t>
  </si>
  <si>
    <t>Jasmine Rice</t>
  </si>
  <si>
    <t>Topicware</t>
  </si>
  <si>
    <t>07 Pankratz Point</t>
  </si>
  <si>
    <t>30-806-3823</t>
  </si>
  <si>
    <t>36-451-3173</t>
  </si>
  <si>
    <t>Sourdough Bread</t>
  </si>
  <si>
    <t>Plajo</t>
  </si>
  <si>
    <t>338 Annamark Court</t>
  </si>
  <si>
    <t>71-074-6292</t>
  </si>
  <si>
    <t>42-201-4495</t>
  </si>
  <si>
    <t>Green Coffee</t>
  </si>
  <si>
    <t>Skyndu</t>
  </si>
  <si>
    <t>35 Golf Course Alley</t>
  </si>
  <si>
    <t>95-738-4658</t>
  </si>
  <si>
    <t>67-404-3362</t>
  </si>
  <si>
    <t>Yotz</t>
  </si>
  <si>
    <t>96 Westridge Junction</t>
  </si>
  <si>
    <t>55-154-4728</t>
  </si>
  <si>
    <t>33-466-7894</t>
  </si>
  <si>
    <t>Tilapia</t>
  </si>
  <si>
    <t>Vinder</t>
  </si>
  <si>
    <t>57 Eastwood Junction</t>
  </si>
  <si>
    <t>46-255-3073</t>
  </si>
  <si>
    <t>68-230-9130</t>
  </si>
  <si>
    <t>Arborio Rice</t>
  </si>
  <si>
    <t>Geba</t>
  </si>
  <si>
    <t>31 Sullivan Hill</t>
  </si>
  <si>
    <t>95-640-0293</t>
  </si>
  <si>
    <t>43-575-2151</t>
  </si>
  <si>
    <t>Bread Flour</t>
  </si>
  <si>
    <t>Dazzlesphere</t>
  </si>
  <si>
    <t>49148 Meadow Ridge Way</t>
  </si>
  <si>
    <t>45-250-4679</t>
  </si>
  <si>
    <t>80-328-4990</t>
  </si>
  <si>
    <t>Cucumber</t>
  </si>
  <si>
    <t>Kanoodle</t>
  </si>
  <si>
    <t>38 Killdeer Point</t>
  </si>
  <si>
    <t>03-833-3577</t>
  </si>
  <si>
    <t>87-032-6971</t>
  </si>
  <si>
    <t>01 Gateway Plaza</t>
  </si>
  <si>
    <t>08-961-3009</t>
  </si>
  <si>
    <t>41-825-5869</t>
  </si>
  <si>
    <t>Milk</t>
  </si>
  <si>
    <t>Centimia</t>
  </si>
  <si>
    <t>36483 Burning Wood Pass</t>
  </si>
  <si>
    <t>20-405-4865</t>
  </si>
  <si>
    <t>16-019-7101</t>
  </si>
  <si>
    <t>Lime</t>
  </si>
  <si>
    <t>Livefish</t>
  </si>
  <si>
    <t>3 Meadow Valley Court</t>
  </si>
  <si>
    <t>49-377-9731</t>
  </si>
  <si>
    <t>56-823-5908</t>
  </si>
  <si>
    <t>Rice Flour</t>
  </si>
  <si>
    <t>Quatz</t>
  </si>
  <si>
    <t>47817 Oneill Park</t>
  </si>
  <si>
    <t>39-810-2042</t>
  </si>
  <si>
    <t>65-620-9866</t>
  </si>
  <si>
    <t>Rhyloo</t>
  </si>
  <si>
    <t>94 Mallory Center</t>
  </si>
  <si>
    <t>53-805-9523</t>
  </si>
  <si>
    <t>99-864-0256</t>
  </si>
  <si>
    <t>Shuffledrive</t>
  </si>
  <si>
    <t>19 Shoshone Circle</t>
  </si>
  <si>
    <t>14-305-5348</t>
  </si>
  <si>
    <t>71-092-6845</t>
  </si>
  <si>
    <t>Sour Cream</t>
  </si>
  <si>
    <t>Skyvu</t>
  </si>
  <si>
    <t>805 Center Parkway</t>
  </si>
  <si>
    <t>51-459-5630</t>
  </si>
  <si>
    <t>29-567-3732</t>
  </si>
  <si>
    <t>Whole Wheat Bread</t>
  </si>
  <si>
    <t>46 Delaware Place</t>
  </si>
  <si>
    <t>88-183-5781</t>
  </si>
  <si>
    <t>49-247-1217</t>
  </si>
  <si>
    <t>Robusta Coffee</t>
  </si>
  <si>
    <t>Devpulse</t>
  </si>
  <si>
    <t>2374 Chive Court</t>
  </si>
  <si>
    <t>41-735-9837</t>
  </si>
  <si>
    <t>35-462-7569</t>
  </si>
  <si>
    <t>Chocolate Biscuit</t>
  </si>
  <si>
    <t>Yodo</t>
  </si>
  <si>
    <t>7561 5th Terrace</t>
  </si>
  <si>
    <t>88-977-0175</t>
  </si>
  <si>
    <t>58-087-3463</t>
  </si>
  <si>
    <t>Palm Oil</t>
  </si>
  <si>
    <t>Skipstorm</t>
  </si>
  <si>
    <t>703 Hermina Center</t>
  </si>
  <si>
    <t>66-327-2821</t>
  </si>
  <si>
    <t>82-525-7224</t>
  </si>
  <si>
    <t>Camido</t>
  </si>
  <si>
    <t>709 Vidon Avenue</t>
  </si>
  <si>
    <t>08-114-3922</t>
  </si>
  <si>
    <t>19-418-7213</t>
  </si>
  <si>
    <t>Sesame Oil</t>
  </si>
  <si>
    <t>0313 Rockefeller Street</t>
  </si>
  <si>
    <t>95-090-2788</t>
  </si>
  <si>
    <t>95-715-6047</t>
  </si>
  <si>
    <t>Lettuce</t>
  </si>
  <si>
    <t>Fadeo</t>
  </si>
  <si>
    <t>19069 Cordelia Drive</t>
  </si>
  <si>
    <t>26-690-3784</t>
  </si>
  <si>
    <t>70-463-6597</t>
  </si>
  <si>
    <t>Feta Cheese</t>
  </si>
  <si>
    <t>Rhynyx</t>
  </si>
  <si>
    <t>60356 Derek Lane</t>
  </si>
  <si>
    <t>46-753-8430</t>
  </si>
  <si>
    <t>35-042-9391</t>
  </si>
  <si>
    <t>Apricot</t>
  </si>
  <si>
    <t>Skinix</t>
  </si>
  <si>
    <t>36687 Maple Avenue</t>
  </si>
  <si>
    <t>15-905-7750</t>
  </si>
  <si>
    <t>48-176-1622</t>
  </si>
  <si>
    <t>Peanut Oil</t>
  </si>
  <si>
    <t>Tagopia</t>
  </si>
  <si>
    <t>13 Westport Hill</t>
  </si>
  <si>
    <t>11-891-8213</t>
  </si>
  <si>
    <t>25-741-5987</t>
  </si>
  <si>
    <t>Olive Oil</t>
  </si>
  <si>
    <t>Realmix</t>
  </si>
  <si>
    <t>65 Chinook Circle</t>
  </si>
  <si>
    <t>82-811-7988</t>
  </si>
  <si>
    <t>41-772-9238</t>
  </si>
  <si>
    <t>Gigaclub</t>
  </si>
  <si>
    <t>759 Waywood Court</t>
  </si>
  <si>
    <t>31-746-4951</t>
  </si>
  <si>
    <t>70-212-0990</t>
  </si>
  <si>
    <t>Egg (Duck)</t>
  </si>
  <si>
    <t>45190 Fordem Court</t>
  </si>
  <si>
    <t>97-300-7511</t>
  </si>
  <si>
    <t>47-687-2255</t>
  </si>
  <si>
    <t>Pineapple</t>
  </si>
  <si>
    <t>Brainverse</t>
  </si>
  <si>
    <t>0 Delladonna Place</t>
  </si>
  <si>
    <t>88-304-2855</t>
  </si>
  <si>
    <t>59-570-2020</t>
  </si>
  <si>
    <t>Skyba</t>
  </si>
  <si>
    <t>63 Debra Park</t>
  </si>
  <si>
    <t>53-008-2419</t>
  </si>
  <si>
    <t>86-841-6074</t>
  </si>
  <si>
    <t>157 David Center</t>
  </si>
  <si>
    <t>76-340-4432</t>
  </si>
  <si>
    <t>79-915-4185</t>
  </si>
  <si>
    <t>Trout</t>
  </si>
  <si>
    <t>Blogtag</t>
  </si>
  <si>
    <t>4508 Shopko Trail</t>
  </si>
  <si>
    <t>26-010-9519</t>
  </si>
  <si>
    <t>28-837-4164</t>
  </si>
  <si>
    <t>Onion</t>
  </si>
  <si>
    <t>Oba</t>
  </si>
  <si>
    <t>74 Menomonie Point</t>
  </si>
  <si>
    <t>08-940-8578</t>
  </si>
  <si>
    <t>37-686-1726</t>
  </si>
  <si>
    <t>Cream</t>
  </si>
  <si>
    <t>Oyondu</t>
  </si>
  <si>
    <t>74997 Katie Terrace</t>
  </si>
  <si>
    <t>54-374-9986</t>
  </si>
  <si>
    <t>33-818-4917</t>
  </si>
  <si>
    <t>Sardines</t>
  </si>
  <si>
    <t>Eayo</t>
  </si>
  <si>
    <t>7819 Fallview Park</t>
  </si>
  <si>
    <t>67-625-9704</t>
  </si>
  <si>
    <t>13-475-1009</t>
  </si>
  <si>
    <t>Avamba</t>
  </si>
  <si>
    <t>744 Green Center</t>
  </si>
  <si>
    <t>56-635-6764</t>
  </si>
  <si>
    <t>20-257-6927</t>
  </si>
  <si>
    <t>Mybuzz</t>
  </si>
  <si>
    <t>31 Loomis Park</t>
  </si>
  <si>
    <t>10-445-0741</t>
  </si>
  <si>
    <t>82-470-7146</t>
  </si>
  <si>
    <t>Twitterwire</t>
  </si>
  <si>
    <t>1170 Shasta Circle</t>
  </si>
  <si>
    <t>76-584-4790</t>
  </si>
  <si>
    <t>58-213-1146</t>
  </si>
  <si>
    <t>Plum</t>
  </si>
  <si>
    <t>Topicstorm</t>
  </si>
  <si>
    <t>15068 Scoville Court</t>
  </si>
  <si>
    <t>57-437-1828</t>
  </si>
  <si>
    <t>54-226-4308</t>
  </si>
  <si>
    <t>Sushi Rice</t>
  </si>
  <si>
    <t>5743 Superior Place</t>
  </si>
  <si>
    <t>62-777-6010</t>
  </si>
  <si>
    <t>40-914-7156</t>
  </si>
  <si>
    <t>Black Rice</t>
  </si>
  <si>
    <t>3296 Walton Court</t>
  </si>
  <si>
    <t>06-955-3428</t>
  </si>
  <si>
    <t>54-031-2945</t>
  </si>
  <si>
    <t>Wild Rice</t>
  </si>
  <si>
    <t>Wordpedia</t>
  </si>
  <si>
    <t>5 Toban Circle</t>
  </si>
  <si>
    <t>04-758-0410</t>
  </si>
  <si>
    <t>56-231-2524</t>
  </si>
  <si>
    <t>Kayveo</t>
  </si>
  <si>
    <t>8569 Bashford Court</t>
  </si>
  <si>
    <t>06-655-5498</t>
  </si>
  <si>
    <t>89-574-3430</t>
  </si>
  <si>
    <t>Pomegranate</t>
  </si>
  <si>
    <t>Meeveo</t>
  </si>
  <si>
    <t>31892 Pennsylvania Street</t>
  </si>
  <si>
    <t>76-401-7083</t>
  </si>
  <si>
    <t>29-156-0691</t>
  </si>
  <si>
    <t>Npath</t>
  </si>
  <si>
    <t>6382 Anniversary Pass</t>
  </si>
  <si>
    <t>30-429-2162</t>
  </si>
  <si>
    <t>05-100-7102</t>
  </si>
  <si>
    <t>Riffpedia</t>
  </si>
  <si>
    <t>09189 2nd Drive</t>
  </si>
  <si>
    <t>49-730-0159</t>
  </si>
  <si>
    <t>62-766-8232</t>
  </si>
  <si>
    <t>Cabbage</t>
  </si>
  <si>
    <t>Lajo</t>
  </si>
  <si>
    <t>081 Jana Lane</t>
  </si>
  <si>
    <t>31-745-6850</t>
  </si>
  <si>
    <t>96-215-2767</t>
  </si>
  <si>
    <t>Vinte</t>
  </si>
  <si>
    <t>72083 Acker Crossing</t>
  </si>
  <si>
    <t>69-468-5468</t>
  </si>
  <si>
    <t>37-099-6976</t>
  </si>
  <si>
    <t>Gevee</t>
  </si>
  <si>
    <t>7744 Oxford Pass</t>
  </si>
  <si>
    <t>68-636-4774</t>
  </si>
  <si>
    <t>40-436-0171</t>
  </si>
  <si>
    <t>All-Purpose Flour</t>
  </si>
  <si>
    <t>050 Mcbride Avenue</t>
  </si>
  <si>
    <t>21-120-6238</t>
  </si>
  <si>
    <t>86-292-4587</t>
  </si>
  <si>
    <t>Wordify</t>
  </si>
  <si>
    <t>1 Merchant Circle</t>
  </si>
  <si>
    <t>92-995-8689</t>
  </si>
  <si>
    <t>18-682-7828</t>
  </si>
  <si>
    <t>Aibox</t>
  </si>
  <si>
    <t>97 Thierer Terrace</t>
  </si>
  <si>
    <t>15-045-8444</t>
  </si>
  <si>
    <t>29-143-2001</t>
  </si>
  <si>
    <t>Whipped Cream</t>
  </si>
  <si>
    <t>Yakitri</t>
  </si>
  <si>
    <t>069 Basil Center</t>
  </si>
  <si>
    <t>73-567-6194</t>
  </si>
  <si>
    <t>81-927-7236</t>
  </si>
  <si>
    <t>29 Vera Drive</t>
  </si>
  <si>
    <t>48-242-8445</t>
  </si>
  <si>
    <t>84-941-3034</t>
  </si>
  <si>
    <t>Quinu</t>
  </si>
  <si>
    <t>0584 Lindbergh Alley</t>
  </si>
  <si>
    <t>33-507-9886</t>
  </si>
  <si>
    <t>11-445-3951</t>
  </si>
  <si>
    <t>Grapes</t>
  </si>
  <si>
    <t>Thoughtmix</t>
  </si>
  <si>
    <t>183 Algoma Trail</t>
  </si>
  <si>
    <t>80-025-6757</t>
  </si>
  <si>
    <t>49-608-3851</t>
  </si>
  <si>
    <t>Sunflower Oil</t>
  </si>
  <si>
    <t>Photofeed</t>
  </si>
  <si>
    <t>7 Rutledge Pass</t>
  </si>
  <si>
    <t>36-296-9609</t>
  </si>
  <si>
    <t>46-041-1131</t>
  </si>
  <si>
    <t>01 Straubel Hill</t>
  </si>
  <si>
    <t>56-054-8664</t>
  </si>
  <si>
    <t>53-247-1844</t>
  </si>
  <si>
    <t>Mydo</t>
  </si>
  <si>
    <t>208 Miller Court</t>
  </si>
  <si>
    <t>64-478-4745</t>
  </si>
  <si>
    <t>36-780-8625</t>
  </si>
  <si>
    <t>Edgeify</t>
  </si>
  <si>
    <t>203 Mariners Cove Junction</t>
  </si>
  <si>
    <t>67-546-1568</t>
  </si>
  <si>
    <t>10-038-3988</t>
  </si>
  <si>
    <t>6810 Aberg Junction</t>
  </si>
  <si>
    <t>10-218-2680</t>
  </si>
  <si>
    <t>72-024-1595</t>
  </si>
  <si>
    <t>Short Grain Rice</t>
  </si>
  <si>
    <t>805 Nancy Crossing</t>
  </si>
  <si>
    <t>46-520-1819</t>
  </si>
  <si>
    <t>10-762-7936</t>
  </si>
  <si>
    <t>Tuna</t>
  </si>
  <si>
    <t>Meemm</t>
  </si>
  <si>
    <t>8 Fremont Circle</t>
  </si>
  <si>
    <t>87-791-5803</t>
  </si>
  <si>
    <t>89-843-0880</t>
  </si>
  <si>
    <t>Dynabox</t>
  </si>
  <si>
    <t>52 Victoria Plaza</t>
  </si>
  <si>
    <t>71-436-5841</t>
  </si>
  <si>
    <t>87-546-9674</t>
  </si>
  <si>
    <t>Wikizz</t>
  </si>
  <si>
    <t>1991 Kropf Way</t>
  </si>
  <si>
    <t>07-679-1199</t>
  </si>
  <si>
    <t>75-406-6250</t>
  </si>
  <si>
    <t>Banana</t>
  </si>
  <si>
    <t>Youfeed</t>
  </si>
  <si>
    <t>3825 Raven Avenue</t>
  </si>
  <si>
    <t>48-957-8596</t>
  </si>
  <si>
    <t>40-817-2222</t>
  </si>
  <si>
    <t>Coconut</t>
  </si>
  <si>
    <t>78884 Union Street</t>
  </si>
  <si>
    <t>20-325-1965</t>
  </si>
  <si>
    <t>97-155-1262</t>
  </si>
  <si>
    <t>Oloo</t>
  </si>
  <si>
    <t>3 Anthes Place</t>
  </si>
  <si>
    <t>51-069-0489</t>
  </si>
  <si>
    <t>19-978-0708</t>
  </si>
  <si>
    <t>Almond Flour</t>
  </si>
  <si>
    <t>Trudoo</t>
  </si>
  <si>
    <t>4627 Amoth Circle</t>
  </si>
  <si>
    <t>17-493-4579</t>
  </si>
  <si>
    <t>67-541-7091</t>
  </si>
  <si>
    <t>Topdrive</t>
  </si>
  <si>
    <t>2 Miller Lane</t>
  </si>
  <si>
    <t>46-622-3434</t>
  </si>
  <si>
    <t>85-473-1534</t>
  </si>
  <si>
    <t>591 Maple Junction</t>
  </si>
  <si>
    <t>05-899-1428</t>
  </si>
  <si>
    <t>17-494-5505</t>
  </si>
  <si>
    <t>Trunyx</t>
  </si>
  <si>
    <t>48 Golf View Pass</t>
  </si>
  <si>
    <t>60-632-8752</t>
  </si>
  <si>
    <t>07-948-8632</t>
  </si>
  <si>
    <t>752 Mccormick Way</t>
  </si>
  <si>
    <t>65-854-9364</t>
  </si>
  <si>
    <t>64-800-4141</t>
  </si>
  <si>
    <t>Greek Yogurt</t>
  </si>
  <si>
    <t>Thoughtstorm</t>
  </si>
  <si>
    <t>550 Clemons Plaza</t>
  </si>
  <si>
    <t>66-268-8345</t>
  </si>
  <si>
    <t>32-182-1895</t>
  </si>
  <si>
    <t>Peach</t>
  </si>
  <si>
    <t>04 Hagan Crossing</t>
  </si>
  <si>
    <t>13-673-7016</t>
  </si>
  <si>
    <t>78-726-6352</t>
  </si>
  <si>
    <t>JumpXS</t>
  </si>
  <si>
    <t>39 Lakewood Gardens Center</t>
  </si>
  <si>
    <t>20-054-3716</t>
  </si>
  <si>
    <t>49-591-1019</t>
  </si>
  <si>
    <t>Voomm</t>
  </si>
  <si>
    <t>5104 Jana Court</t>
  </si>
  <si>
    <t>11-073-0189</t>
  </si>
  <si>
    <t>75-190-3627</t>
  </si>
  <si>
    <t>Chatterbridge</t>
  </si>
  <si>
    <t>68086 Crowley Circle</t>
  </si>
  <si>
    <t>40-793-7235</t>
  </si>
  <si>
    <t>89-048-3542</t>
  </si>
  <si>
    <t>Skinte</t>
  </si>
  <si>
    <t>897 Independence Circle</t>
  </si>
  <si>
    <t>56-894-3733</t>
  </si>
  <si>
    <t>57-133-8386</t>
  </si>
  <si>
    <t>Asparagus</t>
  </si>
  <si>
    <t>Yabox</t>
  </si>
  <si>
    <t>0282 Emmet Hill</t>
  </si>
  <si>
    <t>83-117-7658</t>
  </si>
  <si>
    <t>61-424-7670</t>
  </si>
  <si>
    <t>Mushrooms</t>
  </si>
  <si>
    <t>Yakijo</t>
  </si>
  <si>
    <t>61 Waubesa Court</t>
  </si>
  <si>
    <t>72-989-2512</t>
  </si>
  <si>
    <t>03-117-6217</t>
  </si>
  <si>
    <t>Bubblebox</t>
  </si>
  <si>
    <t>1 Lillian Plaza</t>
  </si>
  <si>
    <t>58-229-1358</t>
  </si>
  <si>
    <t>66-883-2383</t>
  </si>
  <si>
    <t>Jatri</t>
  </si>
  <si>
    <t>4 Doe Crossing Avenue</t>
  </si>
  <si>
    <t>28-275-5901</t>
  </si>
  <si>
    <t>44-760-4337</t>
  </si>
  <si>
    <t>Black Tea</t>
  </si>
  <si>
    <t>Kare</t>
  </si>
  <si>
    <t>24 South Trail</t>
  </si>
  <si>
    <t>85-806-8672</t>
  </si>
  <si>
    <t>44-646-7502</t>
  </si>
  <si>
    <t>Midel</t>
  </si>
  <si>
    <t>8626 Chinook Parkway</t>
  </si>
  <si>
    <t>65-718-0492</t>
  </si>
  <si>
    <t>91-492-8216</t>
  </si>
  <si>
    <t>White Tea</t>
  </si>
  <si>
    <t>Brightbean</t>
  </si>
  <si>
    <t>5501 Fuller Way</t>
  </si>
  <si>
    <t>86-482-6451</t>
  </si>
  <si>
    <t>56-965-0404</t>
  </si>
  <si>
    <t>Browseblab</t>
  </si>
  <si>
    <t>5 Colorado Park</t>
  </si>
  <si>
    <t>48-289-0604</t>
  </si>
  <si>
    <t>94-261-1193</t>
  </si>
  <si>
    <t>White Rice</t>
  </si>
  <si>
    <t>Tagcat</t>
  </si>
  <si>
    <t>3053 Sachs Center</t>
  </si>
  <si>
    <t>21-809-7115</t>
  </si>
  <si>
    <t>57-774-4116</t>
  </si>
  <si>
    <t>Long Grain Rice</t>
  </si>
  <si>
    <t>Flashspan</t>
  </si>
  <si>
    <t>49263 Graceland Pass</t>
  </si>
  <si>
    <t>84-269-9130</t>
  </si>
  <si>
    <t>88-615-2915</t>
  </si>
  <si>
    <t>Devcast</t>
  </si>
  <si>
    <t>865 Eagle Crest Park</t>
  </si>
  <si>
    <t>54-758-4622</t>
  </si>
  <si>
    <t>94-903-2643</t>
  </si>
  <si>
    <t>Livepath</t>
  </si>
  <si>
    <t>36124 Carberry Junction</t>
  </si>
  <si>
    <t>65-867-4029</t>
  </si>
  <si>
    <t>70-591-9841</t>
  </si>
  <si>
    <t>Rye Bread</t>
  </si>
  <si>
    <t>Brainlounge</t>
  </si>
  <si>
    <t>6 Haas Circle</t>
  </si>
  <si>
    <t>24-310-9184</t>
  </si>
  <si>
    <t>69-378-2045</t>
  </si>
  <si>
    <t>Egg (Goose)</t>
  </si>
  <si>
    <t>Gabvine</t>
  </si>
  <si>
    <t>292 Utah Street</t>
  </si>
  <si>
    <t>53-930-2215</t>
  </si>
  <si>
    <t>42-210-6541</t>
  </si>
  <si>
    <t>Brown Rice</t>
  </si>
  <si>
    <t>Viva</t>
  </si>
  <si>
    <t>7403 Fuller Hill</t>
  </si>
  <si>
    <t>94-598-3383</t>
  </si>
  <si>
    <t>39-488-0039</t>
  </si>
  <si>
    <t>2696 Katie Road</t>
  </si>
  <si>
    <t>83-625-3618</t>
  </si>
  <si>
    <t>64-528-9996</t>
  </si>
  <si>
    <t>Browsetype</t>
  </si>
  <si>
    <t>86207 Tennyson Parkway</t>
  </si>
  <si>
    <t>13-844-2178</t>
  </si>
  <si>
    <t>66-832-1802</t>
  </si>
  <si>
    <t>Black Coffee</t>
  </si>
  <si>
    <t>57 Di Loreto Circle</t>
  </si>
  <si>
    <t>05-184-4175</t>
  </si>
  <si>
    <t>31-676-5646</t>
  </si>
  <si>
    <t>Fivebridge</t>
  </si>
  <si>
    <t>9 Kipling Road</t>
  </si>
  <si>
    <t>89-335-0155</t>
  </si>
  <si>
    <t>83-780-4531</t>
  </si>
  <si>
    <t>White Sugar</t>
  </si>
  <si>
    <t>1309 Elka Junction</t>
  </si>
  <si>
    <t>38-417-4656</t>
  </si>
  <si>
    <t>57-202-5756</t>
  </si>
  <si>
    <t>Photobean</t>
  </si>
  <si>
    <t>744 Lakewood Gardens Crossing</t>
  </si>
  <si>
    <t>74-305-1263</t>
  </si>
  <si>
    <t>83-076-5024</t>
  </si>
  <si>
    <t>Egg (Quail)</t>
  </si>
  <si>
    <t>Realpoint</t>
  </si>
  <si>
    <t>895 Northland Hill</t>
  </si>
  <si>
    <t>02-508-3777</t>
  </si>
  <si>
    <t>69-933-2582</t>
  </si>
  <si>
    <t>Herbal Tea</t>
  </si>
  <si>
    <t>Pixonyx</t>
  </si>
  <si>
    <t>26175 Oxford Way</t>
  </si>
  <si>
    <t>79-136-9840</t>
  </si>
  <si>
    <t>07-809-0926</t>
  </si>
  <si>
    <t>Coconut Oil</t>
  </si>
  <si>
    <t>95 Packers Lane</t>
  </si>
  <si>
    <t>35-299-0889</t>
  </si>
  <si>
    <t>16-776-9987</t>
  </si>
  <si>
    <t>Blogtags</t>
  </si>
  <si>
    <t>9 Clemons Hill</t>
  </si>
  <si>
    <t>41-594-5069</t>
  </si>
  <si>
    <t>45-471-5053</t>
  </si>
  <si>
    <t>Buttermilk</t>
  </si>
  <si>
    <t>Zoombox</t>
  </si>
  <si>
    <t>84336 Haas Place</t>
  </si>
  <si>
    <t>83-553-9523</t>
  </si>
  <si>
    <t>89-976-4338</t>
  </si>
  <si>
    <t>63787 Arkansas Street</t>
  </si>
  <si>
    <t>44-112-3331</t>
  </si>
  <si>
    <t>90-453-4096</t>
  </si>
  <si>
    <t>Skalith</t>
  </si>
  <si>
    <t>54706 Prairieview Point</t>
  </si>
  <si>
    <t>93-198-5984</t>
  </si>
  <si>
    <t>86-441-7850</t>
  </si>
  <si>
    <t>901 Norway Maple Crossing</t>
  </si>
  <si>
    <t>73-874-7534</t>
  </si>
  <si>
    <t>12-566-2563</t>
  </si>
  <si>
    <t>Evaporated Milk</t>
  </si>
  <si>
    <t>Demivee</t>
  </si>
  <si>
    <t>55309 6th Junction</t>
  </si>
  <si>
    <t>18-107-7886</t>
  </si>
  <si>
    <t>11-466-3182</t>
  </si>
  <si>
    <t>Jetwire</t>
  </si>
  <si>
    <t>6808 Chinook Parkway</t>
  </si>
  <si>
    <t>63-956-0739</t>
  </si>
  <si>
    <t>17-123-1252</t>
  </si>
  <si>
    <t>61707 Mariners Cove Park</t>
  </si>
  <si>
    <t>26-177-5690</t>
  </si>
  <si>
    <t>06-708-1412</t>
  </si>
  <si>
    <t>Powdered Sugar</t>
  </si>
  <si>
    <t>Devbug</t>
  </si>
  <si>
    <t>502 Sachs Circle</t>
  </si>
  <si>
    <t>47-749-3277</t>
  </si>
  <si>
    <t>96-551-3929</t>
  </si>
  <si>
    <t>Cod</t>
  </si>
  <si>
    <t>Kwimbee</t>
  </si>
  <si>
    <t>46 Colorado Place</t>
  </si>
  <si>
    <t>57-763-5501</t>
  </si>
  <si>
    <t>25-790-1641</t>
  </si>
  <si>
    <t>Voonyx</t>
  </si>
  <si>
    <t>00397 Bay Terrace</t>
  </si>
  <si>
    <t>90-230-9767</t>
  </si>
  <si>
    <t>70-515-9048</t>
  </si>
  <si>
    <t>Gigashots</t>
  </si>
  <si>
    <t>7 Bonner Terrace</t>
  </si>
  <si>
    <t>19-214-5762</t>
  </si>
  <si>
    <t>88-108-3774</t>
  </si>
  <si>
    <t>6292 Chive Street</t>
  </si>
  <si>
    <t>74-642-2435</t>
  </si>
  <si>
    <t>52-012-3409</t>
  </si>
  <si>
    <t>0023 Upham Road</t>
  </si>
  <si>
    <t>47-221-3391</t>
  </si>
  <si>
    <t>21-450-5520</t>
  </si>
  <si>
    <t>0 Moose Lane</t>
  </si>
  <si>
    <t>87-104-0187</t>
  </si>
  <si>
    <t>41-881-1166</t>
  </si>
  <si>
    <t>4 Nelson Alley</t>
  </si>
  <si>
    <t>87-272-6544</t>
  </si>
  <si>
    <t>93-699-8001</t>
  </si>
  <si>
    <t>Podcat</t>
  </si>
  <si>
    <t>84 Rusk Terrace</t>
  </si>
  <si>
    <t>06-340-6856</t>
  </si>
  <si>
    <t>11-005-7835</t>
  </si>
  <si>
    <t>Wordware</t>
  </si>
  <si>
    <t>662 Vernon Point</t>
  </si>
  <si>
    <t>80-020-8041</t>
  </si>
  <si>
    <t>66-684-1941</t>
  </si>
  <si>
    <t>Kiwi</t>
  </si>
  <si>
    <t>Zooveo</t>
  </si>
  <si>
    <t>42719 Milwaukee Avenue</t>
  </si>
  <si>
    <t>48-461-3742</t>
  </si>
  <si>
    <t>78-381-5054</t>
  </si>
  <si>
    <t>Vimbo</t>
  </si>
  <si>
    <t>86 Corben Crossing</t>
  </si>
  <si>
    <t>78-362-8578</t>
  </si>
  <si>
    <t>57-633-6273</t>
  </si>
  <si>
    <t>Haddock</t>
  </si>
  <si>
    <t>1 Monica Lane</t>
  </si>
  <si>
    <t>60-550-4771</t>
  </si>
  <si>
    <t>24-568-9517</t>
  </si>
  <si>
    <t>Feedfire</t>
  </si>
  <si>
    <t>321 Barby Parkway</t>
  </si>
  <si>
    <t>11-155-7826</t>
  </si>
  <si>
    <t>91-788-3177</t>
  </si>
  <si>
    <t>Bluejam</t>
  </si>
  <si>
    <t>093 Anhalt Crossing</t>
  </si>
  <si>
    <t>42-907-6946</t>
  </si>
  <si>
    <t>32-386-9832</t>
  </si>
  <si>
    <t>Tomato</t>
  </si>
  <si>
    <t>Demimbu</t>
  </si>
  <si>
    <t>43 Lakewood Junction</t>
  </si>
  <si>
    <t>99-048-8310</t>
  </si>
  <si>
    <t>70-453-8646</t>
  </si>
  <si>
    <t>Gouda Cheese</t>
  </si>
  <si>
    <t>Kamba</t>
  </si>
  <si>
    <t>6151 Forster Drive</t>
  </si>
  <si>
    <t>85-440-3667</t>
  </si>
  <si>
    <t>00-680-5333</t>
  </si>
  <si>
    <t>Quire</t>
  </si>
  <si>
    <t>76 Fisk Park</t>
  </si>
  <si>
    <t>93-571-7294</t>
  </si>
  <si>
    <t>77-842-0920</t>
  </si>
  <si>
    <t>Spinach</t>
  </si>
  <si>
    <t>58 Corscot Terrace</t>
  </si>
  <si>
    <t>82-977-7752</t>
  </si>
  <si>
    <t>57-473-8672</t>
  </si>
  <si>
    <t>0 Larry Terrace</t>
  </si>
  <si>
    <t>76-476-9996</t>
  </si>
  <si>
    <t>88-428-6227</t>
  </si>
  <si>
    <t>Canola Oil</t>
  </si>
  <si>
    <t>20 Butterfield Lane</t>
  </si>
  <si>
    <t>50-679-2072</t>
  </si>
  <si>
    <t>81-588-5701</t>
  </si>
  <si>
    <t>591 Maple Wood Drive</t>
  </si>
  <si>
    <t>50-329-3145</t>
  </si>
  <si>
    <t>88-418-3855</t>
  </si>
  <si>
    <t>336 Old Shore Lane</t>
  </si>
  <si>
    <t>52-392-5312</t>
  </si>
  <si>
    <t>78-092-4768</t>
  </si>
  <si>
    <t>Basmati Rice</t>
  </si>
  <si>
    <t>6500 Raven Drive</t>
  </si>
  <si>
    <t>47-663-5703</t>
  </si>
  <si>
    <t>52-062-2916</t>
  </si>
  <si>
    <t>Ozu</t>
  </si>
  <si>
    <t>96 American Ash Center</t>
  </si>
  <si>
    <t>58-122-2282</t>
  </si>
  <si>
    <t>55-773-9118</t>
  </si>
  <si>
    <t>Avamm</t>
  </si>
  <si>
    <t>12 Rigney Street</t>
  </si>
  <si>
    <t>84-151-2114</t>
  </si>
  <si>
    <t>79-704-1471</t>
  </si>
  <si>
    <t>Roomm</t>
  </si>
  <si>
    <t>2718 Londonderry Plaza</t>
  </si>
  <si>
    <t>93-682-2069</t>
  </si>
  <si>
    <t>60-038-7810</t>
  </si>
  <si>
    <t>41 Stephen Crossing</t>
  </si>
  <si>
    <t>48-789-9187</t>
  </si>
  <si>
    <t>95-944-5323</t>
  </si>
  <si>
    <t>Oatmeal Biscuit</t>
  </si>
  <si>
    <t>9269 Main Trail</t>
  </si>
  <si>
    <t>85-806-0613</t>
  </si>
  <si>
    <t>06-286-2758</t>
  </si>
  <si>
    <t>Wikido</t>
  </si>
  <si>
    <t>620 Mockingbird Pass</t>
  </si>
  <si>
    <t>19-244-9890</t>
  </si>
  <si>
    <t>98-107-0604</t>
  </si>
  <si>
    <t>37973 Parkside Junction</t>
  </si>
  <si>
    <t>60-285-3783</t>
  </si>
  <si>
    <t>58-827-9061</t>
  </si>
  <si>
    <t>Wikibox</t>
  </si>
  <si>
    <t>18 Comanche Junction</t>
  </si>
  <si>
    <t>34-547-0827</t>
  </si>
  <si>
    <t>30-853-8580</t>
  </si>
  <si>
    <t>Meejo</t>
  </si>
  <si>
    <t>30968 Anzinger Court</t>
  </si>
  <si>
    <t>06-731-2162</t>
  </si>
  <si>
    <t>17-546-8875</t>
  </si>
  <si>
    <t>Omba</t>
  </si>
  <si>
    <t>339 Paget Place</t>
  </si>
  <si>
    <t>48-193-1199</t>
  </si>
  <si>
    <t>63-924-5144</t>
  </si>
  <si>
    <t>Wordtune</t>
  </si>
  <si>
    <t>2693 6th Court</t>
  </si>
  <si>
    <t>40-003-7322</t>
  </si>
  <si>
    <t>41-644-3129</t>
  </si>
  <si>
    <t>Riffwire</t>
  </si>
  <si>
    <t>1 Elmside Parkway</t>
  </si>
  <si>
    <t>91-417-0366</t>
  </si>
  <si>
    <t>28-442-2578</t>
  </si>
  <si>
    <t>5325 Milwaukee Lane</t>
  </si>
  <si>
    <t>24-571-1080</t>
  </si>
  <si>
    <t>07-520-1107</t>
  </si>
  <si>
    <t>Yodoo</t>
  </si>
  <si>
    <t>38 Superior Road</t>
  </si>
  <si>
    <t>22-083-3347</t>
  </si>
  <si>
    <t>01-431-7544</t>
  </si>
  <si>
    <t>Talane</t>
  </si>
  <si>
    <t>96629 Nova Plaza</t>
  </si>
  <si>
    <t>09-101-1740</t>
  </si>
  <si>
    <t>63-836-1262</t>
  </si>
  <si>
    <t>Photobug</t>
  </si>
  <si>
    <t>657 Texas Street</t>
  </si>
  <si>
    <t>17-274-6898</t>
  </si>
  <si>
    <t>34-738-1209</t>
  </si>
  <si>
    <t>Dabshots</t>
  </si>
  <si>
    <t>17 Reinke Circle</t>
  </si>
  <si>
    <t>38-655-2312</t>
  </si>
  <si>
    <t>91-127-7174</t>
  </si>
  <si>
    <t>3 Bellgrove Way</t>
  </si>
  <si>
    <t>60-327-4114</t>
  </si>
  <si>
    <t>59-968-8346</t>
  </si>
  <si>
    <t>Green Beans</t>
  </si>
  <si>
    <t>00 Ridgeway Plaza</t>
  </si>
  <si>
    <t>54-281-3746</t>
  </si>
  <si>
    <t>08-824-4585</t>
  </si>
  <si>
    <t>42 Bunker Hill Junction</t>
  </si>
  <si>
    <t>25-349-7974</t>
  </si>
  <si>
    <t>82-737-6019</t>
  </si>
  <si>
    <t>701 Logan Court</t>
  </si>
  <si>
    <t>16-380-0753</t>
  </si>
  <si>
    <t>24-603-5521</t>
  </si>
  <si>
    <t>6 Lillian Junction</t>
  </si>
  <si>
    <t>38-049-9319</t>
  </si>
  <si>
    <t>90-447-5123</t>
  </si>
  <si>
    <t>72 Crownhardt Circle</t>
  </si>
  <si>
    <t>50-329-3360</t>
  </si>
  <si>
    <t>85-594-2570</t>
  </si>
  <si>
    <t>8524 Shelley Way</t>
  </si>
  <si>
    <t>19-610-2236</t>
  </si>
  <si>
    <t>53-799-3174</t>
  </si>
  <si>
    <t>Skippad</t>
  </si>
  <si>
    <t>9 Meadow Ridge Center</t>
  </si>
  <si>
    <t>46-632-8420</t>
  </si>
  <si>
    <t>27-996-8883</t>
  </si>
  <si>
    <t>Apple</t>
  </si>
  <si>
    <t>Jabbersphere</t>
  </si>
  <si>
    <t>2 Hooker Terrace</t>
  </si>
  <si>
    <t>14-836-2894</t>
  </si>
  <si>
    <t>82-157-4299</t>
  </si>
  <si>
    <t>Peas</t>
  </si>
  <si>
    <t>Youbridge</t>
  </si>
  <si>
    <t>56 Esker Park</t>
  </si>
  <si>
    <t>08-196-2703</t>
  </si>
  <si>
    <t>34-315-1199</t>
  </si>
  <si>
    <t>236 Gateway Lane</t>
  </si>
  <si>
    <t>87-097-5691</t>
  </si>
  <si>
    <t>26-213-7885</t>
  </si>
  <si>
    <t>2 Sunbrook Lane</t>
  </si>
  <si>
    <t>04-453-5485</t>
  </si>
  <si>
    <t>43-880-2879</t>
  </si>
  <si>
    <t>Cottage Cheese</t>
  </si>
  <si>
    <t>6172 Hovde Circle</t>
  </si>
  <si>
    <t>82-678-8097</t>
  </si>
  <si>
    <t>65-403-0311</t>
  </si>
  <si>
    <t>Bubblemix</t>
  </si>
  <si>
    <t>4 Sundown Place</t>
  </si>
  <si>
    <t>43-703-9939</t>
  </si>
  <si>
    <t>69-928-4929</t>
  </si>
  <si>
    <t>Multigrain Bread</t>
  </si>
  <si>
    <t>8 Mayer Trail</t>
  </si>
  <si>
    <t>28-433-8533</t>
  </si>
  <si>
    <t>81-694-0300</t>
  </si>
  <si>
    <t>2 Veith Crossing</t>
  </si>
  <si>
    <t>74-234-0628</t>
  </si>
  <si>
    <t>49-559-7092</t>
  </si>
  <si>
    <t>880 Calypso Road</t>
  </si>
  <si>
    <t>02-888-9412</t>
  </si>
  <si>
    <t>22-307-4653</t>
  </si>
  <si>
    <t>44051 Old Shore Junction</t>
  </si>
  <si>
    <t>80-658-6456</t>
  </si>
  <si>
    <t>42-080-6579</t>
  </si>
  <si>
    <t>Reallinks</t>
  </si>
  <si>
    <t>2446 Anhalt Way</t>
  </si>
  <si>
    <t>70-587-1204</t>
  </si>
  <si>
    <t>41-399-9203</t>
  </si>
  <si>
    <t>5 Anderson Trail</t>
  </si>
  <si>
    <t>88-951-9038</t>
  </si>
  <si>
    <t>14-713-5795</t>
  </si>
  <si>
    <t>70156 7th Junction</t>
  </si>
  <si>
    <t>45-317-9731</t>
  </si>
  <si>
    <t>05-779-0378</t>
  </si>
  <si>
    <t>183 Buell Park</t>
  </si>
  <si>
    <t>63-874-9747</t>
  </si>
  <si>
    <t>22-506-4911</t>
  </si>
  <si>
    <t>832 Goodland Alley</t>
  </si>
  <si>
    <t>44-546-5713</t>
  </si>
  <si>
    <t>61-382-5182</t>
  </si>
  <si>
    <t>836 Brown Alley</t>
  </si>
  <si>
    <t>23-070-2433</t>
  </si>
  <si>
    <t>82-235-9317</t>
  </si>
  <si>
    <t>InnoZ</t>
  </si>
  <si>
    <t>10997 Dexter Parkway</t>
  </si>
  <si>
    <t>91-257-3672</t>
  </si>
  <si>
    <t>30-438-6295</t>
  </si>
  <si>
    <t>154 Delladonna Hill</t>
  </si>
  <si>
    <t>69-561-2496</t>
  </si>
  <si>
    <t>38-790-7081</t>
  </si>
  <si>
    <t>Tekfly</t>
  </si>
  <si>
    <t>07855 Goodland Lane</t>
  </si>
  <si>
    <t>87-013-6488</t>
  </si>
  <si>
    <t>77-471-0792</t>
  </si>
  <si>
    <t>993 Kensington Drive</t>
  </si>
  <si>
    <t>31-969-4614</t>
  </si>
  <si>
    <t>83-104-8425</t>
  </si>
  <si>
    <t>Miboo</t>
  </si>
  <si>
    <t>779 Ridgeway Street</t>
  </si>
  <si>
    <t>96-209-1739</t>
  </si>
  <si>
    <t>82-930-7733</t>
  </si>
  <si>
    <t>Mydeo</t>
  </si>
  <si>
    <t>81878 Nobel Point</t>
  </si>
  <si>
    <t>20-022-3173</t>
  </si>
  <si>
    <t>54-188-1006</t>
  </si>
  <si>
    <t>6 Charing Cross Circle</t>
  </si>
  <si>
    <t>44-552-3909</t>
  </si>
  <si>
    <t>80-863-1186</t>
  </si>
  <si>
    <t>Zoomzone</t>
  </si>
  <si>
    <t>1519 Delaware Court</t>
  </si>
  <si>
    <t>40-902-1995</t>
  </si>
  <si>
    <t>86-879-7811</t>
  </si>
  <si>
    <t>2 Fair Oaks Pass</t>
  </si>
  <si>
    <t>07-846-4804</t>
  </si>
  <si>
    <t>30-605-2164</t>
  </si>
  <si>
    <t>Jaxworks</t>
  </si>
  <si>
    <t>18 Daystar Parkway</t>
  </si>
  <si>
    <t>17-504-3699</t>
  </si>
  <si>
    <t>81-276-8218</t>
  </si>
  <si>
    <t>Feedbug</t>
  </si>
  <si>
    <t>7 Spohn Avenue</t>
  </si>
  <si>
    <t>55-522-8242</t>
  </si>
  <si>
    <t>48-884-5431</t>
  </si>
  <si>
    <t>Chatterpoint</t>
  </si>
  <si>
    <t>39 Dahle Alley</t>
  </si>
  <si>
    <t>17-022-9721</t>
  </si>
  <si>
    <t>59-629-0798</t>
  </si>
  <si>
    <t>Skibox</t>
  </si>
  <si>
    <t>27408 Burning Wood Street</t>
  </si>
  <si>
    <t>03-940-0630</t>
  </si>
  <si>
    <t>49-762-8263</t>
  </si>
  <si>
    <t>3 Westerfield Crossing</t>
  </si>
  <si>
    <t>71-594-6552</t>
  </si>
  <si>
    <t>63-492-7603</t>
  </si>
  <si>
    <t>5756 Stephen Avenue</t>
  </si>
  <si>
    <t>20-225-3930</t>
  </si>
  <si>
    <t>73-069-2753</t>
  </si>
  <si>
    <t>Flipopia</t>
  </si>
  <si>
    <t>84239 Meadow Vale Trail</t>
  </si>
  <si>
    <t>53-151-5726</t>
  </si>
  <si>
    <t>93-180-4005</t>
  </si>
  <si>
    <t>Skidoo</t>
  </si>
  <si>
    <t>4784 Farmco Alley</t>
  </si>
  <si>
    <t>77-777-4536</t>
  </si>
  <si>
    <t>64-396-5538</t>
  </si>
  <si>
    <t>79 Monterey Avenue</t>
  </si>
  <si>
    <t>07-834-3320</t>
  </si>
  <si>
    <t>47-831-9154</t>
  </si>
  <si>
    <t>Youopia</t>
  </si>
  <si>
    <t>587 Vermont Terrace</t>
  </si>
  <si>
    <t>51-761-6320</t>
  </si>
  <si>
    <t>28-461-1136</t>
  </si>
  <si>
    <t>983 Sommers Circle</t>
  </si>
  <si>
    <t>34-291-4939</t>
  </si>
  <si>
    <t>39-284-1614</t>
  </si>
  <si>
    <t>51890 Lindbergh Terrace</t>
  </si>
  <si>
    <t>67-025-1245</t>
  </si>
  <si>
    <t>28-575-0716</t>
  </si>
  <si>
    <t>Thoughtbeat</t>
  </si>
  <si>
    <t>95 Kingsford Terrace</t>
  </si>
  <si>
    <t>63-936-0145</t>
  </si>
  <si>
    <t>69-415-3675</t>
  </si>
  <si>
    <t>Potato</t>
  </si>
  <si>
    <t>Thoughtbridge</t>
  </si>
  <si>
    <t>12710 Gulseth Circle</t>
  </si>
  <si>
    <t>27-495-1912</t>
  </si>
  <si>
    <t>34-667-8907</t>
  </si>
  <si>
    <t>Babbleopia</t>
  </si>
  <si>
    <t>1 Westport Crossing</t>
  </si>
  <si>
    <t>47-554-5780</t>
  </si>
  <si>
    <t>62-979-5038</t>
  </si>
  <si>
    <t>84305 Fair Oaks Plaza</t>
  </si>
  <si>
    <t>21-013-3508</t>
  </si>
  <si>
    <t>64-489-8494</t>
  </si>
  <si>
    <t>15 Oriole Park</t>
  </si>
  <si>
    <t>39-913-2999</t>
  </si>
  <si>
    <t>74-119-8973</t>
  </si>
  <si>
    <t>Vidoo</t>
  </si>
  <si>
    <t>43442 Homewood Street</t>
  </si>
  <si>
    <t>82-395-5070</t>
  </si>
  <si>
    <t>01-801-9502</t>
  </si>
  <si>
    <t>56830 Fremont Road</t>
  </si>
  <si>
    <t>62-100-2245</t>
  </si>
  <si>
    <t>18-110-8314</t>
  </si>
  <si>
    <t>10 Golf Course Hill</t>
  </si>
  <si>
    <t>09-712-3630</t>
  </si>
  <si>
    <t>17-807-6972</t>
  </si>
  <si>
    <t>Topicblab</t>
  </si>
  <si>
    <t>357 Maple Park</t>
  </si>
  <si>
    <t>25-010-9478</t>
  </si>
  <si>
    <t>24-576-3402</t>
  </si>
  <si>
    <t>Halibut</t>
  </si>
  <si>
    <t>7 Riverside Road</t>
  </si>
  <si>
    <t>03-919-9890</t>
  </si>
  <si>
    <t>69-289-8783</t>
  </si>
  <si>
    <t>Salmon</t>
  </si>
  <si>
    <t>4353 Dixon Circle</t>
  </si>
  <si>
    <t>61-293-6327</t>
  </si>
  <si>
    <t>00-023-7719</t>
  </si>
  <si>
    <t>Broccoli</t>
  </si>
  <si>
    <t>Abatz</t>
  </si>
  <si>
    <t>89 Karstens Alley</t>
  </si>
  <si>
    <t>08-519-5579</t>
  </si>
  <si>
    <t>32-178-2765</t>
  </si>
  <si>
    <t>Kimia</t>
  </si>
  <si>
    <t>898 Rowland Trail</t>
  </si>
  <si>
    <t>00-366-9496</t>
  </si>
  <si>
    <t>40-515-1141</t>
  </si>
  <si>
    <t>92655 Pond Park</t>
  </si>
  <si>
    <t>28-840-6096</t>
  </si>
  <si>
    <t>15-444-8224</t>
  </si>
  <si>
    <t>Eidel</t>
  </si>
  <si>
    <t>403 Loomis Way</t>
  </si>
  <si>
    <t>04-542-3863</t>
  </si>
  <si>
    <t>55-952-9832</t>
  </si>
  <si>
    <t>Jayo</t>
  </si>
  <si>
    <t>87784 Blaine Way</t>
  </si>
  <si>
    <t>18-199-5799</t>
  </si>
  <si>
    <t>76-870-2139</t>
  </si>
  <si>
    <t>Youtags</t>
  </si>
  <si>
    <t>32 Cottonwood Pass</t>
  </si>
  <si>
    <t>56-875-3717</t>
  </si>
  <si>
    <t>39-257-6162</t>
  </si>
  <si>
    <t>Kazu</t>
  </si>
  <si>
    <t>890 Eggendart Pass</t>
  </si>
  <si>
    <t>25-522-6043</t>
  </si>
  <si>
    <t>29-122-7037</t>
  </si>
  <si>
    <t>Quaxo</t>
  </si>
  <si>
    <t>4 Duke Way</t>
  </si>
  <si>
    <t>27-459-0724</t>
  </si>
  <si>
    <t>45-331-8563</t>
  </si>
  <si>
    <t>Corn Oil</t>
  </si>
  <si>
    <t>7 Gateway Center</t>
  </si>
  <si>
    <t>75-080-4909</t>
  </si>
  <si>
    <t>34-726-5887</t>
  </si>
  <si>
    <t>Tagtune</t>
  </si>
  <si>
    <t>459 Gateway Pass</t>
  </si>
  <si>
    <t>07-970-9352</t>
  </si>
  <si>
    <t>14-724-4622</t>
  </si>
  <si>
    <t>4929 Westend Point</t>
  </si>
  <si>
    <t>26-134-9069</t>
  </si>
  <si>
    <t>80-068-0825</t>
  </si>
  <si>
    <t>Cogibox</t>
  </si>
  <si>
    <t>160 Crowley Center</t>
  </si>
  <si>
    <t>08-396-2704</t>
  </si>
  <si>
    <t>94-186-9620</t>
  </si>
  <si>
    <t>62494 Longview Drive</t>
  </si>
  <si>
    <t>24-975-4231</t>
  </si>
  <si>
    <t>99-145-4924</t>
  </si>
  <si>
    <t>8499 Hanover Terrace</t>
  </si>
  <si>
    <t>28-197-9246</t>
  </si>
  <si>
    <t>31-281-2352</t>
  </si>
  <si>
    <t>48788 Chinook Place</t>
  </si>
  <si>
    <t>77-013-1553</t>
  </si>
  <si>
    <t>42-252-5861</t>
  </si>
  <si>
    <t>Linktype</t>
  </si>
  <si>
    <t>26266 Esker Point</t>
  </si>
  <si>
    <t>83-716-2177</t>
  </si>
  <si>
    <t>79-518-8344</t>
  </si>
  <si>
    <t>6410 Northwestern Pass</t>
  </si>
  <si>
    <t>55-164-7723</t>
  </si>
  <si>
    <t>85-454-9252</t>
  </si>
  <si>
    <t>0782 Dapin Avenue</t>
  </si>
  <si>
    <t>22-778-3553</t>
  </si>
  <si>
    <t>49-590-1752</t>
  </si>
  <si>
    <t>Voolith</t>
  </si>
  <si>
    <t>8 Thackeray Drive</t>
  </si>
  <si>
    <t>14-331-3739</t>
  </si>
  <si>
    <t>87-159-6467</t>
  </si>
  <si>
    <t>Jaxspan</t>
  </si>
  <si>
    <t>5 Forest Run Way</t>
  </si>
  <si>
    <t>47-578-4161</t>
  </si>
  <si>
    <t>96-001-5429</t>
  </si>
  <si>
    <t>Blognation</t>
  </si>
  <si>
    <t>230 Tony Court</t>
  </si>
  <si>
    <t>59-857-6577</t>
  </si>
  <si>
    <t>57-569-7172</t>
  </si>
  <si>
    <t>545 Linden Alley</t>
  </si>
  <si>
    <t>02-559-8196</t>
  </si>
  <si>
    <t>44-495-6660</t>
  </si>
  <si>
    <t>Meetz</t>
  </si>
  <si>
    <t>521 Burning Wood Trail</t>
  </si>
  <si>
    <t>13-900-9016</t>
  </si>
  <si>
    <t>63-969-9608</t>
  </si>
  <si>
    <t>Strawberries</t>
  </si>
  <si>
    <t>3 Buhler Place</t>
  </si>
  <si>
    <t>15-144-9413</t>
  </si>
  <si>
    <t>08-912-0895</t>
  </si>
  <si>
    <t>Layo</t>
  </si>
  <si>
    <t>23704 Algoma Park</t>
  </si>
  <si>
    <t>65-527-9488</t>
  </si>
  <si>
    <t>23-482-0516</t>
  </si>
  <si>
    <t>Eabox</t>
  </si>
  <si>
    <t>62 Thackeray Center</t>
  </si>
  <si>
    <t>74-818-3306</t>
  </si>
  <si>
    <t>75-536-2986</t>
  </si>
  <si>
    <t>Green Tea</t>
  </si>
  <si>
    <t>5306 Arkansas Avenue</t>
  </si>
  <si>
    <t>60-198-7050</t>
  </si>
  <si>
    <t>27-493-6787</t>
  </si>
  <si>
    <t>Swiss Cheese</t>
  </si>
  <si>
    <t>285 1st Park</t>
  </si>
  <si>
    <t>82-041-7211</t>
  </si>
  <si>
    <t>03-615-0558</t>
  </si>
  <si>
    <t>379 Duke Court</t>
  </si>
  <si>
    <t>17-002-4721</t>
  </si>
  <si>
    <t>38-310-4533</t>
  </si>
  <si>
    <t>Cherry</t>
  </si>
  <si>
    <t>07 Maple Wood Drive</t>
  </si>
  <si>
    <t>74-404-0582</t>
  </si>
  <si>
    <t>31-628-6696</t>
  </si>
  <si>
    <t>7444 Saint Paul Circle</t>
  </si>
  <si>
    <t>73-561-2867</t>
  </si>
  <si>
    <t>60-386-5077</t>
  </si>
  <si>
    <t>2 Scofield Street</t>
  </si>
  <si>
    <t>45-194-4094</t>
  </si>
  <si>
    <t>65-611-4749</t>
  </si>
  <si>
    <t>826 Melvin Pass</t>
  </si>
  <si>
    <t>92-362-3567</t>
  </si>
  <si>
    <t>40-056-7748</t>
  </si>
  <si>
    <t>Babbleset</t>
  </si>
  <si>
    <t>63578 Butternut Hill</t>
  </si>
  <si>
    <t>96-961-2193</t>
  </si>
  <si>
    <t>71-467-4910</t>
  </si>
  <si>
    <t>Zucchini</t>
  </si>
  <si>
    <t>Quimm</t>
  </si>
  <si>
    <t>66330 Northridge Street</t>
  </si>
  <si>
    <t>92-652-3737</t>
  </si>
  <si>
    <t>42-361-6981</t>
  </si>
  <si>
    <t>297 Petterle Way</t>
  </si>
  <si>
    <t>89-673-1543</t>
  </si>
  <si>
    <t>43-679-7350</t>
  </si>
  <si>
    <t>Butter Biscuit</t>
  </si>
  <si>
    <t>175 Sycamore Circle</t>
  </si>
  <si>
    <t>70-815-4015</t>
  </si>
  <si>
    <t>89-134-9717</t>
  </si>
  <si>
    <t>92321 Nelson Trail</t>
  </si>
  <si>
    <t>90-737-0044</t>
  </si>
  <si>
    <t>39-339-3869</t>
  </si>
  <si>
    <t>87417 Forest Pass</t>
  </si>
  <si>
    <t>67-473-7093</t>
  </si>
  <si>
    <t>92-830-6986</t>
  </si>
  <si>
    <t>Babblestorm</t>
  </si>
  <si>
    <t>00 Drewry Court</t>
  </si>
  <si>
    <t>22-621-2774</t>
  </si>
  <si>
    <t>70-901-6191</t>
  </si>
  <si>
    <t>25784 Old Gate Crossing</t>
  </si>
  <si>
    <t>15-240-6267</t>
  </si>
  <si>
    <t>12-983-3026</t>
  </si>
  <si>
    <t>Voonix</t>
  </si>
  <si>
    <t>622 Anthes Lane</t>
  </si>
  <si>
    <t>75-152-8731</t>
  </si>
  <si>
    <t>05-593-1927</t>
  </si>
  <si>
    <t>Egg (Chicken)</t>
  </si>
  <si>
    <t>Einti</t>
  </si>
  <si>
    <t>553 Hooker Trail</t>
  </si>
  <si>
    <t>40-913-9772</t>
  </si>
  <si>
    <t>51-215-2283</t>
  </si>
  <si>
    <t>Brightdog</t>
  </si>
  <si>
    <t>9431 Clarendon Pass</t>
  </si>
  <si>
    <t>29-377-7040</t>
  </si>
  <si>
    <t>59-979-6740</t>
  </si>
  <si>
    <t>88721 Dawn Crossing</t>
  </si>
  <si>
    <t>72-780-6006</t>
  </si>
  <si>
    <t>81-292-4650</t>
  </si>
  <si>
    <t>43211 Anzinger Drive</t>
  </si>
  <si>
    <t>91-127-7489</t>
  </si>
  <si>
    <t>86-079-1525</t>
  </si>
  <si>
    <t>0 Village Green Street</t>
  </si>
  <si>
    <t>17-647-0503</t>
  </si>
  <si>
    <t>69-416-9493</t>
  </si>
  <si>
    <t>Skyble</t>
  </si>
  <si>
    <t>13 Corscot Hill</t>
  </si>
  <si>
    <t>91-848-0606</t>
  </si>
  <si>
    <t>68-836-0350</t>
  </si>
  <si>
    <t>Oyoloo</t>
  </si>
  <si>
    <t>3104 Ridge Oak Hill</t>
  </si>
  <si>
    <t>11-745-3025</t>
  </si>
  <si>
    <t>54-711-1582</t>
  </si>
  <si>
    <t>Trudeo</t>
  </si>
  <si>
    <t>3 Lawn Park</t>
  </si>
  <si>
    <t>29-823-6004</t>
  </si>
  <si>
    <t>10-295-7996</t>
  </si>
  <si>
    <t>Eamia</t>
  </si>
  <si>
    <t>277 Pawling Terrace</t>
  </si>
  <si>
    <t>21-718-6746</t>
  </si>
  <si>
    <t>96-012-3393</t>
  </si>
  <si>
    <t>00616 Manitowish Parkway</t>
  </si>
  <si>
    <t>86-692-2312</t>
  </si>
  <si>
    <t>77-783-4107</t>
  </si>
  <si>
    <t>Linklinks</t>
  </si>
  <si>
    <t>67 Little Fleur Road</t>
  </si>
  <si>
    <t>54-109-8062</t>
  </si>
  <si>
    <t>04-726-3363</t>
  </si>
  <si>
    <t>White Bread</t>
  </si>
  <si>
    <t>Tagfeed</t>
  </si>
  <si>
    <t>0 Saint Paul Center</t>
  </si>
  <si>
    <t>74-943-9034</t>
  </si>
  <si>
    <t>15-739-5480</t>
  </si>
  <si>
    <t>Yamia</t>
  </si>
  <si>
    <t>7 Heffernan Drive</t>
  </si>
  <si>
    <t>71-300-2191</t>
  </si>
  <si>
    <t>98-677-4279</t>
  </si>
  <si>
    <t>8 Dovetail Junction</t>
  </si>
  <si>
    <t>65-145-9672</t>
  </si>
  <si>
    <t>65-068-1200</t>
  </si>
  <si>
    <t>4 4th Place</t>
  </si>
  <si>
    <t>93-966-7754</t>
  </si>
  <si>
    <t>78-787-7171</t>
  </si>
  <si>
    <t>Skilith</t>
  </si>
  <si>
    <t>4 Browning Terrace</t>
  </si>
  <si>
    <t>27-216-9671</t>
  </si>
  <si>
    <t>40-773-7065</t>
  </si>
  <si>
    <t>Realbridge</t>
  </si>
  <si>
    <t>46 Cardinal Way</t>
  </si>
  <si>
    <t>44-538-3366</t>
  </si>
  <si>
    <t>33-898-6242</t>
  </si>
  <si>
    <t>Watermelon</t>
  </si>
  <si>
    <t>Latz</t>
  </si>
  <si>
    <t>0039 Shelley Place</t>
  </si>
  <si>
    <t>34-075-0371</t>
  </si>
  <si>
    <t>32-771-2617</t>
  </si>
  <si>
    <t>Twitterbeat</t>
  </si>
  <si>
    <t>5862 Hooker Pass</t>
  </si>
  <si>
    <t>24-972-6969</t>
  </si>
  <si>
    <t>27-532-7847</t>
  </si>
  <si>
    <t>0 Ohio Hill</t>
  </si>
  <si>
    <t>92-455-2959</t>
  </si>
  <si>
    <t>13-109-8639</t>
  </si>
  <si>
    <t>Pixope</t>
  </si>
  <si>
    <t>86 Maryland Junction</t>
  </si>
  <si>
    <t>58-182-6781</t>
  </si>
  <si>
    <t>75-328-1709</t>
  </si>
  <si>
    <t>0087 Bluejay Plaza</t>
  </si>
  <si>
    <t>42-134-9798</t>
  </si>
  <si>
    <t>16-869-7328</t>
  </si>
  <si>
    <t>96 American Center</t>
  </si>
  <si>
    <t>18-278-2383</t>
  </si>
  <si>
    <t>73-210-4267</t>
  </si>
  <si>
    <t>53 Lawn Circle</t>
  </si>
  <si>
    <t>03-597-9488</t>
  </si>
  <si>
    <t>03-983-0515</t>
  </si>
  <si>
    <t>95261 Morningstar Way</t>
  </si>
  <si>
    <t>14-681-7035</t>
  </si>
  <si>
    <t>01-308-0960</t>
  </si>
  <si>
    <t>8 Spaight Circle</t>
  </si>
  <si>
    <t>01-439-6231</t>
  </si>
  <si>
    <t>08-490-1714</t>
  </si>
  <si>
    <t>72090 Northfield Place</t>
  </si>
  <si>
    <t>25-911-7736</t>
  </si>
  <si>
    <t>40-180-0752</t>
  </si>
  <si>
    <t>Kwinu</t>
  </si>
  <si>
    <t>90865 Sherman Court</t>
  </si>
  <si>
    <t>36-918-2937</t>
  </si>
  <si>
    <t>53-844-0478</t>
  </si>
  <si>
    <t>85276 Lakewood Gardens Alley</t>
  </si>
  <si>
    <t>37-666-3902</t>
  </si>
  <si>
    <t>58-536-6583</t>
  </si>
  <si>
    <t>27535 Morrow Avenue</t>
  </si>
  <si>
    <t>27-757-4489</t>
  </si>
  <si>
    <t>04-456-0715</t>
  </si>
  <si>
    <t>42 Clemons Terrace</t>
  </si>
  <si>
    <t>97-040-3822</t>
  </si>
  <si>
    <t>78-459-1417</t>
  </si>
  <si>
    <t>Roombo</t>
  </si>
  <si>
    <t>8531 Manley Court</t>
  </si>
  <si>
    <t>98-445-7372</t>
  </si>
  <si>
    <t>71-676-6562</t>
  </si>
  <si>
    <t>Jaloo</t>
  </si>
  <si>
    <t>0920 Monica Pass</t>
  </si>
  <si>
    <t>92-152-5820</t>
  </si>
  <si>
    <t>50-747-2259</t>
  </si>
  <si>
    <t>Vanilla Biscuit</t>
  </si>
  <si>
    <t>88 Lighthouse Bay Crossing</t>
  </si>
  <si>
    <t>24-986-5091</t>
  </si>
  <si>
    <t>51-076-1164</t>
  </si>
  <si>
    <t>Izio</t>
  </si>
  <si>
    <t>81533 John Wall Court</t>
  </si>
  <si>
    <t>22-849-2551</t>
  </si>
  <si>
    <t>14-231-9135</t>
  </si>
  <si>
    <t>26160 Independence Alley</t>
  </si>
  <si>
    <t>15-169-8058</t>
  </si>
  <si>
    <t>14-009-8505</t>
  </si>
  <si>
    <t>085 Reinke Pass</t>
  </si>
  <si>
    <t>78-953-2073</t>
  </si>
  <si>
    <t>28-465-9141</t>
  </si>
  <si>
    <t>Trilia</t>
  </si>
  <si>
    <t>1959 Marcy Center</t>
  </si>
  <si>
    <t>10-255-8579</t>
  </si>
  <si>
    <t>29-112-1577</t>
  </si>
  <si>
    <t>555 Butternut Hill</t>
  </si>
  <si>
    <t>82-948-2298</t>
  </si>
  <si>
    <t>53-749-6148</t>
  </si>
  <si>
    <t>Papaya</t>
  </si>
  <si>
    <t>561 Pennsylvania Way</t>
  </si>
  <si>
    <t>60-747-8704</t>
  </si>
  <si>
    <t>93-793-4398</t>
  </si>
  <si>
    <t>Browsezoom</t>
  </si>
  <si>
    <t>0258 Shoshone Center</t>
  </si>
  <si>
    <t>40-462-2952</t>
  </si>
  <si>
    <t>57-323-8059</t>
  </si>
  <si>
    <t>Devpoint</t>
  </si>
  <si>
    <t>5 Transport Pass</t>
  </si>
  <si>
    <t>98-235-2711</t>
  </si>
  <si>
    <t>23-052-4744</t>
  </si>
  <si>
    <t>3 Monument Street</t>
  </si>
  <si>
    <t>83-108-1174</t>
  </si>
  <si>
    <t>56-439-3559</t>
  </si>
  <si>
    <t>848 Old Gate Parkway</t>
  </si>
  <si>
    <t>28-505-8317</t>
  </si>
  <si>
    <t>61-755-4469</t>
  </si>
  <si>
    <t>Voonder</t>
  </si>
  <si>
    <t>64 1st Plaza</t>
  </si>
  <si>
    <t>31-803-5001</t>
  </si>
  <si>
    <t>14-414-1945</t>
  </si>
  <si>
    <t>803 5th Alley</t>
  </si>
  <si>
    <t>17-236-0566</t>
  </si>
  <si>
    <t>32-402-9679</t>
  </si>
  <si>
    <t>Shufflester</t>
  </si>
  <si>
    <t>15 Loomis Avenue</t>
  </si>
  <si>
    <t>76-090-4411</t>
  </si>
  <si>
    <t>82-552-6786</t>
  </si>
  <si>
    <t>Feedspan</t>
  </si>
  <si>
    <t>46758 Hallows Center</t>
  </si>
  <si>
    <t>43-910-2342</t>
  </si>
  <si>
    <t>06-569-4690</t>
  </si>
  <si>
    <t>Gabspot</t>
  </si>
  <si>
    <t>49884 Brickson Park Plaza</t>
  </si>
  <si>
    <t>05-425-0746</t>
  </si>
  <si>
    <t>23-450-0301</t>
  </si>
  <si>
    <t>8868 Armistice Place</t>
  </si>
  <si>
    <t>93-815-0565</t>
  </si>
  <si>
    <t>56-422-1480</t>
  </si>
  <si>
    <t>Yadel</t>
  </si>
  <si>
    <t>7242 Claremont Avenue</t>
  </si>
  <si>
    <t>67-270-7464</t>
  </si>
  <si>
    <t>83-960-5274</t>
  </si>
  <si>
    <t>29992 Warrior Center</t>
  </si>
  <si>
    <t>61-827-4098</t>
  </si>
  <si>
    <t>34-850-0377</t>
  </si>
  <si>
    <t>9307 Kingsford Road</t>
  </si>
  <si>
    <t>92-291-7089</t>
  </si>
  <si>
    <t>08-523-5066</t>
  </si>
  <si>
    <t>Realcube</t>
  </si>
  <si>
    <t>87578 Stoughton Parkway</t>
  </si>
  <si>
    <t>76-070-1411</t>
  </si>
  <si>
    <t>63-528-0643</t>
  </si>
  <si>
    <t>Mycat</t>
  </si>
  <si>
    <t>21 Golden Leaf Hill</t>
  </si>
  <si>
    <t>36-330-5036</t>
  </si>
  <si>
    <t>52-359-1255</t>
  </si>
  <si>
    <t>Yodel</t>
  </si>
  <si>
    <t>96 Brown Drive</t>
  </si>
  <si>
    <t>02-034-6209</t>
  </si>
  <si>
    <t>34-724-1913</t>
  </si>
  <si>
    <t>46 Hoffman Trail</t>
  </si>
  <si>
    <t>49-891-4927</t>
  </si>
  <si>
    <t>89-155-3471</t>
  </si>
  <si>
    <t>381 Rutledge Place</t>
  </si>
  <si>
    <t>94-020-6982</t>
  </si>
  <si>
    <t>72-649-3163</t>
  </si>
  <si>
    <t>Eire</t>
  </si>
  <si>
    <t>2 Russell Alley</t>
  </si>
  <si>
    <t>88-807-8431</t>
  </si>
  <si>
    <t>66-563-9462</t>
  </si>
  <si>
    <t>Butter</t>
  </si>
  <si>
    <t>Meembee</t>
  </si>
  <si>
    <t>285 East Plaza</t>
  </si>
  <si>
    <t>19-672-8982</t>
  </si>
  <si>
    <t>50-214-3802</t>
  </si>
  <si>
    <t>59 Veith Center</t>
  </si>
  <si>
    <t>07-389-5740</t>
  </si>
  <si>
    <t>72-784-3292</t>
  </si>
  <si>
    <t>Muxo</t>
  </si>
  <si>
    <t>267 International Plaza</t>
  </si>
  <si>
    <t>39-629-5554</t>
  </si>
  <si>
    <t>67-679-4930</t>
  </si>
  <si>
    <t>812 Shelley Circle</t>
  </si>
  <si>
    <t>27-635-8394</t>
  </si>
  <si>
    <t>87-893-6089</t>
  </si>
  <si>
    <t>Flipbug</t>
  </si>
  <si>
    <t>40643 Sullivan Lane</t>
  </si>
  <si>
    <t>14-844-4138</t>
  </si>
  <si>
    <t>90-534-2165</t>
  </si>
  <si>
    <t>Heavy Cream</t>
  </si>
  <si>
    <t>Ntags</t>
  </si>
  <si>
    <t>00 Luster Alley</t>
  </si>
  <si>
    <t>65-464-5070</t>
  </si>
  <si>
    <t>01-517-7793</t>
  </si>
  <si>
    <t>Voolia</t>
  </si>
  <si>
    <t>9171 Norway Maple Trail</t>
  </si>
  <si>
    <t>46-911-1159</t>
  </si>
  <si>
    <t>30-820-2883</t>
  </si>
  <si>
    <t>Youspan</t>
  </si>
  <si>
    <t>292 Charing Cross Terrace</t>
  </si>
  <si>
    <t>35-617-3857</t>
  </si>
  <si>
    <t>90-718-2724</t>
  </si>
  <si>
    <t>29817 Coleman Drive</t>
  </si>
  <si>
    <t>41-237-5498</t>
  </si>
  <si>
    <t>38-643-1626</t>
  </si>
  <si>
    <t>18 Troy Avenue</t>
  </si>
  <si>
    <t>86-672-4191</t>
  </si>
  <si>
    <t>79-219-8469</t>
  </si>
  <si>
    <t>8425 New Castle Parkway</t>
  </si>
  <si>
    <t>10-555-5971</t>
  </si>
  <si>
    <t>30-410-3509</t>
  </si>
  <si>
    <t>7 Ridge Oak Pass</t>
  </si>
  <si>
    <t>45-050-4720</t>
  </si>
  <si>
    <t>98-791-5014</t>
  </si>
  <si>
    <t>Livetube</t>
  </si>
  <si>
    <t>1666 Dayton Terrace</t>
  </si>
  <si>
    <t>73-997-6251</t>
  </si>
  <si>
    <t>17-167-4304</t>
  </si>
  <si>
    <t>Skipfire</t>
  </si>
  <si>
    <t>757 Grasskamp Drive</t>
  </si>
  <si>
    <t>53-446-8243</t>
  </si>
  <si>
    <t>51-666-7174</t>
  </si>
  <si>
    <t>Thoughtblab</t>
  </si>
  <si>
    <t>5 Forster Point</t>
  </si>
  <si>
    <t>12-798-9401</t>
  </si>
  <si>
    <t>96-609-6152</t>
  </si>
  <si>
    <t>6 Bay Road</t>
  </si>
  <si>
    <t>93-014-4256</t>
  </si>
  <si>
    <t>37-599-8579</t>
  </si>
  <si>
    <t>75054 Ramsey Parkway</t>
  </si>
  <si>
    <t>60-911-3745</t>
  </si>
  <si>
    <t>87-570-0273</t>
  </si>
  <si>
    <t>42 Mandrake Alley</t>
  </si>
  <si>
    <t>53-146-9979</t>
  </si>
  <si>
    <t>44-388-2451</t>
  </si>
  <si>
    <t>65 Forster Way</t>
  </si>
  <si>
    <t>65-780-5622</t>
  </si>
  <si>
    <t>69-460-9770</t>
  </si>
  <si>
    <t>Centidel</t>
  </si>
  <si>
    <t>80930 Briar Crest Point</t>
  </si>
  <si>
    <t>29-896-7926</t>
  </si>
  <si>
    <t>86-400-4155</t>
  </si>
  <si>
    <t>615 Mayer Drive</t>
  </si>
  <si>
    <t>67-027-7269</t>
  </si>
  <si>
    <t>50-050-5707</t>
  </si>
  <si>
    <t>59449 Sherman Parkway</t>
  </si>
  <si>
    <t>25-353-2067</t>
  </si>
  <si>
    <t>01-210-3485</t>
  </si>
  <si>
    <t>8682 Golf Course Junction</t>
  </si>
  <si>
    <t>72-341-1154</t>
  </si>
  <si>
    <t>84-090-6472</t>
  </si>
  <si>
    <t>Zoombeat</t>
  </si>
  <si>
    <t>22555 Macpherson Plaza</t>
  </si>
  <si>
    <t>16-187-5729</t>
  </si>
  <si>
    <t>79-366-7207</t>
  </si>
  <si>
    <t>71 Bultman Drive</t>
  </si>
  <si>
    <t>49-311-3063</t>
  </si>
  <si>
    <t>15-947-9718</t>
  </si>
  <si>
    <t>Ooba</t>
  </si>
  <si>
    <t>32 6th Lane</t>
  </si>
  <si>
    <t>98-652-9569</t>
  </si>
  <si>
    <t>65-160-1426</t>
  </si>
  <si>
    <t>04 Mesta Parkway</t>
  </si>
  <si>
    <t>78-689-8958</t>
  </si>
  <si>
    <t>52-744-6162</t>
  </si>
  <si>
    <t>Blueberries</t>
  </si>
  <si>
    <t>88678 Bayside Park</t>
  </si>
  <si>
    <t>66-378-7532</t>
  </si>
  <si>
    <t>15-365-5585</t>
  </si>
  <si>
    <t>40 Cody Pass</t>
  </si>
  <si>
    <t>14-115-8371</t>
  </si>
  <si>
    <t>80-833-3051</t>
  </si>
  <si>
    <t>77 Prairie Rose Park</t>
  </si>
  <si>
    <t>76-540-6407</t>
  </si>
  <si>
    <t>78-644-5877</t>
  </si>
  <si>
    <t>Topiclounge</t>
  </si>
  <si>
    <t>20 Marcy Circle</t>
  </si>
  <si>
    <t>81-573-0943</t>
  </si>
  <si>
    <t>07-754-2313</t>
  </si>
  <si>
    <t>56 Bonner Point</t>
  </si>
  <si>
    <t>68-732-5919</t>
  </si>
  <si>
    <t>07-500-2023</t>
  </si>
  <si>
    <t>3 Hagan Drive</t>
  </si>
  <si>
    <t>68-734-1585</t>
  </si>
  <si>
    <t>54-537-5633</t>
  </si>
  <si>
    <t>Realblab</t>
  </si>
  <si>
    <t>39102 Division Trail</t>
  </si>
  <si>
    <t>93-342-8794</t>
  </si>
  <si>
    <t>93-688-1260</t>
  </si>
  <si>
    <t>72778 Loftsgordon Center</t>
  </si>
  <si>
    <t>42-175-1648</t>
  </si>
  <si>
    <t>67-272-8844</t>
  </si>
  <si>
    <t>21530 Prentice Place</t>
  </si>
  <si>
    <t>46-083-7058</t>
  </si>
  <si>
    <t>26-730-0925</t>
  </si>
  <si>
    <t>LiveZ</t>
  </si>
  <si>
    <t>54 Weeping Birch Lane</t>
  </si>
  <si>
    <t>66-716-8221</t>
  </si>
  <si>
    <t>67-024-9832</t>
  </si>
  <si>
    <t>Janyx</t>
  </si>
  <si>
    <t>2003 Delladonna Pass</t>
  </si>
  <si>
    <t>12-714-5135</t>
  </si>
  <si>
    <t>97-055-2756</t>
  </si>
  <si>
    <t>581 Oneill Crossing</t>
  </si>
  <si>
    <t>35-031-1497</t>
  </si>
  <si>
    <t>84-835-1656</t>
  </si>
  <si>
    <t>8182 Hazelcrest Place</t>
  </si>
  <si>
    <t>54-708-7327</t>
  </si>
  <si>
    <t>46-316-6919</t>
  </si>
  <si>
    <t>7944 Elgar Alley</t>
  </si>
  <si>
    <t>63-897-8088</t>
  </si>
  <si>
    <t>82-313-4469</t>
  </si>
  <si>
    <t>1615 Bellgrove Crossing</t>
  </si>
  <si>
    <t>79-494-2472</t>
  </si>
  <si>
    <t>04-391-8892</t>
  </si>
  <si>
    <t>95 Garrison Plaza</t>
  </si>
  <si>
    <t>15-679-3935</t>
  </si>
  <si>
    <t>35-906-1010</t>
  </si>
  <si>
    <t>Ntag</t>
  </si>
  <si>
    <t>227 Tennyson Plaza</t>
  </si>
  <si>
    <t>31-608-1445</t>
  </si>
  <si>
    <t>75-286-4153</t>
  </si>
  <si>
    <t>75 High Crossing Junction</t>
  </si>
  <si>
    <t>70-206-4860</t>
  </si>
  <si>
    <t>82-527-9395</t>
  </si>
  <si>
    <t>Topicshots</t>
  </si>
  <si>
    <t>894 Kingsford Road</t>
  </si>
  <si>
    <t>30-832-5429</t>
  </si>
  <si>
    <t>41-800-2842</t>
  </si>
  <si>
    <t>DabZ</t>
  </si>
  <si>
    <t>8 Dakota Avenue</t>
  </si>
  <si>
    <t>01-173-0029</t>
  </si>
  <si>
    <t>18-880-7910</t>
  </si>
  <si>
    <t>31208 Westerfield Way</t>
  </si>
  <si>
    <t>65-235-7676</t>
  </si>
  <si>
    <t>22-083-3504</t>
  </si>
  <si>
    <t>Mozzarella Cheese</t>
  </si>
  <si>
    <t>4 Warbler Center</t>
  </si>
  <si>
    <t>79-400-6216</t>
  </si>
  <si>
    <t>83-361-7509</t>
  </si>
  <si>
    <t>05 Canary Circle</t>
  </si>
  <si>
    <t>35-836-6718</t>
  </si>
  <si>
    <t>27-838-4345</t>
  </si>
  <si>
    <t>03 Little Fleur Pass</t>
  </si>
  <si>
    <t>08-573-9997</t>
  </si>
  <si>
    <t>95-734-4024</t>
  </si>
  <si>
    <t>Vitz</t>
  </si>
  <si>
    <t>50880 Nobel Road</t>
  </si>
  <si>
    <t>66-854-5736</t>
  </si>
  <si>
    <t>98-591-1051</t>
  </si>
  <si>
    <t>288 Fair Oaks Place</t>
  </si>
  <si>
    <t>85-835-3445</t>
  </si>
  <si>
    <t>13-433-4930</t>
  </si>
  <si>
    <t>4 Orin Lane</t>
  </si>
  <si>
    <t>10-768-2443</t>
  </si>
  <si>
    <t>44-451-2764</t>
  </si>
  <si>
    <t>Quamba</t>
  </si>
  <si>
    <t>7698 Logan Drive</t>
  </si>
  <si>
    <t>19-112-1616</t>
  </si>
  <si>
    <t>55-251-3001</t>
  </si>
  <si>
    <t>Centizu</t>
  </si>
  <si>
    <t>4346 Columbus Way</t>
  </si>
  <si>
    <t>89-388-3239</t>
  </si>
  <si>
    <t>28-521-7083</t>
  </si>
  <si>
    <t>09264 Forest Dale Drive</t>
  </si>
  <si>
    <t>22-760-4605</t>
  </si>
  <si>
    <t>01-495-9336</t>
  </si>
  <si>
    <t>843 Pepper Wood Hill</t>
  </si>
  <si>
    <t>38-664-2155</t>
  </si>
  <si>
    <t>10-540-5841</t>
  </si>
  <si>
    <t>Tazz</t>
  </si>
  <si>
    <t>60 Dottie Hill</t>
  </si>
  <si>
    <t>89-713-6071</t>
  </si>
  <si>
    <t>84-123-7159</t>
  </si>
  <si>
    <t>844 Schurz Point</t>
  </si>
  <si>
    <t>56-191-6497</t>
  </si>
  <si>
    <t>65-395-5947</t>
  </si>
  <si>
    <t>Feedfish</t>
  </si>
  <si>
    <t>234 Eagle Crest Avenue</t>
  </si>
  <si>
    <t>27-389-3529</t>
  </si>
  <si>
    <t>73-201-2803</t>
  </si>
  <si>
    <t>17640 Cottonwood Place</t>
  </si>
  <si>
    <t>11-604-6002</t>
  </si>
  <si>
    <t>50-862-4552</t>
  </si>
  <si>
    <t>Buzzbean</t>
  </si>
  <si>
    <t>49770 Hoffman Court</t>
  </si>
  <si>
    <t>20-448-2972</t>
  </si>
  <si>
    <t>26-920-6626</t>
  </si>
  <si>
    <t>Gigabox</t>
  </si>
  <si>
    <t>03 Ryan Circle</t>
  </si>
  <si>
    <t>77-959-1018</t>
  </si>
  <si>
    <t>00-912-3545</t>
  </si>
  <si>
    <t>98 Melody Street</t>
  </si>
  <si>
    <t>69-895-3397</t>
  </si>
  <si>
    <t>02-575-2074</t>
  </si>
  <si>
    <t>57150 Del Sol Alley</t>
  </si>
  <si>
    <t>32-933-0329</t>
  </si>
  <si>
    <t>86-760-5412</t>
  </si>
  <si>
    <t>Tagpad</t>
  </si>
  <si>
    <t>4 6th Plaza</t>
  </si>
  <si>
    <t>33-440-2588</t>
  </si>
  <si>
    <t>68-596-5506</t>
  </si>
  <si>
    <t>Oyonder</t>
  </si>
  <si>
    <t>2835 Schlimgen Parkway</t>
  </si>
  <si>
    <t>02-085-7218</t>
  </si>
  <si>
    <t>41-978-3326</t>
  </si>
  <si>
    <t>61 Transport Parkway</t>
  </si>
  <si>
    <t>43-193-9915</t>
  </si>
  <si>
    <t>23-931-2988</t>
  </si>
  <si>
    <t>9171 Redwing Street</t>
  </si>
  <si>
    <t>62-998-7250</t>
  </si>
  <si>
    <t>72-002-3904</t>
  </si>
  <si>
    <t>5 Waxwing Junction</t>
  </si>
  <si>
    <t>70-871-4536</t>
  </si>
  <si>
    <t>72-514-7323</t>
  </si>
  <si>
    <t>Innojam</t>
  </si>
  <si>
    <t>6 Stang Hill</t>
  </si>
  <si>
    <t>38-822-8005</t>
  </si>
  <si>
    <t>45-886-1540</t>
  </si>
  <si>
    <t>Rhyzio</t>
  </si>
  <si>
    <t>3 Del Mar Point</t>
  </si>
  <si>
    <t>38-390-2115</t>
  </si>
  <si>
    <t>12-433-6490</t>
  </si>
  <si>
    <t>5 Loftsgordon Trail</t>
  </si>
  <si>
    <t>28-968-4195</t>
  </si>
  <si>
    <t>17-562-1176</t>
  </si>
  <si>
    <t>75 Bunting Junction</t>
  </si>
  <si>
    <t>09-286-8107</t>
  </si>
  <si>
    <t>90-727-4816</t>
  </si>
  <si>
    <t>Zava</t>
  </si>
  <si>
    <t>42 Mallory Court</t>
  </si>
  <si>
    <t>00-405-7428</t>
  </si>
  <si>
    <t>42-746-2717</t>
  </si>
  <si>
    <t>Snaptags</t>
  </si>
  <si>
    <t>6 Orin Place</t>
  </si>
  <si>
    <t>43-893-5408</t>
  </si>
  <si>
    <t>25-414-2945</t>
  </si>
  <si>
    <t>Fiveclub</t>
  </si>
  <si>
    <t>80 Old Shore Plaza</t>
  </si>
  <si>
    <t>52-481-5224</t>
  </si>
  <si>
    <t>46-382-2024</t>
  </si>
  <si>
    <t>44249 Sutteridge Crossing</t>
  </si>
  <si>
    <t>34-131-8805</t>
  </si>
  <si>
    <t>84-472-8001</t>
  </si>
  <si>
    <t>Mackerel</t>
  </si>
  <si>
    <t>Dabfeed</t>
  </si>
  <si>
    <t>08545 Lillian Street</t>
  </si>
  <si>
    <t>36-840-2728</t>
  </si>
  <si>
    <t>26-454-7297</t>
  </si>
  <si>
    <t>1 Green Hill</t>
  </si>
  <si>
    <t>64-418-8356</t>
  </si>
  <si>
    <t>91-451-2016</t>
  </si>
  <si>
    <t>453 Dryden Park</t>
  </si>
  <si>
    <t>51-462-0747</t>
  </si>
  <si>
    <t>40-417-9838</t>
  </si>
  <si>
    <t>44296 Kropf Avenue</t>
  </si>
  <si>
    <t>74-711-7160</t>
  </si>
  <si>
    <t>40-662-8853</t>
  </si>
  <si>
    <t>00064 Mosinee Circle</t>
  </si>
  <si>
    <t>44-637-5512</t>
  </si>
  <si>
    <t>27-541-2645</t>
  </si>
  <si>
    <t>1223 Monument Drive</t>
  </si>
  <si>
    <t>27-881-1177</t>
  </si>
  <si>
    <t>64-807-5250</t>
  </si>
  <si>
    <t>879 Amoth Terrace</t>
  </si>
  <si>
    <t>72-404-5581</t>
  </si>
  <si>
    <t>18-065-8014</t>
  </si>
  <si>
    <t>931 Browning Center</t>
  </si>
  <si>
    <t>12-046-2988</t>
  </si>
  <si>
    <t>37-630-2250</t>
  </si>
  <si>
    <t>564 Hazelcrest Crossing</t>
  </si>
  <si>
    <t>21-816-1004</t>
  </si>
  <si>
    <t>68-482-4786</t>
  </si>
  <si>
    <t>65721 Caliangt Crossing</t>
  </si>
  <si>
    <t>81-605-6246</t>
  </si>
  <si>
    <t>62-086-0407</t>
  </si>
  <si>
    <t>89 Springs Alley</t>
  </si>
  <si>
    <t>11-815-7923</t>
  </si>
  <si>
    <t>98-304-8407</t>
  </si>
  <si>
    <t>1792 Crownhardt Street</t>
  </si>
  <si>
    <t>26-456-1992</t>
  </si>
  <si>
    <t>60-159-3514</t>
  </si>
  <si>
    <t>0847 Artisan Hill</t>
  </si>
  <si>
    <t>63-168-6018</t>
  </si>
  <si>
    <t>01-853-2191</t>
  </si>
  <si>
    <t>24045 Bluestem Point</t>
  </si>
  <si>
    <t>70-854-6891</t>
  </si>
  <si>
    <t>79-575-9351</t>
  </si>
  <si>
    <t>9305 Warrior Way</t>
  </si>
  <si>
    <t>87-762-1317</t>
  </si>
  <si>
    <t>58-474-3510</t>
  </si>
  <si>
    <t>Browsecat</t>
  </si>
  <si>
    <t>13 Bluejay Way</t>
  </si>
  <si>
    <t>80-374-5711</t>
  </si>
  <si>
    <t>77-566-9826</t>
  </si>
  <si>
    <t>Oyoba</t>
  </si>
  <si>
    <t>710 Service Park</t>
  </si>
  <si>
    <t>60-456-8169</t>
  </si>
  <si>
    <t>54-529-4459</t>
  </si>
  <si>
    <t>71796 Waubesa Terrace</t>
  </si>
  <si>
    <t>99-543-5039</t>
  </si>
  <si>
    <t>63-683-7396</t>
  </si>
  <si>
    <t>545 Farwell Lane</t>
  </si>
  <si>
    <t>72-810-9753</t>
  </si>
  <si>
    <t>17-359-2527</t>
  </si>
  <si>
    <t>9 Burrows Junction</t>
  </si>
  <si>
    <t>78-956-4737</t>
  </si>
  <si>
    <t>76-712-0418</t>
  </si>
  <si>
    <t>5 Eggendart Parkway</t>
  </si>
  <si>
    <t>46-415-8633</t>
  </si>
  <si>
    <t>32-497-0478</t>
  </si>
  <si>
    <t>16 Autumn Leaf Way</t>
  </si>
  <si>
    <t>06-611-5454</t>
  </si>
  <si>
    <t>43-786-9229</t>
  </si>
  <si>
    <t>6 Tony Junction</t>
  </si>
  <si>
    <t>27-783-5470</t>
  </si>
  <si>
    <t>45-997-6429</t>
  </si>
  <si>
    <t>Shufflebeat</t>
  </si>
  <si>
    <t>19112 Little Fleur Road</t>
  </si>
  <si>
    <t>55-697-5242</t>
  </si>
  <si>
    <t>74-726-0855</t>
  </si>
  <si>
    <t>38 Dawn Street</t>
  </si>
  <si>
    <t>15-082-9124</t>
  </si>
  <si>
    <t>02-997-1489</t>
  </si>
  <si>
    <t>Buzzshare</t>
  </si>
  <si>
    <t>579 Schlimgen Alley</t>
  </si>
  <si>
    <t>06-996-3221</t>
  </si>
  <si>
    <t>97-821-7402</t>
  </si>
  <si>
    <t>Rhybox</t>
  </si>
  <si>
    <t>9 Anhalt Trail</t>
  </si>
  <si>
    <t>45-634-0679</t>
  </si>
  <si>
    <t>29-542-9338</t>
  </si>
  <si>
    <t>Kwilith</t>
  </si>
  <si>
    <t>85 Lunder Court</t>
  </si>
  <si>
    <t>15-796-3130</t>
  </si>
  <si>
    <t>45-912-2948</t>
  </si>
  <si>
    <t>51369 Dawn Hill</t>
  </si>
  <si>
    <t>51-000-8113</t>
  </si>
  <si>
    <t>56-825-0880</t>
  </si>
  <si>
    <t>Aivee</t>
  </si>
  <si>
    <t>9050 Dorton Pass</t>
  </si>
  <si>
    <t>20-387-7746</t>
  </si>
  <si>
    <t>08-218-9429</t>
  </si>
  <si>
    <t>856 School Plaza</t>
  </si>
  <si>
    <t>82-931-7126</t>
  </si>
  <si>
    <t>67-596-1997</t>
  </si>
  <si>
    <t>82 Drewry Junction</t>
  </si>
  <si>
    <t>55-631-7937</t>
  </si>
  <si>
    <t>79-508-5241</t>
  </si>
  <si>
    <t>9067 Valley Edge Park</t>
  </si>
  <si>
    <t>11-338-4598</t>
  </si>
  <si>
    <t>72-360-6358</t>
  </si>
  <si>
    <t>185 Stone Corner Parkway</t>
  </si>
  <si>
    <t>52-402-9245</t>
  </si>
  <si>
    <t>37-519-7762</t>
  </si>
  <si>
    <t>Fliptune</t>
  </si>
  <si>
    <t>205 Straubel Court</t>
  </si>
  <si>
    <t>09-536-2626</t>
  </si>
  <si>
    <t>14-483-5712</t>
  </si>
  <si>
    <t>Jetpulse</t>
  </si>
  <si>
    <t>2 7th Center</t>
  </si>
  <si>
    <t>48-427-0551</t>
  </si>
  <si>
    <t>01-900-4509</t>
  </si>
  <si>
    <t>Tanoodle</t>
  </si>
  <si>
    <t>443 Browning Terrace</t>
  </si>
  <si>
    <t>06-706-6490</t>
  </si>
  <si>
    <t>85-670-6379</t>
  </si>
  <si>
    <t>97 Utah Lane</t>
  </si>
  <si>
    <t>29-135-0791</t>
  </si>
  <si>
    <t>05-050-4384</t>
  </si>
  <si>
    <t>25 Drewry Alley</t>
  </si>
  <si>
    <t>89-624-7462</t>
  </si>
  <si>
    <t>39-506-2186</t>
  </si>
  <si>
    <t>77 Monument Court</t>
  </si>
  <si>
    <t>82-231-4245</t>
  </si>
  <si>
    <t>96-177-4040</t>
  </si>
  <si>
    <t>Zooxo</t>
  </si>
  <si>
    <t>61932 Cascade Crossing</t>
  </si>
  <si>
    <t>42-220-9305</t>
  </si>
  <si>
    <t>56-092-7992</t>
  </si>
  <si>
    <t>4 Judy Hill</t>
  </si>
  <si>
    <t>02-920-4829</t>
  </si>
  <si>
    <t>41-587-4864</t>
  </si>
  <si>
    <t>58 La Follette Park</t>
  </si>
  <si>
    <t>61-801-8665</t>
  </si>
  <si>
    <t>78-283-9751</t>
  </si>
  <si>
    <t>Zazio</t>
  </si>
  <si>
    <t>52105 Mandrake Place</t>
  </si>
  <si>
    <t>01-144-5960</t>
  </si>
  <si>
    <t>80-848-7493</t>
  </si>
  <si>
    <t>Flashset</t>
  </si>
  <si>
    <t>83 Pleasure Street</t>
  </si>
  <si>
    <t>98-575-4736</t>
  </si>
  <si>
    <t>44-429-6199</t>
  </si>
  <si>
    <t>77 Monterey Avenue</t>
  </si>
  <si>
    <t>30-996-2526</t>
  </si>
  <si>
    <t>30-942-0054</t>
  </si>
  <si>
    <t>0 Thackeray Point</t>
  </si>
  <si>
    <t>45-380-4627</t>
  </si>
  <si>
    <t>20-201-5639</t>
  </si>
  <si>
    <t>06 Shopko Pass</t>
  </si>
  <si>
    <t>47-548-6500</t>
  </si>
  <si>
    <t>27-061-4764</t>
  </si>
  <si>
    <t>7020 Porter Trail</t>
  </si>
  <si>
    <t>30-591-7275</t>
  </si>
  <si>
    <t>12-431-9207</t>
  </si>
  <si>
    <t>160 Kings Street</t>
  </si>
  <si>
    <t>38-296-6634</t>
  </si>
  <si>
    <t>41-083-3955</t>
  </si>
  <si>
    <t>80729 Homewood Plaza</t>
  </si>
  <si>
    <t>98-858-6323</t>
  </si>
  <si>
    <t>79-086-1717</t>
  </si>
  <si>
    <t>583 Loftsgordon Road</t>
  </si>
  <si>
    <t>69-743-0161</t>
  </si>
  <si>
    <t>29-774-6779</t>
  </si>
  <si>
    <t>Twitterbridge</t>
  </si>
  <si>
    <t>5521 Wayridge Center</t>
  </si>
  <si>
    <t>71-067-3278</t>
  </si>
  <si>
    <t>76-797-9430</t>
  </si>
  <si>
    <t>685 Independence Junction</t>
  </si>
  <si>
    <t>24-143-4957</t>
  </si>
  <si>
    <t>29-968-4976</t>
  </si>
  <si>
    <t>854 Kipling Point</t>
  </si>
  <si>
    <t>31-387-5020</t>
  </si>
  <si>
    <t>02-811-7933</t>
  </si>
  <si>
    <t>Tagchat</t>
  </si>
  <si>
    <t>23560 Talmadge Center</t>
  </si>
  <si>
    <t>33-378-1365</t>
  </si>
  <si>
    <t>31-483-9201</t>
  </si>
  <si>
    <t>7193 Crownhardt Drive</t>
  </si>
  <si>
    <t>41-729-5410</t>
  </si>
  <si>
    <t>71-727-8611</t>
  </si>
  <si>
    <t>Blogspan</t>
  </si>
  <si>
    <t>76928 Tennyson Parkway</t>
  </si>
  <si>
    <t>33-335-9140</t>
  </si>
  <si>
    <t>08-209-1598</t>
  </si>
  <si>
    <t>265 Columbus Way</t>
  </si>
  <si>
    <t>40-021-2400</t>
  </si>
  <si>
    <t>62-648-2577</t>
  </si>
  <si>
    <t>Kazio</t>
  </si>
  <si>
    <t>85953 Clyde Gallagher Drive</t>
  </si>
  <si>
    <t>81-268-5905</t>
  </si>
  <si>
    <t>36-138-9045</t>
  </si>
  <si>
    <t>33145 Butterfield Avenue</t>
  </si>
  <si>
    <t>38-617-7226</t>
  </si>
  <si>
    <t>91-215-9838</t>
  </si>
  <si>
    <t>64389 Arkansas Alley</t>
  </si>
  <si>
    <t>54-822-9009</t>
  </si>
  <si>
    <t>23-197-9965</t>
  </si>
  <si>
    <t>Jabberstorm</t>
  </si>
  <si>
    <t>6738 Tennyson Road</t>
  </si>
  <si>
    <t>02-655-3240</t>
  </si>
  <si>
    <t>95-200-1972</t>
  </si>
  <si>
    <t>8 Hazelcrest Street</t>
  </si>
  <si>
    <t>01-839-6534</t>
  </si>
  <si>
    <t>51-519-4588</t>
  </si>
  <si>
    <t>27 School Court</t>
  </si>
  <si>
    <t>98-499-2220</t>
  </si>
  <si>
    <t>69-666-2257</t>
  </si>
  <si>
    <t>9951 Petterle Alley</t>
  </si>
  <si>
    <t>69-171-1305</t>
  </si>
  <si>
    <t>33-733-7313</t>
  </si>
  <si>
    <t>Agivu</t>
  </si>
  <si>
    <t>38 Banding Lane</t>
  </si>
  <si>
    <t>57-394-4703</t>
  </si>
  <si>
    <t>52-130-3457</t>
  </si>
  <si>
    <t>06 Lake View Trail</t>
  </si>
  <si>
    <t>58-946-5152</t>
  </si>
  <si>
    <t>42-201-4328</t>
  </si>
  <si>
    <t>84642 Clarendon Point</t>
  </si>
  <si>
    <t>74-587-2065</t>
  </si>
  <si>
    <t>33-141-1402</t>
  </si>
  <si>
    <t>11 Golden Leaf Alley</t>
  </si>
  <si>
    <t>69-287-9113</t>
  </si>
  <si>
    <t>20-952-0731</t>
  </si>
  <si>
    <t>6 Bobwhite Alley</t>
  </si>
  <si>
    <t>03-441-4252</t>
  </si>
  <si>
    <t>11-430-6041</t>
  </si>
  <si>
    <t>7 Talmadge Street</t>
  </si>
  <si>
    <t>29-344-3658</t>
  </si>
  <si>
    <t>33-546-5056</t>
  </si>
  <si>
    <t>374 Blue Bill Park Point</t>
  </si>
  <si>
    <t>12-342-4482</t>
  </si>
  <si>
    <t>71-300-8176</t>
  </si>
  <si>
    <t>185 Saint Paul Road</t>
  </si>
  <si>
    <t>99-894-4351</t>
  </si>
  <si>
    <t>45-602-6533</t>
  </si>
  <si>
    <t>1509 Hoard Circle</t>
  </si>
  <si>
    <t>34-709-9237</t>
  </si>
  <si>
    <t>66-680-8738</t>
  </si>
  <si>
    <t>Abata</t>
  </si>
  <si>
    <t>30408 5th Way</t>
  </si>
  <si>
    <t>05-498-7751</t>
  </si>
  <si>
    <t>17-963-6051</t>
  </si>
  <si>
    <t>0500 Calypso Pass</t>
  </si>
  <si>
    <t>32-270-1385</t>
  </si>
  <si>
    <t>81-072-8266</t>
  </si>
  <si>
    <t>Skynoodle</t>
  </si>
  <si>
    <t>978 Shasta Lane</t>
  </si>
  <si>
    <t>67-710-5120</t>
  </si>
  <si>
    <t>00-131-9278</t>
  </si>
  <si>
    <t>524 Saint Paul Park</t>
  </si>
  <si>
    <t>37-709-3532</t>
  </si>
  <si>
    <t>08-439-3820</t>
  </si>
  <si>
    <t>9 Meadow Vale Drive</t>
  </si>
  <si>
    <t>60-311-5701</t>
  </si>
  <si>
    <t>07-578-7055</t>
  </si>
  <si>
    <t>Twitterlist</t>
  </si>
  <si>
    <t>467 Dexter Pass</t>
  </si>
  <si>
    <t>97-093-4278</t>
  </si>
  <si>
    <t>38-200-4863</t>
  </si>
  <si>
    <t>16 Fair Oaks Pass</t>
  </si>
  <si>
    <t>41-131-3841</t>
  </si>
  <si>
    <t>55-269-1746</t>
  </si>
  <si>
    <t>8119 Homewood Drive</t>
  </si>
  <si>
    <t>40-630-1431</t>
  </si>
  <si>
    <t>61-040-9004</t>
  </si>
  <si>
    <t>4571 Fremont Way</t>
  </si>
  <si>
    <t>64-493-5270</t>
  </si>
  <si>
    <t>36-964-9838</t>
  </si>
  <si>
    <t>357 High Crossing Parkway</t>
  </si>
  <si>
    <t>07-219-8017</t>
  </si>
  <si>
    <t>95-148-9287</t>
  </si>
  <si>
    <t>03 Roth Court</t>
  </si>
  <si>
    <t>73-751-4393</t>
  </si>
  <si>
    <t>14-486-5626</t>
  </si>
  <si>
    <t>Meedoo</t>
  </si>
  <si>
    <t>7182 Summit Court</t>
  </si>
  <si>
    <t>50-942-2409</t>
  </si>
  <si>
    <t>69-472-4067</t>
  </si>
  <si>
    <t>481 Mifflin Hill</t>
  </si>
  <si>
    <t>01-018-6418</t>
  </si>
  <si>
    <t>78-888-6073</t>
  </si>
  <si>
    <t>Zoozzy</t>
  </si>
  <si>
    <t>697 Hoepker Center</t>
  </si>
  <si>
    <t>59-725-4038</t>
  </si>
  <si>
    <t>39-055-1703</t>
  </si>
  <si>
    <t>5551 Mallory Lane</t>
  </si>
  <si>
    <t>40-997-2786</t>
  </si>
  <si>
    <t>18-743-4684</t>
  </si>
  <si>
    <t>20 Nelson Way</t>
  </si>
  <si>
    <t>11-766-8738</t>
  </si>
  <si>
    <t>96-393-1428</t>
  </si>
  <si>
    <t>988 Southridge Way</t>
  </si>
  <si>
    <t>40-860-4532</t>
  </si>
  <si>
    <t>73-625-5112</t>
  </si>
  <si>
    <t>Mynte</t>
  </si>
  <si>
    <t>52691 8th Drive</t>
  </si>
  <si>
    <t>55-936-2406</t>
  </si>
  <si>
    <t>29-689-5014</t>
  </si>
  <si>
    <t>04 Blaine Lane</t>
  </si>
  <si>
    <t>62-816-8794</t>
  </si>
  <si>
    <t>56-110-5754</t>
  </si>
  <si>
    <t>55095 Northview Drive</t>
  </si>
  <si>
    <t>04-104-6993</t>
  </si>
  <si>
    <t>06-776-1072</t>
  </si>
  <si>
    <t>509 Carpenter Trail</t>
  </si>
  <si>
    <t>35-835-5591</t>
  </si>
  <si>
    <t>54-876-4296</t>
  </si>
  <si>
    <t>298 Corry Plaza</t>
  </si>
  <si>
    <t>83-704-6367</t>
  </si>
  <si>
    <t>41-628-8713</t>
  </si>
  <si>
    <t>9 Karstens Center</t>
  </si>
  <si>
    <t>60-771-0879</t>
  </si>
  <si>
    <t>90-554-0576</t>
  </si>
  <si>
    <t>1661 Springview Terrace</t>
  </si>
  <si>
    <t>27-269-5260</t>
  </si>
  <si>
    <t>54-724-8610</t>
  </si>
  <si>
    <t>8239 Laurel Way</t>
  </si>
  <si>
    <t>20-031-0532</t>
  </si>
  <si>
    <t>35-835-8848</t>
  </si>
  <si>
    <t>5 Ohio Lane</t>
  </si>
  <si>
    <t>19-323-0506</t>
  </si>
  <si>
    <t>28-977-3789</t>
  </si>
  <si>
    <t>55782 Welch Hill</t>
  </si>
  <si>
    <t>46-452-9419</t>
  </si>
  <si>
    <t>67-137-4215</t>
  </si>
  <si>
    <t>54 Pawling Crossing</t>
  </si>
  <si>
    <t>90-492-0564</t>
  </si>
  <si>
    <t>18-085-1667</t>
  </si>
  <si>
    <t>8 Oriole Terrace</t>
  </si>
  <si>
    <t>17-395-1121</t>
  </si>
  <si>
    <t>67-252-3923</t>
  </si>
  <si>
    <t>40 Merchant Terrace</t>
  </si>
  <si>
    <t>83-400-9746</t>
  </si>
  <si>
    <t>02-510-0629</t>
  </si>
  <si>
    <t>4 Dakota Avenue</t>
  </si>
  <si>
    <t>19-854-3663</t>
  </si>
  <si>
    <t>72-509-7548</t>
  </si>
  <si>
    <t>1005 Lyons Junction</t>
  </si>
  <si>
    <t>57-167-0669</t>
  </si>
  <si>
    <t>30-934-3251</t>
  </si>
  <si>
    <t>43024 Elka Avenue</t>
  </si>
  <si>
    <t>76-954-1442</t>
  </si>
  <si>
    <t>68-200-8955</t>
  </si>
  <si>
    <t>5 Armistice Parkway</t>
  </si>
  <si>
    <t>83-763-5038</t>
  </si>
  <si>
    <t>26-438-8349</t>
  </si>
  <si>
    <t>3831 Goodland Road</t>
  </si>
  <si>
    <t>80-375-9075</t>
  </si>
  <si>
    <t>86-487-3354</t>
  </si>
  <si>
    <t>92486 Laurel Alley</t>
  </si>
  <si>
    <t>87-391-9658</t>
  </si>
  <si>
    <t>51-054-1226</t>
  </si>
  <si>
    <t>9 Victoria Point</t>
  </si>
  <si>
    <t>67-725-6830</t>
  </si>
  <si>
    <t>05-727-0033</t>
  </si>
  <si>
    <t>Feednation</t>
  </si>
  <si>
    <t>6748 Mitchell Road</t>
  </si>
  <si>
    <t>12-093-9863</t>
  </si>
  <si>
    <t>21-416-3796</t>
  </si>
  <si>
    <t>81 Oneill Circle</t>
  </si>
  <si>
    <t>44-408-7594</t>
  </si>
  <si>
    <t>08-828-3804</t>
  </si>
  <si>
    <t>537 Maple Alley</t>
  </si>
  <si>
    <t>04-637-8815</t>
  </si>
  <si>
    <t>60-959-6355</t>
  </si>
  <si>
    <t>Skiba</t>
  </si>
  <si>
    <t>82737 Ryan Place</t>
  </si>
  <si>
    <t>88-746-9468</t>
  </si>
  <si>
    <t>06-159-1957</t>
  </si>
  <si>
    <t>Zoovu</t>
  </si>
  <si>
    <t>7 Hallows Alley</t>
  </si>
  <si>
    <t>32-987-5559</t>
  </si>
  <si>
    <t>01-665-0053</t>
  </si>
  <si>
    <t>60 Main Pass</t>
  </si>
  <si>
    <t>02-484-0206</t>
  </si>
  <si>
    <t>62-011-9357</t>
  </si>
  <si>
    <t>Yoveo</t>
  </si>
  <si>
    <t>652 High Crossing Lane</t>
  </si>
  <si>
    <t>80-441-7249</t>
  </si>
  <si>
    <t>35-979-6839</t>
  </si>
  <si>
    <t>03416 Valley Edge Circle</t>
  </si>
  <si>
    <t>41-316-8427</t>
  </si>
  <si>
    <t>75-867-3635</t>
  </si>
  <si>
    <t>05686 Golden Leaf Point</t>
  </si>
  <si>
    <t>56-668-5370</t>
  </si>
  <si>
    <t>13-526-1392</t>
  </si>
  <si>
    <t>11 Kedzie Avenue</t>
  </si>
  <si>
    <t>45-172-7012</t>
  </si>
  <si>
    <t>95-721-9228</t>
  </si>
  <si>
    <t>1 Pleasure Hill</t>
  </si>
  <si>
    <t>93-015-0811</t>
  </si>
  <si>
    <t>07-055-5188</t>
  </si>
  <si>
    <t>08896 Evergreen Avenue</t>
  </si>
  <si>
    <t>52-029-2382</t>
  </si>
  <si>
    <t>16-474-4516</t>
  </si>
  <si>
    <t>309 Burning Wood Center</t>
  </si>
  <si>
    <t>28-044-4102</t>
  </si>
  <si>
    <t>93-358-1118</t>
  </si>
  <si>
    <t>113 Donald Court</t>
  </si>
  <si>
    <t>34-861-4446</t>
  </si>
  <si>
    <t>40-696-4237</t>
  </si>
  <si>
    <t>Camimbo</t>
  </si>
  <si>
    <t>611 Waubesa Circle</t>
  </si>
  <si>
    <t>80-334-0215</t>
  </si>
  <si>
    <t>19-156-3869</t>
  </si>
  <si>
    <t>Zoomlounge</t>
  </si>
  <si>
    <t>44 Thompson Terrace</t>
  </si>
  <si>
    <t>94-697-2396</t>
  </si>
  <si>
    <t>34-161-7429</t>
  </si>
  <si>
    <t>Tavu</t>
  </si>
  <si>
    <t>425 Shasta Terrace</t>
  </si>
  <si>
    <t>76-027-4850</t>
  </si>
  <si>
    <t>75-256-5638</t>
  </si>
  <si>
    <t>Brainsphere</t>
  </si>
  <si>
    <t>21633 Sycamore Center</t>
  </si>
  <si>
    <t>15-907-3681</t>
  </si>
  <si>
    <t>72-931-9828</t>
  </si>
  <si>
    <t>797 Mcbride Lane</t>
  </si>
  <si>
    <t>00-641-8691</t>
  </si>
  <si>
    <t>34-824-0575</t>
  </si>
  <si>
    <t>083 Mccormick Park</t>
  </si>
  <si>
    <t>15-762-1058</t>
  </si>
  <si>
    <t>32-914-1424</t>
  </si>
  <si>
    <t>38436 Anthes Way</t>
  </si>
  <si>
    <t>57-779-4955</t>
  </si>
  <si>
    <t>84-869-9980</t>
  </si>
  <si>
    <t>1 Mockingbird Parkway</t>
  </si>
  <si>
    <t>68-436-1268</t>
  </si>
  <si>
    <t>10-694-6636</t>
  </si>
  <si>
    <t>3 Bayside Point</t>
  </si>
  <si>
    <t>26-000-1012</t>
  </si>
  <si>
    <t>60-284-1974</t>
  </si>
  <si>
    <t>13 Forest Run Place</t>
  </si>
  <si>
    <t>75-094-1179</t>
  </si>
  <si>
    <t>57-615-0729</t>
  </si>
  <si>
    <t>Edgepulse</t>
  </si>
  <si>
    <t>553 Mayfield Crossing</t>
  </si>
  <si>
    <t>11-032-9778</t>
  </si>
  <si>
    <t>42-380-8881</t>
  </si>
  <si>
    <t>55276 Golf Hill</t>
  </si>
  <si>
    <t>24-478-8277</t>
  </si>
  <si>
    <t>64-070-7611</t>
  </si>
  <si>
    <t>924 La Follette Alley</t>
  </si>
  <si>
    <t>12-239-9399</t>
  </si>
  <si>
    <t>53-584-1853</t>
  </si>
  <si>
    <t>Yombu</t>
  </si>
  <si>
    <t>35598 Fuller Terrace</t>
  </si>
  <si>
    <t>83-321-7887</t>
  </si>
  <si>
    <t>70-444-9176</t>
  </si>
  <si>
    <t>Divape</t>
  </si>
  <si>
    <t>163 Esch Pass</t>
  </si>
  <si>
    <t>80-371-3695</t>
  </si>
  <si>
    <t>42-254-7371</t>
  </si>
  <si>
    <t>77 Brown Circle</t>
  </si>
  <si>
    <t>49-199-6836</t>
  </si>
  <si>
    <t>81-999-7392</t>
  </si>
  <si>
    <t>8 Merrick Lane</t>
  </si>
  <si>
    <t>85-510-2915</t>
  </si>
  <si>
    <t>55-134-2668</t>
  </si>
  <si>
    <t>9 Cardinal Alley</t>
  </si>
  <si>
    <t>08-637-9335</t>
  </si>
  <si>
    <t>99-178-0951</t>
  </si>
  <si>
    <t>93 Longview Junction</t>
  </si>
  <si>
    <t>85-212-2729</t>
  </si>
  <si>
    <t>58-226-6435</t>
  </si>
  <si>
    <t>04776 Saint Paul Park</t>
  </si>
  <si>
    <t>51-469-4611</t>
  </si>
  <si>
    <t>62-029-0827</t>
  </si>
  <si>
    <t>7945 Mayer Center</t>
  </si>
  <si>
    <t>34-928-2775</t>
  </si>
  <si>
    <t>07-959-3210</t>
  </si>
  <si>
    <t>9433 Jenna Lane</t>
  </si>
  <si>
    <t>32-676-1026</t>
  </si>
  <si>
    <t>98-155-9583</t>
  </si>
  <si>
    <t>2 Grayhawk Junction</t>
  </si>
  <si>
    <t>53-080-8252</t>
  </si>
  <si>
    <t>73-744-7022</t>
  </si>
  <si>
    <t>6744 Helena Pass</t>
  </si>
  <si>
    <t>49-526-7806</t>
  </si>
  <si>
    <t>66-973-4855</t>
  </si>
  <si>
    <t>Kwideo</t>
  </si>
  <si>
    <t>803 Cottonwood Crossing</t>
  </si>
  <si>
    <t>31-157-1822</t>
  </si>
  <si>
    <t>53-998-1422</t>
  </si>
  <si>
    <t>269 Dakota Trail</t>
  </si>
  <si>
    <t>91-426-3204</t>
  </si>
  <si>
    <t>86-184-4829</t>
  </si>
  <si>
    <t>7 Harper Drive</t>
  </si>
  <si>
    <t>64-109-7362</t>
  </si>
  <si>
    <t>38-603-6412</t>
  </si>
  <si>
    <t>49869 Bunker Hill Terrace</t>
  </si>
  <si>
    <t>68-418-6724</t>
  </si>
  <si>
    <t>75-465-6257</t>
  </si>
  <si>
    <t>7407 Farragut Pass</t>
  </si>
  <si>
    <t>93-813-2419</t>
  </si>
  <si>
    <t>12-264-4503</t>
  </si>
  <si>
    <t>Browsebug</t>
  </si>
  <si>
    <t>7 Schiller Court</t>
  </si>
  <si>
    <t>52-123-8039</t>
  </si>
  <si>
    <t>24-087-5935</t>
  </si>
  <si>
    <t>11263 Kipling Hill</t>
  </si>
  <si>
    <t>74-666-5671</t>
  </si>
  <si>
    <t>58-657-7257</t>
  </si>
  <si>
    <t>70001 Vahlen Lane</t>
  </si>
  <si>
    <t>26-161-6692</t>
  </si>
  <si>
    <t>61-796-7912</t>
  </si>
  <si>
    <t>82 Hintze Court</t>
  </si>
  <si>
    <t>44-368-7112</t>
  </si>
  <si>
    <t>85-978-7855</t>
  </si>
  <si>
    <t>6982 Crownhardt Circle</t>
  </si>
  <si>
    <t>01-820-5784</t>
  </si>
  <si>
    <t>80-567-5598</t>
  </si>
  <si>
    <t>Rooxo</t>
  </si>
  <si>
    <t>2 Butterfield Pass</t>
  </si>
  <si>
    <t>10-378-9729</t>
  </si>
  <si>
    <t>83-941-9620</t>
  </si>
  <si>
    <t>14 Talmadge Park</t>
  </si>
  <si>
    <t>39-479-5147</t>
  </si>
  <si>
    <t>02-156-7270</t>
  </si>
  <si>
    <t>44662 American Plaza</t>
  </si>
  <si>
    <t>95-262-6208</t>
  </si>
  <si>
    <t>66-227-1125</t>
  </si>
  <si>
    <t>7051 Calypso Place</t>
  </si>
  <si>
    <t>37-248-6266</t>
  </si>
  <si>
    <t>75-553-7424</t>
  </si>
  <si>
    <t>4033 Sloan Hill</t>
  </si>
  <si>
    <t>43-851-9440</t>
  </si>
  <si>
    <t>67-674-0287</t>
  </si>
  <si>
    <t>734 Thackeray Avenue</t>
  </si>
  <si>
    <t>11-053-0107</t>
  </si>
  <si>
    <t>07-410-2867</t>
  </si>
  <si>
    <t>Avavee</t>
  </si>
  <si>
    <t>31057 Roth Place</t>
  </si>
  <si>
    <t>28-608-0039</t>
  </si>
  <si>
    <t>26-796-0872</t>
  </si>
  <si>
    <t>Rhycero</t>
  </si>
  <si>
    <t>9559 Muir Trail</t>
  </si>
  <si>
    <t>96-334-2593</t>
  </si>
  <si>
    <t>64-831-3071</t>
  </si>
  <si>
    <t>811 Dapin Center</t>
  </si>
  <si>
    <t>73-010-8323</t>
  </si>
  <si>
    <t>80-622-6587</t>
  </si>
  <si>
    <t>1 Hollow Ridge Park</t>
  </si>
  <si>
    <t>86-273-9377</t>
  </si>
  <si>
    <t>38-330-5543</t>
  </si>
  <si>
    <t>8583 Northwestern Terrace</t>
  </si>
  <si>
    <t>35-353-4068</t>
  </si>
  <si>
    <t>44-199-6832</t>
  </si>
  <si>
    <t>Mudo</t>
  </si>
  <si>
    <t>42 Green Ridge Terrace</t>
  </si>
  <si>
    <t>02-974-8526</t>
  </si>
  <si>
    <t>09-387-1119</t>
  </si>
  <si>
    <t>57453 Northwestern Alley</t>
  </si>
  <si>
    <t>95-252-9619</t>
  </si>
  <si>
    <t>38-819-2922</t>
  </si>
  <si>
    <t>760 Butternut Plaza</t>
  </si>
  <si>
    <t>43-469-7551</t>
  </si>
  <si>
    <t>64-361-4238</t>
  </si>
  <si>
    <t>7943 Amoth Parkway</t>
  </si>
  <si>
    <t>08-495-6853</t>
  </si>
  <si>
    <t>07-432-0137</t>
  </si>
  <si>
    <t>53 Forest Run Plaza</t>
  </si>
  <si>
    <t>83-556-0996</t>
  </si>
  <si>
    <t>81-234-0741</t>
  </si>
  <si>
    <t>509 Waywood Center</t>
  </si>
  <si>
    <t>65-282-0419</t>
  </si>
  <si>
    <t>85-932-1011</t>
  </si>
  <si>
    <t>Realfire</t>
  </si>
  <si>
    <t>1 Jackson Pass</t>
  </si>
  <si>
    <t>95-449-1286</t>
  </si>
  <si>
    <t>18-260-7354</t>
  </si>
  <si>
    <t>68 Dakota Center</t>
  </si>
  <si>
    <t>00-534-9775</t>
  </si>
  <si>
    <t>79-955-6260</t>
  </si>
  <si>
    <t>Yambee</t>
  </si>
  <si>
    <t>642 Arizona Point</t>
  </si>
  <si>
    <t>09-618-2842</t>
  </si>
  <si>
    <t>68-415-1025</t>
  </si>
  <si>
    <t>87 Bluestem Parkway</t>
  </si>
  <si>
    <t>74-610-2295</t>
  </si>
  <si>
    <t>22-959-6357</t>
  </si>
  <si>
    <t>4826 Drewry Center</t>
  </si>
  <si>
    <t>17-265-1899</t>
  </si>
  <si>
    <t>61-793-0279</t>
  </si>
  <si>
    <t>7 Mockingbird Hill</t>
  </si>
  <si>
    <t>06-336-5482</t>
  </si>
  <si>
    <t>99-784-4391</t>
  </si>
  <si>
    <t>Cogidoo</t>
  </si>
  <si>
    <t>0 Ruskin Way</t>
  </si>
  <si>
    <t>20-283-0111</t>
  </si>
  <si>
    <t>60-394-8955</t>
  </si>
  <si>
    <t>Twimm</t>
  </si>
  <si>
    <t>01 Hansons Crossing</t>
  </si>
  <si>
    <t>77-937-1108</t>
  </si>
  <si>
    <t>41-007-0132</t>
  </si>
  <si>
    <t>4 Loomis Way</t>
  </si>
  <si>
    <t>07-337-9889</t>
  </si>
  <si>
    <t>84-949-8378</t>
  </si>
  <si>
    <t>5989 Longview Drive</t>
  </si>
  <si>
    <t>81-578-7404</t>
  </si>
  <si>
    <t>90-177-6733</t>
  </si>
  <si>
    <t>Edgewire</t>
  </si>
  <si>
    <t>6435 Burning Wood Drive</t>
  </si>
  <si>
    <t>90-303-1821</t>
  </si>
  <si>
    <t>96-786-0667</t>
  </si>
  <si>
    <t>91 Gateway Pass</t>
  </si>
  <si>
    <t>42-495-7698</t>
  </si>
  <si>
    <t>93-625-4768</t>
  </si>
  <si>
    <t>78919 East Crossing</t>
  </si>
  <si>
    <t>57-101-0060</t>
  </si>
  <si>
    <t>40-070-5881</t>
  </si>
  <si>
    <t>Buzzdog</t>
  </si>
  <si>
    <t>952 Rowland Junction</t>
  </si>
  <si>
    <t>99-561-4871</t>
  </si>
  <si>
    <t>04-786-5408</t>
  </si>
  <si>
    <t>28351 Cascade Plaza</t>
  </si>
  <si>
    <t>40-126-0515</t>
  </si>
  <si>
    <t>78-379-0369</t>
  </si>
  <si>
    <t>884 Sloan Drive</t>
  </si>
  <si>
    <t>19-377-5021</t>
  </si>
  <si>
    <t>34-014-5873</t>
  </si>
  <si>
    <t>Rhynoodle</t>
  </si>
  <si>
    <t>22 Hudson Pass</t>
  </si>
  <si>
    <t>60-644-6596</t>
  </si>
  <si>
    <t>32-745-8366</t>
  </si>
  <si>
    <t>463 Oxford Crossing</t>
  </si>
  <si>
    <t>82-711-0772</t>
  </si>
  <si>
    <t>78-877-1866</t>
  </si>
  <si>
    <t>Demizz</t>
  </si>
  <si>
    <t>149 Valley Edge Point</t>
  </si>
  <si>
    <t>55-803-3964</t>
  </si>
  <si>
    <t>75-906-1086</t>
  </si>
  <si>
    <t>21 Sunbrook Court</t>
  </si>
  <si>
    <t>00-119-8780</t>
  </si>
  <si>
    <t>14-703-2550</t>
  </si>
  <si>
    <t>1 Logan Road</t>
  </si>
  <si>
    <t>13-888-0149</t>
  </si>
  <si>
    <t>09-902-6272</t>
  </si>
  <si>
    <t>7 Prairieview Place</t>
  </si>
  <si>
    <t>51-273-4240</t>
  </si>
  <si>
    <t>32-506-0556</t>
  </si>
  <si>
    <t>74 Sugar Plaza</t>
  </si>
  <si>
    <t>23-395-3157</t>
  </si>
  <si>
    <t>48-538-8538</t>
  </si>
  <si>
    <t>554 Eliot Point</t>
  </si>
  <si>
    <t>03-149-9760</t>
  </si>
  <si>
    <t>08-141-2402</t>
  </si>
  <si>
    <t>2582 Autumn Leaf Park</t>
  </si>
  <si>
    <t>02-895-7781</t>
  </si>
  <si>
    <t>23-109-2205</t>
  </si>
  <si>
    <t>848 Mariners Cove Junction</t>
  </si>
  <si>
    <t>95-354-8583</t>
  </si>
  <si>
    <t>02-057-9401</t>
  </si>
  <si>
    <t>498 Delladonna Drive</t>
  </si>
  <si>
    <t>27-681-5588</t>
  </si>
  <si>
    <t>89-959-2254</t>
  </si>
  <si>
    <t>76106 Anthes Junction</t>
  </si>
  <si>
    <t>70-534-7796</t>
  </si>
  <si>
    <t>62-044-8874</t>
  </si>
  <si>
    <t>03 Fisk Alley</t>
  </si>
  <si>
    <t>72-066-4597</t>
  </si>
  <si>
    <t>97-994-0773</t>
  </si>
  <si>
    <t>546 Declaration Place</t>
  </si>
  <si>
    <t>79-884-8810</t>
  </si>
  <si>
    <t>14-108-0409</t>
  </si>
  <si>
    <t>082 Clove Plaza</t>
  </si>
  <si>
    <t>08-703-1382</t>
  </si>
  <si>
    <t>29-975-3449</t>
  </si>
  <si>
    <t>850 Glacier Hill Drive</t>
  </si>
  <si>
    <t>39-315-3936</t>
  </si>
  <si>
    <t>99-034-7010</t>
  </si>
  <si>
    <t>Jabbertype</t>
  </si>
  <si>
    <t>5 Linden Terrace</t>
  </si>
  <si>
    <t>06-690-2335</t>
  </si>
  <si>
    <t>66-317-4895</t>
  </si>
  <si>
    <t>29815 Bonner Trail</t>
  </si>
  <si>
    <t>43-153-8268</t>
  </si>
  <si>
    <t>19-809-5654</t>
  </si>
  <si>
    <t>46 Orin Drive</t>
  </si>
  <si>
    <t>44-634-8292</t>
  </si>
  <si>
    <t>48-557-5036</t>
  </si>
  <si>
    <t>7369 Thackeray Drive</t>
  </si>
  <si>
    <t>96-774-0457</t>
  </si>
  <si>
    <t>71-991-5737</t>
  </si>
  <si>
    <t>80380 Valley Edge Road</t>
  </si>
  <si>
    <t>50-930-4751</t>
  </si>
  <si>
    <t>40-260-8547</t>
  </si>
  <si>
    <t>917 Westerfield Terrace</t>
  </si>
  <si>
    <t>63-918-8253</t>
  </si>
  <si>
    <t>94-157-1762</t>
  </si>
  <si>
    <t>7 Sloan Park</t>
  </si>
  <si>
    <t>84-629-1532</t>
  </si>
  <si>
    <t>50-378-4320</t>
  </si>
  <si>
    <t>3616 Carey Pass</t>
  </si>
  <si>
    <t>77-312-6317</t>
  </si>
  <si>
    <t>12-950-4397</t>
  </si>
  <si>
    <t>Twinte</t>
  </si>
  <si>
    <t>32468 Utah Pass</t>
  </si>
  <si>
    <t>21-693-8216</t>
  </si>
  <si>
    <t>62-599-8388</t>
  </si>
  <si>
    <t>Ainyx</t>
  </si>
  <si>
    <t>7 Roxbury Circle</t>
  </si>
  <si>
    <t>74-430-8245</t>
  </si>
  <si>
    <t>51-213-5660</t>
  </si>
  <si>
    <t>195 Portage Junction</t>
  </si>
  <si>
    <t>39-449-0772</t>
  </si>
  <si>
    <t>84-504-7617</t>
  </si>
  <si>
    <t>406 Westridge Alley</t>
  </si>
  <si>
    <t>51-312-8608</t>
  </si>
  <si>
    <t>06-315-0552</t>
  </si>
  <si>
    <t>22782 Oriole Way</t>
  </si>
  <si>
    <t>89-543-3456</t>
  </si>
  <si>
    <t>23-178-8962</t>
  </si>
  <si>
    <t>64407 Marcy Plaza</t>
  </si>
  <si>
    <t>57-861-4379</t>
  </si>
  <si>
    <t>73-383-4390</t>
  </si>
  <si>
    <t>32 Rigney Terrace</t>
  </si>
  <si>
    <t>39-768-8205</t>
  </si>
  <si>
    <t>07-987-4536</t>
  </si>
  <si>
    <t>2 Canary Street</t>
  </si>
  <si>
    <t>95-130-9020</t>
  </si>
  <si>
    <t>75-985-6744</t>
  </si>
  <si>
    <t>34832 Autumn Leaf Terrace</t>
  </si>
  <si>
    <t>02-575-1980</t>
  </si>
  <si>
    <t>61-100-8296</t>
  </si>
  <si>
    <t>34642 Carpenter Place</t>
  </si>
  <si>
    <t>22-895-6595</t>
  </si>
  <si>
    <t>18-445-5057</t>
  </si>
  <si>
    <t>41 Comanche Park</t>
  </si>
  <si>
    <t>85-207-4164</t>
  </si>
  <si>
    <t>07-067-3439</t>
  </si>
  <si>
    <t>Mymm</t>
  </si>
  <si>
    <t>49225 Homewood Place</t>
  </si>
  <si>
    <t>26-799-3714</t>
  </si>
  <si>
    <t>50-877-0990</t>
  </si>
  <si>
    <t>34 Linden Court</t>
  </si>
  <si>
    <t>57-903-6434</t>
  </si>
  <si>
    <t>30-460-3122</t>
  </si>
  <si>
    <t>4374 Corry Terrace</t>
  </si>
  <si>
    <t>80-227-6886</t>
  </si>
  <si>
    <t>91-632-7343</t>
  </si>
  <si>
    <t>9440 Coleman Drive</t>
  </si>
  <si>
    <t>31-255-9616</t>
  </si>
  <si>
    <t>11-031-9939</t>
  </si>
  <si>
    <t>3 John Wall Point</t>
  </si>
  <si>
    <t>37-610-1999</t>
  </si>
  <si>
    <t>19-985-9694</t>
  </si>
  <si>
    <t>5818 Twin Pines Place</t>
  </si>
  <si>
    <t>86-330-0214</t>
  </si>
  <si>
    <t>87-840-7803</t>
  </si>
  <si>
    <t>21625 Schlimgen Park</t>
  </si>
  <si>
    <t>29-592-7315</t>
  </si>
  <si>
    <t>61-867-3019</t>
  </si>
  <si>
    <t>5 Prentice Pass</t>
  </si>
  <si>
    <t>86-257-4613</t>
  </si>
  <si>
    <t>70-402-4816</t>
  </si>
  <si>
    <t>75 Cascade Avenue</t>
  </si>
  <si>
    <t>79-350-5841</t>
  </si>
  <si>
    <t>81-676-3345</t>
  </si>
  <si>
    <t>50687 Porter Park</t>
  </si>
  <si>
    <t>22-329-7791</t>
  </si>
  <si>
    <t>72-013-2438</t>
  </si>
  <si>
    <t>3 Oakridge Parkway</t>
  </si>
  <si>
    <t>10-854-5467</t>
  </si>
  <si>
    <t>40-443-3362</t>
  </si>
  <si>
    <t>4 Raven Drive</t>
  </si>
  <si>
    <t>70-612-2531</t>
  </si>
  <si>
    <t>94-217-4781</t>
  </si>
  <si>
    <t>12 Truax Court</t>
  </si>
  <si>
    <t>71-516-1996</t>
  </si>
  <si>
    <t>04-391-7610</t>
  </si>
  <si>
    <t>Meezzy</t>
  </si>
  <si>
    <t>18 Warrior Circle</t>
  </si>
  <si>
    <t>71-999-2404</t>
  </si>
  <si>
    <t>01-285-0018</t>
  </si>
  <si>
    <t>2 Sachtjen Park</t>
  </si>
  <si>
    <t>29-875-6900</t>
  </si>
  <si>
    <t>78-098-4468</t>
  </si>
  <si>
    <t>094 Carberry Lane</t>
  </si>
  <si>
    <t>11-922-3342</t>
  </si>
  <si>
    <t>33-523-9077</t>
  </si>
  <si>
    <t>Linkbridge</t>
  </si>
  <si>
    <t>79 Ronald Regan Avenue</t>
  </si>
  <si>
    <t>74-562-7431</t>
  </si>
  <si>
    <t>66-174-9633</t>
  </si>
  <si>
    <t>87 Corben Street</t>
  </si>
  <si>
    <t>95-357-2870</t>
  </si>
  <si>
    <t>75-365-7696</t>
  </si>
  <si>
    <t>911 Ridgeway Way</t>
  </si>
  <si>
    <t>04-277-5245</t>
  </si>
  <si>
    <t>90-175-7764</t>
  </si>
  <si>
    <t>44022 Barnett Way</t>
  </si>
  <si>
    <t>91-105-7317</t>
  </si>
  <si>
    <t>84-047-0017</t>
  </si>
  <si>
    <t>52 Alpine Crossing</t>
  </si>
  <si>
    <t>37-246-0018</t>
  </si>
  <si>
    <t>61-907-0994</t>
  </si>
  <si>
    <t>538 Bayside Parkway</t>
  </si>
  <si>
    <t>27-474-0056</t>
  </si>
  <si>
    <t>56-969-3705</t>
  </si>
  <si>
    <t>6 Rusk Pass</t>
  </si>
  <si>
    <t>12-439-8428</t>
  </si>
  <si>
    <t>43-542-6868</t>
  </si>
  <si>
    <t>5 Lyons Street</t>
  </si>
  <si>
    <t>56-657-4387</t>
  </si>
  <si>
    <t>78-629-7560</t>
  </si>
  <si>
    <t>9821 Novick Hill</t>
  </si>
  <si>
    <t>91-290-9062</t>
  </si>
  <si>
    <t>95-609-1485</t>
  </si>
  <si>
    <t>49646 Derek Lane</t>
  </si>
  <si>
    <t>06-503-5891</t>
  </si>
  <si>
    <t>19-098-2529</t>
  </si>
  <si>
    <t>Skiptube</t>
  </si>
  <si>
    <t>149 Lawn Way</t>
  </si>
  <si>
    <t>37-064-7275</t>
  </si>
  <si>
    <t>63-522-2633</t>
  </si>
  <si>
    <t>Innotype</t>
  </si>
  <si>
    <t>16730 Luster Alley</t>
  </si>
  <si>
    <t>21-993-5632</t>
  </si>
  <si>
    <t>26-860-4618</t>
  </si>
  <si>
    <t>2 Northview Avenue</t>
  </si>
  <si>
    <t>05-720-8792</t>
  </si>
  <si>
    <t>33-265-4588</t>
  </si>
  <si>
    <t>Skaboo</t>
  </si>
  <si>
    <t>2 Columbus Drive</t>
  </si>
  <si>
    <t>36-531-4087</t>
  </si>
  <si>
    <t>83-172-5527</t>
  </si>
  <si>
    <t>2 Northridge Street</t>
  </si>
  <si>
    <t>61-680-9496</t>
  </si>
  <si>
    <t>75-448-1356</t>
  </si>
  <si>
    <t>Wikivu</t>
  </si>
  <si>
    <t>451 Grim Hill</t>
  </si>
  <si>
    <t>36-636-4873</t>
  </si>
  <si>
    <t>11-098-3982</t>
  </si>
  <si>
    <t>5 Fisk Point</t>
  </si>
  <si>
    <t>45-992-5653</t>
  </si>
  <si>
    <t>22-050-5775</t>
  </si>
  <si>
    <t>10577 Thierer Plaza</t>
  </si>
  <si>
    <t>85-781-5386</t>
  </si>
  <si>
    <t>89-439-6947</t>
  </si>
  <si>
    <t>2005 Mccormick Road</t>
  </si>
  <si>
    <t>76-459-2392</t>
  </si>
  <si>
    <t>91-030-6609</t>
  </si>
  <si>
    <t>739 Grayhawk Trail</t>
  </si>
  <si>
    <t>92-791-0606</t>
  </si>
  <si>
    <t>56-050-1773</t>
  </si>
  <si>
    <t>38695 Kenwood Circle</t>
  </si>
  <si>
    <t>87-199-2743</t>
  </si>
  <si>
    <t>54-907-6531</t>
  </si>
  <si>
    <t>76 Shelley Pass</t>
  </si>
  <si>
    <t>04-038-1547</t>
  </si>
  <si>
    <t>61-912-9541</t>
  </si>
  <si>
    <t>3 Ilene Terrace</t>
  </si>
  <si>
    <t>83-917-7384</t>
  </si>
  <si>
    <t>84-923-5086</t>
  </si>
  <si>
    <t>667 Arkansas Circle</t>
  </si>
  <si>
    <t>94-525-6925</t>
  </si>
  <si>
    <t>31-892-6816</t>
  </si>
  <si>
    <t>60094 Goodland Junction</t>
  </si>
  <si>
    <t>16-632-1308</t>
  </si>
  <si>
    <t>45-903-0036</t>
  </si>
  <si>
    <t>93321 Kennedy Point</t>
  </si>
  <si>
    <t>13-798-3397</t>
  </si>
  <si>
    <t>89-992-6472</t>
  </si>
  <si>
    <t>Skajo</t>
  </si>
  <si>
    <t>39 Oxford Drive</t>
  </si>
  <si>
    <t>69-834-2874</t>
  </si>
  <si>
    <t>51-600-6076</t>
  </si>
  <si>
    <t>Vipe</t>
  </si>
  <si>
    <t>6 Hanover Terrace</t>
  </si>
  <si>
    <t>60-343-3288</t>
  </si>
  <si>
    <t>22-940-6543</t>
  </si>
  <si>
    <t>Jazzy</t>
  </si>
  <si>
    <t>4 Hagan Court</t>
  </si>
  <si>
    <t>21-650-9319</t>
  </si>
  <si>
    <t>73-445-3017</t>
  </si>
  <si>
    <t>3 Forster Point</t>
  </si>
  <si>
    <t>14-550-2152</t>
  </si>
  <si>
    <t>60-003-2919</t>
  </si>
  <si>
    <t>Topiczoom</t>
  </si>
  <si>
    <t>8 Hanover Center</t>
  </si>
  <si>
    <t>61-582-7399</t>
  </si>
  <si>
    <t>15-062-6342</t>
  </si>
  <si>
    <t>Babbleblab</t>
  </si>
  <si>
    <t>29755 Daystar Street</t>
  </si>
  <si>
    <t>28-107-4953</t>
  </si>
  <si>
    <t>01-165-8830</t>
  </si>
  <si>
    <t>9 Cordelia Trail</t>
  </si>
  <si>
    <t>53-050-8242</t>
  </si>
  <si>
    <t>31-163-5871</t>
  </si>
  <si>
    <t>9469 Bayside Plaza</t>
  </si>
  <si>
    <t>88-586-8797</t>
  </si>
  <si>
    <t>02-530-5932</t>
  </si>
  <si>
    <t>Edgetag</t>
  </si>
  <si>
    <t>07359 Porter Park</t>
  </si>
  <si>
    <t>93-772-3085</t>
  </si>
  <si>
    <t>61-807-0746</t>
  </si>
  <si>
    <t>0 Stoughton Terrace</t>
  </si>
  <si>
    <t>04-001-1793</t>
  </si>
  <si>
    <t>29-359-0109</t>
  </si>
  <si>
    <t>402 Kings Road</t>
  </si>
  <si>
    <t>10-137-9759</t>
  </si>
  <si>
    <t>23-688-6256</t>
  </si>
  <si>
    <t>Kaymbo</t>
  </si>
  <si>
    <t>97 Walton Avenue</t>
  </si>
  <si>
    <t>96-682-8546</t>
  </si>
  <si>
    <t>03-882-3517</t>
  </si>
  <si>
    <t>9262 Sullivan Crossing</t>
  </si>
  <si>
    <t>07-617-6934</t>
  </si>
  <si>
    <t>48-700-8059</t>
  </si>
  <si>
    <t>Shuffletag</t>
  </si>
  <si>
    <t>70862 Lighthouse Bay Junction</t>
  </si>
  <si>
    <t>43-164-5984</t>
  </si>
  <si>
    <t>10-008-6747</t>
  </si>
  <si>
    <t>27 New Castle Avenue</t>
  </si>
  <si>
    <t>07-074-1196</t>
  </si>
  <si>
    <t>69-112-6969</t>
  </si>
  <si>
    <t>38 Rutledge Plaza</t>
  </si>
  <si>
    <t>05-193-8096</t>
  </si>
  <si>
    <t>86-709-5618</t>
  </si>
  <si>
    <t>95 Lerdahl Park</t>
  </si>
  <si>
    <t>92-837-8839</t>
  </si>
  <si>
    <t>95-484-3134</t>
  </si>
  <si>
    <t>85408 Toban Crossing</t>
  </si>
  <si>
    <t>60-343-7973</t>
  </si>
  <si>
    <t>06-303-4127</t>
  </si>
  <si>
    <t>55 Morning Terrace</t>
  </si>
  <si>
    <t>76-264-0748</t>
  </si>
  <si>
    <t>27-557-2375</t>
  </si>
  <si>
    <t>9327 Hanover Way</t>
  </si>
  <si>
    <t>67-130-4114</t>
  </si>
  <si>
    <t>53-718-1768</t>
  </si>
  <si>
    <t>Tambee</t>
  </si>
  <si>
    <t>40113 Blaine Place</t>
  </si>
  <si>
    <t>99-961-0767</t>
  </si>
  <si>
    <t>78-954-5649</t>
  </si>
  <si>
    <t>Myworks</t>
  </si>
  <si>
    <t>68241 Hanson Circle</t>
  </si>
  <si>
    <t>24-228-6840</t>
  </si>
  <si>
    <t>26-280-5472</t>
  </si>
  <si>
    <t>84575 Randy Point</t>
  </si>
  <si>
    <t>83-573-4586</t>
  </si>
  <si>
    <t>91-191-2324</t>
  </si>
  <si>
    <t>7 Duke Parkway</t>
  </si>
  <si>
    <t>80-698-0324</t>
  </si>
  <si>
    <t>98-587-7923</t>
  </si>
  <si>
    <t>29150 Farmco Crossing</t>
  </si>
  <si>
    <t>83-568-3475</t>
  </si>
  <si>
    <t>10-950-0546</t>
  </si>
  <si>
    <t>6251 Eliot Hill</t>
  </si>
  <si>
    <t>15-846-7959</t>
  </si>
  <si>
    <t>47-026-0505</t>
  </si>
  <si>
    <t>588 Waywood Trail</t>
  </si>
  <si>
    <t>98-148-0940</t>
  </si>
  <si>
    <t>06-175-9657</t>
  </si>
  <si>
    <t>01471 Burrows Lane</t>
  </si>
  <si>
    <t>76-325-9093</t>
  </si>
  <si>
    <t>67-922-3399</t>
  </si>
  <si>
    <t>21 Esker Way</t>
  </si>
  <si>
    <t>10-034-7654</t>
  </si>
  <si>
    <t>27-292-4656</t>
  </si>
  <si>
    <t>08492 Gateway Terrace</t>
  </si>
  <si>
    <t>21-633-8696</t>
  </si>
  <si>
    <t>89-468-2696</t>
  </si>
  <si>
    <t>79878 Katie Trail</t>
  </si>
  <si>
    <t>74-181-4135</t>
  </si>
  <si>
    <t>00-487-2428</t>
  </si>
  <si>
    <t>109 Twin Pines Avenue</t>
  </si>
  <si>
    <t>98-064-4465</t>
  </si>
  <si>
    <t>93-719-9817</t>
  </si>
  <si>
    <t>88 Hooker Parkway</t>
  </si>
  <si>
    <t>41-475-5305</t>
  </si>
  <si>
    <t>93-900-1170</t>
  </si>
  <si>
    <t>8 Russell Pass</t>
  </si>
  <si>
    <t>80-988-4653</t>
  </si>
  <si>
    <t>02-272-0535</t>
  </si>
  <si>
    <t>83894 Delaware Plaza</t>
  </si>
  <si>
    <t>51-583-6029</t>
  </si>
  <si>
    <t>78-024-3286</t>
  </si>
  <si>
    <t>6 Lunder Parkway</t>
  </si>
  <si>
    <t>63-270-7076</t>
  </si>
  <si>
    <t>85-532-0172</t>
  </si>
  <si>
    <t>6 Messerschmidt Place</t>
  </si>
  <si>
    <t>70-149-6756</t>
  </si>
  <si>
    <t>97-150-9199</t>
  </si>
  <si>
    <t>43 Heath Street</t>
  </si>
  <si>
    <t>98-909-9395</t>
  </si>
  <si>
    <t>74-119-5491</t>
  </si>
  <si>
    <t>3 Fairfield Center</t>
  </si>
  <si>
    <t>35-621-2546</t>
  </si>
  <si>
    <t>14-190-2260</t>
  </si>
  <si>
    <t>4 Stang Place</t>
  </si>
  <si>
    <t>24-579-6500</t>
  </si>
  <si>
    <t>60-309-5783</t>
  </si>
  <si>
    <t>Raw Sugar</t>
  </si>
  <si>
    <t>4029 Lotheville Pass</t>
  </si>
  <si>
    <t>01-703-8441</t>
  </si>
  <si>
    <t>91-216-7668</t>
  </si>
  <si>
    <t>126 Spohn Plaza</t>
  </si>
  <si>
    <t>61-796-6540</t>
  </si>
  <si>
    <t>40-002-8400</t>
  </si>
  <si>
    <t>66 Raven Pass</t>
  </si>
  <si>
    <t>16-354-8122</t>
  </si>
  <si>
    <t>61-604-8116</t>
  </si>
  <si>
    <t>69 Orin Plaza</t>
  </si>
  <si>
    <t>67-512-9754</t>
  </si>
  <si>
    <t>35-941-2585</t>
  </si>
  <si>
    <t>Twitternation</t>
  </si>
  <si>
    <t>108 Morning Center</t>
  </si>
  <si>
    <t>11-316-8405</t>
  </si>
  <si>
    <t>50-918-1373</t>
  </si>
  <si>
    <t>98 Bartillon Trail</t>
  </si>
  <si>
    <t>36-372-2295</t>
  </si>
  <si>
    <t>85-823-7428</t>
  </si>
  <si>
    <t>51 7th Court</t>
  </si>
  <si>
    <t>84-075-7647</t>
  </si>
  <si>
    <t>95-889-8592</t>
  </si>
  <si>
    <t>81503 Graedel Plaza</t>
  </si>
  <si>
    <t>08-226-5155</t>
  </si>
  <si>
    <t>64-584-7898</t>
  </si>
  <si>
    <t>Eare</t>
  </si>
  <si>
    <t>156 Golf Course Alley</t>
  </si>
  <si>
    <t>46-496-2930</t>
  </si>
  <si>
    <t>29-295-9755</t>
  </si>
  <si>
    <t>389 Ridgeway Park</t>
  </si>
  <si>
    <t>00-215-7434</t>
  </si>
  <si>
    <t>85-272-3969</t>
  </si>
  <si>
    <t>018 Oxford Crossing</t>
  </si>
  <si>
    <t>12-828-1063</t>
  </si>
  <si>
    <t>48-707-5857</t>
  </si>
  <si>
    <t>34 Fremont Point</t>
  </si>
  <si>
    <t>48-770-6319</t>
  </si>
  <si>
    <t>64-452-2395</t>
  </si>
  <si>
    <t>51205 Rieder Junction</t>
  </si>
  <si>
    <t>44-305-1866</t>
  </si>
  <si>
    <t>25-190-3172</t>
  </si>
  <si>
    <t>7232 Ridgeway Center</t>
  </si>
  <si>
    <t>97-283-4840</t>
  </si>
  <si>
    <t>64-604-1679</t>
  </si>
  <si>
    <t>09 Londonderry Hill</t>
  </si>
  <si>
    <t>35-328-8392</t>
  </si>
  <si>
    <t>52-340-4509</t>
  </si>
  <si>
    <t>76 Toban Plaza</t>
  </si>
  <si>
    <t>43-693-2092</t>
  </si>
  <si>
    <t>19-469-9841</t>
  </si>
  <si>
    <t>Buzzster</t>
  </si>
  <si>
    <t>7096 Mcguire Park</t>
  </si>
  <si>
    <t>47-802-5023</t>
  </si>
  <si>
    <t>51-010-8144</t>
  </si>
  <si>
    <t>99 Duke Lane</t>
  </si>
  <si>
    <t>24-009-1208</t>
  </si>
  <si>
    <t>96-405-4286</t>
  </si>
  <si>
    <t>005 Tomscot Hill</t>
  </si>
  <si>
    <t>98-556-5323</t>
  </si>
  <si>
    <t>21-490-8051</t>
  </si>
  <si>
    <t>00847 Reindahl Place</t>
  </si>
  <si>
    <t>14-521-4167</t>
  </si>
  <si>
    <t>68-609-1972</t>
  </si>
  <si>
    <t>Zoonoodle</t>
  </si>
  <si>
    <t>329 Helena Park</t>
  </si>
  <si>
    <t>61-607-7622</t>
  </si>
  <si>
    <t>77-175-2969</t>
  </si>
  <si>
    <t>041 Paget Alley</t>
  </si>
  <si>
    <t>06-849-4869</t>
  </si>
  <si>
    <t>39-464-7300</t>
  </si>
  <si>
    <t>38726 Gina Pass</t>
  </si>
  <si>
    <t>41-526-4036</t>
  </si>
  <si>
    <t>45-923-7206</t>
  </si>
  <si>
    <t>1823 Elgar Park</t>
  </si>
  <si>
    <t>49-570-8214</t>
  </si>
  <si>
    <t>17-345-5800</t>
  </si>
  <si>
    <t>1 Lake View Trail</t>
  </si>
  <si>
    <t>85-561-4694</t>
  </si>
  <si>
    <t>57-486-8971</t>
  </si>
  <si>
    <t>77563 Russell Lane</t>
  </si>
  <si>
    <t>26-629-5920</t>
  </si>
  <si>
    <t>19-264-7608</t>
  </si>
  <si>
    <t>Eadel</t>
  </si>
  <si>
    <t>19180 Hagan Parkway</t>
  </si>
  <si>
    <t>75-029-9003</t>
  </si>
  <si>
    <t>61-917-4271</t>
  </si>
  <si>
    <t>Skivee</t>
  </si>
  <si>
    <t>9 Holmberg Circle</t>
  </si>
  <si>
    <t>79-428-8753</t>
  </si>
  <si>
    <t>29-521-7910</t>
  </si>
  <si>
    <t>0 Lerdahl Parkway</t>
  </si>
  <si>
    <t>34-369-7712</t>
  </si>
  <si>
    <t>95-241-9348</t>
  </si>
  <si>
    <t>6 Nobel Junction</t>
  </si>
  <si>
    <t>22-141-9798</t>
  </si>
  <si>
    <t>59-849-9942</t>
  </si>
  <si>
    <t>Photolist</t>
  </si>
  <si>
    <t>6 Anthes Court</t>
  </si>
  <si>
    <t>38-924-3007</t>
  </si>
  <si>
    <t>83-936-5065</t>
  </si>
  <si>
    <t>82955 Dayton Street</t>
  </si>
  <si>
    <t>70-005-5970</t>
  </si>
  <si>
    <t>18-490-4140</t>
  </si>
  <si>
    <t>4 Heffernan Lane</t>
  </si>
  <si>
    <t>19-021-5024</t>
  </si>
  <si>
    <t>75-369-5047</t>
  </si>
  <si>
    <t>35 Waxwing Center</t>
  </si>
  <si>
    <t>31-403-6234</t>
  </si>
  <si>
    <t>00-258-2525</t>
  </si>
  <si>
    <t>7 West Street</t>
  </si>
  <si>
    <t>19-047-4239</t>
  </si>
  <si>
    <t>11-146-9880</t>
  </si>
  <si>
    <t>676 Redwing Trail</t>
  </si>
  <si>
    <t>29-092-3453</t>
  </si>
  <si>
    <t>41-867-9911</t>
  </si>
  <si>
    <t>95 Onsgard Way</t>
  </si>
  <si>
    <t>28-956-1320</t>
  </si>
  <si>
    <t>01-445-8931</t>
  </si>
  <si>
    <t>01330 Sheridan Way</t>
  </si>
  <si>
    <t>88-069-5486</t>
  </si>
  <si>
    <t>95-878-1614</t>
  </si>
  <si>
    <t>0 Miller Pass</t>
  </si>
  <si>
    <t>97-710-2449</t>
  </si>
  <si>
    <t>39-676-9308</t>
  </si>
  <si>
    <t>53 Caliangt Junction</t>
  </si>
  <si>
    <t>84-272-0790</t>
  </si>
  <si>
    <t>00-635-4638</t>
  </si>
  <si>
    <t>4 Bashford Court</t>
  </si>
  <si>
    <t>89-602-6755</t>
  </si>
  <si>
    <t>51-054-3811</t>
  </si>
  <si>
    <t>04 Rockefeller Terrace</t>
  </si>
  <si>
    <t>63-162-9244</t>
  </si>
  <si>
    <t>58-945-2944</t>
  </si>
  <si>
    <t>6 Anniversary Circle</t>
  </si>
  <si>
    <t>49-579-4325</t>
  </si>
  <si>
    <t>98-558-5813</t>
  </si>
  <si>
    <t>84148 Prairie Rose Center</t>
  </si>
  <si>
    <t>96-503-7712</t>
  </si>
  <si>
    <t>97-325-5889</t>
  </si>
  <si>
    <t>851 Hollow Ridge Center</t>
  </si>
  <si>
    <t>56-213-0577</t>
  </si>
  <si>
    <t>72-306-8602</t>
  </si>
  <si>
    <t>Eazzy</t>
  </si>
  <si>
    <t>736 Redwing Parkway</t>
  </si>
  <si>
    <t>24-989-3302</t>
  </si>
  <si>
    <t>89-159-0852</t>
  </si>
  <si>
    <t>911 Merry Junction</t>
  </si>
  <si>
    <t>79-920-2395</t>
  </si>
  <si>
    <t>70-825-7341</t>
  </si>
  <si>
    <t>482 Green Center</t>
  </si>
  <si>
    <t>73-118-1117</t>
  </si>
  <si>
    <t>55-557-8544</t>
  </si>
  <si>
    <t>9738 Old Shore Trail</t>
  </si>
  <si>
    <t>65-674-6076</t>
  </si>
  <si>
    <t>16-933-3355</t>
  </si>
  <si>
    <t>959 Dorton Pass</t>
  </si>
  <si>
    <t>66-312-5511</t>
  </si>
  <si>
    <t>99-553-6838</t>
  </si>
  <si>
    <t>43211 Lakeland Place</t>
  </si>
  <si>
    <t>58-005-5343</t>
  </si>
  <si>
    <t>83-401-2709</t>
  </si>
  <si>
    <t>66879 Susan Place</t>
  </si>
  <si>
    <t>40-795-0753</t>
  </si>
  <si>
    <t>47-183-4911</t>
  </si>
  <si>
    <t>582 Sauthoff Crossing</t>
  </si>
  <si>
    <t>73-401-5721</t>
  </si>
  <si>
    <t>38-622-5251</t>
  </si>
  <si>
    <t>97687 Mendota Terrace</t>
  </si>
  <si>
    <t>53-680-5293</t>
  </si>
  <si>
    <t>47-732-4446</t>
  </si>
  <si>
    <t>36 Bobwhite Parkway</t>
  </si>
  <si>
    <t>02-170-5225</t>
  </si>
  <si>
    <t>90-940-9550</t>
  </si>
  <si>
    <t>0 Sutteridge Trail</t>
  </si>
  <si>
    <t>55-680-0982</t>
  </si>
  <si>
    <t>57-412-5368</t>
  </si>
  <si>
    <t>17780 Lindbergh Junction</t>
  </si>
  <si>
    <t>48-414-6162</t>
  </si>
  <si>
    <t>10-060-8515</t>
  </si>
  <si>
    <t>13 Loomis Alley</t>
  </si>
  <si>
    <t>71-631-5875</t>
  </si>
  <si>
    <t>91-859-1733</t>
  </si>
  <si>
    <t>19 Aberg Trail</t>
  </si>
  <si>
    <t>34-538-1180</t>
  </si>
  <si>
    <t>40-907-4937</t>
  </si>
  <si>
    <t>938 Hanover Point</t>
  </si>
  <si>
    <t>48-957-6116</t>
  </si>
  <si>
    <t>34-334-6888</t>
  </si>
  <si>
    <t>Oyoyo</t>
  </si>
  <si>
    <t>2 Kingsford Center</t>
  </si>
  <si>
    <t>32-261-0008</t>
  </si>
  <si>
    <t>26-073-5798</t>
  </si>
  <si>
    <t>Leenti</t>
  </si>
  <si>
    <t>42397 Knutson Place</t>
  </si>
  <si>
    <t>34-110-1040</t>
  </si>
  <si>
    <t>14-427-6604</t>
  </si>
  <si>
    <t>611 Fieldstone Drive</t>
  </si>
  <si>
    <t>74-132-5528</t>
  </si>
  <si>
    <t>41-713-1053</t>
  </si>
  <si>
    <t>25923 Loeprich Junction</t>
  </si>
  <si>
    <t>15-797-4824</t>
  </si>
  <si>
    <t>46-830-4835</t>
  </si>
  <si>
    <t>7834 Cordelia Alley</t>
  </si>
  <si>
    <t>76-854-0095</t>
  </si>
  <si>
    <t>38-883-3382</t>
  </si>
  <si>
    <t>929 Thierer Lane</t>
  </si>
  <si>
    <t>94-092-3355</t>
  </si>
  <si>
    <t>76-641-2070</t>
  </si>
  <si>
    <t>973 Spaight Place</t>
  </si>
  <si>
    <t>99-194-5600</t>
  </si>
  <si>
    <t>70-064-6828</t>
  </si>
  <si>
    <t>883 Marcy Place</t>
  </si>
  <si>
    <t>40-205-8252</t>
  </si>
  <si>
    <t>68-493-0378</t>
  </si>
  <si>
    <t>6211 Hanson Terrace</t>
  </si>
  <si>
    <t>69-674-5387</t>
  </si>
  <si>
    <t>04-313-0298</t>
  </si>
  <si>
    <t>0 Oak Valley Lane</t>
  </si>
  <si>
    <t>04-293-6969</t>
  </si>
  <si>
    <t>69-087-6645</t>
  </si>
  <si>
    <t>84 Hoffman Way</t>
  </si>
  <si>
    <t>21-890-2826</t>
  </si>
  <si>
    <t>32-371-1686</t>
  </si>
  <si>
    <t>315 Acker Alley</t>
  </si>
  <si>
    <t>65-759-3721</t>
  </si>
  <si>
    <t>21-634-5781</t>
  </si>
  <si>
    <t>7 Anzinger Lane</t>
  </si>
  <si>
    <t>36-383-3677</t>
  </si>
  <si>
    <t>88-020-6814</t>
  </si>
  <si>
    <t>Gigazoom</t>
  </si>
  <si>
    <t>61057 Hallows Junction</t>
  </si>
  <si>
    <t>84-546-7624</t>
  </si>
  <si>
    <t>34-730-9079</t>
  </si>
  <si>
    <t>8851 Superior Park</t>
  </si>
  <si>
    <t>77-827-0820</t>
  </si>
  <si>
    <t>46-590-7639</t>
  </si>
  <si>
    <t>00 6th Parkway</t>
  </si>
  <si>
    <t>57-562-2358</t>
  </si>
  <si>
    <t>22-644-6447</t>
  </si>
  <si>
    <t>9848 Little Fleur Point</t>
  </si>
  <si>
    <t>93-218-8108</t>
  </si>
  <si>
    <t>05-966-6460</t>
  </si>
  <si>
    <t>12 Luster Terrace</t>
  </si>
  <si>
    <t>81-354-4203</t>
  </si>
  <si>
    <t>15-466-5131</t>
  </si>
  <si>
    <t>6 John Wall Plaza</t>
  </si>
  <si>
    <t>57-613-5779</t>
  </si>
  <si>
    <t>29-009-9132</t>
  </si>
  <si>
    <t>3 Dottie Junction</t>
  </si>
  <si>
    <t>49-919-8798</t>
  </si>
  <si>
    <t>82-482-3670</t>
  </si>
  <si>
    <t>7 Victoria Hill</t>
  </si>
  <si>
    <t>70-542-4269</t>
  </si>
  <si>
    <t>27-772-7906</t>
  </si>
  <si>
    <t>3 Logan Trail</t>
  </si>
  <si>
    <t>43-670-8544</t>
  </si>
  <si>
    <t>16-656-4821</t>
  </si>
  <si>
    <t>30590 Bowman Alley</t>
  </si>
  <si>
    <t>29-436-6570</t>
  </si>
  <si>
    <t>12-140-7809</t>
  </si>
  <si>
    <t>0 Lawn Parkway</t>
  </si>
  <si>
    <t>10-617-7581</t>
  </si>
  <si>
    <t>86-995-7254</t>
  </si>
  <si>
    <t>7 Lunder Hill</t>
  </si>
  <si>
    <t>50-772-2613</t>
  </si>
  <si>
    <t>74-619-4608</t>
  </si>
  <si>
    <t>Jamia</t>
  </si>
  <si>
    <t>4 Darwin Circle</t>
  </si>
  <si>
    <t>26-535-4727</t>
  </si>
  <si>
    <t>17-939-1338</t>
  </si>
  <si>
    <t>042 Di Loreto Court</t>
  </si>
  <si>
    <t>88-602-8210</t>
  </si>
  <si>
    <t>26-411-9126</t>
  </si>
  <si>
    <t>Twitterworks</t>
  </si>
  <si>
    <t>0743 4th Place</t>
  </si>
  <si>
    <t>83-966-3280</t>
  </si>
  <si>
    <t>50-305-3936</t>
  </si>
  <si>
    <t>32 Charing Cross Pass</t>
  </si>
  <si>
    <t>21-252-1360</t>
  </si>
  <si>
    <t>28-314-1189</t>
  </si>
  <si>
    <t>11 Thackeray Hill</t>
  </si>
  <si>
    <t>89-922-4773</t>
  </si>
  <si>
    <t>99-455-0707</t>
  </si>
  <si>
    <t>6225 Westend Pass</t>
  </si>
  <si>
    <t>15-884-7413</t>
  </si>
  <si>
    <t>39-412-7454</t>
  </si>
  <si>
    <t>97 Sunnyside Court</t>
  </si>
  <si>
    <t>82-243-3180</t>
  </si>
  <si>
    <t>18-631-1458</t>
  </si>
  <si>
    <t>63464 Jana Court</t>
  </si>
  <si>
    <t>33-807-7247</t>
  </si>
  <si>
    <t>94-453-3755</t>
  </si>
  <si>
    <t>6 Susan Alley</t>
  </si>
  <si>
    <t>07-858-5487</t>
  </si>
  <si>
    <t>92-991-6167</t>
  </si>
  <si>
    <t>1715 Dottie Pass</t>
  </si>
  <si>
    <t>27-387-0428</t>
  </si>
  <si>
    <t>62-312-2748</t>
  </si>
  <si>
    <t>Photospace</t>
  </si>
  <si>
    <t>91 Kinsman Terrace</t>
  </si>
  <si>
    <t>79-741-0770</t>
  </si>
  <si>
    <t>67-771-7656</t>
  </si>
  <si>
    <t>867 Merrick Place</t>
  </si>
  <si>
    <t>34-086-3222</t>
  </si>
  <si>
    <t>34-017-9457</t>
  </si>
  <si>
    <t>339 Crescent Oaks Plaza</t>
  </si>
  <si>
    <t>93-166-3169</t>
  </si>
  <si>
    <t>21-156-0102</t>
  </si>
  <si>
    <t>1 Judy Street</t>
  </si>
  <si>
    <t>74-548-9313</t>
  </si>
  <si>
    <t>69-832-7009</t>
  </si>
  <si>
    <t>996 Thierer Center</t>
  </si>
  <si>
    <t>53-710-7630</t>
  </si>
  <si>
    <t>46-171-9624</t>
  </si>
  <si>
    <t>Jaxbean</t>
  </si>
  <si>
    <t>06584 Mendota Avenue</t>
  </si>
  <si>
    <t>64-119-7804</t>
  </si>
  <si>
    <t>53-497-9614</t>
  </si>
  <si>
    <t>3 Raven Court</t>
  </si>
  <si>
    <t>40-810-9261</t>
  </si>
  <si>
    <t>56-554-1762</t>
  </si>
  <si>
    <t>84 Washington Crossing</t>
  </si>
  <si>
    <t>91-553-1774</t>
  </si>
  <si>
    <t>74-943-4552</t>
  </si>
  <si>
    <t>Dynazzy</t>
  </si>
  <si>
    <t>428 Oriole Avenue</t>
  </si>
  <si>
    <t>39-192-3521</t>
  </si>
  <si>
    <t>74-062-7176</t>
  </si>
  <si>
    <t>3 Melrose Trail</t>
  </si>
  <si>
    <t>63-890-1246</t>
  </si>
  <si>
    <t>29-273-1595</t>
  </si>
  <si>
    <t>290 Rusk Avenue</t>
  </si>
  <si>
    <t>71-954-4501</t>
  </si>
  <si>
    <t>26-135-6134</t>
  </si>
  <si>
    <t>0 Oxford Crossing</t>
  </si>
  <si>
    <t>00-357-2313</t>
  </si>
  <si>
    <t>93-619-6639</t>
  </si>
  <si>
    <t>Dabvine</t>
  </si>
  <si>
    <t>99 Fair Oaks Circle</t>
  </si>
  <si>
    <t>29-756-7042</t>
  </si>
  <si>
    <t>20-426-2191</t>
  </si>
  <si>
    <t>461 Bluejay Circle</t>
  </si>
  <si>
    <t>92-551-8504</t>
  </si>
  <si>
    <t>22-836-5101</t>
  </si>
  <si>
    <t>21844 Artisan Trail</t>
  </si>
  <si>
    <t>61-317-9944</t>
  </si>
  <si>
    <t>03-220-5535</t>
  </si>
  <si>
    <t>081 Bellgrove Place</t>
  </si>
  <si>
    <t>03-276-3931</t>
  </si>
  <si>
    <t>42-224-8186</t>
  </si>
  <si>
    <t>6891 Mandrake Park</t>
  </si>
  <si>
    <t>02-275-6061</t>
  </si>
  <si>
    <t>21-829-0398</t>
  </si>
  <si>
    <t>Divanoodle</t>
  </si>
  <si>
    <t>73966 Pond Trail</t>
  </si>
  <si>
    <t>72-970-0239</t>
  </si>
  <si>
    <t>64-752-3122</t>
  </si>
  <si>
    <t>Fatz</t>
  </si>
  <si>
    <t>5 Warner Court</t>
  </si>
  <si>
    <t>36-679-4670</t>
  </si>
  <si>
    <t>60-508-7567</t>
  </si>
  <si>
    <t>9623 Cottonwood Park</t>
  </si>
  <si>
    <t>13-409-9040</t>
  </si>
  <si>
    <t>34-303-5097</t>
  </si>
  <si>
    <t>5 Mesta Center</t>
  </si>
  <si>
    <t>88-408-0310</t>
  </si>
  <si>
    <t>91-002-3027</t>
  </si>
  <si>
    <t>Twiyo</t>
  </si>
  <si>
    <t>81071 West Alley</t>
  </si>
  <si>
    <t>57-359-3397</t>
  </si>
  <si>
    <t>54-659-1177</t>
  </si>
  <si>
    <t>38 Esch Pass</t>
  </si>
  <si>
    <t>01-050-2246</t>
  </si>
  <si>
    <t>80-462-5807</t>
  </si>
  <si>
    <t>8 Dawn Court</t>
  </si>
  <si>
    <t>47-581-0363</t>
  </si>
  <si>
    <t>08-359-2568</t>
  </si>
  <si>
    <t>2869 Hudson Drive</t>
  </si>
  <si>
    <t>33-670-6797</t>
  </si>
  <si>
    <t>74-032-7560</t>
  </si>
  <si>
    <t>83291 Hansons Crossing</t>
  </si>
  <si>
    <t>69-578-7930</t>
  </si>
  <si>
    <t>37-728-5274</t>
  </si>
  <si>
    <t>4 Esch Point</t>
  </si>
  <si>
    <t>75-672-4378</t>
  </si>
  <si>
    <t>20-103-9525</t>
  </si>
  <si>
    <t>492 Shoshone Road</t>
  </si>
  <si>
    <t>31-211-5803</t>
  </si>
  <si>
    <t>75-503-9347</t>
  </si>
  <si>
    <t>26 Graceland Circle</t>
  </si>
  <si>
    <t>49-861-7823</t>
  </si>
  <si>
    <t>22-152-0111</t>
  </si>
  <si>
    <t>9 Eastlawn Crossing</t>
  </si>
  <si>
    <t>84-624-0201</t>
  </si>
  <si>
    <t>25-769-3792</t>
  </si>
  <si>
    <t>22 Dexter Trail</t>
  </si>
  <si>
    <t>66-993-4234</t>
  </si>
  <si>
    <t>15-852-0491</t>
  </si>
  <si>
    <t>Thoughtsphere</t>
  </si>
  <si>
    <t>5030 Moose Junction</t>
  </si>
  <si>
    <t>00-963-2193</t>
  </si>
  <si>
    <t>39-521-8484</t>
  </si>
  <si>
    <t>206 Pine View Junction</t>
  </si>
  <si>
    <t>99-420-3592</t>
  </si>
  <si>
    <t>88-647-5082</t>
  </si>
  <si>
    <t>868 Swallow Point</t>
  </si>
  <si>
    <t>76-623-7844</t>
  </si>
  <si>
    <t>84-498-3849</t>
  </si>
  <si>
    <t>Voonte</t>
  </si>
  <si>
    <t>65 Merry Circle</t>
  </si>
  <si>
    <t>28-003-8065</t>
  </si>
  <si>
    <t>42-579-7177</t>
  </si>
  <si>
    <t>26 Barnett Junction</t>
  </si>
  <si>
    <t>28-008-2951</t>
  </si>
  <si>
    <t>64-118-1480</t>
  </si>
  <si>
    <t>36 Longview Street</t>
  </si>
  <si>
    <t>45-402-0421</t>
  </si>
  <si>
    <t>87-201-6047</t>
  </si>
  <si>
    <t>1034 2nd Point</t>
  </si>
  <si>
    <t>73-942-0508</t>
  </si>
  <si>
    <t>37-057-3553</t>
  </si>
  <si>
    <t>111 David Hill</t>
  </si>
  <si>
    <t>22-266-9291</t>
  </si>
  <si>
    <t>15-550-0171</t>
  </si>
  <si>
    <t>25 Nancy Place</t>
  </si>
  <si>
    <t>06-068-6793</t>
  </si>
  <si>
    <t>94-958-6101</t>
  </si>
  <si>
    <t>33424 Express Avenue</t>
  </si>
  <si>
    <t>58-063-8633</t>
  </si>
  <si>
    <t>21-932-5200</t>
  </si>
  <si>
    <t>67677 Lakewood Gardens Way</t>
  </si>
  <si>
    <t>27-442-3654</t>
  </si>
  <si>
    <t>57-544-2465</t>
  </si>
  <si>
    <t>884 Fieldstone Plaza</t>
  </si>
  <si>
    <t>03-043-9933</t>
  </si>
  <si>
    <t>48-450-4126</t>
  </si>
  <si>
    <t>4105 Fair Oaks Parkway</t>
  </si>
  <si>
    <t>99-137-1730</t>
  </si>
  <si>
    <t>65-797-3468</t>
  </si>
  <si>
    <t>665 Sommers Circle</t>
  </si>
  <si>
    <t>09-622-7119</t>
  </si>
  <si>
    <t>59-781-3399</t>
  </si>
  <si>
    <t>622 Buena Vista Trail</t>
  </si>
  <si>
    <t>95-356-1566</t>
  </si>
  <si>
    <t>57-204-2098</t>
  </si>
  <si>
    <t>083 Gulseth Pass</t>
  </si>
  <si>
    <t>22-319-1377</t>
  </si>
  <si>
    <t>82-266-1796</t>
  </si>
  <si>
    <t>022 Prairie Rose Drive</t>
  </si>
  <si>
    <t>89-181-4523</t>
  </si>
  <si>
    <t>54-749-3622</t>
  </si>
  <si>
    <t>Aimbu</t>
  </si>
  <si>
    <t>0 Oneill Hill</t>
  </si>
  <si>
    <t>38-555-9147</t>
  </si>
  <si>
    <t>35-370-7603</t>
  </si>
  <si>
    <t>992 East Point</t>
  </si>
  <si>
    <t>53-667-4109</t>
  </si>
  <si>
    <t>40-800-4739</t>
  </si>
  <si>
    <t>21629 Burrows Pass</t>
  </si>
  <si>
    <t>14-489-8669</t>
  </si>
  <si>
    <t>28-436-5158</t>
  </si>
  <si>
    <t>5414 Linden Point</t>
  </si>
  <si>
    <t>26-031-8070</t>
  </si>
  <si>
    <t>11-096-4003</t>
  </si>
  <si>
    <t>Teklist</t>
  </si>
  <si>
    <t>60 Messerschmidt Pass</t>
  </si>
  <si>
    <t>47-221-2470</t>
  </si>
  <si>
    <t>30-780-7583</t>
  </si>
  <si>
    <t>Fivespan</t>
  </si>
  <si>
    <t>92 Bartelt Terrace</t>
  </si>
  <si>
    <t>67-382-4435</t>
  </si>
  <si>
    <t>49-901-0828</t>
  </si>
  <si>
    <t>071 Nobel Circle</t>
  </si>
  <si>
    <t>94-029-2717</t>
  </si>
  <si>
    <t>37-878-9392</t>
  </si>
  <si>
    <t>30880 Barnett Junction</t>
  </si>
  <si>
    <t>47-866-6589</t>
  </si>
  <si>
    <t>78-203-1075</t>
  </si>
  <si>
    <t>Jabbercube</t>
  </si>
  <si>
    <t>116 Spaight Park</t>
  </si>
  <si>
    <t>94-355-3070</t>
  </si>
  <si>
    <t>73-393-9432</t>
  </si>
  <si>
    <t>Yozio</t>
  </si>
  <si>
    <t>317 Anniversary Pass</t>
  </si>
  <si>
    <t>82-342-7339</t>
  </si>
  <si>
    <t>14-325-9173</t>
  </si>
  <si>
    <t>5 Killdeer Trail</t>
  </si>
  <si>
    <t>80-459-5950</t>
  </si>
  <si>
    <t>04-866-2231</t>
  </si>
  <si>
    <t>05 Bartelt Street</t>
  </si>
  <si>
    <t>67-248-6306</t>
  </si>
  <si>
    <t>86-173-6891</t>
  </si>
  <si>
    <t>55 Cherokee Circle</t>
  </si>
  <si>
    <t>68-973-8812</t>
  </si>
  <si>
    <t>31-955-7362</t>
  </si>
  <si>
    <t>387 Jay Point</t>
  </si>
  <si>
    <t>11-325-7396</t>
  </si>
  <si>
    <t>98-940-7545</t>
  </si>
  <si>
    <t>9695 Alpine Trail</t>
  </si>
  <si>
    <t>68-761-6907</t>
  </si>
  <si>
    <t>31-199-3683</t>
  </si>
  <si>
    <t>1468 Meadow Vale Court</t>
  </si>
  <si>
    <t>62-509-0666</t>
  </si>
  <si>
    <t>16-419-1419</t>
  </si>
  <si>
    <t>022 Pierstorff Point</t>
  </si>
  <si>
    <t>44-476-0390</t>
  </si>
  <si>
    <t>48-562-3582</t>
  </si>
  <si>
    <t>33 Clarendon Hill</t>
  </si>
  <si>
    <t>08-213-2058</t>
  </si>
  <si>
    <t>13-179-9553</t>
  </si>
  <si>
    <t>2 School Drive</t>
  </si>
  <si>
    <t>35-529-2933</t>
  </si>
  <si>
    <t>57-591-6452</t>
  </si>
  <si>
    <t>120 Gale Circle</t>
  </si>
  <si>
    <t>24-364-3341</t>
  </si>
  <si>
    <t>13-290-8513</t>
  </si>
  <si>
    <t>582 Dahle Center</t>
  </si>
  <si>
    <t>65-644-1394</t>
  </si>
  <si>
    <t>23-280-1300</t>
  </si>
  <si>
    <t>39014 Randy Court</t>
  </si>
  <si>
    <t>88-401-3700</t>
  </si>
  <si>
    <t>39-299-6093</t>
  </si>
  <si>
    <t>4247 David Crossing</t>
  </si>
  <si>
    <t>47-441-7682</t>
  </si>
  <si>
    <t>90-998-1236</t>
  </si>
  <si>
    <t>6482 Ramsey Alley</t>
  </si>
  <si>
    <t>68-977-2498</t>
  </si>
  <si>
    <t>26-222-1156</t>
  </si>
  <si>
    <t>153 Caliangt Plaza</t>
  </si>
  <si>
    <t>37-567-3218</t>
  </si>
  <si>
    <t>03-257-4437</t>
  </si>
  <si>
    <t>99 Twin Pines Alley</t>
  </si>
  <si>
    <t>87-903-3486</t>
  </si>
  <si>
    <t>90-378-8463</t>
  </si>
  <si>
    <t>6 Swallow Crossing</t>
  </si>
  <si>
    <t>96-316-7600</t>
  </si>
  <si>
    <t>76-671-7104</t>
  </si>
  <si>
    <t>53894 Myrtle Place</t>
  </si>
  <si>
    <t>00-842-9790</t>
  </si>
  <si>
    <t>37-079-2530</t>
  </si>
  <si>
    <t>1275 Lawn Center</t>
  </si>
  <si>
    <t>96-164-0607</t>
  </si>
  <si>
    <t>15-655-3923</t>
  </si>
  <si>
    <t>504 Green Park</t>
  </si>
  <si>
    <t>04-240-2226</t>
  </si>
  <si>
    <t>65-842-6819</t>
  </si>
  <si>
    <t>9 Bartillon Trail</t>
  </si>
  <si>
    <t>97-772-2336</t>
  </si>
  <si>
    <t>19-704-4404</t>
  </si>
  <si>
    <t>5900 Vahlen Avenue</t>
  </si>
  <si>
    <t>63-822-5278</t>
  </si>
  <si>
    <t>27-636-1606</t>
  </si>
  <si>
    <t>6990 Kings Place</t>
  </si>
  <si>
    <t>19-967-0632</t>
  </si>
  <si>
    <t>90-445-1753</t>
  </si>
  <si>
    <t>4 Old Shore Avenue</t>
  </si>
  <si>
    <t>28-986-8001</t>
  </si>
  <si>
    <t>37-281-2537</t>
  </si>
  <si>
    <t>012 Mockingbird Court</t>
  </si>
  <si>
    <t>44-128-2185</t>
  </si>
  <si>
    <t>79-091-7381</t>
  </si>
  <si>
    <t>739 Rowland Way</t>
  </si>
  <si>
    <t>84-327-7787</t>
  </si>
  <si>
    <t>97-571-0561</t>
  </si>
  <si>
    <t>772 Golf Course Junction</t>
  </si>
  <si>
    <t>50-364-5828</t>
  </si>
  <si>
    <t>17-239-6309</t>
  </si>
  <si>
    <t>Browsedrive</t>
  </si>
  <si>
    <t>231 Merry Pass</t>
  </si>
  <si>
    <t>65-368-2479</t>
  </si>
  <si>
    <t>99-570-8162</t>
  </si>
  <si>
    <t>7 Hooker Way</t>
  </si>
  <si>
    <t>17-253-5688</t>
  </si>
  <si>
    <t>42-638-2086</t>
  </si>
  <si>
    <t>48 Del Sol Trail</t>
  </si>
  <si>
    <t>29-205-1132</t>
  </si>
  <si>
    <t>38-037-1699</t>
  </si>
  <si>
    <t>Pixoboo</t>
  </si>
  <si>
    <t>76 Independence Drive</t>
  </si>
  <si>
    <t>64-854-8664</t>
  </si>
  <si>
    <t>19-893-7698</t>
  </si>
  <si>
    <t>08 Randy Junction</t>
  </si>
  <si>
    <t>66-627-9752</t>
  </si>
  <si>
    <t>87-839-6400</t>
  </si>
  <si>
    <t>94451 Arkansas Park</t>
  </si>
  <si>
    <t>62-795-7801</t>
  </si>
  <si>
    <t>08-312-0872</t>
  </si>
  <si>
    <t>322 Birchwood Center</t>
  </si>
  <si>
    <t>40-683-0283</t>
  </si>
  <si>
    <t>27-060-9944</t>
  </si>
  <si>
    <t>5 Homewood Street</t>
  </si>
  <si>
    <t>87-423-8486</t>
  </si>
  <si>
    <t>12-947-4739</t>
  </si>
  <si>
    <t>3 Hooker Way</t>
  </si>
  <si>
    <t>16-499-5059</t>
  </si>
  <si>
    <t>09-090-6360</t>
  </si>
  <si>
    <t>8 Surrey Pass</t>
  </si>
  <si>
    <t>05-334-2923</t>
  </si>
  <si>
    <t>41-772-6271</t>
  </si>
  <si>
    <t>2 Petterle Road</t>
  </si>
  <si>
    <t>74-845-3299</t>
  </si>
  <si>
    <t>21-792-1000</t>
  </si>
  <si>
    <t>57598 Russell Center</t>
  </si>
  <si>
    <t>10-249-7928</t>
  </si>
  <si>
    <t>69-861-0313</t>
  </si>
  <si>
    <t>73397 Steensland Circle</t>
  </si>
  <si>
    <t>08-725-8156</t>
  </si>
  <si>
    <t>32-196-4714</t>
  </si>
  <si>
    <t>8 Autumn Leaf Drive</t>
  </si>
  <si>
    <t>41-240-8856</t>
  </si>
  <si>
    <t>28-162-7486</t>
  </si>
  <si>
    <t>9463 Northland Court</t>
  </si>
  <si>
    <t>35-257-9312</t>
  </si>
  <si>
    <t>35-927-4986</t>
  </si>
  <si>
    <t>41 Nelson Center</t>
  </si>
  <si>
    <t>13-980-8804</t>
  </si>
  <si>
    <t>20-608-1290</t>
  </si>
  <si>
    <t>2633 Shasta Alley</t>
  </si>
  <si>
    <t>68-977-6854</t>
  </si>
  <si>
    <t>73-830-9633</t>
  </si>
  <si>
    <t>904 Del Mar Crossing</t>
  </si>
  <si>
    <t>90-773-9557</t>
  </si>
  <si>
    <t>02-165-5779</t>
  </si>
  <si>
    <t>33774 Carberry Circle</t>
  </si>
  <si>
    <t>89-328-9019</t>
  </si>
  <si>
    <t>63-057-0462</t>
  </si>
  <si>
    <t>Dynava</t>
  </si>
  <si>
    <t>2 Barby Lane</t>
  </si>
  <si>
    <t>59-075-2457</t>
  </si>
  <si>
    <t>18-733-2453</t>
  </si>
  <si>
    <t>44638 Corscot Lane</t>
  </si>
  <si>
    <t>31-627-6025</t>
  </si>
  <si>
    <t>17-084-8551</t>
  </si>
  <si>
    <t>4 Jay Terrace</t>
  </si>
  <si>
    <t>28-824-9017</t>
  </si>
  <si>
    <t>93-712-3934</t>
  </si>
  <si>
    <t>49476 Tony Hill</t>
  </si>
  <si>
    <t>06-858-5680</t>
  </si>
  <si>
    <t>63-231-2829</t>
  </si>
  <si>
    <t>Photojam</t>
  </si>
  <si>
    <t>3645 Ridge Oak Drive</t>
  </si>
  <si>
    <t>38-732-7667</t>
  </si>
  <si>
    <t>88-663-3393</t>
  </si>
  <si>
    <t>20073 Northfield Way</t>
  </si>
  <si>
    <t>85-237-3505</t>
  </si>
  <si>
    <t>92-296-1266</t>
  </si>
  <si>
    <t>955 4th Road</t>
  </si>
  <si>
    <t>73-117-6105</t>
  </si>
  <si>
    <t>74-729-7466</t>
  </si>
  <si>
    <t>226 Calypso Road</t>
  </si>
  <si>
    <t>46-436-5351</t>
  </si>
  <si>
    <t>07-471-0050</t>
  </si>
  <si>
    <t>3 Hermina Circle</t>
  </si>
  <si>
    <t>56-303-5256</t>
  </si>
  <si>
    <t>29-821-5359</t>
  </si>
  <si>
    <t>561 Blue Bill Park Road</t>
  </si>
  <si>
    <t>57-394-1587</t>
  </si>
  <si>
    <t>59-595-7531</t>
  </si>
  <si>
    <t>05944 Scott Parkway</t>
  </si>
  <si>
    <t>51-934-9117</t>
  </si>
  <si>
    <t>34-389-9922</t>
  </si>
  <si>
    <t>6 Acker Street</t>
  </si>
  <si>
    <t>77-377-1659</t>
  </si>
  <si>
    <t>64-674-3902</t>
  </si>
  <si>
    <t>739 Swallow Road</t>
  </si>
  <si>
    <t>27-262-2437</t>
  </si>
  <si>
    <t>05-181-2682</t>
  </si>
  <si>
    <t>2 Basil Street</t>
  </si>
  <si>
    <t>71-085-4290</t>
  </si>
  <si>
    <t>26-593-3478</t>
  </si>
  <si>
    <t>60241 Portage Point</t>
  </si>
  <si>
    <t>87-675-1506</t>
  </si>
  <si>
    <t>21-697-8128</t>
  </si>
  <si>
    <t>5426 Fordem Pass</t>
  </si>
  <si>
    <t>77-224-2227</t>
  </si>
  <si>
    <t>89-226-5813</t>
  </si>
  <si>
    <t>15 Veith Circle</t>
  </si>
  <si>
    <t>94-658-4945</t>
  </si>
  <si>
    <t>09-153-0763</t>
  </si>
  <si>
    <t>1 Hudson Hill</t>
  </si>
  <si>
    <t>15-562-3712</t>
  </si>
  <si>
    <t>53-243-7800</t>
  </si>
  <si>
    <t>Thoughtworks</t>
  </si>
  <si>
    <t>15658 Talisman Lane</t>
  </si>
  <si>
    <t>98-546-7398</t>
  </si>
  <si>
    <t>37-921-2953</t>
  </si>
  <si>
    <t>35 Portage Road</t>
  </si>
  <si>
    <t>36-177-0573</t>
  </si>
  <si>
    <t>62-687-0951</t>
  </si>
  <si>
    <t>308 Doe Crossing Pass</t>
  </si>
  <si>
    <t>39-358-3340</t>
  </si>
  <si>
    <t>86-841-4440</t>
  </si>
  <si>
    <t>127 Eliot Road</t>
  </si>
  <si>
    <t>11-733-1756</t>
  </si>
  <si>
    <t>27-970-8649</t>
  </si>
  <si>
    <t>3 Bunting Point</t>
  </si>
  <si>
    <t>01-026-2772</t>
  </si>
  <si>
    <t>20-532-0144</t>
  </si>
  <si>
    <t>6 Harbort Hill</t>
  </si>
  <si>
    <t>84-198-7276</t>
  </si>
  <si>
    <t>34-158-6684</t>
  </si>
  <si>
    <t>376 Reinke Court</t>
  </si>
  <si>
    <t>56-810-0550</t>
  </si>
  <si>
    <t>94-145-9423</t>
  </si>
  <si>
    <t>3 Ronald Regan Center</t>
  </si>
  <si>
    <t>40-751-8635</t>
  </si>
  <si>
    <t>48-878-3021</t>
  </si>
  <si>
    <t>43107 Schlimgen Circle</t>
  </si>
  <si>
    <t>14-305-9690</t>
  </si>
  <si>
    <t>13-457-9946</t>
  </si>
  <si>
    <t>28 Boyd Pass</t>
  </si>
  <si>
    <t>83-727-0814</t>
  </si>
  <si>
    <t>79-656-1990</t>
  </si>
  <si>
    <t>62238 Mallory Place</t>
  </si>
  <si>
    <t>71-015-9181</t>
  </si>
  <si>
    <t>56-196-9896</t>
  </si>
  <si>
    <t>9516 Burrows Circle</t>
  </si>
  <si>
    <t>51-572-5497</t>
  </si>
  <si>
    <t>43-035-3382</t>
  </si>
  <si>
    <t>1008 Welch Street</t>
  </si>
  <si>
    <t>06-797-4963</t>
  </si>
  <si>
    <t>41-821-0197</t>
  </si>
  <si>
    <t>1700 Briar Crest Parkway</t>
  </si>
  <si>
    <t>42-141-5718</t>
  </si>
  <si>
    <t>67-662-3444</t>
  </si>
  <si>
    <t>53 Homewood Alley</t>
  </si>
  <si>
    <t>37-606-0510</t>
  </si>
  <si>
    <t>09-489-6314</t>
  </si>
  <si>
    <t>43591 East Road</t>
  </si>
  <si>
    <t>44-480-9446</t>
  </si>
  <si>
    <t>35-000-6015</t>
  </si>
  <si>
    <t>Brainbox</t>
  </si>
  <si>
    <t>79 Cardinal Court</t>
  </si>
  <si>
    <t>78-237-0277</t>
  </si>
  <si>
    <t>50-314-5433</t>
  </si>
  <si>
    <t>26240 Maple Wood Place</t>
  </si>
  <si>
    <t>87-997-0228</t>
  </si>
  <si>
    <t>55-156-6528</t>
  </si>
  <si>
    <t>78 Forest Dale Road</t>
  </si>
  <si>
    <t>42-674-3917</t>
  </si>
  <si>
    <t>26-080-4944</t>
  </si>
  <si>
    <t>25696 Westerfield Alley</t>
  </si>
  <si>
    <t>28-185-7303</t>
  </si>
  <si>
    <t>97-143-0641</t>
  </si>
  <si>
    <t>Fanoodle</t>
  </si>
  <si>
    <t>56 Petterle Circle</t>
  </si>
  <si>
    <t>45-852-2446</t>
  </si>
  <si>
    <t>37-567-5710</t>
  </si>
  <si>
    <t>1247 Hoard Hill</t>
  </si>
  <si>
    <t>56-831-6199</t>
  </si>
  <si>
    <t>99-680-2351</t>
  </si>
  <si>
    <t>700 Northland Crossing</t>
  </si>
  <si>
    <t>82-538-4809</t>
  </si>
  <si>
    <t>74-357-2990</t>
  </si>
  <si>
    <t>8 Heffernan Point</t>
  </si>
  <si>
    <t>87-698-0944</t>
  </si>
  <si>
    <t>73-717-0190</t>
  </si>
  <si>
    <t>Edgeclub</t>
  </si>
  <si>
    <t>39 Dovetail Terrace</t>
  </si>
  <si>
    <t>30-964-2694</t>
  </si>
  <si>
    <t>42-976-2737</t>
  </si>
  <si>
    <t>5649 Vidon Plaza</t>
  </si>
  <si>
    <t>09-335-7793</t>
  </si>
  <si>
    <t>96-918-7047</t>
  </si>
  <si>
    <t>289 Longview Point</t>
  </si>
  <si>
    <t>99-033-5661</t>
  </si>
  <si>
    <t>32-458-6452</t>
  </si>
  <si>
    <t>46989 Crescent Oaks Junction</t>
  </si>
  <si>
    <t>90-128-7973</t>
  </si>
  <si>
    <t>91-417-6283</t>
  </si>
  <si>
    <t>13799 Quincy Park</t>
  </si>
  <si>
    <t>52-797-6961</t>
  </si>
  <si>
    <t>75-793-8978</t>
  </si>
  <si>
    <t>05433 Towne Terrace</t>
  </si>
  <si>
    <t>39-232-5341</t>
  </si>
  <si>
    <t>23-319-2681</t>
  </si>
  <si>
    <t>44 Kensington Road</t>
  </si>
  <si>
    <t>46-931-6897</t>
  </si>
  <si>
    <t>22-946-8052</t>
  </si>
  <si>
    <t>Trilith</t>
  </si>
  <si>
    <t>668 Claremont Place</t>
  </si>
  <si>
    <t>56-937-8675</t>
  </si>
  <si>
    <t>37-996-3243</t>
  </si>
  <si>
    <t>674 Ryan Alley</t>
  </si>
  <si>
    <t>54-830-6971</t>
  </si>
  <si>
    <t>94-006-6480</t>
  </si>
  <si>
    <t>00029 Fisk Point</t>
  </si>
  <si>
    <t>90-865-9150</t>
  </si>
  <si>
    <t>58-053-4926</t>
  </si>
  <si>
    <t>61224 Northridge Avenue</t>
  </si>
  <si>
    <t>42-887-6557</t>
  </si>
  <si>
    <t>49-092-2735</t>
  </si>
  <si>
    <t>24385 Prentice Plaza</t>
  </si>
  <si>
    <t>94-190-5193</t>
  </si>
  <si>
    <t>95-778-2888</t>
  </si>
  <si>
    <t>052 Northland Trail</t>
  </si>
  <si>
    <t>00-440-9568</t>
  </si>
  <si>
    <t>43-605-2448</t>
  </si>
  <si>
    <t>0109 Stang Terrace</t>
  </si>
  <si>
    <t>74-294-3760</t>
  </si>
  <si>
    <t>81-233-6894</t>
  </si>
  <si>
    <t>8 Kensington Place</t>
  </si>
  <si>
    <t>66-806-6051</t>
  </si>
  <si>
    <t>19-875-5642</t>
  </si>
  <si>
    <t>16 Elgar Point</t>
  </si>
  <si>
    <t>81-844-2979</t>
  </si>
  <si>
    <t>02-575-7332</t>
  </si>
  <si>
    <t>239 Anderson Court</t>
  </si>
  <si>
    <t>80-072-8774</t>
  </si>
  <si>
    <t>61-222-8413</t>
  </si>
  <si>
    <t>1 Havey Park</t>
  </si>
  <si>
    <t>80-039-1261</t>
  </si>
  <si>
    <t>37-994-7932</t>
  </si>
  <si>
    <t>938 Garrison Court</t>
  </si>
  <si>
    <t>58-219-0241</t>
  </si>
  <si>
    <t>42-523-1857</t>
  </si>
  <si>
    <t>21379 Stoughton Junction</t>
  </si>
  <si>
    <t>94-528-8088</t>
  </si>
  <si>
    <t>68-885-5553</t>
  </si>
  <si>
    <t>60 Towne Hill</t>
  </si>
  <si>
    <t>95-349-0828</t>
  </si>
  <si>
    <t>43-977-2343</t>
  </si>
  <si>
    <t>96420 Briar Crest Lane</t>
  </si>
  <si>
    <t>03-061-1344</t>
  </si>
  <si>
    <t>85-211-5357</t>
  </si>
  <si>
    <t>Yakidoo</t>
  </si>
  <si>
    <t>0 Fordem Place</t>
  </si>
  <si>
    <t>67-984-5368</t>
  </si>
  <si>
    <t>39-714-7313</t>
  </si>
  <si>
    <t>365 Vera Terrace</t>
  </si>
  <si>
    <t>44-782-1395</t>
  </si>
  <si>
    <t>54-132-9762</t>
  </si>
  <si>
    <t>43 Washington Street</t>
  </si>
  <si>
    <t>75-927-9108</t>
  </si>
  <si>
    <t>27-406-7972</t>
  </si>
  <si>
    <t>37 Browning Trail</t>
  </si>
  <si>
    <t>78-614-4402</t>
  </si>
  <si>
    <t>51-014-4287</t>
  </si>
  <si>
    <t>32525 Marquette Park</t>
  </si>
  <si>
    <t>01-903-5373</t>
  </si>
  <si>
    <t>37-902-0286</t>
  </si>
  <si>
    <t>Row Labels</t>
  </si>
  <si>
    <t>Grand Total</t>
  </si>
  <si>
    <t>Sum of Sales_Volume</t>
  </si>
  <si>
    <t>Sum of Stock_Quantity</t>
  </si>
  <si>
    <t>ADU</t>
  </si>
  <si>
    <t>% Usage</t>
  </si>
  <si>
    <t>Sum of ADU</t>
  </si>
  <si>
    <t>Sum of % Usage</t>
  </si>
  <si>
    <t>Products</t>
  </si>
  <si>
    <t>Class</t>
  </si>
  <si>
    <t>Count of Product_ID</t>
  </si>
  <si>
    <t>Total Item</t>
  </si>
  <si>
    <t>% Item</t>
  </si>
  <si>
    <t>Cumulative % Item</t>
  </si>
  <si>
    <t>Annual $ Value</t>
  </si>
  <si>
    <t>% Annual $ Value</t>
  </si>
  <si>
    <t>Cum % Annual $ Usage</t>
  </si>
  <si>
    <t>Cum $ Value</t>
  </si>
  <si>
    <t>by Annual Dollar Usage</t>
  </si>
  <si>
    <t>EOQ</t>
  </si>
  <si>
    <t>Years (Last_Order_Date)</t>
  </si>
  <si>
    <t>(Multiple Items)</t>
  </si>
  <si>
    <t>ROQ</t>
  </si>
  <si>
    <t>Column1</t>
  </si>
  <si>
    <t>Ordering Cost</t>
  </si>
  <si>
    <t>ECONOMIC ORDER QUANTITY</t>
  </si>
  <si>
    <t>Carrying Cost</t>
  </si>
  <si>
    <t>Handling Cost</t>
  </si>
  <si>
    <t>Product</t>
  </si>
  <si>
    <t>Annual Demand</t>
  </si>
  <si>
    <t>D/EOQ</t>
  </si>
  <si>
    <t>Analysis</t>
  </si>
  <si>
    <t>Date_Received1</t>
  </si>
  <si>
    <t>Procurement_Date</t>
  </si>
  <si>
    <t>LeadTime</t>
  </si>
  <si>
    <t>Sum of LeadTime</t>
  </si>
  <si>
    <t>Safety Stock</t>
  </si>
  <si>
    <t>Stdev.p Sales Volume</t>
  </si>
  <si>
    <t>Daily Sales</t>
  </si>
  <si>
    <t>ROP</t>
  </si>
  <si>
    <t>Sum of Daily Sales</t>
  </si>
  <si>
    <t>ROP-SS</t>
  </si>
  <si>
    <t>STDEV.P =</t>
  </si>
  <si>
    <t xml:space="preserve">Z = </t>
  </si>
  <si>
    <t>Average of LeadTime</t>
  </si>
  <si>
    <t>Supplier Name</t>
  </si>
  <si>
    <t>STDEV</t>
  </si>
  <si>
    <t>ValidForVariability</t>
  </si>
  <si>
    <t>AVG Lead Time</t>
  </si>
  <si>
    <t>E. Inventory Turnover</t>
  </si>
  <si>
    <t>Produk</t>
  </si>
  <si>
    <t>Sales</t>
  </si>
  <si>
    <t>Stock Qty</t>
  </si>
  <si>
    <t>ITR</t>
  </si>
  <si>
    <t>Insight:</t>
  </si>
  <si>
    <t>1. Produk laku cepat, stok cepat habis, modal lebih efisien</t>
  </si>
  <si>
    <t>2. Kandidat untuk optimasi ROP lebih ketat atau less safety stock</t>
  </si>
  <si>
    <t>1. Produk lambat, banyak stok dibanding penjualan, risiko overstok/capital tie-up</t>
  </si>
  <si>
    <t>2. Bisa analisis:</t>
  </si>
  <si>
    <t>- Promosi/bundling untuk percepat perputaran</t>
  </si>
  <si>
    <t>- Kurangi order quantity di periode berikutnya</t>
  </si>
  <si>
    <t>- cek supplier lead time - apakah lambat delivery bikin stok menumpuk</t>
  </si>
  <si>
    <t>A</t>
  </si>
  <si>
    <t>B</t>
  </si>
  <si>
    <t>C</t>
  </si>
  <si>
    <t>Total</t>
  </si>
  <si>
    <t>Classification</t>
  </si>
  <si>
    <t>Total Items</t>
  </si>
  <si>
    <t>Cost Analysis</t>
  </si>
  <si>
    <t>TC (EOQ)</t>
  </si>
  <si>
    <t>Δ Cost (%)</t>
  </si>
  <si>
    <t>Average of Ordering Cost</t>
  </si>
  <si>
    <t>%</t>
  </si>
  <si>
    <t>TC (ROQ)</t>
  </si>
  <si>
    <t>Total Transaction</t>
  </si>
  <si>
    <t>Average of Reorder_Quantity</t>
  </si>
  <si>
    <t xml:space="preserve">Δ Cost </t>
  </si>
  <si>
    <t>% Class</t>
  </si>
  <si>
    <t>Class ABC</t>
  </si>
  <si>
    <t>Supplier 
Status</t>
  </si>
  <si>
    <t>Stock 
Status</t>
  </si>
  <si>
    <t>Products &amp; Suppliers</t>
  </si>
  <si>
    <t>Labels</t>
  </si>
  <si>
    <t>DOI</t>
  </si>
  <si>
    <t>Shelf Life</t>
  </si>
  <si>
    <t>COGS</t>
  </si>
  <si>
    <t>Sum of COGS</t>
  </si>
  <si>
    <t>Average of Stock_Quantity</t>
  </si>
  <si>
    <t>Average of Shelf Life</t>
  </si>
  <si>
    <t>Expired</t>
  </si>
  <si>
    <t>High Expired Risk</t>
  </si>
  <si>
    <t>Safe</t>
  </si>
  <si>
    <t>Lead Time</t>
  </si>
  <si>
    <t>Supplier</t>
  </si>
  <si>
    <t>Existing Data</t>
  </si>
  <si>
    <t>REORDER POINT (ROP)</t>
  </si>
  <si>
    <t>INVENTORY TURNOVER RATE (ITR) &amp; PERISHABLE GOODS OVERVIEW</t>
  </si>
  <si>
    <t>Avg of Stock Qty</t>
  </si>
  <si>
    <t>Avg of Ordering Cost</t>
  </si>
  <si>
    <t>Avg Inventory Value</t>
  </si>
  <si>
    <t>Top 10 High ITR</t>
  </si>
  <si>
    <t>Top 10 Low ITR</t>
  </si>
  <si>
    <t>Stock Status</t>
  </si>
  <si>
    <t>ABC ANALYSIS (IDENTIFY KEY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</si>
</sst>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yyyy\-mm\-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3">
    <xf numFmtId="0" fontId="0" fillId="0" borderId="0" xfId="0"/>
    <xf numFmtId="8" fontId="0" fillId="0" borderId="0" xfId="0" applyNumberFormat="1"/>
    <xf numFmtId="10" fontId="0" fillId="0" borderId="0" xfId="0" applyNumberFormat="1"/>
    <xf numFmtId="0" fontId="0" fillId="0" borderId="10" xfId="0" applyBorder="1"/>
    <xf numFmtId="8" fontId="0" fillId="0" borderId="10" xfId="0" applyNumberFormat="1" applyBorder="1"/>
    <xf numFmtId="0" fontId="0" fillId="0" borderId="11" xfId="0" applyBorder="1"/>
    <xf numFmtId="10" fontId="0" fillId="0" borderId="12" xfId="0" applyNumberFormat="1" applyBorder="1"/>
    <xf numFmtId="9" fontId="0" fillId="0" borderId="12" xfId="0" applyNumberFormat="1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8" fontId="0" fillId="0" borderId="17" xfId="0" applyNumberFormat="1" applyBorder="1"/>
    <xf numFmtId="9" fontId="0" fillId="0" borderId="18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8" fontId="0" fillId="0" borderId="14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2" applyNumberFormat="1" applyFont="1"/>
    <xf numFmtId="10" fontId="0" fillId="0" borderId="0" xfId="2" applyNumberFormat="1" applyFont="1"/>
    <xf numFmtId="43" fontId="0" fillId="0" borderId="0" xfId="1" applyFont="1"/>
    <xf numFmtId="0" fontId="16" fillId="33" borderId="0" xfId="0" applyFont="1" applyFill="1" applyAlignment="1">
      <alignment horizontal="left"/>
    </xf>
    <xf numFmtId="10" fontId="0" fillId="0" borderId="10" xfId="2" applyNumberFormat="1" applyFont="1" applyBorder="1"/>
    <xf numFmtId="1" fontId="0" fillId="0" borderId="10" xfId="2" applyNumberFormat="1" applyFont="1" applyBorder="1"/>
    <xf numFmtId="0" fontId="16" fillId="0" borderId="0" xfId="0" applyFont="1"/>
    <xf numFmtId="0" fontId="16" fillId="34" borderId="10" xfId="0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2" applyFont="1" applyBorder="1"/>
    <xf numFmtId="44" fontId="0" fillId="0" borderId="0" xfId="44" applyFont="1"/>
    <xf numFmtId="44" fontId="0" fillId="0" borderId="10" xfId="44" applyFont="1" applyBorder="1"/>
    <xf numFmtId="9" fontId="0" fillId="0" borderId="0" xfId="2" applyFont="1"/>
    <xf numFmtId="44" fontId="0" fillId="0" borderId="0" xfId="0" applyNumberFormat="1"/>
    <xf numFmtId="0" fontId="16" fillId="0" borderId="20" xfId="0" applyFont="1" applyBorder="1" applyAlignment="1">
      <alignment horizontal="left"/>
    </xf>
    <xf numFmtId="8" fontId="16" fillId="0" borderId="20" xfId="0" applyNumberFormat="1" applyFont="1" applyBorder="1"/>
    <xf numFmtId="10" fontId="16" fillId="0" borderId="20" xfId="0" applyNumberFormat="1" applyFont="1" applyBorder="1"/>
    <xf numFmtId="10" fontId="1" fillId="0" borderId="19" xfId="0" applyNumberFormat="1" applyFont="1" applyBorder="1"/>
    <xf numFmtId="0" fontId="16" fillId="33" borderId="0" xfId="0" applyFont="1" applyFill="1"/>
    <xf numFmtId="1" fontId="0" fillId="0" borderId="0" xfId="0" applyNumberFormat="1"/>
    <xf numFmtId="0" fontId="0" fillId="35" borderId="0" xfId="0" applyFill="1" applyAlignment="1">
      <alignment horizontal="center" wrapText="1"/>
    </xf>
    <xf numFmtId="166" fontId="0" fillId="0" borderId="10" xfId="0" applyNumberFormat="1" applyBorder="1"/>
    <xf numFmtId="166" fontId="0" fillId="0" borderId="17" xfId="0" applyNumberFormat="1" applyBorder="1"/>
    <xf numFmtId="1" fontId="0" fillId="0" borderId="10" xfId="0" applyNumberFormat="1" applyBorder="1"/>
    <xf numFmtId="1" fontId="0" fillId="0" borderId="17" xfId="0" applyNumberFormat="1" applyBorder="1"/>
    <xf numFmtId="166" fontId="0" fillId="0" borderId="10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16" fillId="37" borderId="21" xfId="0" applyFont="1" applyFill="1" applyBorder="1"/>
    <xf numFmtId="43" fontId="0" fillId="0" borderId="10" xfId="1" applyFont="1" applyBorder="1"/>
    <xf numFmtId="43" fontId="0" fillId="0" borderId="17" xfId="1" applyFont="1" applyBorder="1"/>
    <xf numFmtId="0" fontId="0" fillId="0" borderId="0" xfId="0" quotePrefix="1"/>
    <xf numFmtId="0" fontId="16" fillId="0" borderId="0" xfId="0" applyFont="1" applyAlignment="1">
      <alignment horizontal="center"/>
    </xf>
    <xf numFmtId="0" fontId="16" fillId="37" borderId="0" xfId="0" applyFont="1" applyFill="1" applyAlignment="1">
      <alignment horizontal="center"/>
    </xf>
    <xf numFmtId="164" fontId="0" fillId="0" borderId="0" xfId="1" applyNumberFormat="1" applyFont="1"/>
    <xf numFmtId="43" fontId="0" fillId="0" borderId="0" xfId="0" applyNumberFormat="1"/>
    <xf numFmtId="164" fontId="0" fillId="0" borderId="0" xfId="1" applyNumberFormat="1" applyFont="1" applyFill="1"/>
    <xf numFmtId="0" fontId="16" fillId="33" borderId="0" xfId="0" quotePrefix="1" applyFont="1" applyFill="1" applyAlignment="1">
      <alignment horizontal="right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/>
    </xf>
    <xf numFmtId="43" fontId="0" fillId="0" borderId="10" xfId="1" applyFont="1" applyBorder="1" applyAlignment="1">
      <alignment horizontal="left"/>
    </xf>
    <xf numFmtId="0" fontId="16" fillId="35" borderId="10" xfId="0" applyFont="1" applyFill="1" applyBorder="1" applyAlignment="1">
      <alignment horizontal="center" vertical="center"/>
    </xf>
    <xf numFmtId="0" fontId="0" fillId="39" borderId="14" xfId="0" applyFill="1" applyBorder="1" applyAlignment="1">
      <alignment horizontal="center"/>
    </xf>
    <xf numFmtId="10" fontId="0" fillId="39" borderId="14" xfId="2" applyNumberFormat="1" applyFont="1" applyFill="1" applyBorder="1" applyAlignment="1">
      <alignment horizontal="center"/>
    </xf>
    <xf numFmtId="40" fontId="1" fillId="0" borderId="0" xfId="1" applyNumberFormat="1" applyFont="1"/>
    <xf numFmtId="40" fontId="0" fillId="0" borderId="0" xfId="0" applyNumberFormat="1"/>
    <xf numFmtId="43" fontId="16" fillId="0" borderId="0" xfId="0" applyNumberFormat="1" applyFont="1"/>
    <xf numFmtId="0" fontId="16" fillId="0" borderId="0" xfId="0" applyFont="1" applyAlignment="1">
      <alignment horizontal="left"/>
    </xf>
    <xf numFmtId="1" fontId="16" fillId="0" borderId="0" xfId="0" applyNumberFormat="1" applyFont="1"/>
    <xf numFmtId="0" fontId="16" fillId="38" borderId="10" xfId="0" applyFont="1" applyFill="1" applyBorder="1" applyAlignment="1">
      <alignment horizontal="center" vertical="center"/>
    </xf>
    <xf numFmtId="0" fontId="16" fillId="40" borderId="10" xfId="0" applyFont="1" applyFill="1" applyBorder="1" applyAlignment="1">
      <alignment horizontal="left"/>
    </xf>
    <xf numFmtId="1" fontId="16" fillId="40" borderId="10" xfId="0" applyNumberFormat="1" applyFont="1" applyFill="1" applyBorder="1"/>
    <xf numFmtId="43" fontId="0" fillId="40" borderId="10" xfId="0" applyNumberFormat="1" applyFill="1" applyBorder="1"/>
    <xf numFmtId="164" fontId="0" fillId="40" borderId="10" xfId="1" applyNumberFormat="1" applyFont="1" applyFill="1" applyBorder="1"/>
    <xf numFmtId="0" fontId="16" fillId="40" borderId="10" xfId="0" applyFont="1" applyFill="1" applyBorder="1"/>
    <xf numFmtId="0" fontId="0" fillId="40" borderId="10" xfId="0" applyFill="1" applyBorder="1"/>
    <xf numFmtId="0" fontId="0" fillId="0" borderId="10" xfId="0" applyBorder="1" applyAlignment="1">
      <alignment horizontal="left" indent="1"/>
    </xf>
    <xf numFmtId="43" fontId="0" fillId="0" borderId="10" xfId="0" applyNumberFormat="1" applyBorder="1"/>
    <xf numFmtId="164" fontId="0" fillId="0" borderId="10" xfId="1" applyNumberFormat="1" applyFont="1" applyBorder="1"/>
    <xf numFmtId="43" fontId="16" fillId="40" borderId="10" xfId="0" applyNumberFormat="1" applyFont="1" applyFill="1" applyBorder="1"/>
    <xf numFmtId="0" fontId="13" fillId="41" borderId="10" xfId="0" applyFont="1" applyFill="1" applyBorder="1" applyAlignment="1">
      <alignment vertical="center"/>
    </xf>
    <xf numFmtId="0" fontId="13" fillId="41" borderId="10" xfId="0" applyFont="1" applyFill="1" applyBorder="1" applyAlignment="1">
      <alignment horizontal="center" vertical="center"/>
    </xf>
    <xf numFmtId="0" fontId="13" fillId="42" borderId="10" xfId="0" applyFont="1" applyFill="1" applyBorder="1" applyAlignment="1">
      <alignment horizontal="center" vertical="center"/>
    </xf>
    <xf numFmtId="0" fontId="0" fillId="40" borderId="10" xfId="0" applyFill="1" applyBorder="1" applyAlignment="1">
      <alignment horizontal="center"/>
    </xf>
    <xf numFmtId="10" fontId="0" fillId="40" borderId="10" xfId="2" applyNumberFormat="1" applyFont="1" applyFill="1" applyBorder="1"/>
    <xf numFmtId="164" fontId="0" fillId="0" borderId="10" xfId="0" applyNumberFormat="1" applyBorder="1"/>
    <xf numFmtId="0" fontId="13" fillId="41" borderId="10" xfId="0" applyFont="1" applyFill="1" applyBorder="1" applyAlignment="1">
      <alignment horizontal="center" vertical="center" wrapText="1"/>
    </xf>
    <xf numFmtId="0" fontId="16" fillId="33" borderId="0" xfId="0" applyFont="1" applyFill="1" applyAlignment="1">
      <alignment horizontal="center"/>
    </xf>
    <xf numFmtId="0" fontId="0" fillId="0" borderId="19" xfId="0" applyBorder="1"/>
    <xf numFmtId="2" fontId="0" fillId="0" borderId="10" xfId="0" applyNumberFormat="1" applyBorder="1"/>
    <xf numFmtId="2" fontId="0" fillId="0" borderId="17" xfId="0" applyNumberFormat="1" applyBorder="1"/>
    <xf numFmtId="0" fontId="16" fillId="43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pivotButton="1" applyAlignment="1">
      <alignment vertical="center"/>
    </xf>
    <xf numFmtId="2" fontId="0" fillId="0" borderId="0" xfId="0" applyNumberFormat="1"/>
    <xf numFmtId="0" fontId="16" fillId="44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14" xfId="0" applyBorder="1"/>
    <xf numFmtId="0" fontId="16" fillId="0" borderId="22" xfId="0" applyFont="1" applyBorder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40" fontId="0" fillId="0" borderId="0" xfId="1" applyNumberFormat="1" applyFont="1"/>
    <xf numFmtId="0" fontId="0" fillId="43" borderId="10" xfId="0" applyFill="1" applyBorder="1" applyAlignment="1">
      <alignment horizontal="left"/>
    </xf>
    <xf numFmtId="0" fontId="0" fillId="43" borderId="10" xfId="0" applyFill="1" applyBorder="1"/>
    <xf numFmtId="0" fontId="16" fillId="43" borderId="10" xfId="0" applyFont="1" applyFill="1" applyBorder="1" applyAlignment="1">
      <alignment horizontal="center" vertical="center"/>
    </xf>
    <xf numFmtId="43" fontId="16" fillId="43" borderId="10" xfId="1" applyFont="1" applyFill="1" applyBorder="1" applyAlignment="1">
      <alignment horizontal="center" vertical="center"/>
    </xf>
    <xf numFmtId="0" fontId="16" fillId="43" borderId="10" xfId="0" applyFont="1" applyFill="1" applyBorder="1" applyAlignment="1">
      <alignment horizontal="center" vertical="center" wrapText="1"/>
    </xf>
    <xf numFmtId="43" fontId="16" fillId="43" borderId="10" xfId="1" applyFont="1" applyFill="1" applyBorder="1" applyAlignment="1">
      <alignment horizontal="center" vertical="center" wrapText="1"/>
    </xf>
    <xf numFmtId="0" fontId="20" fillId="45" borderId="23" xfId="0" applyFont="1" applyFill="1" applyBorder="1" applyAlignment="1">
      <alignment horizontal="center"/>
    </xf>
    <xf numFmtId="0" fontId="21" fillId="45" borderId="24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20" fillId="45" borderId="23" xfId="0" applyFont="1" applyFill="1" applyBorder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45" borderId="24" xfId="0" applyFont="1" applyFill="1" applyBorder="1" applyAlignment="1">
      <alignment horizontal="center" vertical="center"/>
    </xf>
    <xf numFmtId="0" fontId="16" fillId="36" borderId="0" xfId="0" applyFont="1" applyFill="1" applyAlignment="1">
      <alignment horizontal="center"/>
    </xf>
    <xf numFmtId="0" fontId="22" fillId="45" borderId="23" xfId="0" applyFont="1" applyFill="1" applyBorder="1" applyAlignment="1">
      <alignment horizontal="center" vertical="center"/>
    </xf>
    <xf numFmtId="0" fontId="22" fillId="45" borderId="24" xfId="0" applyFont="1" applyFill="1" applyBorder="1" applyAlignment="1">
      <alignment horizontal="center" vertical="center"/>
    </xf>
    <xf numFmtId="0" fontId="18" fillId="46" borderId="23" xfId="0" applyFont="1" applyFill="1" applyBorder="1" applyAlignment="1">
      <alignment horizontal="center" vertical="center"/>
    </xf>
    <xf numFmtId="0" fontId="18" fillId="46" borderId="24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44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331"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1"/>
      </font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alignment vertical="center"/>
    </dxf>
    <dxf>
      <alignment vertical="center"/>
    </dxf>
    <dxf>
      <alignment vertical="center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border diagonalUp="0" diagonalDown="0" outline="0">
        <left/>
        <right/>
        <top style="thin">
          <color indexed="64"/>
        </top>
        <bottom/>
      </border>
    </dxf>
    <dxf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 outline="0">
        <left/>
        <right/>
        <top style="thin">
          <color indexed="64"/>
        </top>
        <bottom/>
      </border>
    </dxf>
    <dxf>
      <numFmt numFmtId="14" formatCode="0.00%"/>
    </dxf>
    <dxf>
      <numFmt numFmtId="12" formatCode="&quot;$&quot;#,##0.00_);[Red]\(&quot;$&quot;#,##0.0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2" formatCode="&quot;$&quot;#,##0.00_);[Red]\(&quot;$&quot;#,##0.0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2" formatCode="&quot;$&quot;#,##0.00_);[Red]\(&quot;$&quot;#,##0.0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yyyy\-mm\-d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yyyy\-mm\-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yyyy\-mm\-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yyyy\-mm\-d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yyyy\-mm\-d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yyyy\-mm\-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2" formatCode="&quot;$&quot;#,##0.00_);[Red]\(&quot;$&quot;#,##0.0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yyyy\-mm\-d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yyyy\-mm\-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yyyy\-mm\-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yyyy\-mm\-d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yyyy\-mm\-d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yyyy\-mm\-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ABC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'ABC Analysis'!$F$17</c:f>
              <c:strCache>
                <c:ptCount val="1"/>
                <c:pt idx="0">
                  <c:v>Annual $ Value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'ABC Analysis'!$E$18:$E$138</c:f>
              <c:strCache>
                <c:ptCount val="121"/>
                <c:pt idx="0">
                  <c:v>Arabica Coffee</c:v>
                </c:pt>
                <c:pt idx="1">
                  <c:v>White Tea</c:v>
                </c:pt>
                <c:pt idx="2">
                  <c:v>Halibut</c:v>
                </c:pt>
                <c:pt idx="3">
                  <c:v>Banana</c:v>
                </c:pt>
                <c:pt idx="4">
                  <c:v>Herbal Tea</c:v>
                </c:pt>
                <c:pt idx="5">
                  <c:v>Black Coffee</c:v>
                </c:pt>
                <c:pt idx="6">
                  <c:v>Haddock</c:v>
                </c:pt>
                <c:pt idx="7">
                  <c:v>Greek Yogurt</c:v>
                </c:pt>
                <c:pt idx="8">
                  <c:v>Salmon</c:v>
                </c:pt>
                <c:pt idx="9">
                  <c:v>Tuna</c:v>
                </c:pt>
                <c:pt idx="10">
                  <c:v>Trout</c:v>
                </c:pt>
                <c:pt idx="11">
                  <c:v>Anchovies</c:v>
                </c:pt>
                <c:pt idx="12">
                  <c:v>Parmesan Cheese</c:v>
                </c:pt>
                <c:pt idx="13">
                  <c:v>Cheddar Cheese</c:v>
                </c:pt>
                <c:pt idx="14">
                  <c:v>Green Coffee</c:v>
                </c:pt>
                <c:pt idx="15">
                  <c:v>Pomegranate</c:v>
                </c:pt>
                <c:pt idx="16">
                  <c:v>Green Tea</c:v>
                </c:pt>
                <c:pt idx="17">
                  <c:v>Swiss Cheese</c:v>
                </c:pt>
                <c:pt idx="18">
                  <c:v>Wild Rice</c:v>
                </c:pt>
                <c:pt idx="19">
                  <c:v>Black Rice</c:v>
                </c:pt>
                <c:pt idx="20">
                  <c:v>Tilapia</c:v>
                </c:pt>
                <c:pt idx="21">
                  <c:v>Robusta Coffee</c:v>
                </c:pt>
                <c:pt idx="22">
                  <c:v>Sesame Oil</c:v>
                </c:pt>
                <c:pt idx="23">
                  <c:v>Grapes</c:v>
                </c:pt>
                <c:pt idx="24">
                  <c:v>Blueberries</c:v>
                </c:pt>
                <c:pt idx="25">
                  <c:v>Cod</c:v>
                </c:pt>
                <c:pt idx="26">
                  <c:v>Almond Flour</c:v>
                </c:pt>
                <c:pt idx="27">
                  <c:v>Jasmine Rice</c:v>
                </c:pt>
                <c:pt idx="28">
                  <c:v>Cheese</c:v>
                </c:pt>
                <c:pt idx="29">
                  <c:v>Mushrooms</c:v>
                </c:pt>
                <c:pt idx="30">
                  <c:v>Avocado Oil</c:v>
                </c:pt>
                <c:pt idx="31">
                  <c:v>Bell Pepper</c:v>
                </c:pt>
                <c:pt idx="32">
                  <c:v>Ricotta Cheese</c:v>
                </c:pt>
                <c:pt idx="33">
                  <c:v>Mackerel</c:v>
                </c:pt>
                <c:pt idx="34">
                  <c:v>Chocolate Biscuit</c:v>
                </c:pt>
                <c:pt idx="35">
                  <c:v>Broccoli</c:v>
                </c:pt>
                <c:pt idx="36">
                  <c:v>Gouda Cheese</c:v>
                </c:pt>
                <c:pt idx="37">
                  <c:v>Mozzarella Cheese</c:v>
                </c:pt>
                <c:pt idx="38">
                  <c:v>Digestive Biscuit</c:v>
                </c:pt>
                <c:pt idx="39">
                  <c:v>Cabbage</c:v>
                </c:pt>
                <c:pt idx="40">
                  <c:v>Mango</c:v>
                </c:pt>
                <c:pt idx="41">
                  <c:v>Sardines</c:v>
                </c:pt>
                <c:pt idx="42">
                  <c:v>Sourdough Bread</c:v>
                </c:pt>
                <c:pt idx="43">
                  <c:v>Plum</c:v>
                </c:pt>
                <c:pt idx="44">
                  <c:v>Peach</c:v>
                </c:pt>
                <c:pt idx="45">
                  <c:v>Olive Oil</c:v>
                </c:pt>
                <c:pt idx="46">
                  <c:v>Cauliflower</c:v>
                </c:pt>
                <c:pt idx="47">
                  <c:v>Feta Cheese</c:v>
                </c:pt>
                <c:pt idx="48">
                  <c:v>Asparagus</c:v>
                </c:pt>
                <c:pt idx="49">
                  <c:v>Peanut Oil</c:v>
                </c:pt>
                <c:pt idx="50">
                  <c:v>Orange</c:v>
                </c:pt>
                <c:pt idx="51">
                  <c:v>Black Tea</c:v>
                </c:pt>
                <c:pt idx="52">
                  <c:v>Sushi Rice</c:v>
                </c:pt>
                <c:pt idx="53">
                  <c:v>Pineapple</c:v>
                </c:pt>
                <c:pt idx="54">
                  <c:v>Strawberries</c:v>
                </c:pt>
                <c:pt idx="55">
                  <c:v>Pear</c:v>
                </c:pt>
                <c:pt idx="56">
                  <c:v>Garlic</c:v>
                </c:pt>
                <c:pt idx="57">
                  <c:v>Heavy Cream</c:v>
                </c:pt>
                <c:pt idx="58">
                  <c:v>Apricot</c:v>
                </c:pt>
                <c:pt idx="59">
                  <c:v>Egg (Goose)</c:v>
                </c:pt>
                <c:pt idx="60">
                  <c:v>Watermelon</c:v>
                </c:pt>
                <c:pt idx="61">
                  <c:v>Butter Biscuit</c:v>
                </c:pt>
                <c:pt idx="62">
                  <c:v>Kiwi</c:v>
                </c:pt>
                <c:pt idx="63">
                  <c:v>Papaya</c:v>
                </c:pt>
                <c:pt idx="64">
                  <c:v>Coconut</c:v>
                </c:pt>
                <c:pt idx="65">
                  <c:v>Whipped Cream</c:v>
                </c:pt>
                <c:pt idx="66">
                  <c:v>White Bread</c:v>
                </c:pt>
                <c:pt idx="67">
                  <c:v>Egg (Turkey)</c:v>
                </c:pt>
                <c:pt idx="68">
                  <c:v>Coconut Sugar</c:v>
                </c:pt>
                <c:pt idx="69">
                  <c:v>Oatmeal Biscuit</c:v>
                </c:pt>
                <c:pt idx="70">
                  <c:v>Bread Flour</c:v>
                </c:pt>
                <c:pt idx="71">
                  <c:v>Cherry</c:v>
                </c:pt>
                <c:pt idx="72">
                  <c:v>Basmati Rice</c:v>
                </c:pt>
                <c:pt idx="73">
                  <c:v>Cottage Cheese</c:v>
                </c:pt>
                <c:pt idx="74">
                  <c:v>Rye Bread</c:v>
                </c:pt>
                <c:pt idx="75">
                  <c:v>Arborio Rice</c:v>
                </c:pt>
                <c:pt idx="76">
                  <c:v>Eggplant</c:v>
                </c:pt>
                <c:pt idx="77">
                  <c:v>Canola Oil</c:v>
                </c:pt>
                <c:pt idx="78">
                  <c:v>Multigrain Bread</c:v>
                </c:pt>
                <c:pt idx="79">
                  <c:v>Apple</c:v>
                </c:pt>
                <c:pt idx="80">
                  <c:v>Powdered Sugar</c:v>
                </c:pt>
                <c:pt idx="81">
                  <c:v>Short Grain Rice</c:v>
                </c:pt>
                <c:pt idx="82">
                  <c:v>Peas</c:v>
                </c:pt>
                <c:pt idx="83">
                  <c:v>Sour Cream</c:v>
                </c:pt>
                <c:pt idx="84">
                  <c:v>Vanilla Biscuit</c:v>
                </c:pt>
                <c:pt idx="85">
                  <c:v>Onion</c:v>
                </c:pt>
                <c:pt idx="86">
                  <c:v>Zucchini</c:v>
                </c:pt>
                <c:pt idx="87">
                  <c:v>Sunflower Oil</c:v>
                </c:pt>
                <c:pt idx="88">
                  <c:v>Coconut Oil</c:v>
                </c:pt>
                <c:pt idx="89">
                  <c:v>Corn Oil</c:v>
                </c:pt>
                <c:pt idx="90">
                  <c:v>Brown Rice</c:v>
                </c:pt>
                <c:pt idx="91">
                  <c:v>Whole Wheat Bread</c:v>
                </c:pt>
                <c:pt idx="92">
                  <c:v>Lemon</c:v>
                </c:pt>
                <c:pt idx="93">
                  <c:v>White Sugar</c:v>
                </c:pt>
                <c:pt idx="94">
                  <c:v>Cucumber</c:v>
                </c:pt>
                <c:pt idx="95">
                  <c:v>Tomato</c:v>
                </c:pt>
                <c:pt idx="96">
                  <c:v>Sweet Potato</c:v>
                </c:pt>
                <c:pt idx="97">
                  <c:v>Kale</c:v>
                </c:pt>
                <c:pt idx="98">
                  <c:v>Whole Wheat Flour</c:v>
                </c:pt>
                <c:pt idx="99">
                  <c:v>Cream</c:v>
                </c:pt>
                <c:pt idx="100">
                  <c:v>Evaporated Milk</c:v>
                </c:pt>
                <c:pt idx="101">
                  <c:v>Yogurt</c:v>
                </c:pt>
                <c:pt idx="102">
                  <c:v>Lime</c:v>
                </c:pt>
                <c:pt idx="103">
                  <c:v>Vegetable Oil</c:v>
                </c:pt>
                <c:pt idx="104">
                  <c:v>Spinach</c:v>
                </c:pt>
                <c:pt idx="105">
                  <c:v>Green Beans</c:v>
                </c:pt>
                <c:pt idx="106">
                  <c:v>Palm Oil</c:v>
                </c:pt>
                <c:pt idx="107">
                  <c:v>Rice Flour</c:v>
                </c:pt>
                <c:pt idx="108">
                  <c:v>Butter</c:v>
                </c:pt>
                <c:pt idx="109">
                  <c:v>Long Grain Rice</c:v>
                </c:pt>
                <c:pt idx="110">
                  <c:v>Buttermilk</c:v>
                </c:pt>
                <c:pt idx="111">
                  <c:v>Egg (Duck)</c:v>
                </c:pt>
                <c:pt idx="112">
                  <c:v>Carrot</c:v>
                </c:pt>
                <c:pt idx="113">
                  <c:v>White Rice</c:v>
                </c:pt>
                <c:pt idx="114">
                  <c:v>Raw Sugar</c:v>
                </c:pt>
                <c:pt idx="115">
                  <c:v>Potato</c:v>
                </c:pt>
                <c:pt idx="116">
                  <c:v>All-Purpose Flour</c:v>
                </c:pt>
                <c:pt idx="117">
                  <c:v>Egg (Quail)</c:v>
                </c:pt>
                <c:pt idx="118">
                  <c:v>Lettuce</c:v>
                </c:pt>
                <c:pt idx="119">
                  <c:v>Milk</c:v>
                </c:pt>
                <c:pt idx="120">
                  <c:v>Egg (Chicken)</c:v>
                </c:pt>
              </c:strCache>
            </c:strRef>
          </c:cat>
          <c:val>
            <c:numRef>
              <c:f>'ABC Analysis'!$F$18:$F$138</c:f>
              <c:numCache>
                <c:formatCode>_("$"* #,##0.00_);_("$"* \(#,##0.00\);_("$"* "-"??_);_(@_)</c:formatCode>
                <c:ptCount val="121"/>
                <c:pt idx="0">
                  <c:v>17644</c:v>
                </c:pt>
                <c:pt idx="1">
                  <c:v>15965.65</c:v>
                </c:pt>
                <c:pt idx="2">
                  <c:v>10700</c:v>
                </c:pt>
                <c:pt idx="3">
                  <c:v>10117.68</c:v>
                </c:pt>
                <c:pt idx="4">
                  <c:v>10113</c:v>
                </c:pt>
                <c:pt idx="5">
                  <c:v>9978</c:v>
                </c:pt>
                <c:pt idx="6">
                  <c:v>8028</c:v>
                </c:pt>
                <c:pt idx="7">
                  <c:v>7495.4800000000005</c:v>
                </c:pt>
                <c:pt idx="8">
                  <c:v>7425</c:v>
                </c:pt>
                <c:pt idx="9">
                  <c:v>7416</c:v>
                </c:pt>
                <c:pt idx="10">
                  <c:v>7409.1</c:v>
                </c:pt>
                <c:pt idx="11">
                  <c:v>6680</c:v>
                </c:pt>
                <c:pt idx="12">
                  <c:v>6184.7</c:v>
                </c:pt>
                <c:pt idx="13">
                  <c:v>6061.4000000000005</c:v>
                </c:pt>
                <c:pt idx="14">
                  <c:v>5896</c:v>
                </c:pt>
                <c:pt idx="15">
                  <c:v>5832</c:v>
                </c:pt>
                <c:pt idx="16">
                  <c:v>5594.1</c:v>
                </c:pt>
                <c:pt idx="17">
                  <c:v>5117.3999999999996</c:v>
                </c:pt>
                <c:pt idx="18">
                  <c:v>4804</c:v>
                </c:pt>
                <c:pt idx="19">
                  <c:v>4571.8500000000004</c:v>
                </c:pt>
                <c:pt idx="20">
                  <c:v>4388</c:v>
                </c:pt>
                <c:pt idx="21">
                  <c:v>4184</c:v>
                </c:pt>
                <c:pt idx="22">
                  <c:v>4173</c:v>
                </c:pt>
                <c:pt idx="23">
                  <c:v>4163.5</c:v>
                </c:pt>
                <c:pt idx="24">
                  <c:v>4140</c:v>
                </c:pt>
                <c:pt idx="25">
                  <c:v>3928</c:v>
                </c:pt>
                <c:pt idx="26">
                  <c:v>3847.5</c:v>
                </c:pt>
                <c:pt idx="27">
                  <c:v>3771.5</c:v>
                </c:pt>
                <c:pt idx="28">
                  <c:v>3719.6</c:v>
                </c:pt>
                <c:pt idx="29">
                  <c:v>3562.7999999999997</c:v>
                </c:pt>
                <c:pt idx="30">
                  <c:v>3530</c:v>
                </c:pt>
                <c:pt idx="31">
                  <c:v>3184.6000000000004</c:v>
                </c:pt>
                <c:pt idx="32">
                  <c:v>3117</c:v>
                </c:pt>
                <c:pt idx="33">
                  <c:v>3015</c:v>
                </c:pt>
                <c:pt idx="34">
                  <c:v>2990</c:v>
                </c:pt>
                <c:pt idx="35">
                  <c:v>2904</c:v>
                </c:pt>
                <c:pt idx="36">
                  <c:v>2877</c:v>
                </c:pt>
                <c:pt idx="37">
                  <c:v>2865.5</c:v>
                </c:pt>
                <c:pt idx="38">
                  <c:v>2784</c:v>
                </c:pt>
                <c:pt idx="39">
                  <c:v>2752.7999999999997</c:v>
                </c:pt>
                <c:pt idx="40">
                  <c:v>2713.7</c:v>
                </c:pt>
                <c:pt idx="41">
                  <c:v>2550</c:v>
                </c:pt>
                <c:pt idx="42">
                  <c:v>2528.9</c:v>
                </c:pt>
                <c:pt idx="43">
                  <c:v>2416.1499999999996</c:v>
                </c:pt>
                <c:pt idx="44">
                  <c:v>2416</c:v>
                </c:pt>
                <c:pt idx="45">
                  <c:v>2310</c:v>
                </c:pt>
                <c:pt idx="46">
                  <c:v>2289.46</c:v>
                </c:pt>
                <c:pt idx="47">
                  <c:v>2268</c:v>
                </c:pt>
                <c:pt idx="48">
                  <c:v>2245.6999999999998</c:v>
                </c:pt>
                <c:pt idx="49">
                  <c:v>2236</c:v>
                </c:pt>
                <c:pt idx="50">
                  <c:v>2191.6000000000004</c:v>
                </c:pt>
                <c:pt idx="51">
                  <c:v>2142.8000000000002</c:v>
                </c:pt>
                <c:pt idx="52">
                  <c:v>2118.9</c:v>
                </c:pt>
                <c:pt idx="53">
                  <c:v>2108.85</c:v>
                </c:pt>
                <c:pt idx="54">
                  <c:v>2065.1999999999998</c:v>
                </c:pt>
                <c:pt idx="55">
                  <c:v>2038.4</c:v>
                </c:pt>
                <c:pt idx="56">
                  <c:v>1988</c:v>
                </c:pt>
                <c:pt idx="57">
                  <c:v>1965.5</c:v>
                </c:pt>
                <c:pt idx="58">
                  <c:v>1940</c:v>
                </c:pt>
                <c:pt idx="59">
                  <c:v>1913.7</c:v>
                </c:pt>
                <c:pt idx="60">
                  <c:v>1899</c:v>
                </c:pt>
                <c:pt idx="61">
                  <c:v>1848</c:v>
                </c:pt>
                <c:pt idx="62">
                  <c:v>1804.1</c:v>
                </c:pt>
                <c:pt idx="63">
                  <c:v>1691</c:v>
                </c:pt>
                <c:pt idx="64">
                  <c:v>1685</c:v>
                </c:pt>
                <c:pt idx="65">
                  <c:v>1672.9</c:v>
                </c:pt>
                <c:pt idx="66">
                  <c:v>1565</c:v>
                </c:pt>
                <c:pt idx="67">
                  <c:v>1545.2</c:v>
                </c:pt>
                <c:pt idx="68">
                  <c:v>1545</c:v>
                </c:pt>
                <c:pt idx="69">
                  <c:v>1510</c:v>
                </c:pt>
                <c:pt idx="70">
                  <c:v>1503</c:v>
                </c:pt>
                <c:pt idx="71">
                  <c:v>1496</c:v>
                </c:pt>
                <c:pt idx="72">
                  <c:v>1419.25</c:v>
                </c:pt>
                <c:pt idx="73">
                  <c:v>1417</c:v>
                </c:pt>
                <c:pt idx="74">
                  <c:v>1416.3999999999999</c:v>
                </c:pt>
                <c:pt idx="75">
                  <c:v>1386</c:v>
                </c:pt>
                <c:pt idx="76">
                  <c:v>1362</c:v>
                </c:pt>
                <c:pt idx="77">
                  <c:v>1361.6</c:v>
                </c:pt>
                <c:pt idx="78">
                  <c:v>1340</c:v>
                </c:pt>
                <c:pt idx="79">
                  <c:v>1309</c:v>
                </c:pt>
                <c:pt idx="80">
                  <c:v>1302.5</c:v>
                </c:pt>
                <c:pt idx="81">
                  <c:v>1254</c:v>
                </c:pt>
                <c:pt idx="82">
                  <c:v>1233</c:v>
                </c:pt>
                <c:pt idx="83">
                  <c:v>1212.5</c:v>
                </c:pt>
                <c:pt idx="84">
                  <c:v>1210</c:v>
                </c:pt>
                <c:pt idx="85">
                  <c:v>1194</c:v>
                </c:pt>
                <c:pt idx="86">
                  <c:v>1192.5</c:v>
                </c:pt>
                <c:pt idx="87">
                  <c:v>1180</c:v>
                </c:pt>
                <c:pt idx="88">
                  <c:v>1175</c:v>
                </c:pt>
                <c:pt idx="89">
                  <c:v>1167.5</c:v>
                </c:pt>
                <c:pt idx="90">
                  <c:v>1165</c:v>
                </c:pt>
                <c:pt idx="91">
                  <c:v>1162</c:v>
                </c:pt>
                <c:pt idx="92">
                  <c:v>1152.75</c:v>
                </c:pt>
                <c:pt idx="93">
                  <c:v>1150</c:v>
                </c:pt>
                <c:pt idx="94">
                  <c:v>1115.1500000000001</c:v>
                </c:pt>
                <c:pt idx="95">
                  <c:v>1062.5</c:v>
                </c:pt>
                <c:pt idx="96">
                  <c:v>1028</c:v>
                </c:pt>
                <c:pt idx="97">
                  <c:v>1004</c:v>
                </c:pt>
                <c:pt idx="98">
                  <c:v>1002.55</c:v>
                </c:pt>
                <c:pt idx="99">
                  <c:v>957.15</c:v>
                </c:pt>
                <c:pt idx="100">
                  <c:v>954.4</c:v>
                </c:pt>
                <c:pt idx="101">
                  <c:v>898.85</c:v>
                </c:pt>
                <c:pt idx="102">
                  <c:v>883.7</c:v>
                </c:pt>
                <c:pt idx="103">
                  <c:v>870</c:v>
                </c:pt>
                <c:pt idx="104">
                  <c:v>868.47</c:v>
                </c:pt>
                <c:pt idx="105">
                  <c:v>851.9</c:v>
                </c:pt>
                <c:pt idx="106">
                  <c:v>838.80000000000007</c:v>
                </c:pt>
                <c:pt idx="107">
                  <c:v>832</c:v>
                </c:pt>
                <c:pt idx="108">
                  <c:v>813.8</c:v>
                </c:pt>
                <c:pt idx="109">
                  <c:v>811.5</c:v>
                </c:pt>
                <c:pt idx="110">
                  <c:v>765.95</c:v>
                </c:pt>
                <c:pt idx="111">
                  <c:v>580</c:v>
                </c:pt>
                <c:pt idx="112">
                  <c:v>575.29999999999995</c:v>
                </c:pt>
                <c:pt idx="113">
                  <c:v>478.8</c:v>
                </c:pt>
                <c:pt idx="114">
                  <c:v>420</c:v>
                </c:pt>
                <c:pt idx="115">
                  <c:v>380.40000000000003</c:v>
                </c:pt>
                <c:pt idx="116">
                  <c:v>346.5</c:v>
                </c:pt>
                <c:pt idx="117">
                  <c:v>337.6</c:v>
                </c:pt>
                <c:pt idx="118">
                  <c:v>332</c:v>
                </c:pt>
                <c:pt idx="119">
                  <c:v>253.4</c:v>
                </c:pt>
                <c:pt idx="120">
                  <c:v>102.39999999999999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C-4829-A6C5-DCAB4AA8C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5445504"/>
        <c:axId val="233974736"/>
      </c:barChart>
      <c:lineChart>
        <c:grouping val="standard"/>
        <c:varyColors val="0"/>
        <c:ser>
          <c:idx val="1"/>
          <c:order val="1"/>
          <c:tx>
            <c:strRef>
              <c:f>'ABC Analysis'!$I$17</c:f>
              <c:strCache>
                <c:ptCount val="1"/>
                <c:pt idx="0">
                  <c:v>Cum % Annual $ Usage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'ABC Analysis'!$E$18:$E$138</c:f>
              <c:strCache>
                <c:ptCount val="121"/>
                <c:pt idx="0">
                  <c:v>Arabica Coffee</c:v>
                </c:pt>
                <c:pt idx="1">
                  <c:v>White Tea</c:v>
                </c:pt>
                <c:pt idx="2">
                  <c:v>Halibut</c:v>
                </c:pt>
                <c:pt idx="3">
                  <c:v>Banana</c:v>
                </c:pt>
                <c:pt idx="4">
                  <c:v>Herbal Tea</c:v>
                </c:pt>
                <c:pt idx="5">
                  <c:v>Black Coffee</c:v>
                </c:pt>
                <c:pt idx="6">
                  <c:v>Haddock</c:v>
                </c:pt>
                <c:pt idx="7">
                  <c:v>Greek Yogurt</c:v>
                </c:pt>
                <c:pt idx="8">
                  <c:v>Salmon</c:v>
                </c:pt>
                <c:pt idx="9">
                  <c:v>Tuna</c:v>
                </c:pt>
                <c:pt idx="10">
                  <c:v>Trout</c:v>
                </c:pt>
                <c:pt idx="11">
                  <c:v>Anchovies</c:v>
                </c:pt>
                <c:pt idx="12">
                  <c:v>Parmesan Cheese</c:v>
                </c:pt>
                <c:pt idx="13">
                  <c:v>Cheddar Cheese</c:v>
                </c:pt>
                <c:pt idx="14">
                  <c:v>Green Coffee</c:v>
                </c:pt>
                <c:pt idx="15">
                  <c:v>Pomegranate</c:v>
                </c:pt>
                <c:pt idx="16">
                  <c:v>Green Tea</c:v>
                </c:pt>
                <c:pt idx="17">
                  <c:v>Swiss Cheese</c:v>
                </c:pt>
                <c:pt idx="18">
                  <c:v>Wild Rice</c:v>
                </c:pt>
                <c:pt idx="19">
                  <c:v>Black Rice</c:v>
                </c:pt>
                <c:pt idx="20">
                  <c:v>Tilapia</c:v>
                </c:pt>
                <c:pt idx="21">
                  <c:v>Robusta Coffee</c:v>
                </c:pt>
                <c:pt idx="22">
                  <c:v>Sesame Oil</c:v>
                </c:pt>
                <c:pt idx="23">
                  <c:v>Grapes</c:v>
                </c:pt>
                <c:pt idx="24">
                  <c:v>Blueberries</c:v>
                </c:pt>
                <c:pt idx="25">
                  <c:v>Cod</c:v>
                </c:pt>
                <c:pt idx="26">
                  <c:v>Almond Flour</c:v>
                </c:pt>
                <c:pt idx="27">
                  <c:v>Jasmine Rice</c:v>
                </c:pt>
                <c:pt idx="28">
                  <c:v>Cheese</c:v>
                </c:pt>
                <c:pt idx="29">
                  <c:v>Mushrooms</c:v>
                </c:pt>
                <c:pt idx="30">
                  <c:v>Avocado Oil</c:v>
                </c:pt>
                <c:pt idx="31">
                  <c:v>Bell Pepper</c:v>
                </c:pt>
                <c:pt idx="32">
                  <c:v>Ricotta Cheese</c:v>
                </c:pt>
                <c:pt idx="33">
                  <c:v>Mackerel</c:v>
                </c:pt>
                <c:pt idx="34">
                  <c:v>Chocolate Biscuit</c:v>
                </c:pt>
                <c:pt idx="35">
                  <c:v>Broccoli</c:v>
                </c:pt>
                <c:pt idx="36">
                  <c:v>Gouda Cheese</c:v>
                </c:pt>
                <c:pt idx="37">
                  <c:v>Mozzarella Cheese</c:v>
                </c:pt>
                <c:pt idx="38">
                  <c:v>Digestive Biscuit</c:v>
                </c:pt>
                <c:pt idx="39">
                  <c:v>Cabbage</c:v>
                </c:pt>
                <c:pt idx="40">
                  <c:v>Mango</c:v>
                </c:pt>
                <c:pt idx="41">
                  <c:v>Sardines</c:v>
                </c:pt>
                <c:pt idx="42">
                  <c:v>Sourdough Bread</c:v>
                </c:pt>
                <c:pt idx="43">
                  <c:v>Plum</c:v>
                </c:pt>
                <c:pt idx="44">
                  <c:v>Peach</c:v>
                </c:pt>
                <c:pt idx="45">
                  <c:v>Olive Oil</c:v>
                </c:pt>
                <c:pt idx="46">
                  <c:v>Cauliflower</c:v>
                </c:pt>
                <c:pt idx="47">
                  <c:v>Feta Cheese</c:v>
                </c:pt>
                <c:pt idx="48">
                  <c:v>Asparagus</c:v>
                </c:pt>
                <c:pt idx="49">
                  <c:v>Peanut Oil</c:v>
                </c:pt>
                <c:pt idx="50">
                  <c:v>Orange</c:v>
                </c:pt>
                <c:pt idx="51">
                  <c:v>Black Tea</c:v>
                </c:pt>
                <c:pt idx="52">
                  <c:v>Sushi Rice</c:v>
                </c:pt>
                <c:pt idx="53">
                  <c:v>Pineapple</c:v>
                </c:pt>
                <c:pt idx="54">
                  <c:v>Strawberries</c:v>
                </c:pt>
                <c:pt idx="55">
                  <c:v>Pear</c:v>
                </c:pt>
                <c:pt idx="56">
                  <c:v>Garlic</c:v>
                </c:pt>
                <c:pt idx="57">
                  <c:v>Heavy Cream</c:v>
                </c:pt>
                <c:pt idx="58">
                  <c:v>Apricot</c:v>
                </c:pt>
                <c:pt idx="59">
                  <c:v>Egg (Goose)</c:v>
                </c:pt>
                <c:pt idx="60">
                  <c:v>Watermelon</c:v>
                </c:pt>
                <c:pt idx="61">
                  <c:v>Butter Biscuit</c:v>
                </c:pt>
                <c:pt idx="62">
                  <c:v>Kiwi</c:v>
                </c:pt>
                <c:pt idx="63">
                  <c:v>Papaya</c:v>
                </c:pt>
                <c:pt idx="64">
                  <c:v>Coconut</c:v>
                </c:pt>
                <c:pt idx="65">
                  <c:v>Whipped Cream</c:v>
                </c:pt>
                <c:pt idx="66">
                  <c:v>White Bread</c:v>
                </c:pt>
                <c:pt idx="67">
                  <c:v>Egg (Turkey)</c:v>
                </c:pt>
                <c:pt idx="68">
                  <c:v>Coconut Sugar</c:v>
                </c:pt>
                <c:pt idx="69">
                  <c:v>Oatmeal Biscuit</c:v>
                </c:pt>
                <c:pt idx="70">
                  <c:v>Bread Flour</c:v>
                </c:pt>
                <c:pt idx="71">
                  <c:v>Cherry</c:v>
                </c:pt>
                <c:pt idx="72">
                  <c:v>Basmati Rice</c:v>
                </c:pt>
                <c:pt idx="73">
                  <c:v>Cottage Cheese</c:v>
                </c:pt>
                <c:pt idx="74">
                  <c:v>Rye Bread</c:v>
                </c:pt>
                <c:pt idx="75">
                  <c:v>Arborio Rice</c:v>
                </c:pt>
                <c:pt idx="76">
                  <c:v>Eggplant</c:v>
                </c:pt>
                <c:pt idx="77">
                  <c:v>Canola Oil</c:v>
                </c:pt>
                <c:pt idx="78">
                  <c:v>Multigrain Bread</c:v>
                </c:pt>
                <c:pt idx="79">
                  <c:v>Apple</c:v>
                </c:pt>
                <c:pt idx="80">
                  <c:v>Powdered Sugar</c:v>
                </c:pt>
                <c:pt idx="81">
                  <c:v>Short Grain Rice</c:v>
                </c:pt>
                <c:pt idx="82">
                  <c:v>Peas</c:v>
                </c:pt>
                <c:pt idx="83">
                  <c:v>Sour Cream</c:v>
                </c:pt>
                <c:pt idx="84">
                  <c:v>Vanilla Biscuit</c:v>
                </c:pt>
                <c:pt idx="85">
                  <c:v>Onion</c:v>
                </c:pt>
                <c:pt idx="86">
                  <c:v>Zucchini</c:v>
                </c:pt>
                <c:pt idx="87">
                  <c:v>Sunflower Oil</c:v>
                </c:pt>
                <c:pt idx="88">
                  <c:v>Coconut Oil</c:v>
                </c:pt>
                <c:pt idx="89">
                  <c:v>Corn Oil</c:v>
                </c:pt>
                <c:pt idx="90">
                  <c:v>Brown Rice</c:v>
                </c:pt>
                <c:pt idx="91">
                  <c:v>Whole Wheat Bread</c:v>
                </c:pt>
                <c:pt idx="92">
                  <c:v>Lemon</c:v>
                </c:pt>
                <c:pt idx="93">
                  <c:v>White Sugar</c:v>
                </c:pt>
                <c:pt idx="94">
                  <c:v>Cucumber</c:v>
                </c:pt>
                <c:pt idx="95">
                  <c:v>Tomato</c:v>
                </c:pt>
                <c:pt idx="96">
                  <c:v>Sweet Potato</c:v>
                </c:pt>
                <c:pt idx="97">
                  <c:v>Kale</c:v>
                </c:pt>
                <c:pt idx="98">
                  <c:v>Whole Wheat Flour</c:v>
                </c:pt>
                <c:pt idx="99">
                  <c:v>Cream</c:v>
                </c:pt>
                <c:pt idx="100">
                  <c:v>Evaporated Milk</c:v>
                </c:pt>
                <c:pt idx="101">
                  <c:v>Yogurt</c:v>
                </c:pt>
                <c:pt idx="102">
                  <c:v>Lime</c:v>
                </c:pt>
                <c:pt idx="103">
                  <c:v>Vegetable Oil</c:v>
                </c:pt>
                <c:pt idx="104">
                  <c:v>Spinach</c:v>
                </c:pt>
                <c:pt idx="105">
                  <c:v>Green Beans</c:v>
                </c:pt>
                <c:pt idx="106">
                  <c:v>Palm Oil</c:v>
                </c:pt>
                <c:pt idx="107">
                  <c:v>Rice Flour</c:v>
                </c:pt>
                <c:pt idx="108">
                  <c:v>Butter</c:v>
                </c:pt>
                <c:pt idx="109">
                  <c:v>Long Grain Rice</c:v>
                </c:pt>
                <c:pt idx="110">
                  <c:v>Buttermilk</c:v>
                </c:pt>
                <c:pt idx="111">
                  <c:v>Egg (Duck)</c:v>
                </c:pt>
                <c:pt idx="112">
                  <c:v>Carrot</c:v>
                </c:pt>
                <c:pt idx="113">
                  <c:v>White Rice</c:v>
                </c:pt>
                <c:pt idx="114">
                  <c:v>Raw Sugar</c:v>
                </c:pt>
                <c:pt idx="115">
                  <c:v>Potato</c:v>
                </c:pt>
                <c:pt idx="116">
                  <c:v>All-Purpose Flour</c:v>
                </c:pt>
                <c:pt idx="117">
                  <c:v>Egg (Quail)</c:v>
                </c:pt>
                <c:pt idx="118">
                  <c:v>Lettuce</c:v>
                </c:pt>
                <c:pt idx="119">
                  <c:v>Milk</c:v>
                </c:pt>
                <c:pt idx="120">
                  <c:v>Egg (Chicken)</c:v>
                </c:pt>
              </c:strCache>
            </c:strRef>
          </c:cat>
          <c:val>
            <c:numRef>
              <c:f>'ABC Analysis'!$I$18:$I$138</c:f>
              <c:numCache>
                <c:formatCode>0%</c:formatCode>
                <c:ptCount val="121"/>
                <c:pt idx="0">
                  <c:v>5.1250570265711101E-2</c:v>
                </c:pt>
                <c:pt idx="1">
                  <c:v>9.7626033151833908E-2</c:v>
                </c:pt>
                <c:pt idx="2">
                  <c:v>0.12870634951111237</c:v>
                </c:pt>
                <c:pt idx="3">
                  <c:v>0.15809519953185483</c:v>
                </c:pt>
                <c:pt idx="4">
                  <c:v>0.18747045554506819</c:v>
                </c:pt>
                <c:pt idx="5">
                  <c:v>0.21645357672571122</c:v>
                </c:pt>
                <c:pt idx="6">
                  <c:v>0.2397725281025605</c:v>
                </c:pt>
                <c:pt idx="7">
                  <c:v>0.2615446673235553</c:v>
                </c:pt>
                <c:pt idx="8">
                  <c:v>0.28311208311492375</c:v>
                </c:pt>
                <c:pt idx="9">
                  <c:v>0.30465335658412085</c:v>
                </c:pt>
                <c:pt idx="10">
                  <c:v>0.3261745876063199</c:v>
                </c:pt>
                <c:pt idx="11">
                  <c:v>0.34557800006239281</c:v>
                </c:pt>
                <c:pt idx="12">
                  <c:v>0.36354271338830213</c:v>
                </c:pt>
                <c:pt idx="13">
                  <c:v>0.38114927690046385</c:v>
                </c:pt>
                <c:pt idx="14">
                  <c:v>0.39827540262516531</c:v>
                </c:pt>
                <c:pt idx="15">
                  <c:v>0.4152156273922038</c:v>
                </c:pt>
                <c:pt idx="16">
                  <c:v>0.43146482344317949</c:v>
                </c:pt>
                <c:pt idx="17">
                  <c:v>0.44632934782981237</c:v>
                </c:pt>
                <c:pt idx="18">
                  <c:v>0.46028353846438935</c:v>
                </c:pt>
                <c:pt idx="19">
                  <c:v>0.47356340242206851</c:v>
                </c:pt>
                <c:pt idx="20">
                  <c:v>0.48630923683183619</c:v>
                </c:pt>
                <c:pt idx="21">
                  <c:v>0.49846251193905311</c:v>
                </c:pt>
                <c:pt idx="22">
                  <c:v>0.51058383531917173</c:v>
                </c:pt>
                <c:pt idx="23">
                  <c:v>0.52267756402588728</c:v>
                </c:pt>
                <c:pt idx="24">
                  <c:v>0.53470303222471094</c:v>
                </c:pt>
                <c:pt idx="25">
                  <c:v>0.54611270350127594</c:v>
                </c:pt>
                <c:pt idx="26">
                  <c:v>0.5572885462295305</c:v>
                </c:pt>
                <c:pt idx="27">
                  <c:v>0.56824363157056024</c:v>
                </c:pt>
                <c:pt idx="28">
                  <c:v>0.57904796285373517</c:v>
                </c:pt>
                <c:pt idx="29">
                  <c:v>0.58939683679063581</c:v>
                </c:pt>
                <c:pt idx="30">
                  <c:v>0.59965043648673422</c:v>
                </c:pt>
                <c:pt idx="31">
                  <c:v>0.60890075195194526</c:v>
                </c:pt>
                <c:pt idx="32">
                  <c:v>0.61795470953062481</c:v>
                </c:pt>
                <c:pt idx="33">
                  <c:v>0.62671238745802893</c:v>
                </c:pt>
                <c:pt idx="34">
                  <c:v>0.635397447823846</c:v>
                </c:pt>
                <c:pt idx="35">
                  <c:v>0.64383270377780344</c:v>
                </c:pt>
                <c:pt idx="36">
                  <c:v>0.65218953276524683</c:v>
                </c:pt>
                <c:pt idx="37">
                  <c:v>0.66051295767436013</c:v>
                </c:pt>
                <c:pt idx="38">
                  <c:v>0.66859964933269955</c:v>
                </c:pt>
                <c:pt idx="39">
                  <c:v>0.67659571427417819</c:v>
                </c:pt>
                <c:pt idx="40">
                  <c:v>0.68447820534933468</c:v>
                </c:pt>
                <c:pt idx="41">
                  <c:v>0.69188519663121884</c:v>
                </c:pt>
                <c:pt idx="42">
                  <c:v>0.69923089869112343</c:v>
                </c:pt>
                <c:pt idx="43">
                  <c:v>0.7062490955482702</c:v>
                </c:pt>
                <c:pt idx="44">
                  <c:v>0.71326685670004741</c:v>
                </c:pt>
                <c:pt idx="45">
                  <c:v>0.71997671939069541</c:v>
                </c:pt>
                <c:pt idx="46">
                  <c:v>0.72662691949274338</c:v>
                </c:pt>
                <c:pt idx="47">
                  <c:v>0.73321478467992507</c:v>
                </c:pt>
                <c:pt idx="48">
                  <c:v>0.73973787500217103</c:v>
                </c:pt>
                <c:pt idx="49">
                  <c:v>0.7462327897105212</c:v>
                </c:pt>
                <c:pt idx="50">
                  <c:v>0.75259873562949264</c:v>
                </c:pt>
                <c:pt idx="51">
                  <c:v>0.75882293206824614</c:v>
                </c:pt>
                <c:pt idx="52">
                  <c:v>0.76497770611812232</c:v>
                </c:pt>
                <c:pt idx="53">
                  <c:v>0.77110328790824045</c:v>
                </c:pt>
                <c:pt idx="54">
                  <c:v>0.77710207943582754</c:v>
                </c:pt>
                <c:pt idx="55">
                  <c:v>0.78302302493739329</c:v>
                </c:pt>
                <c:pt idx="56">
                  <c:v>0.78879757343479939</c:v>
                </c:pt>
                <c:pt idx="57">
                  <c:v>0.79450676612677718</c:v>
                </c:pt>
                <c:pt idx="58">
                  <c:v>0.80014188890593607</c:v>
                </c:pt>
                <c:pt idx="59">
                  <c:v>0.80570061801030535</c:v>
                </c:pt>
                <c:pt idx="60">
                  <c:v>0.81121664798846138</c:v>
                </c:pt>
                <c:pt idx="61">
                  <c:v>0.81658453814097975</c:v>
                </c:pt>
                <c:pt idx="62">
                  <c:v>0.82182491185535123</c:v>
                </c:pt>
                <c:pt idx="63">
                  <c:v>0.82673676372110261</c:v>
                </c:pt>
                <c:pt idx="64">
                  <c:v>0.83163118737207309</c:v>
                </c:pt>
                <c:pt idx="65">
                  <c:v>0.83649046412323547</c:v>
                </c:pt>
                <c:pt idx="66">
                  <c:v>0.84103632347858792</c:v>
                </c:pt>
                <c:pt idx="67">
                  <c:v>0.84552466972516338</c:v>
                </c:pt>
                <c:pt idx="68">
                  <c:v>0.85001243503124613</c:v>
                </c:pt>
                <c:pt idx="69">
                  <c:v>0.85439853575110691</c:v>
                </c:pt>
                <c:pt idx="70">
                  <c:v>0.85876430355372335</c:v>
                </c:pt>
                <c:pt idx="71">
                  <c:v>0.86310973843909533</c:v>
                </c:pt>
                <c:pt idx="72">
                  <c:v>0.8672322374103949</c:v>
                </c:pt>
                <c:pt idx="73">
                  <c:v>0.87134820080115172</c:v>
                </c:pt>
                <c:pt idx="74">
                  <c:v>0.8754624213704304</c:v>
                </c:pt>
                <c:pt idx="75">
                  <c:v>0.87948833898481915</c:v>
                </c:pt>
                <c:pt idx="76">
                  <c:v>0.8834445437400843</c:v>
                </c:pt>
                <c:pt idx="77">
                  <c:v>0.88739958661436402</c:v>
                </c:pt>
                <c:pt idx="78">
                  <c:v>0.89129188791543257</c:v>
                </c:pt>
                <c:pt idx="79">
                  <c:v>0.89509414344013305</c:v>
                </c:pt>
                <c:pt idx="80">
                  <c:v>0.89887751839882091</c:v>
                </c:pt>
                <c:pt idx="81">
                  <c:v>0.90252001528802983</c:v>
                </c:pt>
                <c:pt idx="82">
                  <c:v>0.9061015134255056</c:v>
                </c:pt>
                <c:pt idx="83">
                  <c:v>0.90962346516247994</c:v>
                </c:pt>
                <c:pt idx="84">
                  <c:v>0.91313815514329555</c:v>
                </c:pt>
                <c:pt idx="85">
                  <c:v>0.91660636988469546</c:v>
                </c:pt>
                <c:pt idx="86">
                  <c:v>0.92007022757240009</c:v>
                </c:pt>
                <c:pt idx="87">
                  <c:v>0.92349777647931119</c:v>
                </c:pt>
                <c:pt idx="88">
                  <c:v>0.92691080187390484</c:v>
                </c:pt>
                <c:pt idx="89">
                  <c:v>0.93030204200002242</c:v>
                </c:pt>
                <c:pt idx="90">
                  <c:v>0.93368602036998127</c:v>
                </c:pt>
                <c:pt idx="91">
                  <c:v>0.93706128463254967</c:v>
                </c:pt>
                <c:pt idx="92">
                  <c:v>0.94040968039733086</c:v>
                </c:pt>
                <c:pt idx="93">
                  <c:v>0.94375008823033746</c:v>
                </c:pt>
                <c:pt idx="94">
                  <c:v>0.94698926718249166</c:v>
                </c:pt>
                <c:pt idx="95">
                  <c:v>0.95007551354994335</c:v>
                </c:pt>
                <c:pt idx="96">
                  <c:v>0.95306154768240492</c:v>
                </c:pt>
                <c:pt idx="97">
                  <c:v>0.95597786895574277</c:v>
                </c:pt>
                <c:pt idx="98">
                  <c:v>0.9588899784105086</c:v>
                </c:pt>
                <c:pt idx="99">
                  <c:v>0.96167021437343225</c:v>
                </c:pt>
                <c:pt idx="100">
                  <c:v>0.96444246240458131</c:v>
                </c:pt>
                <c:pt idx="101">
                  <c:v>0.96705335421388383</c:v>
                </c:pt>
                <c:pt idx="102">
                  <c:v>0.96962023978086465</c:v>
                </c:pt>
                <c:pt idx="103">
                  <c:v>0.97214733092409567</c:v>
                </c:pt>
                <c:pt idx="104">
                  <c:v>0.9746699778725576</c:v>
                </c:pt>
                <c:pt idx="105">
                  <c:v>0.97714449390119962</c:v>
                </c:pt>
                <c:pt idx="106">
                  <c:v>0.97958095832756997</c:v>
                </c:pt>
                <c:pt idx="107">
                  <c:v>0.98199767077718858</c:v>
                </c:pt>
                <c:pt idx="108">
                  <c:v>0.98436151764197188</c:v>
                </c:pt>
                <c:pt idx="109">
                  <c:v>0.98671868369108917</c:v>
                </c:pt>
                <c:pt idx="110">
                  <c:v>0.98894354054299471</c:v>
                </c:pt>
                <c:pt idx="111">
                  <c:v>0.99062826797181547</c:v>
                </c:pt>
                <c:pt idx="112">
                  <c:v>0.99229934329905778</c:v>
                </c:pt>
                <c:pt idx="113">
                  <c:v>0.99369011483857395</c:v>
                </c:pt>
                <c:pt idx="114">
                  <c:v>0.99491008987323726</c:v>
                </c:pt>
                <c:pt idx="115">
                  <c:v>0.99601503869034658</c:v>
                </c:pt>
                <c:pt idx="116">
                  <c:v>0.99702151809394379</c:v>
                </c:pt>
                <c:pt idx="117">
                  <c:v>0.99800214564561596</c:v>
                </c:pt>
                <c:pt idx="118">
                  <c:v>0.99896650686349264</c:v>
                </c:pt>
                <c:pt idx="119">
                  <c:v>0.99970255846773948</c:v>
                </c:pt>
                <c:pt idx="120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C-4829-A6C5-DCAB4AA8C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438416"/>
        <c:axId val="235437456"/>
      </c:lineChart>
      <c:catAx>
        <c:axId val="22544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74736"/>
        <c:crosses val="autoZero"/>
        <c:auto val="1"/>
        <c:lblAlgn val="ctr"/>
        <c:lblOffset val="100"/>
        <c:noMultiLvlLbl val="0"/>
      </c:catAx>
      <c:valAx>
        <c:axId val="233974736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45504"/>
        <c:crosses val="autoZero"/>
        <c:crossBetween val="between"/>
      </c:valAx>
      <c:valAx>
        <c:axId val="23543745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438416"/>
        <c:crosses val="max"/>
        <c:crossBetween val="between"/>
      </c:valAx>
      <c:catAx>
        <c:axId val="235438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5437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'ABC Analysis'!$F$144</c:f>
              <c:strCache>
                <c:ptCount val="1"/>
                <c:pt idx="0">
                  <c:v>Annual $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'ABC Analysis'!$E$145:$E$233</c:f>
            </c:multiLvlStrRef>
          </c:cat>
          <c:val>
            <c:numRef>
              <c:f>'ABC Analysis'!$F$145:$F$233</c:f>
            </c:numRef>
          </c:val>
          <c:extLst>
            <c:ext xmlns:c16="http://schemas.microsoft.com/office/drawing/2014/chart" uri="{C3380CC4-5D6E-409C-BE32-E72D297353CC}">
              <c16:uniqueId val="{00000000-6BCA-4B87-B4D7-D90EC4098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4527808"/>
        <c:axId val="224529728"/>
      </c:barChart>
      <c:lineChart>
        <c:grouping val="standard"/>
        <c:varyColors val="0"/>
        <c:ser>
          <c:idx val="1"/>
          <c:order val="1"/>
          <c:tx>
            <c:strRef>
              <c:f>'ABC Analysis'!$I$144</c:f>
              <c:strCache>
                <c:ptCount val="1"/>
                <c:pt idx="0">
                  <c:v>Cum % Annual $ Usage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'ABC Analysis'!$E$145:$E$233</c:f>
            </c:multiLvlStrRef>
          </c:cat>
          <c:val>
            <c:numRef>
              <c:f>'ABC Analysis'!$I$145:$I$233</c:f>
            </c:numRef>
          </c:val>
          <c:smooth val="0"/>
          <c:extLst>
            <c:ext xmlns:c16="http://schemas.microsoft.com/office/drawing/2014/chart" uri="{C3380CC4-5D6E-409C-BE32-E72D297353CC}">
              <c16:uniqueId val="{00000001-6BCA-4B87-B4D7-D90EC4098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470448"/>
        <c:axId val="261470928"/>
      </c:lineChart>
      <c:catAx>
        <c:axId val="22452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29728"/>
        <c:crosses val="autoZero"/>
        <c:auto val="1"/>
        <c:lblAlgn val="ctr"/>
        <c:lblOffset val="100"/>
        <c:noMultiLvlLbl val="0"/>
      </c:catAx>
      <c:valAx>
        <c:axId val="224529728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27808"/>
        <c:crosses val="autoZero"/>
        <c:crossBetween val="between"/>
      </c:valAx>
      <c:valAx>
        <c:axId val="261470928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470448"/>
        <c:crosses val="max"/>
        <c:crossBetween val="between"/>
      </c:valAx>
      <c:catAx>
        <c:axId val="26147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1470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'ABC Analysis'!$F$239</c:f>
              <c:strCache>
                <c:ptCount val="1"/>
                <c:pt idx="0">
                  <c:v>Annual $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'ABC Analysis'!$E$240:$E$360</c:f>
            </c:multiLvlStrRef>
          </c:cat>
          <c:val>
            <c:numRef>
              <c:f>'ABC Analysis'!$F$240:$F$360</c:f>
            </c:numRef>
          </c:val>
          <c:extLst>
            <c:ext xmlns:c16="http://schemas.microsoft.com/office/drawing/2014/chart" uri="{C3380CC4-5D6E-409C-BE32-E72D297353CC}">
              <c16:uniqueId val="{00000000-003C-4E0E-829D-3DA917F95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0084352"/>
        <c:axId val="260084832"/>
      </c:barChart>
      <c:lineChart>
        <c:grouping val="standard"/>
        <c:varyColors val="0"/>
        <c:ser>
          <c:idx val="1"/>
          <c:order val="1"/>
          <c:tx>
            <c:strRef>
              <c:f>'ABC Analysis'!$I$239</c:f>
              <c:strCache>
                <c:ptCount val="1"/>
                <c:pt idx="0">
                  <c:v>Cum % Annual $ Usage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'ABC Analysis'!$E$240:$E$360</c:f>
            </c:multiLvlStrRef>
          </c:cat>
          <c:val>
            <c:numRef>
              <c:f>'ABC Analysis'!$I$240:$I$360</c:f>
            </c:numRef>
          </c:val>
          <c:smooth val="0"/>
          <c:extLst>
            <c:ext xmlns:c16="http://schemas.microsoft.com/office/drawing/2014/chart" uri="{C3380CC4-5D6E-409C-BE32-E72D297353CC}">
              <c16:uniqueId val="{00000001-003C-4E0E-829D-3DA917F95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378288"/>
        <c:axId val="222376848"/>
      </c:lineChart>
      <c:catAx>
        <c:axId val="26008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84832"/>
        <c:crosses val="autoZero"/>
        <c:auto val="1"/>
        <c:lblAlgn val="ctr"/>
        <c:lblOffset val="100"/>
        <c:noMultiLvlLbl val="0"/>
      </c:catAx>
      <c:valAx>
        <c:axId val="260084832"/>
        <c:scaling>
          <c:orientation val="minMax"/>
          <c:max val="1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84352"/>
        <c:crosses val="autoZero"/>
        <c:crossBetween val="between"/>
      </c:valAx>
      <c:valAx>
        <c:axId val="222376848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78288"/>
        <c:crosses val="max"/>
        <c:crossBetween val="between"/>
      </c:valAx>
      <c:catAx>
        <c:axId val="222378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2376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Items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241484045899953"/>
          <c:y val="0.29849652162816942"/>
          <c:w val="0.50572867731495985"/>
          <c:h val="0.6488563953262122"/>
        </c:manualLayout>
      </c:layout>
      <c:doughnutChart>
        <c:varyColors val="1"/>
        <c:ser>
          <c:idx val="0"/>
          <c:order val="0"/>
          <c:tx>
            <c:strRef>
              <c:f>'ABC Analysis'!$P$38</c:f>
              <c:strCache>
                <c:ptCount val="1"/>
                <c:pt idx="0">
                  <c:v>Total Items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DAB-4537-8220-EE4582208AEA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DAB-4537-8220-EE4582208AEA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DAB-4537-8220-EE4582208AEA}"/>
              </c:ext>
            </c:extLst>
          </c:dPt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CDAB-4537-8220-EE4582208A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'ABC Analysis'!$O$39:$O$41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'ABC Analysis'!$P$39:$P$41</c:f>
              <c:numCache>
                <c:formatCode>General</c:formatCode>
                <c:ptCount val="3"/>
                <c:pt idx="0">
                  <c:v>58</c:v>
                </c:pt>
                <c:pt idx="1">
                  <c:v>37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F-4B09-BC58-B24993282A4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Reduction</a:t>
            </a:r>
            <a:r>
              <a:rPr lang="en-US" baseline="0"/>
              <a:t> using EOQ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EOQ!$P$6</c:f>
              <c:strCache>
                <c:ptCount val="1"/>
                <c:pt idx="0">
                  <c:v>TC (ROQ)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EOQ!$G$7:$G$125</c:f>
              <c:strCache>
                <c:ptCount val="58"/>
                <c:pt idx="0">
                  <c:v>Arabica Coffee</c:v>
                </c:pt>
                <c:pt idx="1">
                  <c:v>White Tea</c:v>
                </c:pt>
                <c:pt idx="2">
                  <c:v>Halibut</c:v>
                </c:pt>
                <c:pt idx="3">
                  <c:v>Banana</c:v>
                </c:pt>
                <c:pt idx="4">
                  <c:v>Herbal Tea</c:v>
                </c:pt>
                <c:pt idx="5">
                  <c:v>Black Coffee</c:v>
                </c:pt>
                <c:pt idx="6">
                  <c:v>Haddock</c:v>
                </c:pt>
                <c:pt idx="7">
                  <c:v>Greek Yogurt</c:v>
                </c:pt>
                <c:pt idx="8">
                  <c:v>Salmon</c:v>
                </c:pt>
                <c:pt idx="9">
                  <c:v>Tuna</c:v>
                </c:pt>
                <c:pt idx="10">
                  <c:v>Trout</c:v>
                </c:pt>
                <c:pt idx="11">
                  <c:v>Anchovies</c:v>
                </c:pt>
                <c:pt idx="12">
                  <c:v>Parmesan Cheese</c:v>
                </c:pt>
                <c:pt idx="13">
                  <c:v>Cheddar Cheese</c:v>
                </c:pt>
                <c:pt idx="14">
                  <c:v>Green Coffee</c:v>
                </c:pt>
                <c:pt idx="15">
                  <c:v>Pomegranate</c:v>
                </c:pt>
                <c:pt idx="16">
                  <c:v>Green Tea</c:v>
                </c:pt>
                <c:pt idx="17">
                  <c:v>Swiss Cheese</c:v>
                </c:pt>
                <c:pt idx="18">
                  <c:v>Wild Rice</c:v>
                </c:pt>
                <c:pt idx="19">
                  <c:v>Black Rice</c:v>
                </c:pt>
                <c:pt idx="20">
                  <c:v>Tilapia</c:v>
                </c:pt>
                <c:pt idx="21">
                  <c:v>Robusta Coffee</c:v>
                </c:pt>
                <c:pt idx="22">
                  <c:v>Sesame Oil</c:v>
                </c:pt>
                <c:pt idx="23">
                  <c:v>Grapes</c:v>
                </c:pt>
                <c:pt idx="24">
                  <c:v>Blueberries</c:v>
                </c:pt>
                <c:pt idx="25">
                  <c:v>Cod</c:v>
                </c:pt>
                <c:pt idx="26">
                  <c:v>Almond Flour</c:v>
                </c:pt>
                <c:pt idx="27">
                  <c:v>Jasmine Rice</c:v>
                </c:pt>
                <c:pt idx="28">
                  <c:v>Cheese</c:v>
                </c:pt>
                <c:pt idx="29">
                  <c:v>Mushrooms</c:v>
                </c:pt>
                <c:pt idx="30">
                  <c:v>Avocado Oil</c:v>
                </c:pt>
                <c:pt idx="31">
                  <c:v>Bell Pepper</c:v>
                </c:pt>
                <c:pt idx="32">
                  <c:v>Ricotta Cheese</c:v>
                </c:pt>
                <c:pt idx="33">
                  <c:v>Mackerel</c:v>
                </c:pt>
                <c:pt idx="34">
                  <c:v>Chocolate Biscuit</c:v>
                </c:pt>
                <c:pt idx="35">
                  <c:v>Broccoli</c:v>
                </c:pt>
                <c:pt idx="36">
                  <c:v>Gouda Cheese</c:v>
                </c:pt>
                <c:pt idx="37">
                  <c:v>Mozzarella Cheese</c:v>
                </c:pt>
                <c:pt idx="38">
                  <c:v>Digestive Biscuit</c:v>
                </c:pt>
                <c:pt idx="39">
                  <c:v>Cabbage</c:v>
                </c:pt>
                <c:pt idx="40">
                  <c:v>Mango</c:v>
                </c:pt>
                <c:pt idx="41">
                  <c:v>Sardines</c:v>
                </c:pt>
                <c:pt idx="42">
                  <c:v>Sourdough Bread</c:v>
                </c:pt>
                <c:pt idx="43">
                  <c:v>Plum</c:v>
                </c:pt>
                <c:pt idx="44">
                  <c:v>Peach</c:v>
                </c:pt>
                <c:pt idx="45">
                  <c:v>Olive Oil</c:v>
                </c:pt>
                <c:pt idx="46">
                  <c:v>Cauliflower</c:v>
                </c:pt>
                <c:pt idx="47">
                  <c:v>Feta Cheese</c:v>
                </c:pt>
                <c:pt idx="48">
                  <c:v>Asparagus</c:v>
                </c:pt>
                <c:pt idx="49">
                  <c:v>Peanut Oil</c:v>
                </c:pt>
                <c:pt idx="50">
                  <c:v>Orange</c:v>
                </c:pt>
                <c:pt idx="51">
                  <c:v>Black Tea</c:v>
                </c:pt>
                <c:pt idx="52">
                  <c:v>Sushi Rice</c:v>
                </c:pt>
                <c:pt idx="53">
                  <c:v>Pineapple</c:v>
                </c:pt>
                <c:pt idx="54">
                  <c:v>Strawberries</c:v>
                </c:pt>
                <c:pt idx="55">
                  <c:v>Pear</c:v>
                </c:pt>
                <c:pt idx="56">
                  <c:v>Garlic</c:v>
                </c:pt>
                <c:pt idx="57">
                  <c:v>Heavy Cream</c:v>
                </c:pt>
              </c:strCache>
            </c:strRef>
          </c:cat>
          <c:val>
            <c:numRef>
              <c:f>EOQ!$P$7:$P$125</c:f>
              <c:numCache>
                <c:formatCode>_("$"* #,##0.00_);_("$"* \(#,##0.00\);_("$"* "-"??_);_(@_)</c:formatCode>
                <c:ptCount val="58"/>
                <c:pt idx="0">
                  <c:v>395.81429521276607</c:v>
                </c:pt>
                <c:pt idx="1">
                  <c:v>384.1065000000001</c:v>
                </c:pt>
                <c:pt idx="2">
                  <c:v>262.28571428571428</c:v>
                </c:pt>
                <c:pt idx="3">
                  <c:v>424.13836206896553</c:v>
                </c:pt>
                <c:pt idx="4">
                  <c:v>315.74277777777775</c:v>
                </c:pt>
                <c:pt idx="5">
                  <c:v>243.14582608695656</c:v>
                </c:pt>
                <c:pt idx="6">
                  <c:v>161.95423728813563</c:v>
                </c:pt>
                <c:pt idx="7">
                  <c:v>175.61968085106386</c:v>
                </c:pt>
                <c:pt idx="8">
                  <c:v>210.80769230769229</c:v>
                </c:pt>
                <c:pt idx="9">
                  <c:v>209.64705882352945</c:v>
                </c:pt>
                <c:pt idx="10">
                  <c:v>167.65932432432436</c:v>
                </c:pt>
                <c:pt idx="11">
                  <c:v>149.57627118644069</c:v>
                </c:pt>
                <c:pt idx="12">
                  <c:v>154.1345901639344</c:v>
                </c:pt>
                <c:pt idx="13">
                  <c:v>139.08833962264154</c:v>
                </c:pt>
                <c:pt idx="14">
                  <c:v>152.08214285714286</c:v>
                </c:pt>
                <c:pt idx="15">
                  <c:v>148.29729729729726</c:v>
                </c:pt>
                <c:pt idx="16">
                  <c:v>122.7132</c:v>
                </c:pt>
                <c:pt idx="17">
                  <c:v>123.75449999999999</c:v>
                </c:pt>
                <c:pt idx="18">
                  <c:v>127.86250000000001</c:v>
                </c:pt>
                <c:pt idx="19">
                  <c:v>95.918333333333337</c:v>
                </c:pt>
                <c:pt idx="20">
                  <c:v>108.23869565217392</c:v>
                </c:pt>
                <c:pt idx="21">
                  <c:v>118.17</c:v>
                </c:pt>
                <c:pt idx="22">
                  <c:v>98.000000000000028</c:v>
                </c:pt>
                <c:pt idx="23">
                  <c:v>88.15327868852458</c:v>
                </c:pt>
                <c:pt idx="24">
                  <c:v>115.94117647058823</c:v>
                </c:pt>
                <c:pt idx="25">
                  <c:v>107.47906976744187</c:v>
                </c:pt>
                <c:pt idx="26">
                  <c:v>108.15</c:v>
                </c:pt>
                <c:pt idx="27">
                  <c:v>78.786666666666648</c:v>
                </c:pt>
                <c:pt idx="28">
                  <c:v>114.30451737451737</c:v>
                </c:pt>
                <c:pt idx="29">
                  <c:v>90.202445652173921</c:v>
                </c:pt>
                <c:pt idx="30">
                  <c:v>107.08510638297872</c:v>
                </c:pt>
                <c:pt idx="31">
                  <c:v>75.309991134751797</c:v>
                </c:pt>
                <c:pt idx="32">
                  <c:v>78.61209876543208</c:v>
                </c:pt>
                <c:pt idx="33">
                  <c:v>85.384615384615387</c:v>
                </c:pt>
                <c:pt idx="34">
                  <c:v>69.176470588235304</c:v>
                </c:pt>
                <c:pt idx="35">
                  <c:v>64.239999999999995</c:v>
                </c:pt>
                <c:pt idx="36">
                  <c:v>80.829411764705895</c:v>
                </c:pt>
                <c:pt idx="37">
                  <c:v>85.012369337979095</c:v>
                </c:pt>
                <c:pt idx="38">
                  <c:v>62.844444444444434</c:v>
                </c:pt>
                <c:pt idx="39">
                  <c:v>109.02283430232558</c:v>
                </c:pt>
                <c:pt idx="40">
                  <c:v>76.790098280098306</c:v>
                </c:pt>
                <c:pt idx="41">
                  <c:v>72.333333333333357</c:v>
                </c:pt>
                <c:pt idx="42">
                  <c:v>58.944590163934421</c:v>
                </c:pt>
                <c:pt idx="43">
                  <c:v>56.198965517241376</c:v>
                </c:pt>
                <c:pt idx="44">
                  <c:v>57.969230769230762</c:v>
                </c:pt>
                <c:pt idx="45">
                  <c:v>68.066666666666677</c:v>
                </c:pt>
                <c:pt idx="46">
                  <c:v>49.354512418300665</c:v>
                </c:pt>
                <c:pt idx="47">
                  <c:v>72.295348837209303</c:v>
                </c:pt>
                <c:pt idx="48">
                  <c:v>61.611413043478265</c:v>
                </c:pt>
                <c:pt idx="49">
                  <c:v>58.25454545454545</c:v>
                </c:pt>
                <c:pt idx="50">
                  <c:v>48.735900514579754</c:v>
                </c:pt>
                <c:pt idx="51">
                  <c:v>59.4</c:v>
                </c:pt>
                <c:pt idx="52">
                  <c:v>55.735440000000004</c:v>
                </c:pt>
                <c:pt idx="53">
                  <c:v>54.86385714285715</c:v>
                </c:pt>
                <c:pt idx="54">
                  <c:v>63.124166666666682</c:v>
                </c:pt>
                <c:pt idx="55">
                  <c:v>55.512592592592611</c:v>
                </c:pt>
                <c:pt idx="56">
                  <c:v>67.086046511627913</c:v>
                </c:pt>
                <c:pt idx="57">
                  <c:v>50.810317460317464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1-4717-BBCB-39A6BF9CB6F7}"/>
            </c:ext>
          </c:extLst>
        </c:ser>
        <c:ser>
          <c:idx val="1"/>
          <c:order val="1"/>
          <c:tx>
            <c:strRef>
              <c:f>EOQ!$Q$6</c:f>
              <c:strCache>
                <c:ptCount val="1"/>
                <c:pt idx="0">
                  <c:v>TC (EOQ)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EOQ!$G$7:$G$125</c:f>
              <c:strCache>
                <c:ptCount val="58"/>
                <c:pt idx="0">
                  <c:v>Arabica Coffee</c:v>
                </c:pt>
                <c:pt idx="1">
                  <c:v>White Tea</c:v>
                </c:pt>
                <c:pt idx="2">
                  <c:v>Halibut</c:v>
                </c:pt>
                <c:pt idx="3">
                  <c:v>Banana</c:v>
                </c:pt>
                <c:pt idx="4">
                  <c:v>Herbal Tea</c:v>
                </c:pt>
                <c:pt idx="5">
                  <c:v>Black Coffee</c:v>
                </c:pt>
                <c:pt idx="6">
                  <c:v>Haddock</c:v>
                </c:pt>
                <c:pt idx="7">
                  <c:v>Greek Yogurt</c:v>
                </c:pt>
                <c:pt idx="8">
                  <c:v>Salmon</c:v>
                </c:pt>
                <c:pt idx="9">
                  <c:v>Tuna</c:v>
                </c:pt>
                <c:pt idx="10">
                  <c:v>Trout</c:v>
                </c:pt>
                <c:pt idx="11">
                  <c:v>Anchovies</c:v>
                </c:pt>
                <c:pt idx="12">
                  <c:v>Parmesan Cheese</c:v>
                </c:pt>
                <c:pt idx="13">
                  <c:v>Cheddar Cheese</c:v>
                </c:pt>
                <c:pt idx="14">
                  <c:v>Green Coffee</c:v>
                </c:pt>
                <c:pt idx="15">
                  <c:v>Pomegranate</c:v>
                </c:pt>
                <c:pt idx="16">
                  <c:v>Green Tea</c:v>
                </c:pt>
                <c:pt idx="17">
                  <c:v>Swiss Cheese</c:v>
                </c:pt>
                <c:pt idx="18">
                  <c:v>Wild Rice</c:v>
                </c:pt>
                <c:pt idx="19">
                  <c:v>Black Rice</c:v>
                </c:pt>
                <c:pt idx="20">
                  <c:v>Tilapia</c:v>
                </c:pt>
                <c:pt idx="21">
                  <c:v>Robusta Coffee</c:v>
                </c:pt>
                <c:pt idx="22">
                  <c:v>Sesame Oil</c:v>
                </c:pt>
                <c:pt idx="23">
                  <c:v>Grapes</c:v>
                </c:pt>
                <c:pt idx="24">
                  <c:v>Blueberries</c:v>
                </c:pt>
                <c:pt idx="25">
                  <c:v>Cod</c:v>
                </c:pt>
                <c:pt idx="26">
                  <c:v>Almond Flour</c:v>
                </c:pt>
                <c:pt idx="27">
                  <c:v>Jasmine Rice</c:v>
                </c:pt>
                <c:pt idx="28">
                  <c:v>Cheese</c:v>
                </c:pt>
                <c:pt idx="29">
                  <c:v>Mushrooms</c:v>
                </c:pt>
                <c:pt idx="30">
                  <c:v>Avocado Oil</c:v>
                </c:pt>
                <c:pt idx="31">
                  <c:v>Bell Pepper</c:v>
                </c:pt>
                <c:pt idx="32">
                  <c:v>Ricotta Cheese</c:v>
                </c:pt>
                <c:pt idx="33">
                  <c:v>Mackerel</c:v>
                </c:pt>
                <c:pt idx="34">
                  <c:v>Chocolate Biscuit</c:v>
                </c:pt>
                <c:pt idx="35">
                  <c:v>Broccoli</c:v>
                </c:pt>
                <c:pt idx="36">
                  <c:v>Gouda Cheese</c:v>
                </c:pt>
                <c:pt idx="37">
                  <c:v>Mozzarella Cheese</c:v>
                </c:pt>
                <c:pt idx="38">
                  <c:v>Digestive Biscuit</c:v>
                </c:pt>
                <c:pt idx="39">
                  <c:v>Cabbage</c:v>
                </c:pt>
                <c:pt idx="40">
                  <c:v>Mango</c:v>
                </c:pt>
                <c:pt idx="41">
                  <c:v>Sardines</c:v>
                </c:pt>
                <c:pt idx="42">
                  <c:v>Sourdough Bread</c:v>
                </c:pt>
                <c:pt idx="43">
                  <c:v>Plum</c:v>
                </c:pt>
                <c:pt idx="44">
                  <c:v>Peach</c:v>
                </c:pt>
                <c:pt idx="45">
                  <c:v>Olive Oil</c:v>
                </c:pt>
                <c:pt idx="46">
                  <c:v>Cauliflower</c:v>
                </c:pt>
                <c:pt idx="47">
                  <c:v>Feta Cheese</c:v>
                </c:pt>
                <c:pt idx="48">
                  <c:v>Asparagus</c:v>
                </c:pt>
                <c:pt idx="49">
                  <c:v>Peanut Oil</c:v>
                </c:pt>
                <c:pt idx="50">
                  <c:v>Orange</c:v>
                </c:pt>
                <c:pt idx="51">
                  <c:v>Black Tea</c:v>
                </c:pt>
                <c:pt idx="52">
                  <c:v>Sushi Rice</c:v>
                </c:pt>
                <c:pt idx="53">
                  <c:v>Pineapple</c:v>
                </c:pt>
                <c:pt idx="54">
                  <c:v>Strawberries</c:v>
                </c:pt>
                <c:pt idx="55">
                  <c:v>Pear</c:v>
                </c:pt>
                <c:pt idx="56">
                  <c:v>Garlic</c:v>
                </c:pt>
                <c:pt idx="57">
                  <c:v>Heavy Cream</c:v>
                </c:pt>
              </c:strCache>
            </c:strRef>
          </c:cat>
          <c:val>
            <c:numRef>
              <c:f>EOQ!$Q$7:$Q$125</c:f>
              <c:numCache>
                <c:formatCode>_("$"* #,##0.00_);_("$"* \(#,##0.00\);_("$"* "-"??_);_(@_)</c:formatCode>
                <c:ptCount val="58"/>
                <c:pt idx="0">
                  <c:v>338.13101473393419</c:v>
                </c:pt>
                <c:pt idx="1">
                  <c:v>358.43047768849124</c:v>
                </c:pt>
                <c:pt idx="2">
                  <c:v>261.68683574073805</c:v>
                </c:pt>
                <c:pt idx="3">
                  <c:v>411.60231881028074</c:v>
                </c:pt>
                <c:pt idx="4">
                  <c:v>312.73292119634607</c:v>
                </c:pt>
                <c:pt idx="5">
                  <c:v>219.63078997262659</c:v>
                </c:pt>
                <c:pt idx="6">
                  <c:v>152.05472698998875</c:v>
                </c:pt>
                <c:pt idx="7">
                  <c:v>173.10996858785978</c:v>
                </c:pt>
                <c:pt idx="8">
                  <c:v>188.7855926706273</c:v>
                </c:pt>
                <c:pt idx="9">
                  <c:v>206.67888135946549</c:v>
                </c:pt>
                <c:pt idx="10">
                  <c:v>167.49810924305984</c:v>
                </c:pt>
                <c:pt idx="11">
                  <c:v>146.20533505997651</c:v>
                </c:pt>
                <c:pt idx="12">
                  <c:v>153.91943289338815</c:v>
                </c:pt>
                <c:pt idx="13">
                  <c:v>131.97850734115769</c:v>
                </c:pt>
                <c:pt idx="14">
                  <c:v>151.208035500763</c:v>
                </c:pt>
                <c:pt idx="15">
                  <c:v>105.81795688823328</c:v>
                </c:pt>
                <c:pt idx="16">
                  <c:v>119.79704156614218</c:v>
                </c:pt>
                <c:pt idx="17">
                  <c:v>114.5401992664584</c:v>
                </c:pt>
                <c:pt idx="18">
                  <c:v>123.67297602952718</c:v>
                </c:pt>
                <c:pt idx="19">
                  <c:v>94.829987873035194</c:v>
                </c:pt>
                <c:pt idx="20">
                  <c:v>98.758497355923765</c:v>
                </c:pt>
                <c:pt idx="21">
                  <c:v>116.25095612510032</c:v>
                </c:pt>
                <c:pt idx="22">
                  <c:v>93.165658909278392</c:v>
                </c:pt>
                <c:pt idx="23">
                  <c:v>85.602336416712347</c:v>
                </c:pt>
                <c:pt idx="24">
                  <c:v>115.09995655950527</c:v>
                </c:pt>
                <c:pt idx="25">
                  <c:v>100.27801354235133</c:v>
                </c:pt>
                <c:pt idx="26">
                  <c:v>108.14989597775858</c:v>
                </c:pt>
                <c:pt idx="27">
                  <c:v>75.714463611650828</c:v>
                </c:pt>
                <c:pt idx="28">
                  <c:v>104.30566321917442</c:v>
                </c:pt>
                <c:pt idx="29">
                  <c:v>83.725000000000009</c:v>
                </c:pt>
                <c:pt idx="30">
                  <c:v>106.28264204469139</c:v>
                </c:pt>
                <c:pt idx="31">
                  <c:v>67.670879507609001</c:v>
                </c:pt>
                <c:pt idx="32">
                  <c:v>77.452586213186649</c:v>
                </c:pt>
                <c:pt idx="33">
                  <c:v>85.064681272546949</c:v>
                </c:pt>
                <c:pt idx="34">
                  <c:v>69.16646586316233</c:v>
                </c:pt>
                <c:pt idx="35">
                  <c:v>60.968188426424476</c:v>
                </c:pt>
                <c:pt idx="36">
                  <c:v>80.277518646256141</c:v>
                </c:pt>
                <c:pt idx="37">
                  <c:v>80.601878744498606</c:v>
                </c:pt>
                <c:pt idx="38">
                  <c:v>59.695225939768406</c:v>
                </c:pt>
                <c:pt idx="39">
                  <c:v>104.76475504672359</c:v>
                </c:pt>
                <c:pt idx="40">
                  <c:v>65.306343534032948</c:v>
                </c:pt>
                <c:pt idx="41">
                  <c:v>69.97142273814363</c:v>
                </c:pt>
                <c:pt idx="42">
                  <c:v>58.438891159911648</c:v>
                </c:pt>
                <c:pt idx="43">
                  <c:v>55.232244205717372</c:v>
                </c:pt>
                <c:pt idx="44">
                  <c:v>55.610071030344848</c:v>
                </c:pt>
                <c:pt idx="45">
                  <c:v>66.597297242455724</c:v>
                </c:pt>
                <c:pt idx="46">
                  <c:v>43.458911314686404</c:v>
                </c:pt>
                <c:pt idx="47">
                  <c:v>71.276363543603992</c:v>
                </c:pt>
                <c:pt idx="48">
                  <c:v>59.447171926005026</c:v>
                </c:pt>
                <c:pt idx="49">
                  <c:v>53.498411191361555</c:v>
                </c:pt>
                <c:pt idx="50">
                  <c:v>45.590433968339092</c:v>
                </c:pt>
                <c:pt idx="51">
                  <c:v>58.446556784809829</c:v>
                </c:pt>
                <c:pt idx="52">
                  <c:v>54.464315216479136</c:v>
                </c:pt>
                <c:pt idx="53">
                  <c:v>48.530423777255443</c:v>
                </c:pt>
                <c:pt idx="54">
                  <c:v>62.867723568351579</c:v>
                </c:pt>
                <c:pt idx="55">
                  <c:v>54.105544409075776</c:v>
                </c:pt>
                <c:pt idx="56">
                  <c:v>66.731701611752726</c:v>
                </c:pt>
                <c:pt idx="57">
                  <c:v>50.523823985556135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E1-4717-BBCB-39A6BF9CB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3201136"/>
        <c:axId val="1243203536"/>
      </c:barChart>
      <c:catAx>
        <c:axId val="124320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203536"/>
        <c:crosses val="autoZero"/>
        <c:auto val="1"/>
        <c:lblAlgn val="ctr"/>
        <c:lblOffset val="100"/>
        <c:noMultiLvlLbl val="0"/>
      </c:catAx>
      <c:valAx>
        <c:axId val="12432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20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ROQ vs EOQ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EOQ!$M$6</c:f>
              <c:strCache>
                <c:ptCount val="1"/>
                <c:pt idx="0">
                  <c:v>ROQ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EOQ!$G$7:$G$125</c:f>
              <c:strCache>
                <c:ptCount val="58"/>
                <c:pt idx="0">
                  <c:v>Arabica Coffee</c:v>
                </c:pt>
                <c:pt idx="1">
                  <c:v>White Tea</c:v>
                </c:pt>
                <c:pt idx="2">
                  <c:v>Halibut</c:v>
                </c:pt>
                <c:pt idx="3">
                  <c:v>Banana</c:v>
                </c:pt>
                <c:pt idx="4">
                  <c:v>Herbal Tea</c:v>
                </c:pt>
                <c:pt idx="5">
                  <c:v>Black Coffee</c:v>
                </c:pt>
                <c:pt idx="6">
                  <c:v>Haddock</c:v>
                </c:pt>
                <c:pt idx="7">
                  <c:v>Greek Yogurt</c:v>
                </c:pt>
                <c:pt idx="8">
                  <c:v>Salmon</c:v>
                </c:pt>
                <c:pt idx="9">
                  <c:v>Tuna</c:v>
                </c:pt>
                <c:pt idx="10">
                  <c:v>Trout</c:v>
                </c:pt>
                <c:pt idx="11">
                  <c:v>Anchovies</c:v>
                </c:pt>
                <c:pt idx="12">
                  <c:v>Parmesan Cheese</c:v>
                </c:pt>
                <c:pt idx="13">
                  <c:v>Cheddar Cheese</c:v>
                </c:pt>
                <c:pt idx="14">
                  <c:v>Green Coffee</c:v>
                </c:pt>
                <c:pt idx="15">
                  <c:v>Pomegranate</c:v>
                </c:pt>
                <c:pt idx="16">
                  <c:v>Green Tea</c:v>
                </c:pt>
                <c:pt idx="17">
                  <c:v>Swiss Cheese</c:v>
                </c:pt>
                <c:pt idx="18">
                  <c:v>Wild Rice</c:v>
                </c:pt>
                <c:pt idx="19">
                  <c:v>Black Rice</c:v>
                </c:pt>
                <c:pt idx="20">
                  <c:v>Tilapia</c:v>
                </c:pt>
                <c:pt idx="21">
                  <c:v>Robusta Coffee</c:v>
                </c:pt>
                <c:pt idx="22">
                  <c:v>Sesame Oil</c:v>
                </c:pt>
                <c:pt idx="23">
                  <c:v>Grapes</c:v>
                </c:pt>
                <c:pt idx="24">
                  <c:v>Blueberries</c:v>
                </c:pt>
                <c:pt idx="25">
                  <c:v>Cod</c:v>
                </c:pt>
                <c:pt idx="26">
                  <c:v>Almond Flour</c:v>
                </c:pt>
                <c:pt idx="27">
                  <c:v>Jasmine Rice</c:v>
                </c:pt>
                <c:pt idx="28">
                  <c:v>Cheese</c:v>
                </c:pt>
                <c:pt idx="29">
                  <c:v>Mushrooms</c:v>
                </c:pt>
                <c:pt idx="30">
                  <c:v>Avocado Oil</c:v>
                </c:pt>
                <c:pt idx="31">
                  <c:v>Bell Pepper</c:v>
                </c:pt>
                <c:pt idx="32">
                  <c:v>Ricotta Cheese</c:v>
                </c:pt>
                <c:pt idx="33">
                  <c:v>Mackerel</c:v>
                </c:pt>
                <c:pt idx="34">
                  <c:v>Chocolate Biscuit</c:v>
                </c:pt>
                <c:pt idx="35">
                  <c:v>Broccoli</c:v>
                </c:pt>
                <c:pt idx="36">
                  <c:v>Gouda Cheese</c:v>
                </c:pt>
                <c:pt idx="37">
                  <c:v>Mozzarella Cheese</c:v>
                </c:pt>
                <c:pt idx="38">
                  <c:v>Digestive Biscuit</c:v>
                </c:pt>
                <c:pt idx="39">
                  <c:v>Cabbage</c:v>
                </c:pt>
                <c:pt idx="40">
                  <c:v>Mango</c:v>
                </c:pt>
                <c:pt idx="41">
                  <c:v>Sardines</c:v>
                </c:pt>
                <c:pt idx="42">
                  <c:v>Sourdough Bread</c:v>
                </c:pt>
                <c:pt idx="43">
                  <c:v>Plum</c:v>
                </c:pt>
                <c:pt idx="44">
                  <c:v>Peach</c:v>
                </c:pt>
                <c:pt idx="45">
                  <c:v>Olive Oil</c:v>
                </c:pt>
                <c:pt idx="46">
                  <c:v>Cauliflower</c:v>
                </c:pt>
                <c:pt idx="47">
                  <c:v>Feta Cheese</c:v>
                </c:pt>
                <c:pt idx="48">
                  <c:v>Asparagus</c:v>
                </c:pt>
                <c:pt idx="49">
                  <c:v>Peanut Oil</c:v>
                </c:pt>
                <c:pt idx="50">
                  <c:v>Orange</c:v>
                </c:pt>
                <c:pt idx="51">
                  <c:v>Black Tea</c:v>
                </c:pt>
                <c:pt idx="52">
                  <c:v>Sushi Rice</c:v>
                </c:pt>
                <c:pt idx="53">
                  <c:v>Pineapple</c:v>
                </c:pt>
                <c:pt idx="54">
                  <c:v>Strawberries</c:v>
                </c:pt>
                <c:pt idx="55">
                  <c:v>Pear</c:v>
                </c:pt>
                <c:pt idx="56">
                  <c:v>Garlic</c:v>
                </c:pt>
                <c:pt idx="57">
                  <c:v>Heavy Cream</c:v>
                </c:pt>
              </c:strCache>
            </c:strRef>
          </c:cat>
          <c:val>
            <c:numRef>
              <c:f>EOQ!$M$7:$M$125</c:f>
              <c:numCache>
                <c:formatCode>_(* #,##0_);_(* \(#,##0\);_(* "-"??_);_(@_)</c:formatCode>
                <c:ptCount val="58"/>
                <c:pt idx="0">
                  <c:v>47</c:v>
                </c:pt>
                <c:pt idx="1">
                  <c:v>49</c:v>
                </c:pt>
                <c:pt idx="2">
                  <c:v>70</c:v>
                </c:pt>
                <c:pt idx="3">
                  <c:v>58</c:v>
                </c:pt>
                <c:pt idx="4">
                  <c:v>45</c:v>
                </c:pt>
                <c:pt idx="5">
                  <c:v>46</c:v>
                </c:pt>
                <c:pt idx="6">
                  <c:v>59</c:v>
                </c:pt>
                <c:pt idx="7">
                  <c:v>47</c:v>
                </c:pt>
                <c:pt idx="8">
                  <c:v>39</c:v>
                </c:pt>
                <c:pt idx="9">
                  <c:v>68</c:v>
                </c:pt>
                <c:pt idx="10">
                  <c:v>74</c:v>
                </c:pt>
                <c:pt idx="11">
                  <c:v>59</c:v>
                </c:pt>
                <c:pt idx="12">
                  <c:v>61</c:v>
                </c:pt>
                <c:pt idx="13">
                  <c:v>53</c:v>
                </c:pt>
                <c:pt idx="14">
                  <c:v>56</c:v>
                </c:pt>
                <c:pt idx="15">
                  <c:v>37</c:v>
                </c:pt>
                <c:pt idx="16">
                  <c:v>60</c:v>
                </c:pt>
                <c:pt idx="17">
                  <c:v>48</c:v>
                </c:pt>
                <c:pt idx="18">
                  <c:v>48</c:v>
                </c:pt>
                <c:pt idx="19">
                  <c:v>66</c:v>
                </c:pt>
                <c:pt idx="20">
                  <c:v>46</c:v>
                </c:pt>
                <c:pt idx="21">
                  <c:v>48</c:v>
                </c:pt>
                <c:pt idx="22">
                  <c:v>52</c:v>
                </c:pt>
                <c:pt idx="23">
                  <c:v>61</c:v>
                </c:pt>
                <c:pt idx="24">
                  <c:v>51</c:v>
                </c:pt>
                <c:pt idx="25">
                  <c:v>43</c:v>
                </c:pt>
                <c:pt idx="26">
                  <c:v>57</c:v>
                </c:pt>
                <c:pt idx="27">
                  <c:v>60</c:v>
                </c:pt>
                <c:pt idx="28">
                  <c:v>37</c:v>
                </c:pt>
                <c:pt idx="29">
                  <c:v>46</c:v>
                </c:pt>
                <c:pt idx="30">
                  <c:v>47</c:v>
                </c:pt>
                <c:pt idx="31">
                  <c:v>47</c:v>
                </c:pt>
                <c:pt idx="32">
                  <c:v>54</c:v>
                </c:pt>
                <c:pt idx="33">
                  <c:v>52</c:v>
                </c:pt>
                <c:pt idx="34">
                  <c:v>68</c:v>
                </c:pt>
                <c:pt idx="35">
                  <c:v>55</c:v>
                </c:pt>
                <c:pt idx="36">
                  <c:v>51</c:v>
                </c:pt>
                <c:pt idx="37">
                  <c:v>41</c:v>
                </c:pt>
                <c:pt idx="38">
                  <c:v>54</c:v>
                </c:pt>
                <c:pt idx="39">
                  <c:v>43</c:v>
                </c:pt>
                <c:pt idx="40">
                  <c:v>37</c:v>
                </c:pt>
                <c:pt idx="41">
                  <c:v>45</c:v>
                </c:pt>
                <c:pt idx="42">
                  <c:v>61</c:v>
                </c:pt>
                <c:pt idx="43">
                  <c:v>58</c:v>
                </c:pt>
                <c:pt idx="44">
                  <c:v>52</c:v>
                </c:pt>
                <c:pt idx="45">
                  <c:v>45</c:v>
                </c:pt>
                <c:pt idx="46">
                  <c:v>51</c:v>
                </c:pt>
                <c:pt idx="47">
                  <c:v>43</c:v>
                </c:pt>
                <c:pt idx="48">
                  <c:v>46</c:v>
                </c:pt>
                <c:pt idx="49">
                  <c:v>44</c:v>
                </c:pt>
                <c:pt idx="50">
                  <c:v>53</c:v>
                </c:pt>
                <c:pt idx="51">
                  <c:v>70</c:v>
                </c:pt>
                <c:pt idx="52">
                  <c:v>50</c:v>
                </c:pt>
                <c:pt idx="53">
                  <c:v>42</c:v>
                </c:pt>
                <c:pt idx="54">
                  <c:v>48</c:v>
                </c:pt>
                <c:pt idx="55">
                  <c:v>48</c:v>
                </c:pt>
                <c:pt idx="56">
                  <c:v>43</c:v>
                </c:pt>
                <c:pt idx="57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C-4C90-9CF7-734597CA4166}"/>
            </c:ext>
          </c:extLst>
        </c:ser>
        <c:ser>
          <c:idx val="1"/>
          <c:order val="1"/>
          <c:tx>
            <c:strRef>
              <c:f>EOQ!$N$6</c:f>
              <c:strCache>
                <c:ptCount val="1"/>
                <c:pt idx="0">
                  <c:v>EOQ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EOQ!$G$7:$G$125</c:f>
              <c:strCache>
                <c:ptCount val="58"/>
                <c:pt idx="0">
                  <c:v>Arabica Coffee</c:v>
                </c:pt>
                <c:pt idx="1">
                  <c:v>White Tea</c:v>
                </c:pt>
                <c:pt idx="2">
                  <c:v>Halibut</c:v>
                </c:pt>
                <c:pt idx="3">
                  <c:v>Banana</c:v>
                </c:pt>
                <c:pt idx="4">
                  <c:v>Herbal Tea</c:v>
                </c:pt>
                <c:pt idx="5">
                  <c:v>Black Coffee</c:v>
                </c:pt>
                <c:pt idx="6">
                  <c:v>Haddock</c:v>
                </c:pt>
                <c:pt idx="7">
                  <c:v>Greek Yogurt</c:v>
                </c:pt>
                <c:pt idx="8">
                  <c:v>Salmon</c:v>
                </c:pt>
                <c:pt idx="9">
                  <c:v>Tuna</c:v>
                </c:pt>
                <c:pt idx="10">
                  <c:v>Trout</c:v>
                </c:pt>
                <c:pt idx="11">
                  <c:v>Anchovies</c:v>
                </c:pt>
                <c:pt idx="12">
                  <c:v>Parmesan Cheese</c:v>
                </c:pt>
                <c:pt idx="13">
                  <c:v>Cheddar Cheese</c:v>
                </c:pt>
                <c:pt idx="14">
                  <c:v>Green Coffee</c:v>
                </c:pt>
                <c:pt idx="15">
                  <c:v>Pomegranate</c:v>
                </c:pt>
                <c:pt idx="16">
                  <c:v>Green Tea</c:v>
                </c:pt>
                <c:pt idx="17">
                  <c:v>Swiss Cheese</c:v>
                </c:pt>
                <c:pt idx="18">
                  <c:v>Wild Rice</c:v>
                </c:pt>
                <c:pt idx="19">
                  <c:v>Black Rice</c:v>
                </c:pt>
                <c:pt idx="20">
                  <c:v>Tilapia</c:v>
                </c:pt>
                <c:pt idx="21">
                  <c:v>Robusta Coffee</c:v>
                </c:pt>
                <c:pt idx="22">
                  <c:v>Sesame Oil</c:v>
                </c:pt>
                <c:pt idx="23">
                  <c:v>Grapes</c:v>
                </c:pt>
                <c:pt idx="24">
                  <c:v>Blueberries</c:v>
                </c:pt>
                <c:pt idx="25">
                  <c:v>Cod</c:v>
                </c:pt>
                <c:pt idx="26">
                  <c:v>Almond Flour</c:v>
                </c:pt>
                <c:pt idx="27">
                  <c:v>Jasmine Rice</c:v>
                </c:pt>
                <c:pt idx="28">
                  <c:v>Cheese</c:v>
                </c:pt>
                <c:pt idx="29">
                  <c:v>Mushrooms</c:v>
                </c:pt>
                <c:pt idx="30">
                  <c:v>Avocado Oil</c:v>
                </c:pt>
                <c:pt idx="31">
                  <c:v>Bell Pepper</c:v>
                </c:pt>
                <c:pt idx="32">
                  <c:v>Ricotta Cheese</c:v>
                </c:pt>
                <c:pt idx="33">
                  <c:v>Mackerel</c:v>
                </c:pt>
                <c:pt idx="34">
                  <c:v>Chocolate Biscuit</c:v>
                </c:pt>
                <c:pt idx="35">
                  <c:v>Broccoli</c:v>
                </c:pt>
                <c:pt idx="36">
                  <c:v>Gouda Cheese</c:v>
                </c:pt>
                <c:pt idx="37">
                  <c:v>Mozzarella Cheese</c:v>
                </c:pt>
                <c:pt idx="38">
                  <c:v>Digestive Biscuit</c:v>
                </c:pt>
                <c:pt idx="39">
                  <c:v>Cabbage</c:v>
                </c:pt>
                <c:pt idx="40">
                  <c:v>Mango</c:v>
                </c:pt>
                <c:pt idx="41">
                  <c:v>Sardines</c:v>
                </c:pt>
                <c:pt idx="42">
                  <c:v>Sourdough Bread</c:v>
                </c:pt>
                <c:pt idx="43">
                  <c:v>Plum</c:v>
                </c:pt>
                <c:pt idx="44">
                  <c:v>Peach</c:v>
                </c:pt>
                <c:pt idx="45">
                  <c:v>Olive Oil</c:v>
                </c:pt>
                <c:pt idx="46">
                  <c:v>Cauliflower</c:v>
                </c:pt>
                <c:pt idx="47">
                  <c:v>Feta Cheese</c:v>
                </c:pt>
                <c:pt idx="48">
                  <c:v>Asparagus</c:v>
                </c:pt>
                <c:pt idx="49">
                  <c:v>Peanut Oil</c:v>
                </c:pt>
                <c:pt idx="50">
                  <c:v>Orange</c:v>
                </c:pt>
                <c:pt idx="51">
                  <c:v>Black Tea</c:v>
                </c:pt>
                <c:pt idx="52">
                  <c:v>Sushi Rice</c:v>
                </c:pt>
                <c:pt idx="53">
                  <c:v>Pineapple</c:v>
                </c:pt>
                <c:pt idx="54">
                  <c:v>Strawberries</c:v>
                </c:pt>
                <c:pt idx="55">
                  <c:v>Pear</c:v>
                </c:pt>
                <c:pt idx="56">
                  <c:v>Garlic</c:v>
                </c:pt>
                <c:pt idx="57">
                  <c:v>Heavy Cream</c:v>
                </c:pt>
              </c:strCache>
            </c:strRef>
          </c:cat>
          <c:val>
            <c:numRef>
              <c:f>EOQ!$N$7:$N$125</c:f>
              <c:numCache>
                <c:formatCode>0</c:formatCode>
                <c:ptCount val="58"/>
                <c:pt idx="0">
                  <c:v>83.618179841467494</c:v>
                </c:pt>
                <c:pt idx="1">
                  <c:v>71.386273190298994</c:v>
                </c:pt>
                <c:pt idx="2">
                  <c:v>65.421708935184498</c:v>
                </c:pt>
                <c:pt idx="3">
                  <c:v>45.343136195018538</c:v>
                </c:pt>
                <c:pt idx="4">
                  <c:v>51.691391933280343</c:v>
                </c:pt>
                <c:pt idx="5">
                  <c:v>72.773621594641014</c:v>
                </c:pt>
                <c:pt idx="6">
                  <c:v>84.474848327771497</c:v>
                </c:pt>
                <c:pt idx="7">
                  <c:v>55.713553108736477</c:v>
                </c:pt>
                <c:pt idx="8">
                  <c:v>62.928530890209096</c:v>
                </c:pt>
                <c:pt idx="9">
                  <c:v>57.410800377629293</c:v>
                </c:pt>
                <c:pt idx="10">
                  <c:v>70.823724838503097</c:v>
                </c:pt>
                <c:pt idx="11">
                  <c:v>73.102667529988267</c:v>
                </c:pt>
                <c:pt idx="12">
                  <c:v>64.311740763254107</c:v>
                </c:pt>
                <c:pt idx="13">
                  <c:v>73.484692283495349</c:v>
                </c:pt>
                <c:pt idx="14">
                  <c:v>62.353829072479584</c:v>
                </c:pt>
                <c:pt idx="15">
                  <c:v>88.181630740194407</c:v>
                </c:pt>
                <c:pt idx="16">
                  <c:v>74.779676383359671</c:v>
                </c:pt>
                <c:pt idx="17">
                  <c:v>71.498251726877911</c:v>
                </c:pt>
                <c:pt idx="18">
                  <c:v>62.22539674441618</c:v>
                </c:pt>
                <c:pt idx="19">
                  <c:v>76.785415281809861</c:v>
                </c:pt>
                <c:pt idx="20">
                  <c:v>71.049278673326441</c:v>
                </c:pt>
                <c:pt idx="21">
                  <c:v>57.549978279752636</c:v>
                </c:pt>
                <c:pt idx="22">
                  <c:v>71.665891468675667</c:v>
                </c:pt>
                <c:pt idx="23">
                  <c:v>77.820305833374874</c:v>
                </c:pt>
                <c:pt idx="24">
                  <c:v>57.549978279752636</c:v>
                </c:pt>
                <c:pt idx="25">
                  <c:v>62.673758463969591</c:v>
                </c:pt>
                <c:pt idx="26">
                  <c:v>56.920997883030829</c:v>
                </c:pt>
                <c:pt idx="27">
                  <c:v>79.699435380685102</c:v>
                </c:pt>
                <c:pt idx="28">
                  <c:v>57.131427428342803</c:v>
                </c:pt>
                <c:pt idx="29">
                  <c:v>68</c:v>
                </c:pt>
                <c:pt idx="30">
                  <c:v>53.141321022345693</c:v>
                </c:pt>
                <c:pt idx="31">
                  <c:v>75.259550888907114</c:v>
                </c:pt>
                <c:pt idx="32">
                  <c:v>64.187226143524853</c:v>
                </c:pt>
                <c:pt idx="33">
                  <c:v>56.709787515031302</c:v>
                </c:pt>
                <c:pt idx="34">
                  <c:v>69.16646586316233</c:v>
                </c:pt>
                <c:pt idx="35">
                  <c:v>76.210235533030598</c:v>
                </c:pt>
                <c:pt idx="36">
                  <c:v>57.341084747325802</c:v>
                </c:pt>
                <c:pt idx="37">
                  <c:v>56.991227395100026</c:v>
                </c:pt>
                <c:pt idx="38">
                  <c:v>74.619032424710525</c:v>
                </c:pt>
                <c:pt idx="39">
                  <c:v>57.131427428342803</c:v>
                </c:pt>
                <c:pt idx="40">
                  <c:v>66.392770690791323</c:v>
                </c:pt>
                <c:pt idx="41">
                  <c:v>58.309518948453004</c:v>
                </c:pt>
                <c:pt idx="42">
                  <c:v>69.570108523704349</c:v>
                </c:pt>
                <c:pt idx="43">
                  <c:v>69.914233171794137</c:v>
                </c:pt>
                <c:pt idx="44">
                  <c:v>69.512588787931065</c:v>
                </c:pt>
                <c:pt idx="45">
                  <c:v>55.497747702046432</c:v>
                </c:pt>
                <c:pt idx="46">
                  <c:v>85.369783881652182</c:v>
                </c:pt>
                <c:pt idx="47">
                  <c:v>50.911688245431421</c:v>
                </c:pt>
                <c:pt idx="48">
                  <c:v>60.199667773169644</c:v>
                </c:pt>
                <c:pt idx="49">
                  <c:v>66.873013989201951</c:v>
                </c:pt>
                <c:pt idx="50">
                  <c:v>76.681158050723255</c:v>
                </c:pt>
                <c:pt idx="51">
                  <c:v>58.446556784809829</c:v>
                </c:pt>
                <c:pt idx="52">
                  <c:v>62.032249677083293</c:v>
                </c:pt>
                <c:pt idx="53">
                  <c:v>69.627580742116848</c:v>
                </c:pt>
                <c:pt idx="54">
                  <c:v>52.535702146254792</c:v>
                </c:pt>
                <c:pt idx="55">
                  <c:v>60.266076693277455</c:v>
                </c:pt>
                <c:pt idx="56">
                  <c:v>47.665501151251938</c:v>
                </c:pt>
                <c:pt idx="57">
                  <c:v>62.289646009589745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EC-4C90-9CF7-734597CA4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0850208"/>
        <c:axId val="1300851168"/>
      </c:barChart>
      <c:catAx>
        <c:axId val="130085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851168"/>
        <c:crosses val="autoZero"/>
        <c:auto val="1"/>
        <c:lblAlgn val="ctr"/>
        <c:lblOffset val="100"/>
        <c:noMultiLvlLbl val="0"/>
      </c:catAx>
      <c:valAx>
        <c:axId val="130085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85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Top 10 High ITR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 Turnover'!$N$3</c:f>
              <c:strCache>
                <c:ptCount val="1"/>
                <c:pt idx="0">
                  <c:v>ITR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 Turnover'!$K$4:$K$13</c:f>
              <c:strCache>
                <c:ptCount val="10"/>
                <c:pt idx="0">
                  <c:v>Egg (Chicken)</c:v>
                </c:pt>
                <c:pt idx="1">
                  <c:v>Whole Wheat Bread</c:v>
                </c:pt>
                <c:pt idx="2">
                  <c:v>Potato</c:v>
                </c:pt>
                <c:pt idx="3">
                  <c:v>Milk</c:v>
                </c:pt>
                <c:pt idx="4">
                  <c:v>Garlic</c:v>
                </c:pt>
                <c:pt idx="5">
                  <c:v>Tomato</c:v>
                </c:pt>
                <c:pt idx="6">
                  <c:v>White Rice</c:v>
                </c:pt>
                <c:pt idx="7">
                  <c:v>Black Tea</c:v>
                </c:pt>
                <c:pt idx="8">
                  <c:v>Plum</c:v>
                </c:pt>
                <c:pt idx="9">
                  <c:v>Lime</c:v>
                </c:pt>
              </c:strCache>
            </c:strRef>
          </c:cat>
          <c:val>
            <c:numRef>
              <c:f>'Inv Turnover'!$N$4:$N$13</c:f>
              <c:numCache>
                <c:formatCode>_(* #,##0.00_);_(* \(#,##0.00\);_(* "-"??_);_(@_)</c:formatCode>
                <c:ptCount val="10"/>
                <c:pt idx="0">
                  <c:v>1.673202614379085</c:v>
                </c:pt>
                <c:pt idx="1">
                  <c:v>1.6435643564356435</c:v>
                </c:pt>
                <c:pt idx="2">
                  <c:v>1.634020618556701</c:v>
                </c:pt>
                <c:pt idx="3">
                  <c:v>1.6125</c:v>
                </c:pt>
                <c:pt idx="4">
                  <c:v>1.5865921787709498</c:v>
                </c:pt>
                <c:pt idx="5">
                  <c:v>1.5682656826568266</c:v>
                </c:pt>
                <c:pt idx="6">
                  <c:v>1.5465116279069768</c:v>
                </c:pt>
                <c:pt idx="7">
                  <c:v>1.5359712230215827</c:v>
                </c:pt>
                <c:pt idx="8">
                  <c:v>1.4866180048661801</c:v>
                </c:pt>
                <c:pt idx="9">
                  <c:v>1.4610389610389611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7-4332-82DD-EA21C90B43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1242197471"/>
        <c:axId val="1096951839"/>
      </c:barChart>
      <c:catAx>
        <c:axId val="124219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951839"/>
        <c:crosses val="autoZero"/>
        <c:auto val="1"/>
        <c:lblAlgn val="ctr"/>
        <c:lblOffset val="100"/>
        <c:noMultiLvlLbl val="0"/>
      </c:catAx>
      <c:valAx>
        <c:axId val="1096951839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9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Top 10 Low ITR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 Turnover'!$S$3</c:f>
              <c:strCache>
                <c:ptCount val="1"/>
                <c:pt idx="0">
                  <c:v>ITR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 Turnover'!$P$4:$P$13</c:f>
              <c:strCache>
                <c:ptCount val="10"/>
                <c:pt idx="0">
                  <c:v>Cabbage</c:v>
                </c:pt>
                <c:pt idx="1">
                  <c:v>Lemon</c:v>
                </c:pt>
                <c:pt idx="2">
                  <c:v>Whole Wheat Flour</c:v>
                </c:pt>
                <c:pt idx="3">
                  <c:v>Multigrain Bread</c:v>
                </c:pt>
                <c:pt idx="4">
                  <c:v>Kale</c:v>
                </c:pt>
                <c:pt idx="5">
                  <c:v>Mango</c:v>
                </c:pt>
                <c:pt idx="6">
                  <c:v>Almond Flour</c:v>
                </c:pt>
                <c:pt idx="7">
                  <c:v>Tuna</c:v>
                </c:pt>
                <c:pt idx="8">
                  <c:v>Lettuce</c:v>
                </c:pt>
                <c:pt idx="9">
                  <c:v>Feta Cheese</c:v>
                </c:pt>
              </c:strCache>
            </c:strRef>
          </c:cat>
          <c:val>
            <c:numRef>
              <c:f>'Inv Turnover'!$S$4:$S$13</c:f>
              <c:numCache>
                <c:formatCode>_(* #,##0.00_);_(* \(#,##0.00\);_(* "-"??_);_(@_)</c:formatCode>
                <c:ptCount val="10"/>
                <c:pt idx="0">
                  <c:v>0.7816091954022989</c:v>
                </c:pt>
                <c:pt idx="1">
                  <c:v>0.77906976744186052</c:v>
                </c:pt>
                <c:pt idx="2">
                  <c:v>0.77754237288135597</c:v>
                </c:pt>
                <c:pt idx="3">
                  <c:v>0.77562862669245647</c:v>
                </c:pt>
                <c:pt idx="4">
                  <c:v>0.77469135802469136</c:v>
                </c:pt>
                <c:pt idx="5">
                  <c:v>0.76</c:v>
                </c:pt>
                <c:pt idx="6">
                  <c:v>0.69587628865979378</c:v>
                </c:pt>
                <c:pt idx="7">
                  <c:v>0.68438538205980071</c:v>
                </c:pt>
                <c:pt idx="8">
                  <c:v>0.61940298507462688</c:v>
                </c:pt>
                <c:pt idx="9">
                  <c:v>0.6067415730337079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3-4F58-9A07-D56A73B14B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2134163327"/>
        <c:axId val="852976623"/>
      </c:barChart>
      <c:catAx>
        <c:axId val="213416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76623"/>
        <c:crosses val="autoZero"/>
        <c:auto val="1"/>
        <c:lblAlgn val="ctr"/>
        <c:lblOffset val="100"/>
        <c:noMultiLvlLbl val="0"/>
      </c:catAx>
      <c:valAx>
        <c:axId val="852976623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16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ptos Display" panose="020B0004020202020204" pitchFamily="34" charset="0"/>
              </a:rPr>
              <a:t>Top 10 High ITR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'ITR COGS'!$R$5</c:f>
              <c:strCache>
                <c:ptCount val="1"/>
                <c:pt idx="0">
                  <c:v>ITR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'ITR COGS'!$Q$6:$Q$15</c:f>
              <c:strCache>
                <c:ptCount val="10"/>
                <c:pt idx="0">
                  <c:v>Pomegranate</c:v>
                </c:pt>
                <c:pt idx="1">
                  <c:v>Bread Flour</c:v>
                </c:pt>
                <c:pt idx="2">
                  <c:v>Jasmine Rice</c:v>
                </c:pt>
                <c:pt idx="3">
                  <c:v>Arabica Coffee</c:v>
                </c:pt>
                <c:pt idx="4">
                  <c:v>Haddock</c:v>
                </c:pt>
                <c:pt idx="5">
                  <c:v>Plum</c:v>
                </c:pt>
                <c:pt idx="6">
                  <c:v>Cauliflower</c:v>
                </c:pt>
                <c:pt idx="7">
                  <c:v>White Sugar</c:v>
                </c:pt>
                <c:pt idx="8">
                  <c:v>Green Tea</c:v>
                </c:pt>
                <c:pt idx="9">
                  <c:v>Cucumber</c:v>
                </c:pt>
              </c:strCache>
            </c:strRef>
          </c:cat>
          <c:val>
            <c:numRef>
              <c:f>'ITR COGS'!$R$6:$R$15</c:f>
              <c:numCache>
                <c:formatCode>_(* #,##0.00_);_(* \(#,##0.00\);_(* "-"??_);_(@_)</c:formatCode>
                <c:ptCount val="10"/>
                <c:pt idx="0">
                  <c:v>19.033942558746741</c:v>
                </c:pt>
                <c:pt idx="1">
                  <c:v>16.998214285714294</c:v>
                </c:pt>
                <c:pt idx="2">
                  <c:v>16.648387096774201</c:v>
                </c:pt>
                <c:pt idx="3">
                  <c:v>16.34951442253745</c:v>
                </c:pt>
                <c:pt idx="4">
                  <c:v>15.629536921151434</c:v>
                </c:pt>
                <c:pt idx="5">
                  <c:v>14.882811296929379</c:v>
                </c:pt>
                <c:pt idx="6">
                  <c:v>14.842797794708751</c:v>
                </c:pt>
                <c:pt idx="7">
                  <c:v>14.743589743589748</c:v>
                </c:pt>
                <c:pt idx="8">
                  <c:v>14.429535394806081</c:v>
                </c:pt>
                <c:pt idx="9">
                  <c:v>14.426107084054999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0-45C8-8D31-F058653C2B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151602080"/>
        <c:axId val="151591520"/>
      </c:barChart>
      <c:catAx>
        <c:axId val="15160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91520"/>
        <c:crosses val="autoZero"/>
        <c:auto val="1"/>
        <c:lblAlgn val="ctr"/>
        <c:lblOffset val="100"/>
        <c:noMultiLvlLbl val="0"/>
      </c:catAx>
      <c:valAx>
        <c:axId val="15159152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r>
              <a:rPr lang="en-US" b="1">
                <a:latin typeface="Aptos Display" panose="020B0004020202020204" pitchFamily="34" charset="0"/>
              </a:rPr>
              <a:t>Top 10 Low ITR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'ITR COGS'!$U$5</c:f>
              <c:strCache>
                <c:ptCount val="1"/>
                <c:pt idx="0">
                  <c:v>ITR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'ITR COGS'!$T$6:$T$15</c:f>
              <c:strCache>
                <c:ptCount val="10"/>
                <c:pt idx="0">
                  <c:v>Lettuce</c:v>
                </c:pt>
                <c:pt idx="1">
                  <c:v>Vanilla Biscuit</c:v>
                </c:pt>
                <c:pt idx="2">
                  <c:v>Banana</c:v>
                </c:pt>
                <c:pt idx="3">
                  <c:v>Coconut Oil</c:v>
                </c:pt>
                <c:pt idx="4">
                  <c:v>Feta Cheese</c:v>
                </c:pt>
                <c:pt idx="5">
                  <c:v>All-Purpose Flour</c:v>
                </c:pt>
                <c:pt idx="6">
                  <c:v>Kale</c:v>
                </c:pt>
                <c:pt idx="7">
                  <c:v>Cottage Cheese</c:v>
                </c:pt>
                <c:pt idx="8">
                  <c:v>Raw Sugar</c:v>
                </c:pt>
                <c:pt idx="9">
                  <c:v>Cabbage</c:v>
                </c:pt>
              </c:strCache>
            </c:strRef>
          </c:cat>
          <c:val>
            <c:numRef>
              <c:f>'ITR COGS'!$U$6:$U$15</c:f>
              <c:numCache>
                <c:formatCode>_(* #,##0.00_);_(* \(#,##0.00\);_(* "-"??_);_(@_)</c:formatCode>
                <c:ptCount val="10"/>
                <c:pt idx="0">
                  <c:v>2.4776119402985075</c:v>
                </c:pt>
                <c:pt idx="1">
                  <c:v>2.5095057034220529</c:v>
                </c:pt>
                <c:pt idx="2">
                  <c:v>3.2782024073744074</c:v>
                </c:pt>
                <c:pt idx="3">
                  <c:v>3.5338345864661656</c:v>
                </c:pt>
                <c:pt idx="4">
                  <c:v>3.6404494382022472</c:v>
                </c:pt>
                <c:pt idx="5">
                  <c:v>3.7358490566037741</c:v>
                </c:pt>
                <c:pt idx="6">
                  <c:v>3.8734567901234569</c:v>
                </c:pt>
                <c:pt idx="7">
                  <c:v>4.3871666860172605</c:v>
                </c:pt>
                <c:pt idx="8">
                  <c:v>4.4871794871794872</c:v>
                </c:pt>
                <c:pt idx="9">
                  <c:v>4.6013366868031564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1-4546-9F2A-6D14BD98B2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151562720"/>
        <c:axId val="151560800"/>
      </c:barChart>
      <c:catAx>
        <c:axId val="15156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60800"/>
        <c:crosses val="autoZero"/>
        <c:auto val="1"/>
        <c:lblAlgn val="ctr"/>
        <c:lblOffset val="100"/>
        <c:noMultiLvlLbl val="0"/>
      </c:catAx>
      <c:valAx>
        <c:axId val="15156080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6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Perishable Goods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702848205355402"/>
          <c:y val="0.28343890606227423"/>
          <c:w val="0.44640312544052196"/>
          <c:h val="0.6901990479772630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CAC-4431-B7F5-CC7446B5E748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FCAC-4431-B7F5-CC7446B5E74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CAC-4431-B7F5-CC7446B5E74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FCAC-4431-B7F5-CC7446B5E7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'ITR COGS'!$W$5:$W$7</c:f>
              <c:strCache>
                <c:ptCount val="3"/>
                <c:pt idx="0">
                  <c:v>Expired</c:v>
                </c:pt>
                <c:pt idx="1">
                  <c:v>High Expired Risk</c:v>
                </c:pt>
                <c:pt idx="2">
                  <c:v>Safe</c:v>
                </c:pt>
              </c:strCache>
            </c:strRef>
          </c:cat>
          <c:val>
            <c:numRef>
              <c:f>'ITR COGS'!$X$5:$X$7</c:f>
              <c:numCache>
                <c:formatCode>General</c:formatCode>
                <c:ptCount val="3"/>
                <c:pt idx="0">
                  <c:v>107</c:v>
                </c:pt>
                <c:pt idx="1">
                  <c:v>13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C-4431-B7F5-CC7446B5E74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 EDIT - Groceries Inventory(AutoRecovered).xlsx]Supl Performance!PivotTable3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r>
              <a:rPr lang="en-US" sz="1200" b="1">
                <a:latin typeface="Aptos Display" panose="020B0004020202020204" pitchFamily="34" charset="0"/>
              </a:rPr>
              <a:t>Top 10 Long</a:t>
            </a:r>
            <a:r>
              <a:rPr lang="en-US" sz="1200" b="1" baseline="0">
                <a:latin typeface="Aptos Display" panose="020B0004020202020204" pitchFamily="34" charset="0"/>
              </a:rPr>
              <a:t> Lead Time (days)</a:t>
            </a:r>
            <a:endParaRPr lang="en-US" sz="1200" b="1">
              <a:latin typeface="Aptos Display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'Supl Performance'!$B$3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'Supl Performance'!$A$4:$A$14</c:f>
              <c:strCache>
                <c:ptCount val="10"/>
                <c:pt idx="0">
                  <c:v>Centizu</c:v>
                </c:pt>
                <c:pt idx="1">
                  <c:v>Feedfish</c:v>
                </c:pt>
                <c:pt idx="2">
                  <c:v>Vipe</c:v>
                </c:pt>
                <c:pt idx="3">
                  <c:v>Midel</c:v>
                </c:pt>
                <c:pt idx="4">
                  <c:v>Skippad</c:v>
                </c:pt>
                <c:pt idx="5">
                  <c:v>Zoombeat</c:v>
                </c:pt>
                <c:pt idx="6">
                  <c:v>Wikivu</c:v>
                </c:pt>
                <c:pt idx="7">
                  <c:v>Tagcat</c:v>
                </c:pt>
                <c:pt idx="8">
                  <c:v>Oyoba</c:v>
                </c:pt>
                <c:pt idx="9">
                  <c:v>Mymm</c:v>
                </c:pt>
              </c:strCache>
            </c:strRef>
          </c:cat>
          <c:val>
            <c:numRef>
              <c:f>'Supl Performance'!$B$4:$B$14</c:f>
              <c:numCache>
                <c:formatCode>0</c:formatCode>
                <c:ptCount val="10"/>
                <c:pt idx="0">
                  <c:v>264</c:v>
                </c:pt>
                <c:pt idx="1">
                  <c:v>270</c:v>
                </c:pt>
                <c:pt idx="2">
                  <c:v>279</c:v>
                </c:pt>
                <c:pt idx="3">
                  <c:v>287</c:v>
                </c:pt>
                <c:pt idx="4">
                  <c:v>288</c:v>
                </c:pt>
                <c:pt idx="5">
                  <c:v>291</c:v>
                </c:pt>
                <c:pt idx="6">
                  <c:v>298</c:v>
                </c:pt>
                <c:pt idx="7">
                  <c:v>303</c:v>
                </c:pt>
                <c:pt idx="8">
                  <c:v>335</c:v>
                </c:pt>
                <c:pt idx="9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7-4F52-A6EE-977561BF5E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6"/>
        <c:axId val="746801359"/>
        <c:axId val="746806639"/>
      </c:barChart>
      <c:catAx>
        <c:axId val="74680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06639"/>
        <c:crosses val="autoZero"/>
        <c:auto val="1"/>
        <c:lblAlgn val="ctr"/>
        <c:lblOffset val="100"/>
        <c:noMultiLvlLbl val="0"/>
      </c:catAx>
      <c:valAx>
        <c:axId val="74680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0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 EDIT - Groceries Inventory(AutoRecovered).xlsx]Supl Performance!PivotTable4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r>
              <a:rPr lang="en-US" sz="1200" b="1">
                <a:latin typeface="Aptos Display" panose="020B0004020202020204" pitchFamily="34" charset="0"/>
              </a:rPr>
              <a:t>Top</a:t>
            </a:r>
            <a:r>
              <a:rPr lang="en-US" sz="1200" b="1" baseline="0">
                <a:latin typeface="Aptos Display" panose="020B0004020202020204" pitchFamily="34" charset="0"/>
              </a:rPr>
              <a:t> 10 Short Lead Time (days)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'Supl Performance'!$B$18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'Supl Performance'!$A$19:$A$29</c:f>
              <c:strCache>
                <c:ptCount val="10"/>
                <c:pt idx="0">
                  <c:v>Gabcube</c:v>
                </c:pt>
                <c:pt idx="1">
                  <c:v>Realfire</c:v>
                </c:pt>
                <c:pt idx="2">
                  <c:v>Yakidoo</c:v>
                </c:pt>
                <c:pt idx="3">
                  <c:v>Brainbox</c:v>
                </c:pt>
                <c:pt idx="4">
                  <c:v>Eazzy</c:v>
                </c:pt>
                <c:pt idx="5">
                  <c:v>Fadeo</c:v>
                </c:pt>
                <c:pt idx="6">
                  <c:v>Edgeify</c:v>
                </c:pt>
                <c:pt idx="7">
                  <c:v>Camimbo</c:v>
                </c:pt>
                <c:pt idx="8">
                  <c:v>Eabox</c:v>
                </c:pt>
                <c:pt idx="9">
                  <c:v>Divape</c:v>
                </c:pt>
              </c:strCache>
            </c:strRef>
          </c:cat>
          <c:val>
            <c:numRef>
              <c:f>'Supl Performance'!$B$19:$B$29</c:f>
              <c:numCache>
                <c:formatCode>0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3-4BEF-A781-B59279ED3E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-27"/>
        <c:axId val="746827759"/>
        <c:axId val="746834479"/>
      </c:barChart>
      <c:catAx>
        <c:axId val="74682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4479"/>
        <c:crosses val="autoZero"/>
        <c:auto val="1"/>
        <c:lblAlgn val="ctr"/>
        <c:lblOffset val="100"/>
        <c:noMultiLvlLbl val="0"/>
      </c:catAx>
      <c:valAx>
        <c:axId val="74683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2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r>
              <a:rPr lang="en-US" b="1">
                <a:latin typeface="Aptos Display" panose="020B0004020202020204" pitchFamily="34" charset="0"/>
              </a:rPr>
              <a:t>Top 10 High Variability (stdev)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'Supl Performance'!$L$33</c:f>
              <c:strCache>
                <c:ptCount val="1"/>
                <c:pt idx="0">
                  <c:v> STDEV 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'Supl Performance'!$K$34:$K$43</c:f>
              <c:strCache>
                <c:ptCount val="10"/>
                <c:pt idx="0">
                  <c:v>Gigashots</c:v>
                </c:pt>
                <c:pt idx="1">
                  <c:v>Chatterbridge</c:v>
                </c:pt>
                <c:pt idx="2">
                  <c:v>Yadel</c:v>
                </c:pt>
                <c:pt idx="3">
                  <c:v>Demimbu</c:v>
                </c:pt>
                <c:pt idx="4">
                  <c:v>Skajo</c:v>
                </c:pt>
                <c:pt idx="5">
                  <c:v>Yotz</c:v>
                </c:pt>
                <c:pt idx="6">
                  <c:v>Layo</c:v>
                </c:pt>
                <c:pt idx="7">
                  <c:v>Oozz</c:v>
                </c:pt>
                <c:pt idx="8">
                  <c:v>Kwinu</c:v>
                </c:pt>
                <c:pt idx="9">
                  <c:v>Wikizz</c:v>
                </c:pt>
              </c:strCache>
            </c:strRef>
          </c:cat>
          <c:val>
            <c:numRef>
              <c:f>'Supl Performance'!$L$34:$L$43</c:f>
              <c:numCache>
                <c:formatCode>_(* #,##0.00_);_(* \(#,##0.00\);_(* "-"??_);_(@_)</c:formatCode>
                <c:ptCount val="10"/>
                <c:pt idx="0">
                  <c:v>153.85610160146393</c:v>
                </c:pt>
                <c:pt idx="1">
                  <c:v>158.61588823317794</c:v>
                </c:pt>
                <c:pt idx="2">
                  <c:v>173.24116139070415</c:v>
                </c:pt>
                <c:pt idx="3">
                  <c:v>183.14065632731581</c:v>
                </c:pt>
                <c:pt idx="4">
                  <c:v>189.50461735799473</c:v>
                </c:pt>
                <c:pt idx="5">
                  <c:v>190.91883092036784</c:v>
                </c:pt>
                <c:pt idx="6">
                  <c:v>204.35385976291224</c:v>
                </c:pt>
                <c:pt idx="7">
                  <c:v>216.37467504308356</c:v>
                </c:pt>
                <c:pt idx="8">
                  <c:v>236.88077169749343</c:v>
                </c:pt>
                <c:pt idx="9">
                  <c:v>244.65894629054543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6-4CEC-B51B-CACF04817D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746849359"/>
        <c:axId val="746850319"/>
      </c:barChart>
      <c:catAx>
        <c:axId val="74684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50319"/>
        <c:crosses val="autoZero"/>
        <c:auto val="1"/>
        <c:lblAlgn val="ctr"/>
        <c:lblOffset val="100"/>
        <c:noMultiLvlLbl val="0"/>
      </c:catAx>
      <c:valAx>
        <c:axId val="7468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4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r>
              <a:rPr lang="en-US" b="1">
                <a:latin typeface="Aptos Display" panose="020B0004020202020204" pitchFamily="34" charset="0"/>
              </a:rPr>
              <a:t>Top 10 Low Variability (stdev)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'Supl Performance'!$P$33</c:f>
              <c:strCache>
                <c:ptCount val="1"/>
                <c:pt idx="0">
                  <c:v> STDEV 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'Supl Performance'!$O$34:$O$43</c:f>
              <c:strCache>
                <c:ptCount val="10"/>
                <c:pt idx="0">
                  <c:v>Voolith</c:v>
                </c:pt>
                <c:pt idx="1">
                  <c:v>Wordpedia</c:v>
                </c:pt>
                <c:pt idx="2">
                  <c:v>Thoughtbeat</c:v>
                </c:pt>
                <c:pt idx="3">
                  <c:v>Roombo</c:v>
                </c:pt>
                <c:pt idx="4">
                  <c:v>Latz</c:v>
                </c:pt>
                <c:pt idx="5">
                  <c:v>Feedfish</c:v>
                </c:pt>
                <c:pt idx="6">
                  <c:v>Meeveo</c:v>
                </c:pt>
                <c:pt idx="7">
                  <c:v>Jaxworks</c:v>
                </c:pt>
                <c:pt idx="8">
                  <c:v>Zoovu</c:v>
                </c:pt>
                <c:pt idx="9">
                  <c:v>Tazz</c:v>
                </c:pt>
              </c:strCache>
            </c:strRef>
          </c:cat>
          <c:val>
            <c:numRef>
              <c:f>'Supl Performance'!$P$34:$P$43</c:f>
              <c:numCache>
                <c:formatCode>_(* #,##0.00_);_(* \(#,##0.00\);_(* "-"??_);_(@_)</c:formatCode>
                <c:ptCount val="10"/>
                <c:pt idx="0">
                  <c:v>1.4142135623730951</c:v>
                </c:pt>
                <c:pt idx="1">
                  <c:v>1.4142135623730951</c:v>
                </c:pt>
                <c:pt idx="2">
                  <c:v>2.1213203435596424</c:v>
                </c:pt>
                <c:pt idx="3">
                  <c:v>3.5355339059327378</c:v>
                </c:pt>
                <c:pt idx="4">
                  <c:v>4.9497474683058327</c:v>
                </c:pt>
                <c:pt idx="5">
                  <c:v>5.6568542494923806</c:v>
                </c:pt>
                <c:pt idx="6">
                  <c:v>5.6568542494923806</c:v>
                </c:pt>
                <c:pt idx="7">
                  <c:v>9.0737717258774673</c:v>
                </c:pt>
                <c:pt idx="8">
                  <c:v>9.535023160258536</c:v>
                </c:pt>
                <c:pt idx="9">
                  <c:v>10.606601717798213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A-4BA1-9BA8-37C6C3D75F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746808559"/>
        <c:axId val="746821999"/>
      </c:barChart>
      <c:catAx>
        <c:axId val="74680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21999"/>
        <c:crosses val="autoZero"/>
        <c:auto val="1"/>
        <c:lblAlgn val="ctr"/>
        <c:lblOffset val="100"/>
        <c:noMultiLvlLbl val="0"/>
      </c:catAx>
      <c:valAx>
        <c:axId val="74682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0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ptos Display" panose="020B0004020202020204" pitchFamily="34" charset="0"/>
              </a:rPr>
              <a:t>Supplier Variation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'Supl Performance'!$I$33</c:f>
              <c:strCache>
                <c:ptCount val="1"/>
                <c:pt idx="0">
                  <c:v>AVG Lead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'Supl Performance'!$G$34:$G$218</c:f>
              <c:numCache>
                <c:formatCode>_(* #,##0.00_);_(* \(#,##0.00\);_(* "-"??_);_(@_)</c:formatCode>
                <c:ptCount val="185"/>
                <c:pt idx="0">
                  <c:v>1.4142135623730951</c:v>
                </c:pt>
                <c:pt idx="1">
                  <c:v>1.4142135623730951</c:v>
                </c:pt>
                <c:pt idx="2">
                  <c:v>2.1213203435596424</c:v>
                </c:pt>
                <c:pt idx="3">
                  <c:v>3.5355339059327378</c:v>
                </c:pt>
                <c:pt idx="4">
                  <c:v>4.9497474683058327</c:v>
                </c:pt>
                <c:pt idx="5">
                  <c:v>5.6568542494923806</c:v>
                </c:pt>
                <c:pt idx="6">
                  <c:v>5.6568542494923806</c:v>
                </c:pt>
                <c:pt idx="7">
                  <c:v>9.0737717258774673</c:v>
                </c:pt>
                <c:pt idx="8">
                  <c:v>9.535023160258536</c:v>
                </c:pt>
                <c:pt idx="9">
                  <c:v>10.606601717798213</c:v>
                </c:pt>
                <c:pt idx="10">
                  <c:v>11.313708498984761</c:v>
                </c:pt>
                <c:pt idx="11">
                  <c:v>11.313708498984761</c:v>
                </c:pt>
                <c:pt idx="12">
                  <c:v>12.727922061357855</c:v>
                </c:pt>
                <c:pt idx="13">
                  <c:v>12.727922061357855</c:v>
                </c:pt>
                <c:pt idx="14">
                  <c:v>14.849242404917497</c:v>
                </c:pt>
                <c:pt idx="15">
                  <c:v>16.093476939431081</c:v>
                </c:pt>
                <c:pt idx="16">
                  <c:v>16.263455967290593</c:v>
                </c:pt>
                <c:pt idx="17">
                  <c:v>16.289055630494158</c:v>
                </c:pt>
                <c:pt idx="18">
                  <c:v>18.027756377319946</c:v>
                </c:pt>
                <c:pt idx="19">
                  <c:v>18.384776310850235</c:v>
                </c:pt>
                <c:pt idx="20">
                  <c:v>19.091883092036785</c:v>
                </c:pt>
                <c:pt idx="21">
                  <c:v>19.313207915827967</c:v>
                </c:pt>
                <c:pt idx="22">
                  <c:v>20.506096654409877</c:v>
                </c:pt>
                <c:pt idx="23">
                  <c:v>21.920310216782973</c:v>
                </c:pt>
                <c:pt idx="24">
                  <c:v>21.920310216782973</c:v>
                </c:pt>
                <c:pt idx="25">
                  <c:v>22.627416997969522</c:v>
                </c:pt>
                <c:pt idx="26">
                  <c:v>22.627416997969522</c:v>
                </c:pt>
                <c:pt idx="27">
                  <c:v>23.334523779156068</c:v>
                </c:pt>
                <c:pt idx="28">
                  <c:v>23.713568549109894</c:v>
                </c:pt>
                <c:pt idx="29">
                  <c:v>24.041630560342615</c:v>
                </c:pt>
                <c:pt idx="30">
                  <c:v>27.873224906111361</c:v>
                </c:pt>
                <c:pt idx="31">
                  <c:v>28.023799409311607</c:v>
                </c:pt>
                <c:pt idx="32">
                  <c:v>30.405591591021544</c:v>
                </c:pt>
                <c:pt idx="33">
                  <c:v>32.526911934581186</c:v>
                </c:pt>
                <c:pt idx="34">
                  <c:v>32.62412195497884</c:v>
                </c:pt>
                <c:pt idx="35">
                  <c:v>33.126021996812916</c:v>
                </c:pt>
                <c:pt idx="36">
                  <c:v>33.941125496954278</c:v>
                </c:pt>
                <c:pt idx="37">
                  <c:v>34.559128075420723</c:v>
                </c:pt>
                <c:pt idx="38">
                  <c:v>36.062445840513924</c:v>
                </c:pt>
                <c:pt idx="39">
                  <c:v>36.062445840513924</c:v>
                </c:pt>
                <c:pt idx="40">
                  <c:v>36.062445840513924</c:v>
                </c:pt>
                <c:pt idx="41">
                  <c:v>37.476659402887016</c:v>
                </c:pt>
                <c:pt idx="42">
                  <c:v>37.476659402887016</c:v>
                </c:pt>
                <c:pt idx="43">
                  <c:v>38.47510017314228</c:v>
                </c:pt>
                <c:pt idx="44">
                  <c:v>38.890872965260115</c:v>
                </c:pt>
                <c:pt idx="45">
                  <c:v>41.012193308819754</c:v>
                </c:pt>
                <c:pt idx="46">
                  <c:v>41.012193308819754</c:v>
                </c:pt>
                <c:pt idx="47">
                  <c:v>41.719300090006307</c:v>
                </c:pt>
                <c:pt idx="48">
                  <c:v>43.133513652379399</c:v>
                </c:pt>
                <c:pt idx="49">
                  <c:v>43.466462167208107</c:v>
                </c:pt>
                <c:pt idx="50">
                  <c:v>43.5583899304523</c:v>
                </c:pt>
                <c:pt idx="51">
                  <c:v>43.71498598878879</c:v>
                </c:pt>
                <c:pt idx="52">
                  <c:v>44.16257842714046</c:v>
                </c:pt>
                <c:pt idx="53">
                  <c:v>46.317743180484669</c:v>
                </c:pt>
                <c:pt idx="54">
                  <c:v>47.376154339498683</c:v>
                </c:pt>
                <c:pt idx="55">
                  <c:v>47.376154339498683</c:v>
                </c:pt>
                <c:pt idx="56">
                  <c:v>48.203561417527375</c:v>
                </c:pt>
                <c:pt idx="57">
                  <c:v>48.790367901871782</c:v>
                </c:pt>
                <c:pt idx="58">
                  <c:v>50.911688245431421</c:v>
                </c:pt>
                <c:pt idx="59">
                  <c:v>51.032669275017703</c:v>
                </c:pt>
                <c:pt idx="60">
                  <c:v>51.618795026617967</c:v>
                </c:pt>
                <c:pt idx="61">
                  <c:v>52.11525688318153</c:v>
                </c:pt>
                <c:pt idx="62">
                  <c:v>52.766782480395115</c:v>
                </c:pt>
                <c:pt idx="63">
                  <c:v>53.26662494783514</c:v>
                </c:pt>
                <c:pt idx="64">
                  <c:v>53.740115370177612</c:v>
                </c:pt>
                <c:pt idx="65">
                  <c:v>53.928965624544794</c:v>
                </c:pt>
                <c:pt idx="66">
                  <c:v>54.671442880782536</c:v>
                </c:pt>
                <c:pt idx="67">
                  <c:v>55.077975029346653</c:v>
                </c:pt>
                <c:pt idx="68">
                  <c:v>55.98437281956457</c:v>
                </c:pt>
                <c:pt idx="69">
                  <c:v>56.230774492265354</c:v>
                </c:pt>
                <c:pt idx="70">
                  <c:v>56.568542494923804</c:v>
                </c:pt>
                <c:pt idx="71">
                  <c:v>56.770737767503661</c:v>
                </c:pt>
                <c:pt idx="72">
                  <c:v>58.025856305616031</c:v>
                </c:pt>
                <c:pt idx="73">
                  <c:v>60.104076400856542</c:v>
                </c:pt>
                <c:pt idx="74">
                  <c:v>61.518289963229634</c:v>
                </c:pt>
                <c:pt idx="75">
                  <c:v>61.849279165834538</c:v>
                </c:pt>
                <c:pt idx="76">
                  <c:v>62.532658134236776</c:v>
                </c:pt>
                <c:pt idx="77">
                  <c:v>64.177877808478542</c:v>
                </c:pt>
                <c:pt idx="78">
                  <c:v>65.053823869162372</c:v>
                </c:pt>
                <c:pt idx="79">
                  <c:v>65.436992595931542</c:v>
                </c:pt>
                <c:pt idx="80">
                  <c:v>66.460514593253038</c:v>
                </c:pt>
                <c:pt idx="81">
                  <c:v>67.855238068503837</c:v>
                </c:pt>
                <c:pt idx="82">
                  <c:v>67.882250993908556</c:v>
                </c:pt>
                <c:pt idx="83">
                  <c:v>68.022055246809472</c:v>
                </c:pt>
                <c:pt idx="84">
                  <c:v>68.412961734844757</c:v>
                </c:pt>
                <c:pt idx="85">
                  <c:v>68.980673621916253</c:v>
                </c:pt>
                <c:pt idx="86">
                  <c:v>69.615611276015784</c:v>
                </c:pt>
                <c:pt idx="87">
                  <c:v>70.514773865717927</c:v>
                </c:pt>
                <c:pt idx="88">
                  <c:v>71.468874344010757</c:v>
                </c:pt>
                <c:pt idx="89">
                  <c:v>72.124891681027847</c:v>
                </c:pt>
                <c:pt idx="90">
                  <c:v>72.831998462214401</c:v>
                </c:pt>
                <c:pt idx="91">
                  <c:v>73.53910524340094</c:v>
                </c:pt>
                <c:pt idx="92">
                  <c:v>73.53910524340094</c:v>
                </c:pt>
                <c:pt idx="93">
                  <c:v>73.852894323783957</c:v>
                </c:pt>
                <c:pt idx="94">
                  <c:v>74.906608520210014</c:v>
                </c:pt>
                <c:pt idx="95">
                  <c:v>74.953318805774032</c:v>
                </c:pt>
                <c:pt idx="96">
                  <c:v>76.26925986267338</c:v>
                </c:pt>
                <c:pt idx="97">
                  <c:v>77.074639149333677</c:v>
                </c:pt>
                <c:pt idx="98">
                  <c:v>79.159648811752575</c:v>
                </c:pt>
                <c:pt idx="99">
                  <c:v>79.195959492893323</c:v>
                </c:pt>
                <c:pt idx="100">
                  <c:v>80.299439599538928</c:v>
                </c:pt>
                <c:pt idx="101">
                  <c:v>80.610173055266415</c:v>
                </c:pt>
                <c:pt idx="102">
                  <c:v>80.610173055266415</c:v>
                </c:pt>
                <c:pt idx="103">
                  <c:v>80.69283322162714</c:v>
                </c:pt>
                <c:pt idx="104">
                  <c:v>82.144385078957143</c:v>
                </c:pt>
                <c:pt idx="105">
                  <c:v>82.867363901598807</c:v>
                </c:pt>
                <c:pt idx="106">
                  <c:v>83.048178787978244</c:v>
                </c:pt>
                <c:pt idx="107">
                  <c:v>83.827203221865872</c:v>
                </c:pt>
                <c:pt idx="108">
                  <c:v>84.211539193469989</c:v>
                </c:pt>
                <c:pt idx="109">
                  <c:v>84.852813742385706</c:v>
                </c:pt>
                <c:pt idx="110">
                  <c:v>86.746757864487364</c:v>
                </c:pt>
                <c:pt idx="111">
                  <c:v>86.758284906975888</c:v>
                </c:pt>
                <c:pt idx="112">
                  <c:v>86.949985623920611</c:v>
                </c:pt>
                <c:pt idx="113">
                  <c:v>86.974134085945352</c:v>
                </c:pt>
                <c:pt idx="114">
                  <c:v>87.030645943445307</c:v>
                </c:pt>
                <c:pt idx="115">
                  <c:v>87.366851074458808</c:v>
                </c:pt>
                <c:pt idx="116">
                  <c:v>87.681240867131891</c:v>
                </c:pt>
                <c:pt idx="117">
                  <c:v>87.762938267433441</c:v>
                </c:pt>
                <c:pt idx="118">
                  <c:v>88.160837866556889</c:v>
                </c:pt>
                <c:pt idx="119">
                  <c:v>89.184079296699579</c:v>
                </c:pt>
                <c:pt idx="120">
                  <c:v>92.718211084266855</c:v>
                </c:pt>
                <c:pt idx="121">
                  <c:v>92.908557194695476</c:v>
                </c:pt>
                <c:pt idx="122">
                  <c:v>92.956979296876895</c:v>
                </c:pt>
                <c:pt idx="123">
                  <c:v>92.963702594077006</c:v>
                </c:pt>
                <c:pt idx="124">
                  <c:v>93.45765529550448</c:v>
                </c:pt>
                <c:pt idx="125">
                  <c:v>94.521602469135772</c:v>
                </c:pt>
                <c:pt idx="126">
                  <c:v>94.752308678997366</c:v>
                </c:pt>
                <c:pt idx="127">
                  <c:v>94.752308678997366</c:v>
                </c:pt>
                <c:pt idx="128">
                  <c:v>94.77341399358788</c:v>
                </c:pt>
                <c:pt idx="129">
                  <c:v>94.931554290446542</c:v>
                </c:pt>
                <c:pt idx="130">
                  <c:v>95.007017284689724</c:v>
                </c:pt>
                <c:pt idx="131">
                  <c:v>95.702316238079277</c:v>
                </c:pt>
                <c:pt idx="132">
                  <c:v>96.140522153772395</c:v>
                </c:pt>
                <c:pt idx="133">
                  <c:v>96.166522241370458</c:v>
                </c:pt>
                <c:pt idx="134">
                  <c:v>97.580735803743565</c:v>
                </c:pt>
                <c:pt idx="135">
                  <c:v>98.652589085808259</c:v>
                </c:pt>
                <c:pt idx="136">
                  <c:v>100.04124149569516</c:v>
                </c:pt>
                <c:pt idx="137">
                  <c:v>100.19328542594282</c:v>
                </c:pt>
                <c:pt idx="138">
                  <c:v>100.40916292848975</c:v>
                </c:pt>
                <c:pt idx="139">
                  <c:v>103.94469683442249</c:v>
                </c:pt>
                <c:pt idx="140">
                  <c:v>104</c:v>
                </c:pt>
                <c:pt idx="141">
                  <c:v>105.35891039679558</c:v>
                </c:pt>
                <c:pt idx="142">
                  <c:v>107.34174397688906</c:v>
                </c:pt>
                <c:pt idx="143">
                  <c:v>108.5094465933727</c:v>
                </c:pt>
                <c:pt idx="144">
                  <c:v>112.74307074051158</c:v>
                </c:pt>
                <c:pt idx="145">
                  <c:v>113.31960701190827</c:v>
                </c:pt>
                <c:pt idx="146">
                  <c:v>113.71455491712571</c:v>
                </c:pt>
                <c:pt idx="147">
                  <c:v>115.29527310345381</c:v>
                </c:pt>
                <c:pt idx="148">
                  <c:v>115.96551211459379</c:v>
                </c:pt>
                <c:pt idx="149">
                  <c:v>116.03591398068676</c:v>
                </c:pt>
                <c:pt idx="150">
                  <c:v>116.67261889578035</c:v>
                </c:pt>
                <c:pt idx="151">
                  <c:v>116.67261889578035</c:v>
                </c:pt>
                <c:pt idx="152">
                  <c:v>117.91098337305138</c:v>
                </c:pt>
                <c:pt idx="153">
                  <c:v>118.79393923933998</c:v>
                </c:pt>
                <c:pt idx="154">
                  <c:v>119.16934728919736</c:v>
                </c:pt>
                <c:pt idx="155">
                  <c:v>119.50104602052653</c:v>
                </c:pt>
                <c:pt idx="156">
                  <c:v>120.91525958289962</c:v>
                </c:pt>
                <c:pt idx="157">
                  <c:v>120.91525958289962</c:v>
                </c:pt>
                <c:pt idx="158">
                  <c:v>122.12664192004407</c:v>
                </c:pt>
                <c:pt idx="159">
                  <c:v>123.74368670764582</c:v>
                </c:pt>
                <c:pt idx="160">
                  <c:v>125.28500841414879</c:v>
                </c:pt>
                <c:pt idx="161">
                  <c:v>125.7417989373462</c:v>
                </c:pt>
                <c:pt idx="162">
                  <c:v>129.22976953215283</c:v>
                </c:pt>
                <c:pt idx="163">
                  <c:v>130.10764773832474</c:v>
                </c:pt>
                <c:pt idx="164">
                  <c:v>130.8147545195113</c:v>
                </c:pt>
                <c:pt idx="165">
                  <c:v>133.61262415405713</c:v>
                </c:pt>
                <c:pt idx="166">
                  <c:v>133.64318164425748</c:v>
                </c:pt>
                <c:pt idx="167">
                  <c:v>137.88582233137677</c:v>
                </c:pt>
                <c:pt idx="168">
                  <c:v>140.43266476619081</c:v>
                </c:pt>
                <c:pt idx="169">
                  <c:v>143.64655698391567</c:v>
                </c:pt>
                <c:pt idx="170">
                  <c:v>145.02955363846166</c:v>
                </c:pt>
                <c:pt idx="171">
                  <c:v>147.07821048680188</c:v>
                </c:pt>
                <c:pt idx="172">
                  <c:v>147.78531726798843</c:v>
                </c:pt>
                <c:pt idx="173">
                  <c:v>149.19953083036154</c:v>
                </c:pt>
                <c:pt idx="174">
                  <c:v>149.29166085217219</c:v>
                </c:pt>
                <c:pt idx="175">
                  <c:v>153.85610160146393</c:v>
                </c:pt>
                <c:pt idx="176">
                  <c:v>158.61588823317794</c:v>
                </c:pt>
                <c:pt idx="177">
                  <c:v>173.24116139070415</c:v>
                </c:pt>
                <c:pt idx="178">
                  <c:v>183.14065632731581</c:v>
                </c:pt>
                <c:pt idx="179">
                  <c:v>189.50461735799473</c:v>
                </c:pt>
                <c:pt idx="180">
                  <c:v>190.91883092036784</c:v>
                </c:pt>
                <c:pt idx="181">
                  <c:v>204.35385976291224</c:v>
                </c:pt>
                <c:pt idx="182">
                  <c:v>216.37467504308356</c:v>
                </c:pt>
                <c:pt idx="183">
                  <c:v>236.88077169749343</c:v>
                </c:pt>
                <c:pt idx="184">
                  <c:v>244.65894629054543</c:v>
                </c:pt>
              </c:numCache>
            </c:numRef>
          </c:xVal>
          <c:yVal>
            <c:numRef>
              <c:f>'Supl Performance'!$I$34:$I$218</c:f>
              <c:numCache>
                <c:formatCode>_(* #,##0.00_);_(* \(#,##0.00\);_(* "-"??_);_(@_)</c:formatCode>
                <c:ptCount val="185"/>
                <c:pt idx="0">
                  <c:v>125</c:v>
                </c:pt>
                <c:pt idx="1">
                  <c:v>122</c:v>
                </c:pt>
                <c:pt idx="2">
                  <c:v>186.5</c:v>
                </c:pt>
                <c:pt idx="3">
                  <c:v>49.5</c:v>
                </c:pt>
                <c:pt idx="4">
                  <c:v>124.5</c:v>
                </c:pt>
                <c:pt idx="5">
                  <c:v>270</c:v>
                </c:pt>
                <c:pt idx="6">
                  <c:v>34</c:v>
                </c:pt>
                <c:pt idx="7">
                  <c:v>113.66666666666667</c:v>
                </c:pt>
                <c:pt idx="8">
                  <c:v>63.75</c:v>
                </c:pt>
                <c:pt idx="9">
                  <c:v>62.5</c:v>
                </c:pt>
                <c:pt idx="10">
                  <c:v>70</c:v>
                </c:pt>
                <c:pt idx="11">
                  <c:v>22</c:v>
                </c:pt>
                <c:pt idx="12">
                  <c:v>86</c:v>
                </c:pt>
                <c:pt idx="13">
                  <c:v>23</c:v>
                </c:pt>
                <c:pt idx="14">
                  <c:v>196.5</c:v>
                </c:pt>
                <c:pt idx="15">
                  <c:v>27</c:v>
                </c:pt>
                <c:pt idx="16">
                  <c:v>48.5</c:v>
                </c:pt>
                <c:pt idx="17">
                  <c:v>186.33333333333334</c:v>
                </c:pt>
                <c:pt idx="18">
                  <c:v>91</c:v>
                </c:pt>
                <c:pt idx="19">
                  <c:v>16</c:v>
                </c:pt>
                <c:pt idx="20">
                  <c:v>196.5</c:v>
                </c:pt>
                <c:pt idx="21">
                  <c:v>104</c:v>
                </c:pt>
                <c:pt idx="22">
                  <c:v>189.5</c:v>
                </c:pt>
                <c:pt idx="23">
                  <c:v>76.5</c:v>
                </c:pt>
                <c:pt idx="24">
                  <c:v>158.5</c:v>
                </c:pt>
                <c:pt idx="25">
                  <c:v>58</c:v>
                </c:pt>
                <c:pt idx="26">
                  <c:v>153</c:v>
                </c:pt>
                <c:pt idx="27">
                  <c:v>198.5</c:v>
                </c:pt>
                <c:pt idx="28">
                  <c:v>74.333333333333329</c:v>
                </c:pt>
                <c:pt idx="29">
                  <c:v>151</c:v>
                </c:pt>
                <c:pt idx="30">
                  <c:v>76.25</c:v>
                </c:pt>
                <c:pt idx="31">
                  <c:v>45.333333333333336</c:v>
                </c:pt>
                <c:pt idx="32">
                  <c:v>25.5</c:v>
                </c:pt>
                <c:pt idx="33">
                  <c:v>171</c:v>
                </c:pt>
                <c:pt idx="34">
                  <c:v>140.66666666666666</c:v>
                </c:pt>
                <c:pt idx="35">
                  <c:v>68.333333333333329</c:v>
                </c:pt>
                <c:pt idx="36">
                  <c:v>287</c:v>
                </c:pt>
                <c:pt idx="37">
                  <c:v>62.666666666666664</c:v>
                </c:pt>
                <c:pt idx="38">
                  <c:v>39.5</c:v>
                </c:pt>
                <c:pt idx="39">
                  <c:v>123.5</c:v>
                </c:pt>
                <c:pt idx="40">
                  <c:v>108.5</c:v>
                </c:pt>
                <c:pt idx="41">
                  <c:v>132.5</c:v>
                </c:pt>
                <c:pt idx="42">
                  <c:v>97.5</c:v>
                </c:pt>
                <c:pt idx="43">
                  <c:v>61.666666666666664</c:v>
                </c:pt>
                <c:pt idx="44">
                  <c:v>106.5</c:v>
                </c:pt>
                <c:pt idx="45">
                  <c:v>91</c:v>
                </c:pt>
                <c:pt idx="46">
                  <c:v>153</c:v>
                </c:pt>
                <c:pt idx="47">
                  <c:v>193.5</c:v>
                </c:pt>
                <c:pt idx="48">
                  <c:v>107.5</c:v>
                </c:pt>
                <c:pt idx="49">
                  <c:v>94.333333333333329</c:v>
                </c:pt>
                <c:pt idx="50">
                  <c:v>227.33333333333334</c:v>
                </c:pt>
                <c:pt idx="51">
                  <c:v>62</c:v>
                </c:pt>
                <c:pt idx="52">
                  <c:v>140.33333333333334</c:v>
                </c:pt>
                <c:pt idx="53">
                  <c:v>92.333333333333329</c:v>
                </c:pt>
                <c:pt idx="54">
                  <c:v>149.5</c:v>
                </c:pt>
                <c:pt idx="55">
                  <c:v>129.5</c:v>
                </c:pt>
                <c:pt idx="56">
                  <c:v>127.75</c:v>
                </c:pt>
                <c:pt idx="57">
                  <c:v>81.5</c:v>
                </c:pt>
                <c:pt idx="58">
                  <c:v>49</c:v>
                </c:pt>
                <c:pt idx="59">
                  <c:v>162.33333333333334</c:v>
                </c:pt>
                <c:pt idx="60">
                  <c:v>97.5</c:v>
                </c:pt>
                <c:pt idx="61">
                  <c:v>71</c:v>
                </c:pt>
                <c:pt idx="62">
                  <c:v>55.666666666666664</c:v>
                </c:pt>
                <c:pt idx="63">
                  <c:v>64.666666666666671</c:v>
                </c:pt>
                <c:pt idx="64">
                  <c:v>110</c:v>
                </c:pt>
                <c:pt idx="65">
                  <c:v>100.66666666666667</c:v>
                </c:pt>
                <c:pt idx="66">
                  <c:v>98.166666666666671</c:v>
                </c:pt>
                <c:pt idx="67">
                  <c:v>123.25</c:v>
                </c:pt>
                <c:pt idx="68">
                  <c:v>86.75</c:v>
                </c:pt>
                <c:pt idx="69">
                  <c:v>115.5</c:v>
                </c:pt>
                <c:pt idx="70">
                  <c:v>90</c:v>
                </c:pt>
                <c:pt idx="71">
                  <c:v>68.75</c:v>
                </c:pt>
                <c:pt idx="72">
                  <c:v>71</c:v>
                </c:pt>
                <c:pt idx="73">
                  <c:v>67.5</c:v>
                </c:pt>
                <c:pt idx="74">
                  <c:v>57.5</c:v>
                </c:pt>
                <c:pt idx="75">
                  <c:v>90.666666666666671</c:v>
                </c:pt>
                <c:pt idx="76">
                  <c:v>213.66666666666666</c:v>
                </c:pt>
                <c:pt idx="77">
                  <c:v>174.6</c:v>
                </c:pt>
                <c:pt idx="78">
                  <c:v>167</c:v>
                </c:pt>
                <c:pt idx="79">
                  <c:v>86</c:v>
                </c:pt>
                <c:pt idx="80">
                  <c:v>126</c:v>
                </c:pt>
                <c:pt idx="81">
                  <c:v>106.66666666666667</c:v>
                </c:pt>
                <c:pt idx="82">
                  <c:v>137</c:v>
                </c:pt>
                <c:pt idx="83">
                  <c:v>136</c:v>
                </c:pt>
                <c:pt idx="84">
                  <c:v>93.5</c:v>
                </c:pt>
                <c:pt idx="85">
                  <c:v>131.33333333333334</c:v>
                </c:pt>
                <c:pt idx="86">
                  <c:v>154.66666666666666</c:v>
                </c:pt>
                <c:pt idx="87">
                  <c:v>157.33333333333334</c:v>
                </c:pt>
                <c:pt idx="88">
                  <c:v>119.6</c:v>
                </c:pt>
                <c:pt idx="89">
                  <c:v>174</c:v>
                </c:pt>
                <c:pt idx="90">
                  <c:v>115.5</c:v>
                </c:pt>
                <c:pt idx="91">
                  <c:v>63</c:v>
                </c:pt>
                <c:pt idx="92">
                  <c:v>54</c:v>
                </c:pt>
                <c:pt idx="93">
                  <c:v>52.25</c:v>
                </c:pt>
                <c:pt idx="94">
                  <c:v>82</c:v>
                </c:pt>
                <c:pt idx="95">
                  <c:v>74</c:v>
                </c:pt>
                <c:pt idx="96">
                  <c:v>130</c:v>
                </c:pt>
                <c:pt idx="97">
                  <c:v>172.5</c:v>
                </c:pt>
                <c:pt idx="98">
                  <c:v>63.75</c:v>
                </c:pt>
                <c:pt idx="99">
                  <c:v>107</c:v>
                </c:pt>
                <c:pt idx="100">
                  <c:v>73</c:v>
                </c:pt>
                <c:pt idx="101">
                  <c:v>236</c:v>
                </c:pt>
                <c:pt idx="102">
                  <c:v>166</c:v>
                </c:pt>
                <c:pt idx="103">
                  <c:v>149</c:v>
                </c:pt>
                <c:pt idx="104">
                  <c:v>162.80000000000001</c:v>
                </c:pt>
                <c:pt idx="105">
                  <c:v>169</c:v>
                </c:pt>
                <c:pt idx="106">
                  <c:v>112</c:v>
                </c:pt>
                <c:pt idx="107">
                  <c:v>185</c:v>
                </c:pt>
                <c:pt idx="108">
                  <c:v>116.75</c:v>
                </c:pt>
                <c:pt idx="109">
                  <c:v>200</c:v>
                </c:pt>
                <c:pt idx="110">
                  <c:v>165</c:v>
                </c:pt>
                <c:pt idx="111">
                  <c:v>98</c:v>
                </c:pt>
                <c:pt idx="112">
                  <c:v>87.5</c:v>
                </c:pt>
                <c:pt idx="113">
                  <c:v>130.5</c:v>
                </c:pt>
                <c:pt idx="114">
                  <c:v>89.333333333333329</c:v>
                </c:pt>
                <c:pt idx="115">
                  <c:v>109.16666666666667</c:v>
                </c:pt>
                <c:pt idx="116">
                  <c:v>66</c:v>
                </c:pt>
                <c:pt idx="117">
                  <c:v>133.66666666666666</c:v>
                </c:pt>
                <c:pt idx="118">
                  <c:v>136.33333333333334</c:v>
                </c:pt>
                <c:pt idx="119">
                  <c:v>83.6</c:v>
                </c:pt>
                <c:pt idx="120">
                  <c:v>85</c:v>
                </c:pt>
                <c:pt idx="121">
                  <c:v>126</c:v>
                </c:pt>
                <c:pt idx="122">
                  <c:v>185</c:v>
                </c:pt>
                <c:pt idx="123">
                  <c:v>159.25</c:v>
                </c:pt>
                <c:pt idx="124">
                  <c:v>154.66666666666666</c:v>
                </c:pt>
                <c:pt idx="125">
                  <c:v>89.333333333333329</c:v>
                </c:pt>
                <c:pt idx="126">
                  <c:v>99</c:v>
                </c:pt>
                <c:pt idx="127">
                  <c:v>89</c:v>
                </c:pt>
                <c:pt idx="128">
                  <c:v>135</c:v>
                </c:pt>
                <c:pt idx="129">
                  <c:v>108</c:v>
                </c:pt>
                <c:pt idx="130">
                  <c:v>143.66666666666666</c:v>
                </c:pt>
                <c:pt idx="131">
                  <c:v>101.6</c:v>
                </c:pt>
                <c:pt idx="132">
                  <c:v>153</c:v>
                </c:pt>
                <c:pt idx="133">
                  <c:v>80</c:v>
                </c:pt>
                <c:pt idx="134">
                  <c:v>184</c:v>
                </c:pt>
                <c:pt idx="135">
                  <c:v>135.5</c:v>
                </c:pt>
                <c:pt idx="136">
                  <c:v>209.25</c:v>
                </c:pt>
                <c:pt idx="137">
                  <c:v>93.777777777777771</c:v>
                </c:pt>
                <c:pt idx="138">
                  <c:v>73</c:v>
                </c:pt>
                <c:pt idx="139">
                  <c:v>205.5</c:v>
                </c:pt>
                <c:pt idx="140">
                  <c:v>183</c:v>
                </c:pt>
                <c:pt idx="141">
                  <c:v>122.5</c:v>
                </c:pt>
                <c:pt idx="142">
                  <c:v>155.75</c:v>
                </c:pt>
                <c:pt idx="143">
                  <c:v>181.4</c:v>
                </c:pt>
                <c:pt idx="144">
                  <c:v>77</c:v>
                </c:pt>
                <c:pt idx="145">
                  <c:v>114.33333333333333</c:v>
                </c:pt>
                <c:pt idx="146">
                  <c:v>194</c:v>
                </c:pt>
                <c:pt idx="147">
                  <c:v>136</c:v>
                </c:pt>
                <c:pt idx="148">
                  <c:v>105</c:v>
                </c:pt>
                <c:pt idx="149">
                  <c:v>208.33333333333334</c:v>
                </c:pt>
                <c:pt idx="150">
                  <c:v>152.5</c:v>
                </c:pt>
                <c:pt idx="151">
                  <c:v>202.5</c:v>
                </c:pt>
                <c:pt idx="152">
                  <c:v>148</c:v>
                </c:pt>
                <c:pt idx="153">
                  <c:v>201</c:v>
                </c:pt>
                <c:pt idx="154">
                  <c:v>118.33333333333333</c:v>
                </c:pt>
                <c:pt idx="155">
                  <c:v>198.5</c:v>
                </c:pt>
                <c:pt idx="156">
                  <c:v>88.5</c:v>
                </c:pt>
                <c:pt idx="157">
                  <c:v>195.5</c:v>
                </c:pt>
                <c:pt idx="158">
                  <c:v>98.75</c:v>
                </c:pt>
                <c:pt idx="159">
                  <c:v>167.5</c:v>
                </c:pt>
                <c:pt idx="160">
                  <c:v>125.66666666666667</c:v>
                </c:pt>
                <c:pt idx="161">
                  <c:v>152</c:v>
                </c:pt>
                <c:pt idx="162">
                  <c:v>149.66666666666666</c:v>
                </c:pt>
                <c:pt idx="163">
                  <c:v>214</c:v>
                </c:pt>
                <c:pt idx="164">
                  <c:v>131.5</c:v>
                </c:pt>
                <c:pt idx="165">
                  <c:v>218.66666666666666</c:v>
                </c:pt>
                <c:pt idx="166">
                  <c:v>130.5</c:v>
                </c:pt>
                <c:pt idx="167">
                  <c:v>103.5</c:v>
                </c:pt>
                <c:pt idx="168">
                  <c:v>135.33333333333334</c:v>
                </c:pt>
                <c:pt idx="169">
                  <c:v>107.66666666666667</c:v>
                </c:pt>
                <c:pt idx="170">
                  <c:v>180.28571428571428</c:v>
                </c:pt>
                <c:pt idx="171">
                  <c:v>171</c:v>
                </c:pt>
                <c:pt idx="172">
                  <c:v>147.5</c:v>
                </c:pt>
                <c:pt idx="173">
                  <c:v>194.5</c:v>
                </c:pt>
                <c:pt idx="174">
                  <c:v>117</c:v>
                </c:pt>
                <c:pt idx="175">
                  <c:v>172.2</c:v>
                </c:pt>
                <c:pt idx="176">
                  <c:v>132</c:v>
                </c:pt>
                <c:pt idx="177">
                  <c:v>139.5</c:v>
                </c:pt>
                <c:pt idx="178">
                  <c:v>150.5</c:v>
                </c:pt>
                <c:pt idx="179">
                  <c:v>137</c:v>
                </c:pt>
                <c:pt idx="180">
                  <c:v>145</c:v>
                </c:pt>
                <c:pt idx="181">
                  <c:v>160.5</c:v>
                </c:pt>
                <c:pt idx="182">
                  <c:v>155</c:v>
                </c:pt>
                <c:pt idx="183">
                  <c:v>169.5</c:v>
                </c:pt>
                <c:pt idx="184">
                  <c:v>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3-4D43-86AE-D2F036DE6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426559"/>
        <c:axId val="2132423199"/>
      </c:scatterChart>
      <c:valAx>
        <c:axId val="213242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423199"/>
        <c:crosses val="autoZero"/>
        <c:crossBetween val="midCat"/>
      </c:valAx>
      <c:valAx>
        <c:axId val="213242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42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'Supl Performance'!$I$694</c:f>
              <c:strCache>
                <c:ptCount val="1"/>
                <c:pt idx="0">
                  <c:v>Lead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'Supl Performance'!$H$695:$H$705</c:f>
              <c:strCache>
                <c:ptCount val="11"/>
                <c:pt idx="0">
                  <c:v>Gabcube</c:v>
                </c:pt>
                <c:pt idx="1">
                  <c:v>Realfire</c:v>
                </c:pt>
                <c:pt idx="2">
                  <c:v>Yakidoo</c:v>
                </c:pt>
                <c:pt idx="3">
                  <c:v>Brainbox</c:v>
                </c:pt>
                <c:pt idx="4">
                  <c:v>Eazzy</c:v>
                </c:pt>
                <c:pt idx="5">
                  <c:v>Edgeify</c:v>
                </c:pt>
                <c:pt idx="6">
                  <c:v>Fadeo</c:v>
                </c:pt>
                <c:pt idx="7">
                  <c:v>Camimbo</c:v>
                </c:pt>
                <c:pt idx="8">
                  <c:v>Eabox</c:v>
                </c:pt>
                <c:pt idx="9">
                  <c:v>Divape</c:v>
                </c:pt>
                <c:pt idx="10">
                  <c:v>Zoonder</c:v>
                </c:pt>
              </c:strCache>
            </c:strRef>
          </c:cat>
          <c:val>
            <c:numRef>
              <c:f>'Supl Performance'!$I$695:$I$705</c:f>
              <c:numCache>
                <c:formatCode>General</c:formatCode>
                <c:ptCount val="11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F-4AF5-A434-7BAE02A27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0504432"/>
        <c:axId val="220505392"/>
      </c:barChart>
      <c:catAx>
        <c:axId val="22050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05392"/>
        <c:crosses val="autoZero"/>
        <c:auto val="1"/>
        <c:lblAlgn val="ctr"/>
        <c:lblOffset val="100"/>
        <c:noMultiLvlLbl val="0"/>
      </c:catAx>
      <c:valAx>
        <c:axId val="22050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0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'Supl Performance'!$L$694</c:f>
              <c:strCache>
                <c:ptCount val="1"/>
                <c:pt idx="0">
                  <c:v>Lead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'Supl Performance'!$K$695:$K$704</c:f>
              <c:strCache>
                <c:ptCount val="10"/>
                <c:pt idx="0">
                  <c:v>Mymm</c:v>
                </c:pt>
                <c:pt idx="1">
                  <c:v>Oyoba</c:v>
                </c:pt>
                <c:pt idx="2">
                  <c:v>Tagcat</c:v>
                </c:pt>
                <c:pt idx="3">
                  <c:v>Wikivu</c:v>
                </c:pt>
                <c:pt idx="4">
                  <c:v>Zoombeat</c:v>
                </c:pt>
                <c:pt idx="5">
                  <c:v>Skippad</c:v>
                </c:pt>
                <c:pt idx="6">
                  <c:v>Midel</c:v>
                </c:pt>
                <c:pt idx="7">
                  <c:v>Vipe</c:v>
                </c:pt>
                <c:pt idx="8">
                  <c:v>Feedfish</c:v>
                </c:pt>
                <c:pt idx="9">
                  <c:v>Centizu</c:v>
                </c:pt>
              </c:strCache>
            </c:strRef>
          </c:cat>
          <c:val>
            <c:numRef>
              <c:f>'Supl Performance'!$L$695:$L$704</c:f>
              <c:numCache>
                <c:formatCode>General</c:formatCode>
                <c:ptCount val="10"/>
                <c:pt idx="0">
                  <c:v>340</c:v>
                </c:pt>
                <c:pt idx="1">
                  <c:v>335</c:v>
                </c:pt>
                <c:pt idx="2">
                  <c:v>303</c:v>
                </c:pt>
                <c:pt idx="3">
                  <c:v>298</c:v>
                </c:pt>
                <c:pt idx="4">
                  <c:v>291</c:v>
                </c:pt>
                <c:pt idx="5">
                  <c:v>288</c:v>
                </c:pt>
                <c:pt idx="6">
                  <c:v>287</c:v>
                </c:pt>
                <c:pt idx="7">
                  <c:v>279</c:v>
                </c:pt>
                <c:pt idx="8">
                  <c:v>270</c:v>
                </c:pt>
                <c:pt idx="9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1-4406-84DF-16953B242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78880"/>
        <c:axId val="118477440"/>
      </c:barChart>
      <c:catAx>
        <c:axId val="1184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77440"/>
        <c:crosses val="autoZero"/>
        <c:auto val="1"/>
        <c:lblAlgn val="ctr"/>
        <c:lblOffset val="100"/>
        <c:noMultiLvlLbl val="0"/>
      </c:catAx>
      <c:valAx>
        <c:axId val="1184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7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431132</xdr:colOff>
      <xdr:row>15</xdr:row>
      <xdr:rowOff>185504</xdr:rowOff>
    </xdr:from>
    <xdr:to>
      <xdr:col>26</xdr:col>
      <xdr:colOff>371011</xdr:colOff>
      <xdr:row>36</xdr:row>
      <xdr:rowOff>82745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E76DA7-A402-AB59-F424-79852AE58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278780</xdr:colOff>
      <xdr:row>143</xdr:row>
      <xdr:rowOff>2942</xdr:rowOff>
    </xdr:from>
    <xdr:to>
      <xdr:col>25</xdr:col>
      <xdr:colOff>596281</xdr:colOff>
      <xdr:row>163</xdr:row>
      <xdr:rowOff>178110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C49568-C1AA-027E-DA20-6E336D9EB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178371</xdr:colOff>
      <xdr:row>237</xdr:row>
      <xdr:rowOff>171234</xdr:rowOff>
    </xdr:from>
    <xdr:to>
      <xdr:col>25</xdr:col>
      <xdr:colOff>128426</xdr:colOff>
      <xdr:row>254</xdr:row>
      <xdr:rowOff>114156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D8E102-5107-4734-8DEF-1DA665F5D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125572</xdr:colOff>
      <xdr:row>36</xdr:row>
      <xdr:rowOff>151686</xdr:rowOff>
    </xdr:from>
    <xdr:to>
      <xdr:col>20</xdr:col>
      <xdr:colOff>535113</xdr:colOff>
      <xdr:row>48</xdr:row>
      <xdr:rowOff>135561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D61D5F-36E8-B86F-6E8C-42157B995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41777</xdr:colOff>
      <xdr:row>5</xdr:row>
      <xdr:rowOff>16711</xdr:rowOff>
    </xdr:from>
    <xdr:to>
      <xdr:col>35</xdr:col>
      <xdr:colOff>75197</xdr:colOff>
      <xdr:row>53</xdr:row>
      <xdr:rowOff>116973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85DB9C-E805-4C2D-8FFA-5F846C804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29165</xdr:colOff>
      <xdr:row>55</xdr:row>
      <xdr:rowOff>86781</xdr:rowOff>
    </xdr:from>
    <xdr:to>
      <xdr:col>35</xdr:col>
      <xdr:colOff>66842</xdr:colOff>
      <xdr:row>89</xdr:row>
      <xdr:rowOff>167105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7F3B3A-AB7F-2D3F-F971-C7C80737F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555625</xdr:colOff>
      <xdr:row>15</xdr:row>
      <xdr:rowOff>88900</xdr:rowOff>
    </xdr:from>
    <xdr:to>
      <xdr:col>17</xdr:col>
      <xdr:colOff>482600</xdr:colOff>
      <xdr:row>27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D95E5-6F17-79EA-E2C9-060A09896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549274</xdr:colOff>
      <xdr:row>29</xdr:row>
      <xdr:rowOff>6350</xdr:rowOff>
    </xdr:from>
    <xdr:to>
      <xdr:col>17</xdr:col>
      <xdr:colOff>533399</xdr:colOff>
      <xdr:row>43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BFAB73-D77A-E2C2-F914-7312739FA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600074</xdr:colOff>
      <xdr:row>21</xdr:row>
      <xdr:rowOff>25400</xdr:rowOff>
    </xdr:from>
    <xdr:to>
      <xdr:col>26</xdr:col>
      <xdr:colOff>323850</xdr:colOff>
      <xdr:row>34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B12EE-0932-A1F5-B6DF-CCFA89D89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606424</xdr:colOff>
      <xdr:row>35</xdr:row>
      <xdr:rowOff>76200</xdr:rowOff>
    </xdr:from>
    <xdr:to>
      <xdr:col>26</xdr:col>
      <xdr:colOff>368299</xdr:colOff>
      <xdr:row>49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D9B89A-8997-70AC-B041-AC2CAC99E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600076</xdr:colOff>
      <xdr:row>50</xdr:row>
      <xdr:rowOff>6349</xdr:rowOff>
    </xdr:from>
    <xdr:to>
      <xdr:col>20</xdr:col>
      <xdr:colOff>16934</xdr:colOff>
      <xdr:row>62</xdr:row>
      <xdr:rowOff>179915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4FA1DF-E92B-1144-B125-EC87764D9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0</xdr:rowOff>
    </xdr:from>
    <xdr:to>
      <xdr:col>13</xdr:col>
      <xdr:colOff>450850</xdr:colOff>
      <xdr:row>14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166396-C100-493A-8BB2-467F6E0BF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247650</xdr:colOff>
      <xdr:row>14</xdr:row>
      <xdr:rowOff>146050</xdr:rowOff>
    </xdr:from>
    <xdr:to>
      <xdr:col>13</xdr:col>
      <xdr:colOff>431800</xdr:colOff>
      <xdr:row>29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D5BB12-FFB1-1FFD-406D-01F090158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581042</xdr:colOff>
      <xdr:row>62</xdr:row>
      <xdr:rowOff>88762</xdr:rowOff>
    </xdr:from>
    <xdr:to>
      <xdr:col>23</xdr:col>
      <xdr:colOff>598189</xdr:colOff>
      <xdr:row>81</xdr:row>
      <xdr:rowOff>46014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4DC06BE-0373-84A5-A470-62EBBB913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25801</xdr:colOff>
      <xdr:row>44</xdr:row>
      <xdr:rowOff>144317</xdr:rowOff>
    </xdr:from>
    <xdr:to>
      <xdr:col>23</xdr:col>
      <xdr:colOff>579783</xdr:colOff>
      <xdr:row>61</xdr:row>
      <xdr:rowOff>27609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2308D50-871E-899A-0B2C-C67FD4862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583770</xdr:colOff>
      <xdr:row>82</xdr:row>
      <xdr:rowOff>147135</xdr:rowOff>
    </xdr:from>
    <xdr:to>
      <xdr:col>21</xdr:col>
      <xdr:colOff>329770</xdr:colOff>
      <xdr:row>109</xdr:row>
      <xdr:rowOff>89985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8DFF0A1-B957-CC28-7BDA-308593858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444629</xdr:colOff>
      <xdr:row>85</xdr:row>
      <xdr:rowOff>46230</xdr:rowOff>
    </xdr:from>
    <xdr:to>
      <xdr:col>15</xdr:col>
      <xdr:colOff>444629</xdr:colOff>
      <xdr:row>107</xdr:row>
      <xdr:rowOff>171217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94927D1-8D6A-2F87-F3E3-139ED13139E0}"/>
            </a:ext>
          </a:extLst>
        </xdr:cNvPr>
        <xdr:cNvCxnSpPr/>
      </xdr:nvCxnSpPr>
      <xdr:spPr>
        <a:xfrm flipV="1">
          <a:off x="12178325" y="16050071"/>
          <a:ext cx="0" cy="41742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540617</xdr:colOff>
      <xdr:row>96</xdr:row>
      <xdr:rowOff>142322</xdr:rowOff>
    </xdr:from>
    <xdr:to>
      <xdr:col>21</xdr:col>
      <xdr:colOff>11083</xdr:colOff>
      <xdr:row>96</xdr:row>
      <xdr:rowOff>171216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643972-6F74-76F5-16BE-A22765C56D94}"/>
            </a:ext>
          </a:extLst>
        </xdr:cNvPr>
        <xdr:cNvCxnSpPr/>
      </xdr:nvCxnSpPr>
      <xdr:spPr>
        <a:xfrm flipV="1">
          <a:off x="8795617" y="18170800"/>
          <a:ext cx="6786770" cy="288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239276</xdr:colOff>
      <xdr:row>105</xdr:row>
      <xdr:rowOff>110436</xdr:rowOff>
    </xdr:from>
    <xdr:to>
      <xdr:col>15</xdr:col>
      <xdr:colOff>322102</xdr:colOff>
      <xdr:row>106</xdr:row>
      <xdr:rowOff>156449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4F6A86A-7FD7-4EF4-2839-57A70E21C7F6}"/>
            </a:ext>
          </a:extLst>
        </xdr:cNvPr>
        <xdr:cNvSpPr txBox="1"/>
      </xdr:nvSpPr>
      <xdr:spPr>
        <a:xfrm>
          <a:off x="10021957" y="19795436"/>
          <a:ext cx="2033841" cy="23007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Quadrant I: Fast and Stable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174856</xdr:colOff>
      <xdr:row>85</xdr:row>
      <xdr:rowOff>115590</xdr:rowOff>
    </xdr:from>
    <xdr:to>
      <xdr:col>15</xdr:col>
      <xdr:colOff>327257</xdr:colOff>
      <xdr:row>86</xdr:row>
      <xdr:rowOff>147246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17062A3-8048-40FC-90E4-BEF351D8FA45}"/>
            </a:ext>
          </a:extLst>
        </xdr:cNvPr>
        <xdr:cNvSpPr txBox="1"/>
      </xdr:nvSpPr>
      <xdr:spPr>
        <a:xfrm>
          <a:off x="9957537" y="16119431"/>
          <a:ext cx="2103416" cy="21571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Quadrant II: Fast and Fluctuative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516466</xdr:colOff>
      <xdr:row>105</xdr:row>
      <xdr:rowOff>120743</xdr:rowOff>
    </xdr:from>
    <xdr:to>
      <xdr:col>19</xdr:col>
      <xdr:colOff>174854</xdr:colOff>
      <xdr:row>106</xdr:row>
      <xdr:rowOff>165652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E87DBBF-7D6C-469F-BE0B-A22FE1A2BC03}"/>
            </a:ext>
          </a:extLst>
        </xdr:cNvPr>
        <xdr:cNvSpPr txBox="1"/>
      </xdr:nvSpPr>
      <xdr:spPr>
        <a:xfrm>
          <a:off x="12250162" y="19805743"/>
          <a:ext cx="2087953" cy="22896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Quadrant III: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Slow and Stable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521620</xdr:colOff>
      <xdr:row>85</xdr:row>
      <xdr:rowOff>116693</xdr:rowOff>
    </xdr:from>
    <xdr:to>
      <xdr:col>19</xdr:col>
      <xdr:colOff>358913</xdr:colOff>
      <xdr:row>87</xdr:row>
      <xdr:rowOff>36810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E9A4953-D2A5-41D8-BAB7-2676C433F886}"/>
            </a:ext>
          </a:extLst>
        </xdr:cNvPr>
        <xdr:cNvSpPr txBox="1"/>
      </xdr:nvSpPr>
      <xdr:spPr>
        <a:xfrm>
          <a:off x="12255316" y="16120534"/>
          <a:ext cx="2266858" cy="28823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Quadrant IV: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Slow and Fluctuactive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332226</xdr:colOff>
      <xdr:row>690</xdr:row>
      <xdr:rowOff>114668</xdr:rowOff>
    </xdr:from>
    <xdr:to>
      <xdr:col>23</xdr:col>
      <xdr:colOff>174855</xdr:colOff>
      <xdr:row>703</xdr:row>
      <xdr:rowOff>138043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95EB9-7535-F495-613D-FE992580D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295412</xdr:colOff>
      <xdr:row>705</xdr:row>
      <xdr:rowOff>50248</xdr:rowOff>
    </xdr:from>
    <xdr:to>
      <xdr:col>23</xdr:col>
      <xdr:colOff>193260</xdr:colOff>
      <xdr:row>719</xdr:row>
      <xdr:rowOff>165652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E8B620-522B-90ED-F86D-B93CF049C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G" refreshedDate="45950.809964351851" createdVersion="8" refreshedVersion="8" minRefreshableVersion="3" recordCount="990" xr:uid="{AB65339E-96FD-4C20-99C2-529288352CA9}">
  <cacheSource type="worksheet">
    <worksheetSource name="GroDB"/>
  </cacheSource>
  <cacheFields count="31">
    <cacheField name="Product_Name" numFmtId="0">
      <sharedItems count="121">
        <s v="Bell Pepper"/>
        <s v="Vegetable Oil"/>
        <s v="Parmesan Cheese"/>
        <s v="Carrot"/>
        <s v="Garlic"/>
        <s v="Lemon"/>
        <s v="Coconut Sugar"/>
        <s v="Anchovies"/>
        <s v="Cheese"/>
        <s v="Yogurt"/>
        <s v="Cheddar Cheese"/>
        <s v="Avocado Oil"/>
        <s v="Orange"/>
        <s v="Digestive Biscuit"/>
        <s v="Cauliflower"/>
        <s v="Pear"/>
        <s v="Egg (Turkey)"/>
        <s v="Ricotta Cheese"/>
        <s v="Eggplant"/>
        <s v="Whole Wheat Flour"/>
        <s v="Arabica Coffee"/>
        <s v="Sweet Potato"/>
        <s v="Mango"/>
        <s v="Kale"/>
        <s v="Jasmine Rice"/>
        <s v="Sourdough Bread"/>
        <s v="Green Coffee"/>
        <s v="Tilapia"/>
        <s v="Arborio Rice"/>
        <s v="Bread Flour"/>
        <s v="Cucumber"/>
        <s v="Milk"/>
        <s v="Lime"/>
        <s v="Rice Flour"/>
        <s v="Sour Cream"/>
        <s v="Whole Wheat Bread"/>
        <s v="Robusta Coffee"/>
        <s v="Chocolate Biscuit"/>
        <s v="Palm Oil"/>
        <s v="Sesame Oil"/>
        <s v="Lettuce"/>
        <s v="Feta Cheese"/>
        <s v="Apricot"/>
        <s v="Peanut Oil"/>
        <s v="Olive Oil"/>
        <s v="Egg (Duck)"/>
        <s v="Pineapple"/>
        <s v="Trout"/>
        <s v="Onion"/>
        <s v="Cream"/>
        <s v="Sardines"/>
        <s v="Plum"/>
        <s v="Sushi Rice"/>
        <s v="Black Rice"/>
        <s v="Wild Rice"/>
        <s v="Pomegranate"/>
        <s v="Cabbage"/>
        <s v="All-Purpose Flour"/>
        <s v="Whipped Cream"/>
        <s v="Grapes"/>
        <s v="Sunflower Oil"/>
        <s v="Short Grain Rice"/>
        <s v="Tuna"/>
        <s v="Banana"/>
        <s v="Coconut"/>
        <s v="Almond Flour"/>
        <s v="Greek Yogurt"/>
        <s v="Peach"/>
        <s v="Asparagus"/>
        <s v="Mushrooms"/>
        <s v="Black Tea"/>
        <s v="White Tea"/>
        <s v="White Rice"/>
        <s v="Long Grain Rice"/>
        <s v="Rye Bread"/>
        <s v="Egg (Goose)"/>
        <s v="Brown Rice"/>
        <s v="Black Coffee"/>
        <s v="White Sugar"/>
        <s v="Egg (Quail)"/>
        <s v="Herbal Tea"/>
        <s v="Coconut Oil"/>
        <s v="Buttermilk"/>
        <s v="Evaporated Milk"/>
        <s v="Powdered Sugar"/>
        <s v="Cod"/>
        <s v="Kiwi"/>
        <s v="Haddock"/>
        <s v="Tomato"/>
        <s v="Gouda Cheese"/>
        <s v="Spinach"/>
        <s v="Canola Oil"/>
        <s v="Basmati Rice"/>
        <s v="Oatmeal Biscuit"/>
        <s v="Green Beans"/>
        <s v="Apple"/>
        <s v="Peas"/>
        <s v="Cottage Cheese"/>
        <s v="Multigrain Bread"/>
        <s v="Potato"/>
        <s v="Halibut"/>
        <s v="Salmon"/>
        <s v="Broccoli"/>
        <s v="Corn Oil"/>
        <s v="Strawberries"/>
        <s v="Green Tea"/>
        <s v="Swiss Cheese"/>
        <s v="Cherry"/>
        <s v="Zucchini"/>
        <s v="Butter Biscuit"/>
        <s v="Egg (Chicken)"/>
        <s v="White Bread"/>
        <s v="Watermelon"/>
        <s v="Vanilla Biscuit"/>
        <s v="Papaya"/>
        <s v="Butter"/>
        <s v="Heavy Cream"/>
        <s v="Blueberries"/>
        <s v="Mozzarella Cheese"/>
        <s v="Mackerel"/>
        <s v="Raw Sugar"/>
      </sharedItems>
    </cacheField>
    <cacheField name="Catagory" numFmtId="0">
      <sharedItems count="7">
        <s v="Fruits &amp; Vegetables"/>
        <s v="Oils &amp; Fats"/>
        <s v="Dairy"/>
        <s v="Grains &amp; Pulses"/>
        <s v="Seafood"/>
        <s v="Bakery"/>
        <s v="Beverages"/>
      </sharedItems>
    </cacheField>
    <cacheField name="Supplier_Name" numFmtId="0">
      <sharedItems count="350">
        <s v="Eimbee"/>
        <s v="Digitube"/>
        <s v="BlogXS"/>
        <s v="Avaveo"/>
        <s v="Katz"/>
        <s v="Yata"/>
        <s v="Lazz"/>
        <s v="Zoonder"/>
        <s v="Oozz"/>
        <s v="Jaxnation"/>
        <s v="Gabcube"/>
        <s v="Dabtype"/>
        <s v="Flashdog"/>
        <s v="Devshare"/>
        <s v="Cogilith"/>
        <s v="Roodel"/>
        <s v="Bluezoom"/>
        <s v="Skimia"/>
        <s v="Blogpad"/>
        <s v="Dabjam"/>
        <s v="Feedmix"/>
        <s v="Trupe"/>
        <s v="Meevee"/>
        <s v="Topicware"/>
        <s v="Plajo"/>
        <s v="Skyndu"/>
        <s v="Yotz"/>
        <s v="Vinder"/>
        <s v="Geba"/>
        <s v="Dazzlesphere"/>
        <s v="Kanoodle"/>
        <s v="Centimia"/>
        <s v="Livefish"/>
        <s v="Quatz"/>
        <s v="Rhyloo"/>
        <s v="Shuffledrive"/>
        <s v="Skyvu"/>
        <s v="Devpulse"/>
        <s v="Yodo"/>
        <s v="Skipstorm"/>
        <s v="Camido"/>
        <s v="Fadeo"/>
        <s v="Rhynyx"/>
        <s v="Skinix"/>
        <s v="Tagopia"/>
        <s v="Realmix"/>
        <s v="Gigaclub"/>
        <s v="Brainverse"/>
        <s v="Skyba"/>
        <s v="Blogtag"/>
        <s v="Oba"/>
        <s v="Oyondu"/>
        <s v="Eayo"/>
        <s v="Avamba"/>
        <s v="Mybuzz"/>
        <s v="Twitterwire"/>
        <s v="Topicstorm"/>
        <s v="Wordpedia"/>
        <s v="Kayveo"/>
        <s v="Meeveo"/>
        <s v="Npath"/>
        <s v="Riffpedia"/>
        <s v="Lajo"/>
        <s v="Vinte"/>
        <s v="Gevee"/>
        <s v="Wordify"/>
        <s v="Aibox"/>
        <s v="Yakitri"/>
        <s v="Quinu"/>
        <s v="Thoughtmix"/>
        <s v="Photofeed"/>
        <s v="Mydo"/>
        <s v="Edgeify"/>
        <s v="Meemm"/>
        <s v="Dynabox"/>
        <s v="Wikizz"/>
        <s v="Youfeed"/>
        <s v="Oloo"/>
        <s v="Trudoo"/>
        <s v="Topdrive"/>
        <s v="Trunyx"/>
        <s v="Thoughtstorm"/>
        <s v="JumpXS"/>
        <s v="Voomm"/>
        <s v="Chatterbridge"/>
        <s v="Skinte"/>
        <s v="Yabox"/>
        <s v="Yakijo"/>
        <s v="Bubblebox"/>
        <s v="Jatri"/>
        <s v="Kare"/>
        <s v="Midel"/>
        <s v="Brightbean"/>
        <s v="Browseblab"/>
        <s v="Tagcat"/>
        <s v="Flashspan"/>
        <s v="Devcast"/>
        <s v="Livepath"/>
        <s v="Brainlounge"/>
        <s v="Gabvine"/>
        <s v="Viva"/>
        <s v="Browsetype"/>
        <s v="Fivebridge"/>
        <s v="Photobean"/>
        <s v="Realpoint"/>
        <s v="Pixonyx"/>
        <s v="Blogtags"/>
        <s v="Zoombox"/>
        <s v="Skalith"/>
        <s v="Demivee"/>
        <s v="Jetwire"/>
        <s v="Devbug"/>
        <s v="Kwimbee"/>
        <s v="Voonyx"/>
        <s v="Gigashots"/>
        <s v="Podcat"/>
        <s v="Wordware"/>
        <s v="Zooveo"/>
        <s v="Vimbo"/>
        <s v="Feedfire"/>
        <s v="Bluejam"/>
        <s v="Demimbu"/>
        <s v="Kamba"/>
        <s v="Quire"/>
        <s v="Ozu"/>
        <s v="Avamm"/>
        <s v="Roomm"/>
        <s v="Wikido"/>
        <s v="Wikibox"/>
        <s v="Meejo"/>
        <s v="Omba"/>
        <s v="Wordtune"/>
        <s v="Riffwire"/>
        <s v="Yodoo"/>
        <s v="Talane"/>
        <s v="Photobug"/>
        <s v="Dabshots"/>
        <s v="Skippad"/>
        <s v="Jabbersphere"/>
        <s v="Youbridge"/>
        <s v="Bubblemix"/>
        <s v="Reallinks"/>
        <s v="InnoZ"/>
        <s v="Tekfly"/>
        <s v="Miboo"/>
        <s v="Mydeo"/>
        <s v="Zoomzone"/>
        <s v="Jaxworks"/>
        <s v="Feedbug"/>
        <s v="Chatterpoint"/>
        <s v="Skibox"/>
        <s v="Flipopia"/>
        <s v="Skidoo"/>
        <s v="Youopia"/>
        <s v="Thoughtbeat"/>
        <s v="Thoughtbridge"/>
        <s v="Babbleopia"/>
        <s v="Vidoo"/>
        <s v="Topicblab"/>
        <s v="Abatz"/>
        <s v="Kimia"/>
        <s v="Eidel"/>
        <s v="Jayo"/>
        <s v="Youtags"/>
        <s v="Kazu"/>
        <s v="Quaxo"/>
        <s v="Tagtune"/>
        <s v="Cogibox"/>
        <s v="Linktype"/>
        <s v="Voolith"/>
        <s v="Jaxspan"/>
        <s v="Blognation"/>
        <s v="Meetz"/>
        <s v="Layo"/>
        <s v="Eabox"/>
        <s v="Babbleset"/>
        <s v="Quimm"/>
        <s v="Babblestorm"/>
        <s v="Voonix"/>
        <s v="Einti"/>
        <s v="Brightdog"/>
        <s v="Skyble"/>
        <s v="Oyoloo"/>
        <s v="Trudeo"/>
        <s v="Eamia"/>
        <s v="Linklinks"/>
        <s v="Tagfeed"/>
        <s v="Yamia"/>
        <s v="Skilith"/>
        <s v="Realbridge"/>
        <s v="Latz"/>
        <s v="Twitterbeat"/>
        <s v="Pixope"/>
        <s v="Kwinu"/>
        <s v="Roombo"/>
        <s v="Jaloo"/>
        <s v="Izio"/>
        <s v="Trilia"/>
        <s v="Browsezoom"/>
        <s v="Devpoint"/>
        <s v="Voonder"/>
        <s v="Shufflester"/>
        <s v="Feedspan"/>
        <s v="Gabspot"/>
        <s v="Yadel"/>
        <s v="Realcube"/>
        <s v="Mycat"/>
        <s v="Yodel"/>
        <s v="Eire"/>
        <s v="Meembee"/>
        <s v="Muxo"/>
        <s v="Flipbug"/>
        <s v="Ntags"/>
        <s v="Voolia"/>
        <s v="Youspan"/>
        <s v="Livetube"/>
        <s v="Skipfire"/>
        <s v="Thoughtblab"/>
        <s v="Centidel"/>
        <s v="Zoombeat"/>
        <s v="Ooba"/>
        <s v="Topiclounge"/>
        <s v="Realblab"/>
        <s v="LiveZ"/>
        <s v="Janyx"/>
        <s v="Ntag"/>
        <s v="Topicshots"/>
        <s v="DabZ"/>
        <s v="Vitz"/>
        <s v="Quamba"/>
        <s v="Centizu"/>
        <s v="Tazz"/>
        <s v="Feedfish"/>
        <s v="Buzzbean"/>
        <s v="Gigabox"/>
        <s v="Tagpad"/>
        <s v="Oyonder"/>
        <s v="Innojam"/>
        <s v="Rhyzio"/>
        <s v="Zava"/>
        <s v="Snaptags"/>
        <s v="Fiveclub"/>
        <s v="Dabfeed"/>
        <s v="Browsecat"/>
        <s v="Oyoba"/>
        <s v="Shufflebeat"/>
        <s v="Buzzshare"/>
        <s v="Rhybox"/>
        <s v="Kwilith"/>
        <s v="Aivee"/>
        <s v="Fliptune"/>
        <s v="Jetpulse"/>
        <s v="Tanoodle"/>
        <s v="Zooxo"/>
        <s v="Zazio"/>
        <s v="Flashset"/>
        <s v="Twitterbridge"/>
        <s v="Tagchat"/>
        <s v="Blogspan"/>
        <s v="Kazio"/>
        <s v="Jabberstorm"/>
        <s v="Agivu"/>
        <s v="Abata"/>
        <s v="Skynoodle"/>
        <s v="Twitterlist"/>
        <s v="Meedoo"/>
        <s v="Zoozzy"/>
        <s v="Mynte"/>
        <s v="Feednation"/>
        <s v="Skiba"/>
        <s v="Zoovu"/>
        <s v="Yoveo"/>
        <s v="Camimbo"/>
        <s v="Zoomlounge"/>
        <s v="Tavu"/>
        <s v="Brainsphere"/>
        <s v="Edgepulse"/>
        <s v="Yombu"/>
        <s v="Divape"/>
        <s v="Kwideo"/>
        <s v="Browsebug"/>
        <s v="Rooxo"/>
        <s v="Avavee"/>
        <s v="Rhycero"/>
        <s v="Mudo"/>
        <s v="Realfire"/>
        <s v="Yambee"/>
        <s v="Cogidoo"/>
        <s v="Twimm"/>
        <s v="Edgewire"/>
        <s v="Buzzdog"/>
        <s v="Rhynoodle"/>
        <s v="Demizz"/>
        <s v="Jabbertype"/>
        <s v="Twinte"/>
        <s v="Ainyx"/>
        <s v="Mymm"/>
        <s v="Meezzy"/>
        <s v="Linkbridge"/>
        <s v="Skiptube"/>
        <s v="Innotype"/>
        <s v="Skaboo"/>
        <s v="Wikivu"/>
        <s v="Skajo"/>
        <s v="Vipe"/>
        <s v="Jazzy"/>
        <s v="Topiczoom"/>
        <s v="Babbleblab"/>
        <s v="Edgetag"/>
        <s v="Kaymbo"/>
        <s v="Shuffletag"/>
        <s v="Tambee"/>
        <s v="Myworks"/>
        <s v="Twitternation"/>
        <s v="Eare"/>
        <s v="Buzzster"/>
        <s v="Zoonoodle"/>
        <s v="Eadel"/>
        <s v="Skivee"/>
        <s v="Photolist"/>
        <s v="Eazzy"/>
        <s v="Oyoyo"/>
        <s v="Leenti"/>
        <s v="Gigazoom"/>
        <s v="Jamia"/>
        <s v="Twitterworks"/>
        <s v="Photospace"/>
        <s v="Jaxbean"/>
        <s v="Dynazzy"/>
        <s v="Dabvine"/>
        <s v="Divanoodle"/>
        <s v="Fatz"/>
        <s v="Twiyo"/>
        <s v="Thoughtsphere"/>
        <s v="Voonte"/>
        <s v="Aimbu"/>
        <s v="Teklist"/>
        <s v="Fivespan"/>
        <s v="Jabbercube"/>
        <s v="Yozio"/>
        <s v="Browsedrive"/>
        <s v="Pixoboo"/>
        <s v="Dynava"/>
        <s v="Photojam"/>
        <s v="Thoughtworks"/>
        <s v="Brainbox"/>
        <s v="Fanoodle"/>
        <s v="Edgeclub"/>
        <s v="Trilith"/>
        <s v="Yakidoo"/>
      </sharedItems>
    </cacheField>
    <cacheField name="Warehouse_Location" numFmtId="0">
      <sharedItems/>
    </cacheField>
    <cacheField name="Status" numFmtId="0">
      <sharedItems count="3">
        <s v="Discontinued"/>
        <s v="Backordered"/>
        <s v="Active"/>
      </sharedItems>
    </cacheField>
    <cacheField name="Product_ID" numFmtId="0">
      <sharedItems/>
    </cacheField>
    <cacheField name="Supplier_ID" numFmtId="0">
      <sharedItems/>
    </cacheField>
    <cacheField name="Date_Received" numFmtId="166">
      <sharedItems containsSemiMixedTypes="0" containsNonDate="0" containsDate="1" containsString="0" minDate="2024-02-25T00:00:00" maxDate="2025-02-25T00:00:00"/>
    </cacheField>
    <cacheField name="Last_Order_Date" numFmtId="166">
      <sharedItems containsSemiMixedTypes="0" containsNonDate="0" containsDate="1" containsString="0" minDate="2024-02-25T00:00:00" maxDate="2025-02-25T00:00:00" count="332">
        <d v="2025-01-06T00:00:00"/>
        <d v="2024-05-19T00:00:00"/>
        <d v="2024-12-21T00:00:00"/>
        <d v="2024-12-12T00:00:00"/>
        <d v="2024-07-28T00:00:00"/>
        <d v="2024-08-07T00:00:00"/>
        <d v="2025-01-29T00:00:00"/>
        <d v="2025-02-23T00:00:00"/>
        <d v="2024-06-03T00:00:00"/>
        <d v="2024-11-09T00:00:00"/>
        <d v="2024-06-02T00:00:00"/>
        <d v="2024-04-06T00:00:00"/>
        <d v="2024-07-05T00:00:00"/>
        <d v="2024-03-17T00:00:00"/>
        <d v="2024-04-10T00:00:00"/>
        <d v="2024-03-02T00:00:00"/>
        <d v="2024-08-17T00:00:00"/>
        <d v="2024-07-03T00:00:00"/>
        <d v="2024-12-01T00:00:00"/>
        <d v="2024-07-26T00:00:00"/>
        <d v="2024-05-29T00:00:00"/>
        <d v="2024-12-23T00:00:00"/>
        <d v="2024-07-08T00:00:00"/>
        <d v="2024-07-14T00:00:00"/>
        <d v="2024-07-04T00:00:00"/>
        <d v="2024-06-10T00:00:00"/>
        <d v="2024-11-26T00:00:00"/>
        <d v="2025-01-07T00:00:00"/>
        <d v="2024-11-02T00:00:00"/>
        <d v="2024-11-23T00:00:00"/>
        <d v="2024-08-20T00:00:00"/>
        <d v="2024-12-19T00:00:00"/>
        <d v="2024-11-05T00:00:00"/>
        <d v="2024-10-03T00:00:00"/>
        <d v="2025-01-25T00:00:00"/>
        <d v="2024-03-19T00:00:00"/>
        <d v="2024-10-12T00:00:00"/>
        <d v="2024-09-29T00:00:00"/>
        <d v="2024-08-24T00:00:00"/>
        <d v="2024-08-28T00:00:00"/>
        <d v="2024-03-21T00:00:00"/>
        <d v="2024-02-25T00:00:00"/>
        <d v="2024-04-05T00:00:00"/>
        <d v="2024-10-14T00:00:00"/>
        <d v="2024-11-19T00:00:00"/>
        <d v="2025-01-31T00:00:00"/>
        <d v="2024-06-13T00:00:00"/>
        <d v="2024-05-20T00:00:00"/>
        <d v="2024-07-17T00:00:00"/>
        <d v="2025-01-24T00:00:00"/>
        <d v="2024-03-28T00:00:00"/>
        <d v="2024-10-04T00:00:00"/>
        <d v="2024-10-22T00:00:00"/>
        <d v="2024-09-26T00:00:00"/>
        <d v="2025-01-16T00:00:00"/>
        <d v="2024-07-11T00:00:00"/>
        <d v="2024-11-04T00:00:00"/>
        <d v="2024-10-11T00:00:00"/>
        <d v="2024-03-06T00:00:00"/>
        <d v="2024-08-16T00:00:00"/>
        <d v="2024-07-09T00:00:00"/>
        <d v="2024-12-06T00:00:00"/>
        <d v="2024-12-10T00:00:00"/>
        <d v="2024-10-24T00:00:00"/>
        <d v="2024-08-30T00:00:00"/>
        <d v="2024-05-26T00:00:00"/>
        <d v="2024-10-17T00:00:00"/>
        <d v="2024-07-12T00:00:00"/>
        <d v="2024-06-15T00:00:00"/>
        <d v="2024-08-19T00:00:00"/>
        <d v="2024-11-29T00:00:00"/>
        <d v="2024-06-24T00:00:00"/>
        <d v="2024-03-25T00:00:00"/>
        <d v="2024-04-20T00:00:00"/>
        <d v="2024-06-16T00:00:00"/>
        <d v="2024-05-28T00:00:00"/>
        <d v="2024-03-09T00:00:00"/>
        <d v="2024-09-25T00:00:00"/>
        <d v="2024-07-10T00:00:00"/>
        <d v="2024-04-24T00:00:00"/>
        <d v="2024-04-04T00:00:00"/>
        <d v="2024-03-30T00:00:00"/>
        <d v="2024-11-08T00:00:00"/>
        <d v="2024-12-08T00:00:00"/>
        <d v="2024-07-22T00:00:00"/>
        <d v="2024-09-16T00:00:00"/>
        <d v="2024-09-21T00:00:00"/>
        <d v="2024-12-09T00:00:00"/>
        <d v="2024-06-27T00:00:00"/>
        <d v="2024-09-11T00:00:00"/>
        <d v="2024-04-23T00:00:00"/>
        <d v="2025-01-23T00:00:00"/>
        <d v="2024-10-27T00:00:00"/>
        <d v="2024-08-12T00:00:00"/>
        <d v="2024-09-27T00:00:00"/>
        <d v="2024-09-03T00:00:00"/>
        <d v="2024-10-08T00:00:00"/>
        <d v="2025-01-11T00:00:00"/>
        <d v="2024-10-23T00:00:00"/>
        <d v="2024-04-13T00:00:00"/>
        <d v="2024-07-07T00:00:00"/>
        <d v="2025-02-05T00:00:00"/>
        <d v="2025-02-14T00:00:00"/>
        <d v="2024-07-02T00:00:00"/>
        <d v="2024-05-14T00:00:00"/>
        <d v="2024-11-07T00:00:00"/>
        <d v="2025-02-21T00:00:00"/>
        <d v="2024-07-15T00:00:00"/>
        <d v="2024-02-29T00:00:00"/>
        <d v="2024-04-07T00:00:00"/>
        <d v="2024-05-01T00:00:00"/>
        <d v="2024-12-28T00:00:00"/>
        <d v="2024-05-03T00:00:00"/>
        <d v="2024-11-25T00:00:00"/>
        <d v="2024-12-03T00:00:00"/>
        <d v="2024-05-17T00:00:00"/>
        <d v="2024-11-17T00:00:00"/>
        <d v="2025-01-01T00:00:00"/>
        <d v="2024-04-22T00:00:00"/>
        <d v="2024-11-03T00:00:00"/>
        <d v="2025-01-14T00:00:00"/>
        <d v="2024-12-20T00:00:00"/>
        <d v="2025-02-19T00:00:00"/>
        <d v="2024-06-14T00:00:00"/>
        <d v="2024-06-30T00:00:00"/>
        <d v="2024-06-23T00:00:00"/>
        <d v="2024-06-26T00:00:00"/>
        <d v="2024-10-02T00:00:00"/>
        <d v="2025-01-17T00:00:00"/>
        <d v="2024-10-07T00:00:00"/>
        <d v="2024-12-24T00:00:00"/>
        <d v="2025-02-16T00:00:00"/>
        <d v="2024-12-07T00:00:00"/>
        <d v="2024-04-29T00:00:00"/>
        <d v="2024-06-01T00:00:00"/>
        <d v="2024-04-09T00:00:00"/>
        <d v="2024-11-22T00:00:00"/>
        <d v="2024-03-10T00:00:00"/>
        <d v="2024-05-16T00:00:00"/>
        <d v="2024-08-03T00:00:00"/>
        <d v="2024-08-29T00:00:00"/>
        <d v="2025-01-10T00:00:00"/>
        <d v="2024-05-22T00:00:00"/>
        <d v="2024-02-27T00:00:00"/>
        <d v="2024-12-15T00:00:00"/>
        <d v="2024-04-11T00:00:00"/>
        <d v="2024-12-18T00:00:00"/>
        <d v="2024-03-18T00:00:00"/>
        <d v="2024-10-26T00:00:00"/>
        <d v="2024-06-06T00:00:00"/>
        <d v="2024-11-10T00:00:00"/>
        <d v="2024-02-26T00:00:00"/>
        <d v="2024-12-13T00:00:00"/>
        <d v="2024-10-31T00:00:00"/>
        <d v="2025-01-12T00:00:00"/>
        <d v="2024-09-12T00:00:00"/>
        <d v="2024-03-07T00:00:00"/>
        <d v="2024-11-24T00:00:00"/>
        <d v="2024-06-08T00:00:00"/>
        <d v="2024-06-22T00:00:00"/>
        <d v="2025-02-17T00:00:00"/>
        <d v="2024-10-13T00:00:00"/>
        <d v="2024-12-29T00:00:00"/>
        <d v="2024-08-22T00:00:00"/>
        <d v="2025-02-08T00:00:00"/>
        <d v="2024-12-11T00:00:00"/>
        <d v="2024-04-28T00:00:00"/>
        <d v="2024-08-01T00:00:00"/>
        <d v="2024-04-12T00:00:00"/>
        <d v="2024-11-11T00:00:00"/>
        <d v="2024-04-01T00:00:00"/>
        <d v="2024-10-10T00:00:00"/>
        <d v="2024-10-15T00:00:00"/>
        <d v="2024-08-10T00:00:00"/>
        <d v="2024-07-27T00:00:00"/>
        <d v="2025-02-18T00:00:00"/>
        <d v="2024-11-20T00:00:00"/>
        <d v="2024-06-29T00:00:00"/>
        <d v="2024-05-06T00:00:00"/>
        <d v="2024-07-30T00:00:00"/>
        <d v="2024-03-20T00:00:00"/>
        <d v="2024-11-12T00:00:00"/>
        <d v="2024-03-03T00:00:00"/>
        <d v="2024-05-24T00:00:00"/>
        <d v="2024-07-23T00:00:00"/>
        <d v="2025-01-20T00:00:00"/>
        <d v="2025-01-19T00:00:00"/>
        <d v="2024-11-18T00:00:00"/>
        <d v="2024-03-16T00:00:00"/>
        <d v="2025-01-18T00:00:00"/>
        <d v="2024-04-17T00:00:00"/>
        <d v="2024-07-16T00:00:00"/>
        <d v="2024-09-15T00:00:00"/>
        <d v="2024-10-28T00:00:00"/>
        <d v="2025-02-12T00:00:00"/>
        <d v="2024-08-11T00:00:00"/>
        <d v="2024-08-23T00:00:00"/>
        <d v="2024-06-25T00:00:00"/>
        <d v="2024-09-23T00:00:00"/>
        <d v="2024-10-01T00:00:00"/>
        <d v="2024-07-24T00:00:00"/>
        <d v="2024-12-31T00:00:00"/>
        <d v="2024-03-05T00:00:00"/>
        <d v="2024-12-04T00:00:00"/>
        <d v="2024-05-09T00:00:00"/>
        <d v="2024-09-20T00:00:00"/>
        <d v="2024-10-05T00:00:00"/>
        <d v="2024-03-12T00:00:00"/>
        <d v="2024-11-13T00:00:00"/>
        <d v="2024-10-25T00:00:00"/>
        <d v="2024-10-30T00:00:00"/>
        <d v="2024-12-02T00:00:00"/>
        <d v="2024-05-12T00:00:00"/>
        <d v="2024-08-31T00:00:00"/>
        <d v="2024-05-02T00:00:00"/>
        <d v="2024-11-30T00:00:00"/>
        <d v="2024-08-04T00:00:00"/>
        <d v="2024-06-05T00:00:00"/>
        <d v="2024-09-19T00:00:00"/>
        <d v="2024-06-28T00:00:00"/>
        <d v="2024-10-29T00:00:00"/>
        <d v="2024-04-16T00:00:00"/>
        <d v="2024-08-27T00:00:00"/>
        <d v="2024-06-07T00:00:00"/>
        <d v="2024-04-19T00:00:00"/>
        <d v="2025-02-15T00:00:00"/>
        <d v="2024-03-11T00:00:00"/>
        <d v="2024-06-18T00:00:00"/>
        <d v="2024-04-30T00:00:00"/>
        <d v="2024-07-31T00:00:00"/>
        <d v="2024-09-07T00:00:00"/>
        <d v="2025-01-27T00:00:00"/>
        <d v="2025-02-07T00:00:00"/>
        <d v="2024-09-10T00:00:00"/>
        <d v="2024-11-28T00:00:00"/>
        <d v="2024-02-28T00:00:00"/>
        <d v="2024-06-19T00:00:00"/>
        <d v="2025-02-03T00:00:00"/>
        <d v="2024-08-26T00:00:00"/>
        <d v="2024-12-16T00:00:00"/>
        <d v="2024-05-25T00:00:00"/>
        <d v="2024-03-31T00:00:00"/>
        <d v="2024-08-14T00:00:00"/>
        <d v="2024-05-08T00:00:00"/>
        <d v="2024-12-17T00:00:00"/>
        <d v="2024-11-16T00:00:00"/>
        <d v="2024-05-21T00:00:00"/>
        <d v="2025-02-04T00:00:00"/>
        <d v="2025-02-20T00:00:00"/>
        <d v="2024-09-30T00:00:00"/>
        <d v="2025-02-24T00:00:00"/>
        <d v="2024-03-13T00:00:00"/>
        <d v="2024-10-19T00:00:00"/>
        <d v="2024-05-23T00:00:00"/>
        <d v="2024-08-13T00:00:00"/>
        <d v="2024-06-17T00:00:00"/>
        <d v="2024-09-02T00:00:00"/>
        <d v="2025-02-11T00:00:00"/>
        <d v="2024-03-15T00:00:00"/>
        <d v="2024-07-25T00:00:00"/>
        <d v="2024-11-14T00:00:00"/>
        <d v="2024-05-05T00:00:00"/>
        <d v="2024-09-09T00:00:00"/>
        <d v="2024-10-20T00:00:00"/>
        <d v="2024-09-18T00:00:00"/>
        <d v="2025-02-09T00:00:00"/>
        <d v="2024-11-27T00:00:00"/>
        <d v="2025-01-30T00:00:00"/>
        <d v="2024-04-14T00:00:00"/>
        <d v="2024-09-06T00:00:00"/>
        <d v="2024-08-05T00:00:00"/>
        <d v="2024-08-15T00:00:00"/>
        <d v="2024-03-01T00:00:00"/>
        <d v="2024-09-24T00:00:00"/>
        <d v="2024-07-29T00:00:00"/>
        <d v="2024-12-30T00:00:00"/>
        <d v="2024-06-04T00:00:00"/>
        <d v="2025-01-13T00:00:00"/>
        <d v="2024-05-10T00:00:00"/>
        <d v="2024-08-18T00:00:00"/>
        <d v="2024-04-15T00:00:00"/>
        <d v="2024-05-11T00:00:00"/>
        <d v="2024-03-08T00:00:00"/>
        <d v="2024-03-04T00:00:00"/>
        <d v="2025-01-05T00:00:00"/>
        <d v="2024-07-13T00:00:00"/>
        <d v="2024-09-13T00:00:00"/>
        <d v="2024-04-02T00:00:00"/>
        <d v="2024-05-15T00:00:00"/>
        <d v="2024-06-20T00:00:00"/>
        <d v="2025-02-06T00:00:00"/>
        <d v="2024-09-05T00:00:00"/>
        <d v="2024-05-04T00:00:00"/>
        <d v="2024-05-07T00:00:00"/>
        <d v="2024-05-13T00:00:00"/>
        <d v="2024-09-14T00:00:00"/>
        <d v="2025-01-28T00:00:00"/>
        <d v="2024-08-25T00:00:00"/>
        <d v="2024-07-18T00:00:00"/>
        <d v="2025-02-02T00:00:00"/>
        <d v="2024-08-09T00:00:00"/>
        <d v="2024-06-12T00:00:00"/>
        <d v="2025-01-22T00:00:00"/>
        <d v="2024-07-21T00:00:00"/>
        <d v="2024-10-21T00:00:00"/>
        <d v="2024-03-29T00:00:00"/>
        <d v="2024-11-21T00:00:00"/>
        <d v="2024-10-18T00:00:00"/>
        <d v="2024-05-27T00:00:00"/>
        <d v="2024-07-06T00:00:00"/>
        <d v="2025-02-13T00:00:00"/>
        <d v="2024-10-06T00:00:00"/>
        <d v="2025-02-22T00:00:00"/>
        <d v="2024-05-31T00:00:00"/>
        <d v="2024-06-09T00:00:00"/>
        <d v="2024-04-08T00:00:00"/>
        <d v="2024-11-06T00:00:00"/>
        <d v="2024-09-04T00:00:00"/>
        <d v="2024-12-25T00:00:00"/>
        <d v="2024-03-26T00:00:00"/>
        <d v="2024-12-05T00:00:00"/>
        <d v="2024-08-21T00:00:00"/>
        <d v="2024-03-27T00:00:00"/>
        <d v="2024-08-06T00:00:00"/>
        <d v="2024-04-03T00:00:00"/>
        <d v="2024-04-27T00:00:00"/>
        <d v="2024-09-17T00:00:00"/>
        <d v="2024-06-11T00:00:00"/>
        <d v="2025-01-21T00:00:00"/>
        <d v="2024-07-01T00:00:00"/>
        <d v="2025-01-15T00:00:00"/>
        <d v="2024-07-19T00:00:00"/>
      </sharedItems>
      <fieldGroup par="30"/>
    </cacheField>
    <cacheField name="Column1" numFmtId="166">
      <sharedItems/>
    </cacheField>
    <cacheField name="Date_Received1" numFmtId="166">
      <sharedItems containsSemiMixedTypes="0" containsNonDate="0" containsDate="1" containsString="0" minDate="2024-03-06T00:00:00" maxDate="2025-02-25T00:00:00"/>
    </cacheField>
    <cacheField name="Procurement_Date" numFmtId="166">
      <sharedItems containsSemiMixedTypes="0" containsNonDate="0" containsDate="1" containsString="0" minDate="2024-02-25T00:00:00" maxDate="2025-02-12T00:00:00"/>
    </cacheField>
    <cacheField name="LeadTime" numFmtId="1">
      <sharedItems containsSemiMixedTypes="0" containsString="0" containsNumber="1" containsInteger="1" minValue="0" maxValue="352"/>
    </cacheField>
    <cacheField name="Expiration_Date" numFmtId="166">
      <sharedItems containsSemiMixedTypes="0" containsNonDate="0" containsDate="1" containsString="0" minDate="2024-02-25T00:00:00" maxDate="2025-02-25T00:00:00"/>
    </cacheField>
    <cacheField name="Shelf Life" numFmtId="2">
      <sharedItems containsSemiMixedTypes="0" containsString="0" containsNumber="1" containsInteger="1" minValue="-365" maxValue="322"/>
    </cacheField>
    <cacheField name="Ordering Cost" numFmtId="8">
      <sharedItems containsSemiMixedTypes="0" containsString="0" containsNumber="1" minValue="0.16000000000000003" maxValue="78.744000000000014"/>
    </cacheField>
    <cacheField name="Stock_Quantity" numFmtId="0">
      <sharedItems containsSemiMixedTypes="0" containsString="0" containsNumber="1" containsInteger="1" minValue="10" maxValue="100"/>
    </cacheField>
    <cacheField name="Reorder_Level" numFmtId="0">
      <sharedItems containsSemiMixedTypes="0" containsString="0" containsNumber="1" containsInteger="1" minValue="1" maxValue="100"/>
    </cacheField>
    <cacheField name="Reorder_Quantity" numFmtId="0">
      <sharedItems containsSemiMixedTypes="0" containsString="0" containsNumber="1" containsInteger="1" minValue="1" maxValue="100"/>
    </cacheField>
    <cacheField name="Unit_Price" numFmtId="8">
      <sharedItems containsSemiMixedTypes="0" containsString="0" containsNumber="1" minValue="0.2" maxValue="98.43"/>
    </cacheField>
    <cacheField name="Sales_Volume" numFmtId="0">
      <sharedItems containsSemiMixedTypes="0" containsString="0" containsNumber="1" containsInteger="1" minValue="20" maxValue="100"/>
    </cacheField>
    <cacheField name="Daily Sales" numFmtId="43">
      <sharedItems containsSemiMixedTypes="0" containsString="0" containsNumber="1" minValue="6.1728395061728392E-2" maxValue="95"/>
    </cacheField>
    <cacheField name="Stdev.p Sales Volume" numFmtId="43">
      <sharedItems containsSemiMixedTypes="0" containsString="0" containsNumber="1" minValue="5.1999899792654221" maxValue="5.1999899792654221"/>
    </cacheField>
    <cacheField name="Inventory_Turnover_Rate" numFmtId="0">
      <sharedItems containsSemiMixedTypes="0" containsString="0" containsNumber="1" containsInteger="1" minValue="1" maxValue="100"/>
    </cacheField>
    <cacheField name="percentage" numFmtId="0">
      <sharedItems containsSemiMixedTypes="0" containsString="0" containsNumber="1" minValue="-4" maxValue="0.99"/>
    </cacheField>
    <cacheField name="ADU" numFmtId="8">
      <sharedItems containsSemiMixedTypes="0" containsString="0" containsNumber="1" minValue="6.6000000000000005" maxValue="4707.6400000000003"/>
    </cacheField>
    <cacheField name="% Usage" numFmtId="10">
      <sharedItems containsSemiMixedTypes="0" containsString="0" containsNumber="1" minValue="1.9171036258994186E-5" maxValue="1.3674293505195665E-2"/>
    </cacheField>
    <cacheField name="COGS" numFmtId="8">
      <sharedItems containsSemiMixedTypes="0" containsString="0" containsNumber="1" minValue="5.2800000000000011" maxValue="3766.1120000000005"/>
    </cacheField>
    <cacheField name="Months (Last_Order_Date)" numFmtId="0" databaseField="0">
      <fieldGroup base="8">
        <rangePr groupBy="months" startDate="2024-02-25T00:00:00" endDate="2025-02-25T00:00:00"/>
        <groupItems count="14">
          <s v="&lt;2/25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25/2025"/>
        </groupItems>
      </fieldGroup>
    </cacheField>
    <cacheField name="Quarters (Last_Order_Date)" numFmtId="0" databaseField="0">
      <fieldGroup base="8">
        <rangePr groupBy="quarters" startDate="2024-02-25T00:00:00" endDate="2025-02-25T00:00:00"/>
        <groupItems count="6">
          <s v="&lt;2/25/2024"/>
          <s v="Qtr1"/>
          <s v="Qtr2"/>
          <s v="Qtr3"/>
          <s v="Qtr4"/>
          <s v="&gt;2/25/2025"/>
        </groupItems>
      </fieldGroup>
    </cacheField>
    <cacheField name="Years (Last_Order_Date)" numFmtId="0" databaseField="0">
      <fieldGroup base="8">
        <rangePr groupBy="years" startDate="2024-02-25T00:00:00" endDate="2025-02-25T00:00:00"/>
        <groupItems count="4">
          <s v="&lt;2/25/2024"/>
          <s v="2024"/>
          <s v="2025"/>
          <s v="&gt;2/25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0">
  <r>
    <x v="0"/>
    <x v="0"/>
    <x v="0"/>
    <s v="20 Pennsylvania Parkway"/>
    <x v="0"/>
    <s v="29-017-6255"/>
    <s v="43-348-2450"/>
    <d v="2024-03-01T00:00:00"/>
    <x v="0"/>
    <s v="No"/>
    <d v="2025-01-06T00:00:00"/>
    <d v="2024-03-01T00:00:00"/>
    <n v="311"/>
    <d v="2025-01-31T00:00:00"/>
    <n v="25"/>
    <n v="3.6799999999999997"/>
    <n v="46"/>
    <n v="64"/>
    <n v="17"/>
    <n v="4.5999999999999996"/>
    <n v="96"/>
    <n v="0.3086816720257235"/>
    <n v="5.1999899792654221"/>
    <n v="55"/>
    <n v="1.9599999999999999E-2"/>
    <n v="441.59999999999997"/>
    <n v="1.28271660787452E-3"/>
    <n v="353.28"/>
  </r>
  <r>
    <x v="1"/>
    <x v="1"/>
    <x v="1"/>
    <s v="03643 Oakridge Lane"/>
    <x v="1"/>
    <s v="79-569-8856"/>
    <s v="04-854-7165"/>
    <d v="2024-04-01T00:00:00"/>
    <x v="1"/>
    <s v="No"/>
    <d v="2024-05-19T00:00:00"/>
    <d v="2024-04-01T00:00:00"/>
    <n v="48"/>
    <d v="2024-06-11T00:00:00"/>
    <n v="23"/>
    <n v="1.6"/>
    <n v="51"/>
    <n v="87"/>
    <n v="86"/>
    <n v="2"/>
    <n v="24"/>
    <n v="0.5"/>
    <n v="5.1999899792654221"/>
    <n v="83"/>
    <n v="9.1000000000000004E-3"/>
    <n v="48"/>
    <n v="1.3942571824723045E-4"/>
    <n v="38.400000000000006"/>
  </r>
  <r>
    <x v="2"/>
    <x v="2"/>
    <x v="2"/>
    <s v="73 Graedel Street"/>
    <x v="0"/>
    <s v="28-146-2641"/>
    <s v="82-995-0739"/>
    <d v="2024-04-01T00:00:00"/>
    <x v="2"/>
    <s v="No"/>
    <d v="2024-12-21T00:00:00"/>
    <d v="2024-04-01T00:00:00"/>
    <n v="264"/>
    <d v="2024-04-08T00:00:00"/>
    <n v="-257"/>
    <n v="9.6000000000000014"/>
    <n v="38"/>
    <n v="67"/>
    <n v="66"/>
    <n v="12"/>
    <n v="35"/>
    <n v="0.13257575757575757"/>
    <n v="5.1999899792654221"/>
    <n v="24"/>
    <n v="1.3599999999999999E-2"/>
    <n v="420"/>
    <n v="1.2199750346632663E-3"/>
    <n v="336.00000000000006"/>
  </r>
  <r>
    <x v="3"/>
    <x v="0"/>
    <x v="3"/>
    <s v="44801 Myrtle Center"/>
    <x v="0"/>
    <s v="11-581-9869"/>
    <s v="22-867-3079"/>
    <d v="2024-05-01T00:00:00"/>
    <x v="3"/>
    <s v="No"/>
    <d v="2024-12-12T00:00:00"/>
    <d v="2024-05-01T00:00:00"/>
    <n v="225"/>
    <d v="2024-09-26T00:00:00"/>
    <n v="-77"/>
    <n v="1.2000000000000002"/>
    <n v="51"/>
    <n v="60"/>
    <n v="98"/>
    <n v="1.5"/>
    <n v="44"/>
    <n v="0.19555555555555557"/>
    <n v="5.1999899792654221"/>
    <n v="95"/>
    <n v="1.3599999999999999E-2"/>
    <n v="66"/>
    <n v="1.9171036258994184E-4"/>
    <n v="52.800000000000011"/>
  </r>
  <r>
    <x v="4"/>
    <x v="0"/>
    <x v="4"/>
    <s v="6195 Monterey Center"/>
    <x v="0"/>
    <s v="13-202-4809"/>
    <s v="24-281-7685"/>
    <d v="2024-05-01T00:00:00"/>
    <x v="4"/>
    <s v="No"/>
    <d v="2024-07-28T00:00:00"/>
    <d v="2024-05-01T00:00:00"/>
    <n v="88"/>
    <d v="2024-05-20T00:00:00"/>
    <n v="-69"/>
    <n v="5.6000000000000005"/>
    <n v="27"/>
    <n v="22"/>
    <n v="89"/>
    <n v="7"/>
    <n v="91"/>
    <n v="1.0340909090909092"/>
    <n v="5.1999899792654221"/>
    <n v="77"/>
    <n v="2.1700000000000001E-2"/>
    <n v="637"/>
    <n v="1.8502954692392872E-3"/>
    <n v="509.6"/>
  </r>
  <r>
    <x v="5"/>
    <x v="0"/>
    <x v="5"/>
    <s v="5141 Anniversary Crossing"/>
    <x v="1"/>
    <s v="70-145-2550"/>
    <s v="75-849-4524"/>
    <d v="2024-05-01T00:00:00"/>
    <x v="5"/>
    <s v="No"/>
    <d v="2024-08-07T00:00:00"/>
    <d v="2024-05-01T00:00:00"/>
    <n v="98"/>
    <d v="2024-08-06T00:00:00"/>
    <n v="-1"/>
    <n v="1.92"/>
    <n v="91"/>
    <n v="6"/>
    <n v="37"/>
    <n v="2.4"/>
    <n v="38"/>
    <n v="0.38775510204081631"/>
    <n v="5.1999899792654221"/>
    <n v="70"/>
    <n v="2.5600000000000001E-2"/>
    <n v="91.2"/>
    <n v="2.6490886466973783E-4"/>
    <n v="72.959999999999994"/>
  </r>
  <r>
    <x v="6"/>
    <x v="3"/>
    <x v="6"/>
    <s v="38583 2nd Pass"/>
    <x v="2"/>
    <s v="10-626-8536"/>
    <s v="23-274-3305"/>
    <d v="2024-05-01T00:00:00"/>
    <x v="6"/>
    <s v="No"/>
    <d v="2025-01-29T00:00:00"/>
    <d v="2024-05-01T00:00:00"/>
    <n v="273"/>
    <d v="2024-03-30T00:00:00"/>
    <n v="-305"/>
    <n v="4"/>
    <n v="17"/>
    <n v="85"/>
    <n v="74"/>
    <n v="5"/>
    <n v="76"/>
    <n v="0.2783882783882784"/>
    <n v="5.1999899792654221"/>
    <n v="89"/>
    <n v="2.3400000000000001E-2"/>
    <n v="380"/>
    <n v="1.1037869361239076E-3"/>
    <n v="304"/>
  </r>
  <r>
    <x v="7"/>
    <x v="4"/>
    <x v="7"/>
    <s v="86 Porter Junction"/>
    <x v="0"/>
    <s v="42-879-9478"/>
    <s v="00-900-0119"/>
    <d v="2024-06-01T00:00:00"/>
    <x v="7"/>
    <s v="No"/>
    <d v="2025-02-23T00:00:00"/>
    <d v="2024-06-01T00:00:00"/>
    <n v="267"/>
    <d v="2024-08-22T00:00:00"/>
    <n v="-185"/>
    <n v="8"/>
    <n v="81"/>
    <n v="22"/>
    <n v="20"/>
    <n v="10"/>
    <n v="95"/>
    <n v="0.35580524344569286"/>
    <n v="5.1999899792654221"/>
    <n v="77"/>
    <n v="2.1299999999999999E-2"/>
    <n v="950"/>
    <n v="2.7594673403097689E-3"/>
    <n v="760"/>
  </r>
  <r>
    <x v="8"/>
    <x v="2"/>
    <x v="8"/>
    <s v="05518 Saint Paul Street"/>
    <x v="2"/>
    <s v="82-380-5378"/>
    <s v="96-353-3049"/>
    <d v="2024-06-01T00:00:00"/>
    <x v="8"/>
    <s v="No"/>
    <d v="2024-06-03T00:00:00"/>
    <d v="2024-06-01T00:00:00"/>
    <n v="2"/>
    <d v="2024-03-07T00:00:00"/>
    <n v="-88"/>
    <n v="7.2"/>
    <n v="78"/>
    <n v="24"/>
    <n v="31"/>
    <n v="9"/>
    <n v="60"/>
    <n v="30"/>
    <n v="5.1999899792654221"/>
    <n v="41"/>
    <n v="2.7400000000000001E-2"/>
    <n v="540"/>
    <n v="1.5685393302813425E-3"/>
    <n v="432"/>
  </r>
  <r>
    <x v="9"/>
    <x v="2"/>
    <x v="9"/>
    <s v="14042 Dottie Avenue"/>
    <x v="1"/>
    <s v="23-265-8144"/>
    <s v="31-524-1628"/>
    <d v="2024-06-01T00:00:00"/>
    <x v="9"/>
    <s v="No"/>
    <d v="2024-11-09T00:00:00"/>
    <d v="2024-06-01T00:00:00"/>
    <n v="161"/>
    <d v="2024-10-25T00:00:00"/>
    <n v="-15"/>
    <n v="1.36"/>
    <n v="55"/>
    <n v="50"/>
    <n v="56"/>
    <n v="1.7"/>
    <n v="62"/>
    <n v="0.38509316770186336"/>
    <n v="5.1999899792654221"/>
    <n v="26"/>
    <n v="2.5600000000000001E-2"/>
    <n v="105.39999999999999"/>
    <n v="3.0615563965121016E-4"/>
    <n v="84.320000000000007"/>
  </r>
  <r>
    <x v="10"/>
    <x v="2"/>
    <x v="10"/>
    <s v="5 Oxford Pass"/>
    <x v="2"/>
    <s v="62-393-9939"/>
    <s v="93-877-9384"/>
    <d v="2024-06-01T00:00:00"/>
    <x v="10"/>
    <s v="No"/>
    <d v="2024-06-02T00:00:00"/>
    <d v="2024-06-01T00:00:00"/>
    <n v="1"/>
    <d v="2024-10-05T00:00:00"/>
    <n v="125"/>
    <n v="7.2"/>
    <n v="60"/>
    <n v="9"/>
    <n v="89"/>
    <n v="9"/>
    <n v="95"/>
    <n v="95"/>
    <n v="5.1999899792654221"/>
    <n v="63"/>
    <n v="2.8299999999999999E-2"/>
    <n v="855"/>
    <n v="2.4835206062787923E-3"/>
    <n v="684"/>
  </r>
  <r>
    <x v="11"/>
    <x v="1"/>
    <x v="11"/>
    <s v="3622 Anhalt Lane"/>
    <x v="1"/>
    <s v="90-343-9640"/>
    <s v="54-919-9424"/>
    <d v="2024-07-01T00:00:00"/>
    <x v="11"/>
    <s v="Yes"/>
    <d v="2024-07-01T00:00:00"/>
    <d v="2024-04-06T00:00:00"/>
    <n v="86"/>
    <d v="2024-10-06T00:00:00"/>
    <n v="97"/>
    <n v="8"/>
    <n v="53"/>
    <n v="89"/>
    <n v="100"/>
    <n v="10"/>
    <n v="22"/>
    <n v="0.2558139534883721"/>
    <n v="5.1999899792654221"/>
    <n v="83"/>
    <n v="2.7900000000000001E-2"/>
    <n v="220"/>
    <n v="6.3903454196647281E-4"/>
    <n v="176"/>
  </r>
  <r>
    <x v="12"/>
    <x v="0"/>
    <x v="12"/>
    <s v="3 Bashford Court"/>
    <x v="1"/>
    <s v="36-899-5324"/>
    <s v="02-656-3112"/>
    <d v="2024-08-01T00:00:00"/>
    <x v="12"/>
    <s v="Yes"/>
    <d v="2024-08-01T00:00:00"/>
    <d v="2024-07-05T00:00:00"/>
    <n v="27"/>
    <d v="2024-12-19T00:00:00"/>
    <n v="140"/>
    <n v="2.3199999999999998"/>
    <n v="94"/>
    <n v="58"/>
    <n v="17"/>
    <n v="2.9"/>
    <n v="57"/>
    <n v="2.1111111111111112"/>
    <n v="5.1999899792654221"/>
    <n v="74"/>
    <n v="2.3599999999999999E-2"/>
    <n v="165.29999999999998"/>
    <n v="4.8014731721389978E-4"/>
    <n v="132.23999999999998"/>
  </r>
  <r>
    <x v="13"/>
    <x v="5"/>
    <x v="13"/>
    <s v="2 Carioca Crossing"/>
    <x v="1"/>
    <s v="41-538-3129"/>
    <s v="91-589-9007"/>
    <d v="2024-09-01T00:00:00"/>
    <x v="13"/>
    <s v="Yes"/>
    <d v="2024-09-01T00:00:00"/>
    <d v="2024-03-17T00:00:00"/>
    <n v="168"/>
    <d v="2024-07-31T00:00:00"/>
    <n v="-32"/>
    <n v="3.2"/>
    <n v="77"/>
    <n v="79"/>
    <n v="65"/>
    <n v="4"/>
    <n v="62"/>
    <n v="0.36904761904761907"/>
    <n v="5.1999899792654221"/>
    <n v="75"/>
    <n v="2.69E-2"/>
    <n v="248"/>
    <n v="7.2036621094402392E-4"/>
    <n v="198.4"/>
  </r>
  <r>
    <x v="14"/>
    <x v="0"/>
    <x v="14"/>
    <s v="01 Northfield Road"/>
    <x v="2"/>
    <s v="47-843-8207"/>
    <s v="55-838-9088"/>
    <d v="2024-09-01T00:00:00"/>
    <x v="14"/>
    <s v="Yes"/>
    <d v="2024-09-01T00:00:00"/>
    <d v="2024-04-10T00:00:00"/>
    <n v="144"/>
    <d v="2024-12-27T00:00:00"/>
    <n v="117"/>
    <n v="2"/>
    <n v="34"/>
    <n v="92"/>
    <n v="26"/>
    <n v="2.5"/>
    <n v="28"/>
    <n v="0.19444444444444445"/>
    <n v="5.1999899792654221"/>
    <n v="71"/>
    <n v="2.6100000000000002E-2"/>
    <n v="70"/>
    <n v="2.0332917244387773E-4"/>
    <n v="56"/>
  </r>
  <r>
    <x v="15"/>
    <x v="0"/>
    <x v="15"/>
    <s v="2004 Cody Plaza"/>
    <x v="0"/>
    <s v="94-071-2261"/>
    <s v="25-706-2146"/>
    <d v="2024-09-01T00:00:00"/>
    <x v="15"/>
    <s v="Yes"/>
    <d v="2024-09-01T00:00:00"/>
    <d v="2024-03-02T00:00:00"/>
    <n v="183"/>
    <d v="2024-03-30T00:00:00"/>
    <n v="-155"/>
    <n v="3.6"/>
    <n v="79"/>
    <n v="37"/>
    <n v="98"/>
    <n v="4.5"/>
    <n v="33"/>
    <n v="0.18032786885245902"/>
    <n v="5.1999899792654221"/>
    <n v="20"/>
    <n v="2.5399999999999999E-2"/>
    <n v="148.5"/>
    <n v="4.3134831582736916E-4"/>
    <n v="118.8"/>
  </r>
  <r>
    <x v="16"/>
    <x v="2"/>
    <x v="16"/>
    <s v="94862 Beilfuss Terrace"/>
    <x v="1"/>
    <s v="12-998-3882"/>
    <s v="06-151-9076"/>
    <d v="2024-10-01T00:00:00"/>
    <x v="16"/>
    <s v="Yes"/>
    <d v="2024-10-01T00:00:00"/>
    <d v="2024-08-17T00:00:00"/>
    <n v="45"/>
    <d v="2024-05-26T00:00:00"/>
    <n v="-128"/>
    <n v="2"/>
    <n v="76"/>
    <n v="54"/>
    <n v="76"/>
    <n v="2.5"/>
    <n v="69"/>
    <n v="1.5333333333333334"/>
    <n v="5.1999899792654221"/>
    <n v="27"/>
    <n v="2.58E-2"/>
    <n v="172.5"/>
    <n v="5.0106117495098438E-4"/>
    <n v="138"/>
  </r>
  <r>
    <x v="17"/>
    <x v="2"/>
    <x v="17"/>
    <s v="10342 Division Place"/>
    <x v="2"/>
    <s v="36-127-4273"/>
    <s v="05-719-6858"/>
    <d v="2024-10-01T00:00:00"/>
    <x v="17"/>
    <s v="Yes"/>
    <d v="2024-10-01T00:00:00"/>
    <d v="2024-07-03T00:00:00"/>
    <n v="90"/>
    <d v="2024-07-31T00:00:00"/>
    <n v="-62"/>
    <n v="4.9600000000000009"/>
    <n v="50"/>
    <n v="46"/>
    <n v="38"/>
    <n v="6.2"/>
    <n v="88"/>
    <n v="0.97777777777777775"/>
    <n v="5.1999899792654221"/>
    <n v="70"/>
    <n v="2.3199999999999998E-2"/>
    <n v="545.6"/>
    <n v="1.5848056640768526E-3"/>
    <n v="436.48000000000008"/>
  </r>
  <r>
    <x v="18"/>
    <x v="0"/>
    <x v="18"/>
    <s v="52 Namekagon Junction"/>
    <x v="1"/>
    <s v="13-144-2169"/>
    <s v="11-742-5033"/>
    <d v="2024-10-01T00:00:00"/>
    <x v="18"/>
    <s v="No"/>
    <d v="2024-12-01T00:00:00"/>
    <d v="2024-10-01T00:00:00"/>
    <n v="61"/>
    <d v="2024-09-07T00:00:00"/>
    <n v="-85"/>
    <n v="2.4000000000000004"/>
    <n v="25"/>
    <n v="62"/>
    <n v="11"/>
    <n v="3"/>
    <n v="57"/>
    <n v="0.93442622950819676"/>
    <n v="5.1999899792654221"/>
    <n v="98"/>
    <n v="2.6700000000000002E-2"/>
    <n v="171"/>
    <n v="4.9670412125575841E-4"/>
    <n v="136.80000000000001"/>
  </r>
  <r>
    <x v="19"/>
    <x v="3"/>
    <x v="19"/>
    <s v="21343 Brentwood Circle"/>
    <x v="1"/>
    <s v="86-978-6666"/>
    <s v="43-979-2253"/>
    <d v="2024-10-01T00:00:00"/>
    <x v="19"/>
    <s v="Yes"/>
    <d v="2024-10-01T00:00:00"/>
    <d v="2024-07-26T00:00:00"/>
    <n v="67"/>
    <d v="2024-09-15T00:00:00"/>
    <n v="-16"/>
    <n v="2.16"/>
    <n v="38"/>
    <n v="43"/>
    <n v="28"/>
    <n v="2.7"/>
    <n v="34"/>
    <n v="0.5074626865671642"/>
    <n v="5.1999899792654221"/>
    <n v="54"/>
    <n v="2.6100000000000002E-2"/>
    <n v="91.800000000000011"/>
    <n v="2.6665168614782824E-4"/>
    <n v="73.44"/>
  </r>
  <r>
    <x v="20"/>
    <x v="6"/>
    <x v="20"/>
    <s v="36 3rd Place"/>
    <x v="0"/>
    <s v="40-681-9981"/>
    <s v="54-470-2479"/>
    <d v="2024-11-01T00:00:00"/>
    <x v="20"/>
    <s v="Yes"/>
    <d v="2024-11-01T00:00:00"/>
    <d v="2024-05-29T00:00:00"/>
    <n v="156"/>
    <d v="2024-05-08T00:00:00"/>
    <n v="-177"/>
    <n v="16"/>
    <n v="45"/>
    <n v="77"/>
    <n v="2"/>
    <n v="20"/>
    <n v="85"/>
    <n v="0.54487179487179482"/>
    <n v="5.1999899792654221"/>
    <n v="1"/>
    <n v="2.5499999999999998E-2"/>
    <n v="1700"/>
    <n v="4.9379941879227444E-3"/>
    <n v="1360"/>
  </r>
  <r>
    <x v="21"/>
    <x v="0"/>
    <x v="21"/>
    <s v="7015 Ramsey Lane"/>
    <x v="2"/>
    <s v="13-962-6263"/>
    <s v="26-061-5253"/>
    <d v="2024-12-01T00:00:00"/>
    <x v="21"/>
    <s v="No"/>
    <d v="2024-12-23T00:00:00"/>
    <d v="2024-12-01T00:00:00"/>
    <n v="22"/>
    <d v="2024-11-18T00:00:00"/>
    <n v="-35"/>
    <n v="1.6"/>
    <n v="49"/>
    <n v="1"/>
    <n v="28"/>
    <n v="2"/>
    <n v="97"/>
    <n v="4.4090909090909092"/>
    <n v="5.1999899792654221"/>
    <n v="95"/>
    <n v="2.5600000000000001E-2"/>
    <n v="194"/>
    <n v="5.6351227791588969E-4"/>
    <n v="155.20000000000002"/>
  </r>
  <r>
    <x v="22"/>
    <x v="0"/>
    <x v="22"/>
    <s v="48 Vahlen Place"/>
    <x v="1"/>
    <s v="10-002-6494"/>
    <s v="47-509-7282"/>
    <d v="2024-03-02T00:00:00"/>
    <x v="22"/>
    <s v="No"/>
    <d v="2024-07-08T00:00:00"/>
    <d v="2024-03-02T00:00:00"/>
    <n v="128"/>
    <d v="2024-11-11T00:00:00"/>
    <n v="126"/>
    <n v="3.84"/>
    <n v="89"/>
    <n v="92"/>
    <n v="62"/>
    <n v="4.8"/>
    <n v="46"/>
    <n v="0.359375"/>
    <n v="5.1999899792654221"/>
    <n v="11"/>
    <n v="2.5700000000000001E-2"/>
    <n v="220.79999999999998"/>
    <n v="6.4135830393725998E-4"/>
    <n v="176.64"/>
  </r>
  <r>
    <x v="23"/>
    <x v="0"/>
    <x v="18"/>
    <s v="85 Farwell Parkway"/>
    <x v="1"/>
    <s v="29-741-8132"/>
    <s v="49-384-4540"/>
    <d v="2024-03-02T00:00:00"/>
    <x v="23"/>
    <s v="No"/>
    <d v="2024-07-14T00:00:00"/>
    <d v="2024-03-02T00:00:00"/>
    <n v="134"/>
    <d v="2024-06-03T00:00:00"/>
    <n v="-41"/>
    <n v="3.2"/>
    <n v="47"/>
    <n v="22"/>
    <n v="69"/>
    <n v="4"/>
    <n v="26"/>
    <n v="0.19402985074626866"/>
    <n v="5.1999899792654221"/>
    <n v="59"/>
    <n v="2.6200000000000001E-2"/>
    <n v="104"/>
    <n v="3.0208905620233262E-4"/>
    <n v="83.2"/>
  </r>
  <r>
    <x v="24"/>
    <x v="3"/>
    <x v="23"/>
    <s v="07 Pankratz Point"/>
    <x v="2"/>
    <s v="30-806-3823"/>
    <s v="36-451-3173"/>
    <d v="2024-03-02T00:00:00"/>
    <x v="24"/>
    <s v="No"/>
    <d v="2024-07-04T00:00:00"/>
    <d v="2024-03-02T00:00:00"/>
    <n v="124"/>
    <d v="2024-03-06T00:00:00"/>
    <n v="-120"/>
    <n v="3.8000000000000003"/>
    <n v="53"/>
    <n v="26"/>
    <n v="3"/>
    <n v="4.75"/>
    <n v="100"/>
    <n v="0.80645161290322576"/>
    <n v="5.1999899792654221"/>
    <n v="94"/>
    <n v="2.53E-2"/>
    <n v="475"/>
    <n v="1.3797336701548845E-3"/>
    <n v="380"/>
  </r>
  <r>
    <x v="25"/>
    <x v="5"/>
    <x v="24"/>
    <s v="338 Annamark Court"/>
    <x v="0"/>
    <s v="71-074-6292"/>
    <s v="42-201-4495"/>
    <d v="2024-04-02T00:00:00"/>
    <x v="25"/>
    <s v="No"/>
    <d v="2024-06-10T00:00:00"/>
    <d v="2024-04-02T00:00:00"/>
    <n v="69"/>
    <d v="2024-10-17T00:00:00"/>
    <n v="129"/>
    <n v="3.2"/>
    <n v="65"/>
    <n v="79"/>
    <n v="49"/>
    <n v="4"/>
    <n v="100"/>
    <n v="1.4492753623188406"/>
    <n v="5.1999899792654221"/>
    <n v="9"/>
    <n v="2.5000000000000001E-2"/>
    <n v="400"/>
    <n v="1.1618809853935869E-3"/>
    <n v="320"/>
  </r>
  <r>
    <x v="26"/>
    <x v="6"/>
    <x v="25"/>
    <s v="35 Golf Course Alley"/>
    <x v="1"/>
    <s v="95-738-4658"/>
    <s v="67-404-3362"/>
    <d v="2024-04-02T00:00:00"/>
    <x v="26"/>
    <s v="No"/>
    <d v="2024-11-26T00:00:00"/>
    <d v="2024-04-02T00:00:00"/>
    <n v="238"/>
    <d v="2024-10-30T00:00:00"/>
    <n v="-27"/>
    <n v="9.6000000000000014"/>
    <n v="90"/>
    <n v="68"/>
    <n v="74"/>
    <n v="12"/>
    <n v="81"/>
    <n v="0.34033613445378152"/>
    <n v="5.1999899792654221"/>
    <n v="26"/>
    <n v="2.4299999999999999E-2"/>
    <n v="972"/>
    <n v="2.8233707945064163E-3"/>
    <n v="777.60000000000014"/>
  </r>
  <r>
    <x v="20"/>
    <x v="6"/>
    <x v="26"/>
    <s v="96 Westridge Junction"/>
    <x v="1"/>
    <s v="55-154-4728"/>
    <s v="33-466-7894"/>
    <d v="2024-04-02T00:00:00"/>
    <x v="27"/>
    <s v="No"/>
    <d v="2025-01-07T00:00:00"/>
    <d v="2024-04-02T00:00:00"/>
    <n v="280"/>
    <d v="2024-03-29T00:00:00"/>
    <n v="-284"/>
    <n v="16"/>
    <n v="65"/>
    <n v="63"/>
    <n v="41"/>
    <n v="20"/>
    <n v="28"/>
    <n v="0.1"/>
    <n v="5.1999899792654221"/>
    <n v="26"/>
    <n v="2.58E-2"/>
    <n v="560"/>
    <n v="1.6266333795510218E-3"/>
    <n v="448"/>
  </r>
  <r>
    <x v="27"/>
    <x v="4"/>
    <x v="27"/>
    <s v="57 Eastwood Junction"/>
    <x v="2"/>
    <s v="46-255-3073"/>
    <s v="68-230-9130"/>
    <d v="2024-05-02T00:00:00"/>
    <x v="0"/>
    <s v="No"/>
    <d v="2025-01-06T00:00:00"/>
    <d v="2024-05-02T00:00:00"/>
    <n v="249"/>
    <d v="2024-07-11T00:00:00"/>
    <n v="-179"/>
    <n v="5.6000000000000005"/>
    <n v="30"/>
    <n v="42"/>
    <n v="8"/>
    <n v="7"/>
    <n v="48"/>
    <n v="0.19277108433734941"/>
    <n v="5.1999899792654221"/>
    <n v="23"/>
    <n v="2.5700000000000001E-2"/>
    <n v="336"/>
    <n v="9.7598002773061304E-4"/>
    <n v="268.8"/>
  </r>
  <r>
    <x v="28"/>
    <x v="3"/>
    <x v="28"/>
    <s v="31 Sullivan Hill"/>
    <x v="2"/>
    <s v="95-640-0293"/>
    <s v="43-575-2151"/>
    <d v="2024-05-02T00:00:00"/>
    <x v="28"/>
    <s v="No"/>
    <d v="2024-11-02T00:00:00"/>
    <d v="2024-05-02T00:00:00"/>
    <n v="184"/>
    <d v="2025-02-07T00:00:00"/>
    <n v="97"/>
    <n v="3.6"/>
    <n v="34"/>
    <n v="32"/>
    <n v="22"/>
    <n v="4.5"/>
    <n v="42"/>
    <n v="0.22826086956521738"/>
    <n v="5.1999899792654221"/>
    <n v="27"/>
    <n v="2.4500000000000001E-2"/>
    <n v="189"/>
    <n v="5.4898876559846986E-4"/>
    <n v="151.20000000000002"/>
  </r>
  <r>
    <x v="29"/>
    <x v="3"/>
    <x v="29"/>
    <s v="49148 Meadow Ridge Way"/>
    <x v="1"/>
    <s v="45-250-4679"/>
    <s v="80-328-4990"/>
    <d v="2024-05-02T00:00:00"/>
    <x v="29"/>
    <s v="No"/>
    <d v="2024-11-23T00:00:00"/>
    <d v="2024-05-02T00:00:00"/>
    <n v="205"/>
    <d v="2024-07-05T00:00:00"/>
    <n v="-141"/>
    <n v="1.2000000000000002"/>
    <n v="54"/>
    <n v="78"/>
    <n v="81"/>
    <n v="1.5"/>
    <n v="41"/>
    <n v="0.2"/>
    <n v="5.1999899792654221"/>
    <n v="63"/>
    <n v="2.3599999999999999E-2"/>
    <n v="61.5"/>
    <n v="1.7863920150426401E-4"/>
    <n v="49.20000000000001"/>
  </r>
  <r>
    <x v="30"/>
    <x v="0"/>
    <x v="30"/>
    <s v="38 Killdeer Point"/>
    <x v="2"/>
    <s v="03-833-3577"/>
    <s v="87-032-6971"/>
    <d v="2024-05-02T00:00:00"/>
    <x v="30"/>
    <s v="No"/>
    <d v="2024-08-20T00:00:00"/>
    <d v="2024-05-02T00:00:00"/>
    <n v="110"/>
    <d v="2024-10-16T00:00:00"/>
    <n v="57"/>
    <n v="1.4400000000000002"/>
    <n v="67"/>
    <n v="14"/>
    <n v="25"/>
    <n v="1.8"/>
    <n v="81"/>
    <n v="0.73636363636363633"/>
    <n v="5.1999899792654221"/>
    <n v="77"/>
    <n v="2.3400000000000001E-2"/>
    <n v="145.80000000000001"/>
    <n v="4.2350561917596247E-4"/>
    <n v="116.64000000000001"/>
  </r>
  <r>
    <x v="8"/>
    <x v="2"/>
    <x v="0"/>
    <s v="01 Gateway Plaza"/>
    <x v="1"/>
    <s v="08-961-3009"/>
    <s v="41-825-5869"/>
    <d v="2024-06-02T00:00:00"/>
    <x v="31"/>
    <s v="No"/>
    <d v="2024-12-19T00:00:00"/>
    <d v="2024-06-02T00:00:00"/>
    <n v="200"/>
    <d v="2024-09-08T00:00:00"/>
    <n v="-102"/>
    <n v="7.3599999999999994"/>
    <n v="50"/>
    <n v="14"/>
    <n v="6"/>
    <n v="9.1999999999999993"/>
    <n v="60"/>
    <n v="0.3"/>
    <n v="5.1999899792654221"/>
    <n v="72"/>
    <n v="2.2200000000000001E-2"/>
    <n v="552"/>
    <n v="1.6033957598431501E-3"/>
    <n v="441.59999999999997"/>
  </r>
  <r>
    <x v="31"/>
    <x v="2"/>
    <x v="31"/>
    <s v="36483 Burning Wood Pass"/>
    <x v="1"/>
    <s v="20-405-4865"/>
    <s v="16-019-7101"/>
    <d v="2024-06-02T00:00:00"/>
    <x v="32"/>
    <s v="No"/>
    <d v="2024-11-05T00:00:00"/>
    <d v="2024-06-02T00:00:00"/>
    <n v="156"/>
    <d v="2024-09-18T00:00:00"/>
    <n v="-48"/>
    <n v="0.72000000000000008"/>
    <n v="13"/>
    <n v="39"/>
    <n v="98"/>
    <n v="0.9"/>
    <n v="46"/>
    <n v="0.29487179487179488"/>
    <n v="5.1999899792654221"/>
    <n v="46"/>
    <n v="1.9900000000000001E-2"/>
    <n v="41.4"/>
    <n v="1.2025468198823625E-4"/>
    <n v="33.120000000000005"/>
  </r>
  <r>
    <x v="32"/>
    <x v="0"/>
    <x v="32"/>
    <s v="3 Meadow Valley Court"/>
    <x v="1"/>
    <s v="49-377-9731"/>
    <s v="56-823-5908"/>
    <d v="2024-06-02T00:00:00"/>
    <x v="33"/>
    <s v="No"/>
    <d v="2024-10-03T00:00:00"/>
    <d v="2024-06-02T00:00:00"/>
    <n v="123"/>
    <d v="2024-04-19T00:00:00"/>
    <n v="-167"/>
    <n v="1.6"/>
    <n v="18"/>
    <n v="8"/>
    <n v="68"/>
    <n v="2"/>
    <n v="54"/>
    <n v="0.43902439024390244"/>
    <n v="5.1999899792654221"/>
    <n v="45"/>
    <n v="1.9900000000000001E-2"/>
    <n v="108"/>
    <n v="3.1370786605626851E-4"/>
    <n v="86.4"/>
  </r>
  <r>
    <x v="33"/>
    <x v="3"/>
    <x v="33"/>
    <s v="47817 Oneill Park"/>
    <x v="2"/>
    <s v="39-810-2042"/>
    <s v="65-620-9866"/>
    <d v="2024-06-02T00:00:00"/>
    <x v="34"/>
    <s v="No"/>
    <d v="2025-01-25T00:00:00"/>
    <d v="2024-06-02T00:00:00"/>
    <n v="237"/>
    <d v="2024-09-05T00:00:00"/>
    <n v="-142"/>
    <n v="1.6"/>
    <n v="24"/>
    <n v="2"/>
    <n v="49"/>
    <n v="2"/>
    <n v="98"/>
    <n v="0.41350210970464135"/>
    <n v="5.1999899792654221"/>
    <n v="82"/>
    <n v="1.9E-2"/>
    <n v="196"/>
    <n v="5.6932168284285758E-4"/>
    <n v="156.80000000000001"/>
  </r>
  <r>
    <x v="25"/>
    <x v="5"/>
    <x v="34"/>
    <s v="94 Mallory Center"/>
    <x v="2"/>
    <s v="53-805-9523"/>
    <s v="99-864-0256"/>
    <d v="2024-07-02T00:00:00"/>
    <x v="35"/>
    <s v="Yes"/>
    <d v="2024-07-02T00:00:00"/>
    <d v="2024-03-19T00:00:00"/>
    <n v="105"/>
    <d v="2024-05-14T00:00:00"/>
    <n v="-49"/>
    <n v="3.6"/>
    <n v="40"/>
    <n v="30"/>
    <n v="65"/>
    <n v="4.5"/>
    <n v="54"/>
    <n v="0.51428571428571423"/>
    <n v="5.1999899792654221"/>
    <n v="29"/>
    <n v="1.84E-2"/>
    <n v="243"/>
    <n v="7.0584269862660409E-4"/>
    <n v="194.4"/>
  </r>
  <r>
    <x v="8"/>
    <x v="2"/>
    <x v="35"/>
    <s v="19 Shoshone Circle"/>
    <x v="2"/>
    <s v="14-305-5348"/>
    <s v="71-092-6845"/>
    <d v="2024-08-02T00:00:00"/>
    <x v="36"/>
    <s v="No"/>
    <d v="2024-10-12T00:00:00"/>
    <d v="2024-08-02T00:00:00"/>
    <n v="71"/>
    <d v="2024-03-20T00:00:00"/>
    <n v="-206"/>
    <n v="7.2"/>
    <n v="53"/>
    <n v="63"/>
    <n v="2"/>
    <n v="9"/>
    <n v="56"/>
    <n v="0.78873239436619713"/>
    <n v="5.1999899792654221"/>
    <n v="95"/>
    <n v="1.83E-2"/>
    <n v="504"/>
    <n v="1.4639700415959196E-3"/>
    <n v="403.2"/>
  </r>
  <r>
    <x v="34"/>
    <x v="2"/>
    <x v="36"/>
    <s v="805 Center Parkway"/>
    <x v="2"/>
    <s v="51-459-5630"/>
    <s v="29-567-3732"/>
    <d v="2024-08-02T00:00:00"/>
    <x v="37"/>
    <s v="No"/>
    <d v="2024-09-29T00:00:00"/>
    <d v="2024-08-02T00:00:00"/>
    <n v="58"/>
    <d v="2024-12-14T00:00:00"/>
    <n v="76"/>
    <n v="3.2"/>
    <n v="11"/>
    <n v="30"/>
    <n v="4"/>
    <n v="4"/>
    <n v="84"/>
    <n v="1.4482758620689655"/>
    <n v="5.1999899792654221"/>
    <n v="4"/>
    <n v="1.77E-2"/>
    <n v="336"/>
    <n v="9.7598002773061304E-4"/>
    <n v="268.8"/>
  </r>
  <r>
    <x v="35"/>
    <x v="5"/>
    <x v="6"/>
    <s v="46 Delaware Place"/>
    <x v="1"/>
    <s v="88-183-5781"/>
    <s v="49-247-1217"/>
    <d v="2024-08-02T00:00:00"/>
    <x v="38"/>
    <s v="No"/>
    <d v="2024-08-24T00:00:00"/>
    <d v="2024-08-02T00:00:00"/>
    <n v="22"/>
    <d v="2024-12-27T00:00:00"/>
    <n v="125"/>
    <n v="2.8000000000000003"/>
    <n v="17"/>
    <n v="63"/>
    <n v="3"/>
    <n v="3.5"/>
    <n v="93"/>
    <n v="4.2272727272727275"/>
    <n v="5.1999899792654221"/>
    <n v="26"/>
    <n v="1.66E-2"/>
    <n v="325.5"/>
    <n v="9.4548065186403146E-4"/>
    <n v="260.40000000000003"/>
  </r>
  <r>
    <x v="36"/>
    <x v="6"/>
    <x v="37"/>
    <s v="2374 Chive Court"/>
    <x v="0"/>
    <s v="41-735-9837"/>
    <s v="35-462-7569"/>
    <d v="2024-08-02T00:00:00"/>
    <x v="39"/>
    <s v="No"/>
    <d v="2024-08-28T00:00:00"/>
    <d v="2024-08-02T00:00:00"/>
    <n v="26"/>
    <d v="2024-09-01T00:00:00"/>
    <n v="4"/>
    <n v="8"/>
    <n v="14"/>
    <n v="77"/>
    <n v="78"/>
    <n v="10"/>
    <n v="32"/>
    <n v="1.2307692307692308"/>
    <n v="5.1999899792654221"/>
    <n v="24"/>
    <n v="1.52E-2"/>
    <n v="320"/>
    <n v="9.295047883148696E-4"/>
    <n v="256"/>
  </r>
  <r>
    <x v="37"/>
    <x v="5"/>
    <x v="38"/>
    <s v="7561 5th Terrace"/>
    <x v="2"/>
    <s v="88-977-0175"/>
    <s v="58-087-3463"/>
    <d v="2024-08-02T00:00:00"/>
    <x v="40"/>
    <s v="Yes"/>
    <d v="2024-08-02T00:00:00"/>
    <d v="2024-03-21T00:00:00"/>
    <n v="134"/>
    <d v="2024-07-19T00:00:00"/>
    <n v="-14"/>
    <n v="4"/>
    <n v="100"/>
    <n v="1"/>
    <n v="26"/>
    <n v="5"/>
    <n v="47"/>
    <n v="0.35074626865671643"/>
    <n v="5.1999899792654221"/>
    <n v="79"/>
    <n v="1.32E-2"/>
    <n v="235"/>
    <n v="6.8260507891873231E-4"/>
    <n v="188"/>
  </r>
  <r>
    <x v="38"/>
    <x v="1"/>
    <x v="39"/>
    <s v="703 Hermina Center"/>
    <x v="2"/>
    <s v="66-327-2821"/>
    <s v="82-525-7224"/>
    <d v="2024-08-02T00:00:00"/>
    <x v="14"/>
    <s v="Yes"/>
    <d v="2024-08-02T00:00:00"/>
    <d v="2024-04-10T00:00:00"/>
    <n v="114"/>
    <d v="2024-05-27T00:00:00"/>
    <n v="-67"/>
    <n v="1.4400000000000002"/>
    <n v="67"/>
    <n v="57"/>
    <n v="36"/>
    <n v="1.8"/>
    <n v="78"/>
    <n v="0.68421052631578949"/>
    <n v="5.1999899792654221"/>
    <n v="60"/>
    <n v="1.21E-2"/>
    <n v="140.4"/>
    <n v="4.0782022587314905E-4"/>
    <n v="112.32000000000001"/>
  </r>
  <r>
    <x v="7"/>
    <x v="4"/>
    <x v="40"/>
    <s v="709 Vidon Avenue"/>
    <x v="0"/>
    <s v="08-114-3922"/>
    <s v="19-418-7213"/>
    <d v="2024-09-02T00:00:00"/>
    <x v="41"/>
    <s v="Yes"/>
    <d v="2024-09-02T00:00:00"/>
    <d v="2024-02-25T00:00:00"/>
    <n v="190"/>
    <d v="2025-02-15T00:00:00"/>
    <n v="166"/>
    <n v="8"/>
    <n v="60"/>
    <n v="64"/>
    <n v="36"/>
    <n v="10"/>
    <n v="34"/>
    <n v="0.17894736842105263"/>
    <n v="5.1999899792654221"/>
    <n v="48"/>
    <n v="1.14E-2"/>
    <n v="340"/>
    <n v="9.8759883758454893E-4"/>
    <n v="272"/>
  </r>
  <r>
    <x v="39"/>
    <x v="1"/>
    <x v="11"/>
    <s v="0313 Rockefeller Street"/>
    <x v="0"/>
    <s v="95-090-2788"/>
    <s v="95-715-6047"/>
    <d v="2024-09-02T00:00:00"/>
    <x v="42"/>
    <s v="Yes"/>
    <d v="2024-09-02T00:00:00"/>
    <d v="2024-04-05T00:00:00"/>
    <n v="150"/>
    <d v="2024-08-26T00:00:00"/>
    <n v="-7"/>
    <n v="5.2"/>
    <n v="45"/>
    <n v="7"/>
    <n v="58"/>
    <n v="6.5"/>
    <n v="86"/>
    <n v="0.57333333333333336"/>
    <n v="5.1999899792654221"/>
    <n v="77"/>
    <n v="9.9000000000000008E-3"/>
    <n v="559"/>
    <n v="1.6237286770875378E-3"/>
    <n v="447.2"/>
  </r>
  <r>
    <x v="40"/>
    <x v="0"/>
    <x v="41"/>
    <s v="19069 Cordelia Drive"/>
    <x v="2"/>
    <s v="26-690-3784"/>
    <s v="70-463-6597"/>
    <d v="2024-10-02T00:00:00"/>
    <x v="43"/>
    <s v="No"/>
    <d v="2024-10-14T00:00:00"/>
    <d v="2024-10-02T00:00:00"/>
    <n v="12"/>
    <d v="2024-04-06T00:00:00"/>
    <n v="-191"/>
    <n v="1.6"/>
    <n v="58"/>
    <n v="5"/>
    <n v="1"/>
    <n v="2"/>
    <n v="53"/>
    <n v="4.416666666666667"/>
    <n v="5.1999899792654221"/>
    <n v="80"/>
    <n v="8.0000000000000002E-3"/>
    <n v="106"/>
    <n v="3.0789846112930057E-4"/>
    <n v="84.800000000000011"/>
  </r>
  <r>
    <x v="41"/>
    <x v="2"/>
    <x v="42"/>
    <s v="60356 Derek Lane"/>
    <x v="0"/>
    <s v="46-753-8430"/>
    <s v="35-042-9391"/>
    <d v="2024-10-02T00:00:00"/>
    <x v="44"/>
    <s v="No"/>
    <d v="2024-11-19T00:00:00"/>
    <d v="2024-10-02T00:00:00"/>
    <n v="48"/>
    <d v="2024-08-05T00:00:00"/>
    <n v="-106"/>
    <n v="5.6000000000000005"/>
    <n v="98"/>
    <n v="77"/>
    <n v="7"/>
    <n v="7"/>
    <n v="92"/>
    <n v="1.9166666666666667"/>
    <n v="5.1999899792654221"/>
    <n v="29"/>
    <n v="6.1999999999999998E-3"/>
    <n v="644"/>
    <n v="1.870628386483675E-3"/>
    <n v="515.20000000000005"/>
  </r>
  <r>
    <x v="42"/>
    <x v="0"/>
    <x v="43"/>
    <s v="36687 Maple Avenue"/>
    <x v="1"/>
    <s v="15-905-7750"/>
    <s v="48-176-1622"/>
    <d v="2024-12-02T00:00:00"/>
    <x v="45"/>
    <s v="No"/>
    <d v="2025-01-31T00:00:00"/>
    <d v="2024-12-02T00:00:00"/>
    <n v="60"/>
    <d v="2024-09-29T00:00:00"/>
    <n v="-124"/>
    <n v="4"/>
    <n v="42"/>
    <n v="61"/>
    <n v="52"/>
    <n v="5"/>
    <n v="86"/>
    <n v="1.4333333333333333"/>
    <n v="5.1999899792654221"/>
    <n v="99"/>
    <n v="4.7000000000000002E-3"/>
    <n v="430"/>
    <n v="1.2490220592981059E-3"/>
    <n v="344"/>
  </r>
  <r>
    <x v="43"/>
    <x v="1"/>
    <x v="44"/>
    <s v="13 Westport Hill"/>
    <x v="0"/>
    <s v="11-891-8213"/>
    <s v="25-741-5987"/>
    <d v="2024-12-02T00:00:00"/>
    <x v="3"/>
    <s v="No"/>
    <d v="2024-12-12T00:00:00"/>
    <d v="2024-12-02T00:00:00"/>
    <n v="10"/>
    <d v="2024-11-13T00:00:00"/>
    <n v="-29"/>
    <n v="3.2"/>
    <n v="38"/>
    <n v="62"/>
    <n v="47"/>
    <n v="4"/>
    <n v="41"/>
    <n v="4.0999999999999996"/>
    <n v="5.1999899792654221"/>
    <n v="34"/>
    <n v="3.7000000000000002E-3"/>
    <n v="164"/>
    <n v="4.7637120401137069E-4"/>
    <n v="131.20000000000002"/>
  </r>
  <r>
    <x v="44"/>
    <x v="1"/>
    <x v="45"/>
    <s v="65 Chinook Circle"/>
    <x v="0"/>
    <s v="82-811-7988"/>
    <s v="41-772-9238"/>
    <d v="2024-03-03T00:00:00"/>
    <x v="46"/>
    <s v="No"/>
    <d v="2024-06-13T00:00:00"/>
    <d v="2024-03-03T00:00:00"/>
    <n v="102"/>
    <d v="2024-12-13T00:00:00"/>
    <n v="183"/>
    <n v="4.8000000000000007"/>
    <n v="36"/>
    <n v="3"/>
    <n v="54"/>
    <n v="6"/>
    <n v="74"/>
    <n v="0.72549019607843135"/>
    <n v="5.1999899792654221"/>
    <n v="8"/>
    <n v="2.0999999999999999E-3"/>
    <n v="444"/>
    <n v="1.2896878937868816E-3"/>
    <n v="355.20000000000005"/>
  </r>
  <r>
    <x v="19"/>
    <x v="3"/>
    <x v="46"/>
    <s v="759 Waywood Court"/>
    <x v="2"/>
    <s v="31-746-4951"/>
    <s v="70-212-0990"/>
    <d v="2024-04-03T00:00:00"/>
    <x v="47"/>
    <s v="No"/>
    <d v="2024-05-20T00:00:00"/>
    <d v="2024-04-03T00:00:00"/>
    <n v="47"/>
    <d v="2024-09-06T00:00:00"/>
    <n v="109"/>
    <n v="2.2000000000000002"/>
    <n v="67"/>
    <n v="60"/>
    <n v="21"/>
    <n v="2.75"/>
    <n v="30"/>
    <n v="0.63829787234042556"/>
    <n v="5.1999899792654221"/>
    <n v="6"/>
    <n v="0.89"/>
    <n v="82.5"/>
    <n v="2.3963795323742732E-4"/>
    <n v="66"/>
  </r>
  <r>
    <x v="45"/>
    <x v="2"/>
    <x v="4"/>
    <s v="45190 Fordem Court"/>
    <x v="1"/>
    <s v="97-300-7511"/>
    <s v="47-687-2255"/>
    <d v="2024-04-03T00:00:00"/>
    <x v="48"/>
    <s v="No"/>
    <d v="2024-07-17T00:00:00"/>
    <d v="2024-04-03T00:00:00"/>
    <n v="105"/>
    <d v="2024-03-21T00:00:00"/>
    <n v="-118"/>
    <n v="0.8"/>
    <n v="37"/>
    <n v="53"/>
    <n v="61"/>
    <n v="1"/>
    <n v="90"/>
    <n v="0.8571428571428571"/>
    <n v="5.1999899792654221"/>
    <n v="89"/>
    <n v="0.8"/>
    <n v="90"/>
    <n v="2.6142322171355707E-4"/>
    <n v="72"/>
  </r>
  <r>
    <x v="46"/>
    <x v="0"/>
    <x v="47"/>
    <s v="0 Delladonna Place"/>
    <x v="2"/>
    <s v="88-304-2855"/>
    <s v="59-570-2020"/>
    <d v="2024-04-03T00:00:00"/>
    <x v="49"/>
    <s v="No"/>
    <d v="2025-01-24T00:00:00"/>
    <d v="2024-04-03T00:00:00"/>
    <n v="296"/>
    <d v="2025-02-12T00:00:00"/>
    <n v="19"/>
    <n v="2.8000000000000003"/>
    <n v="20"/>
    <n v="51"/>
    <n v="33"/>
    <n v="3.5"/>
    <n v="80"/>
    <n v="0.27027027027027029"/>
    <n v="5.1999899792654221"/>
    <n v="41"/>
    <n v="0.01"/>
    <n v="280"/>
    <n v="8.1331668977551092E-4"/>
    <n v="224.00000000000003"/>
  </r>
  <r>
    <x v="24"/>
    <x v="3"/>
    <x v="48"/>
    <s v="63 Debra Park"/>
    <x v="0"/>
    <s v="53-008-2419"/>
    <s v="86-841-6074"/>
    <d v="2024-04-03T00:00:00"/>
    <x v="14"/>
    <s v="No"/>
    <d v="2024-04-10T00:00:00"/>
    <d v="2024-04-03T00:00:00"/>
    <n v="7"/>
    <d v="2024-05-27T00:00:00"/>
    <n v="47"/>
    <n v="3.8000000000000003"/>
    <n v="62"/>
    <n v="36"/>
    <n v="96"/>
    <n v="4.75"/>
    <n v="31"/>
    <n v="4.4285714285714288"/>
    <n v="5.1999899792654221"/>
    <n v="25"/>
    <n v="0.49"/>
    <n v="147.25"/>
    <n v="4.277174377480142E-4"/>
    <n v="117.80000000000001"/>
  </r>
  <r>
    <x v="30"/>
    <x v="0"/>
    <x v="47"/>
    <s v="157 David Center"/>
    <x v="1"/>
    <s v="76-340-4432"/>
    <s v="79-915-4185"/>
    <d v="2024-05-03T00:00:00"/>
    <x v="50"/>
    <s v="Yes"/>
    <d v="2024-05-03T00:00:00"/>
    <d v="2024-03-28T00:00:00"/>
    <n v="36"/>
    <d v="2024-03-06T00:00:00"/>
    <n v="-58"/>
    <n v="1.4000000000000001"/>
    <n v="19"/>
    <n v="36"/>
    <n v="72"/>
    <n v="1.75"/>
    <n v="31"/>
    <n v="0.86111111111111116"/>
    <n v="5.1999899792654221"/>
    <n v="81"/>
    <n v="0.19"/>
    <n v="54.25"/>
    <n v="1.5758010864400524E-4"/>
    <n v="43.400000000000006"/>
  </r>
  <r>
    <x v="47"/>
    <x v="4"/>
    <x v="49"/>
    <s v="4508 Shopko Trail"/>
    <x v="2"/>
    <s v="26-010-9519"/>
    <s v="28-837-4164"/>
    <d v="2024-05-03T00:00:00"/>
    <x v="26"/>
    <s v="No"/>
    <d v="2024-11-26T00:00:00"/>
    <d v="2024-05-03T00:00:00"/>
    <n v="207"/>
    <d v="2025-01-09T00:00:00"/>
    <n v="44"/>
    <n v="9.6000000000000014"/>
    <n v="29"/>
    <n v="72"/>
    <n v="96"/>
    <n v="12"/>
    <n v="85"/>
    <n v="0.41062801932367149"/>
    <n v="5.1999899792654221"/>
    <n v="52"/>
    <n v="-1.61"/>
    <n v="1020"/>
    <n v="2.962796512753647E-3"/>
    <n v="816.00000000000011"/>
  </r>
  <r>
    <x v="48"/>
    <x v="0"/>
    <x v="50"/>
    <s v="74 Menomonie Point"/>
    <x v="0"/>
    <s v="08-940-8578"/>
    <s v="37-686-1726"/>
    <d v="2024-05-03T00:00:00"/>
    <x v="51"/>
    <s v="No"/>
    <d v="2024-10-04T00:00:00"/>
    <d v="2024-05-03T00:00:00"/>
    <n v="154"/>
    <d v="2024-11-22T00:00:00"/>
    <n v="49"/>
    <n v="1.6"/>
    <n v="34"/>
    <n v="29"/>
    <n v="65"/>
    <n v="2"/>
    <n v="90"/>
    <n v="0.58441558441558439"/>
    <n v="5.1999899792654221"/>
    <n v="23"/>
    <n v="0.39"/>
    <n v="180"/>
    <n v="5.2284644342711413E-4"/>
    <n v="144"/>
  </r>
  <r>
    <x v="49"/>
    <x v="2"/>
    <x v="51"/>
    <s v="74997 Katie Terrace"/>
    <x v="0"/>
    <s v="54-374-9986"/>
    <s v="33-818-4917"/>
    <d v="2024-06-03T00:00:00"/>
    <x v="52"/>
    <s v="No"/>
    <d v="2024-10-22T00:00:00"/>
    <d v="2024-06-03T00:00:00"/>
    <n v="141"/>
    <d v="2024-03-21T00:00:00"/>
    <n v="-215"/>
    <n v="2"/>
    <n v="92"/>
    <n v="52"/>
    <n v="80"/>
    <n v="2.5"/>
    <n v="72"/>
    <n v="0.51063829787234039"/>
    <n v="5.1999899792654221"/>
    <n v="96"/>
    <n v="0.74"/>
    <n v="180"/>
    <n v="5.2284644342711413E-4"/>
    <n v="144"/>
  </r>
  <r>
    <x v="50"/>
    <x v="4"/>
    <x v="52"/>
    <s v="7819 Fallview Park"/>
    <x v="0"/>
    <s v="67-625-9704"/>
    <s v="13-475-1009"/>
    <d v="2024-06-03T00:00:00"/>
    <x v="53"/>
    <s v="No"/>
    <d v="2024-09-26T00:00:00"/>
    <d v="2024-06-03T00:00:00"/>
    <n v="115"/>
    <d v="2024-07-18T00:00:00"/>
    <n v="-70"/>
    <n v="4.8000000000000007"/>
    <n v="33"/>
    <n v="18"/>
    <n v="92"/>
    <n v="6"/>
    <n v="98"/>
    <n v="0.85217391304347823"/>
    <n v="5.1999899792654221"/>
    <n v="56"/>
    <n v="-0.33"/>
    <n v="588"/>
    <n v="1.707965048528573E-3"/>
    <n v="470.40000000000009"/>
  </r>
  <r>
    <x v="25"/>
    <x v="5"/>
    <x v="53"/>
    <s v="744 Green Center"/>
    <x v="1"/>
    <s v="56-635-6764"/>
    <s v="20-257-6927"/>
    <d v="2024-06-03T00:00:00"/>
    <x v="54"/>
    <s v="No"/>
    <d v="2025-01-16T00:00:00"/>
    <d v="2024-06-03T00:00:00"/>
    <n v="227"/>
    <d v="2024-08-05T00:00:00"/>
    <n v="-164"/>
    <n v="3.6"/>
    <n v="12"/>
    <n v="59"/>
    <n v="62"/>
    <n v="4.5"/>
    <n v="75"/>
    <n v="0.33039647577092512"/>
    <n v="5.1999899792654221"/>
    <n v="92"/>
    <n v="0.43"/>
    <n v="337.5"/>
    <n v="9.8033708142583912E-4"/>
    <n v="270"/>
  </r>
  <r>
    <x v="7"/>
    <x v="4"/>
    <x v="54"/>
    <s v="31 Loomis Park"/>
    <x v="2"/>
    <s v="10-445-0741"/>
    <s v="82-470-7146"/>
    <d v="2024-06-03T00:00:00"/>
    <x v="55"/>
    <s v="No"/>
    <d v="2024-07-11T00:00:00"/>
    <d v="2024-06-03T00:00:00"/>
    <n v="38"/>
    <d v="2024-03-31T00:00:00"/>
    <n v="-102"/>
    <n v="8"/>
    <n v="83"/>
    <n v="17"/>
    <n v="39"/>
    <n v="10"/>
    <n v="33"/>
    <n v="0.86842105263157898"/>
    <n v="5.1999899792654221"/>
    <n v="20"/>
    <n v="-0.23"/>
    <n v="330"/>
    <n v="9.5855181294970926E-4"/>
    <n v="264"/>
  </r>
  <r>
    <x v="43"/>
    <x v="1"/>
    <x v="55"/>
    <s v="1170 Shasta Circle"/>
    <x v="1"/>
    <s v="76-584-4790"/>
    <s v="58-213-1146"/>
    <d v="2024-06-03T00:00:00"/>
    <x v="56"/>
    <s v="No"/>
    <d v="2024-11-04T00:00:00"/>
    <d v="2024-06-03T00:00:00"/>
    <n v="154"/>
    <d v="2025-01-01T00:00:00"/>
    <n v="58"/>
    <n v="3.2"/>
    <n v="21"/>
    <n v="52"/>
    <n v="80"/>
    <n v="4"/>
    <n v="49"/>
    <n v="0.31818181818181818"/>
    <n v="5.1999899792654221"/>
    <n v="37"/>
    <n v="0.39"/>
    <n v="196"/>
    <n v="5.6932168284285758E-4"/>
    <n v="156.80000000000001"/>
  </r>
  <r>
    <x v="51"/>
    <x v="0"/>
    <x v="56"/>
    <s v="15068 Scoville Court"/>
    <x v="1"/>
    <s v="57-437-1828"/>
    <s v="54-226-4308"/>
    <d v="2024-07-03T00:00:00"/>
    <x v="57"/>
    <s v="No"/>
    <d v="2024-10-11T00:00:00"/>
    <d v="2024-07-03T00:00:00"/>
    <n v="100"/>
    <d v="2024-10-05T00:00:00"/>
    <n v="-6"/>
    <n v="3.2"/>
    <n v="37"/>
    <n v="30"/>
    <n v="74"/>
    <n v="4"/>
    <n v="62"/>
    <n v="0.62"/>
    <n v="5.1999899792654221"/>
    <n v="25"/>
    <n v="0.24"/>
    <n v="248"/>
    <n v="7.2036621094402392E-4"/>
    <n v="198.4"/>
  </r>
  <r>
    <x v="52"/>
    <x v="3"/>
    <x v="4"/>
    <s v="5743 Superior Place"/>
    <x v="1"/>
    <s v="62-777-6010"/>
    <s v="40-914-7156"/>
    <d v="2024-07-03T00:00:00"/>
    <x v="58"/>
    <s v="Yes"/>
    <d v="2024-07-03T00:00:00"/>
    <d v="2024-03-06T00:00:00"/>
    <n v="119"/>
    <d v="2024-11-05T00:00:00"/>
    <n v="125"/>
    <n v="3.4000000000000004"/>
    <n v="77"/>
    <n v="20"/>
    <n v="37"/>
    <n v="4.25"/>
    <n v="42"/>
    <n v="0.35294117647058826"/>
    <n v="5.1999899792654221"/>
    <n v="19"/>
    <n v="0.6"/>
    <n v="178.5"/>
    <n v="5.1848938973188816E-4"/>
    <n v="142.80000000000001"/>
  </r>
  <r>
    <x v="53"/>
    <x v="3"/>
    <x v="27"/>
    <s v="3296 Walton Court"/>
    <x v="1"/>
    <s v="06-955-3428"/>
    <s v="54-031-2945"/>
    <d v="2024-08-03T00:00:00"/>
    <x v="25"/>
    <s v="Yes"/>
    <d v="2024-08-03T00:00:00"/>
    <d v="2024-06-10T00:00:00"/>
    <n v="54"/>
    <d v="2024-09-22T00:00:00"/>
    <n v="50"/>
    <n v="4.8000000000000007"/>
    <n v="30"/>
    <n v="38"/>
    <n v="83"/>
    <n v="6"/>
    <n v="31"/>
    <n v="0.57407407407407407"/>
    <n v="5.1999899792654221"/>
    <n v="34"/>
    <n v="0.55000000000000004"/>
    <n v="186"/>
    <n v="5.4027465820801791E-4"/>
    <n v="148.80000000000001"/>
  </r>
  <r>
    <x v="54"/>
    <x v="3"/>
    <x v="57"/>
    <s v="5 Toban Circle"/>
    <x v="0"/>
    <s v="04-758-0410"/>
    <s v="56-231-2524"/>
    <d v="2024-08-03T00:00:00"/>
    <x v="59"/>
    <s v="No"/>
    <d v="2024-08-16T00:00:00"/>
    <d v="2024-08-03T00:00:00"/>
    <n v="13"/>
    <d v="2024-05-02T00:00:00"/>
    <n v="-106"/>
    <n v="8"/>
    <n v="26"/>
    <n v="21"/>
    <n v="47"/>
    <n v="10"/>
    <n v="40"/>
    <n v="3.0769230769230771"/>
    <n v="5.1999899792654221"/>
    <n v="59"/>
    <n v="-0.1"/>
    <n v="400"/>
    <n v="1.1618809853935869E-3"/>
    <n v="320"/>
  </r>
  <r>
    <x v="54"/>
    <x v="3"/>
    <x v="58"/>
    <s v="8569 Bashford Court"/>
    <x v="1"/>
    <s v="06-655-5498"/>
    <s v="89-574-3430"/>
    <d v="2024-08-03T00:00:00"/>
    <x v="60"/>
    <s v="Yes"/>
    <d v="2024-08-03T00:00:00"/>
    <d v="2024-07-09T00:00:00"/>
    <n v="25"/>
    <d v="2024-09-28T00:00:00"/>
    <n v="56"/>
    <n v="7.8000000000000007"/>
    <n v="72"/>
    <n v="82"/>
    <n v="52"/>
    <n v="9.75"/>
    <n v="51"/>
    <n v="2.04"/>
    <n v="5.1999899792654221"/>
    <n v="95"/>
    <n v="-0.48"/>
    <n v="497.25"/>
    <n v="1.4443632999674029E-3"/>
    <n v="397.8"/>
  </r>
  <r>
    <x v="55"/>
    <x v="0"/>
    <x v="59"/>
    <s v="31892 Pennsylvania Street"/>
    <x v="2"/>
    <s v="76-401-7083"/>
    <s v="29-156-0691"/>
    <d v="2024-09-03T00:00:00"/>
    <x v="33"/>
    <s v="No"/>
    <d v="2024-10-03T00:00:00"/>
    <d v="2024-09-03T00:00:00"/>
    <n v="30"/>
    <d v="2024-07-31T00:00:00"/>
    <n v="-64"/>
    <n v="4.8000000000000007"/>
    <n v="59"/>
    <n v="79"/>
    <n v="87"/>
    <n v="6"/>
    <n v="47"/>
    <n v="1.5666666666666667"/>
    <n v="5.1999899792654221"/>
    <n v="18"/>
    <n v="-0.86"/>
    <n v="282"/>
    <n v="8.1912609470247881E-4"/>
    <n v="225.60000000000002"/>
  </r>
  <r>
    <x v="53"/>
    <x v="3"/>
    <x v="60"/>
    <s v="6382 Anniversary Pass"/>
    <x v="0"/>
    <s v="30-429-2162"/>
    <s v="05-100-7102"/>
    <d v="2024-10-03T00:00:00"/>
    <x v="61"/>
    <s v="No"/>
    <d v="2024-12-06T00:00:00"/>
    <d v="2024-10-03T00:00:00"/>
    <n v="64"/>
    <d v="2025-01-15T00:00:00"/>
    <n v="40"/>
    <n v="4.9200000000000008"/>
    <n v="34"/>
    <n v="96"/>
    <n v="76"/>
    <n v="6.15"/>
    <n v="90"/>
    <n v="1.40625"/>
    <n v="5.1999899792654221"/>
    <n v="34"/>
    <n v="0.62"/>
    <n v="553.5"/>
    <n v="1.607752813538376E-3"/>
    <n v="442.80000000000007"/>
  </r>
  <r>
    <x v="49"/>
    <x v="2"/>
    <x v="61"/>
    <s v="09189 2nd Drive"/>
    <x v="2"/>
    <s v="49-730-0159"/>
    <s v="62-766-8232"/>
    <d v="2024-10-03T00:00:00"/>
    <x v="62"/>
    <s v="No"/>
    <d v="2024-12-10T00:00:00"/>
    <d v="2024-10-03T00:00:00"/>
    <n v="68"/>
    <d v="2024-08-26T00:00:00"/>
    <n v="-106"/>
    <n v="1.92"/>
    <n v="82"/>
    <n v="3"/>
    <n v="82"/>
    <n v="2.4"/>
    <n v="48"/>
    <n v="0.70588235294117652"/>
    <n v="5.1999899792654221"/>
    <n v="31"/>
    <n v="0.62"/>
    <n v="115.19999999999999"/>
    <n v="3.34621723793353E-4"/>
    <n v="92.16"/>
  </r>
  <r>
    <x v="56"/>
    <x v="0"/>
    <x v="62"/>
    <s v="081 Jana Lane"/>
    <x v="2"/>
    <s v="31-745-6850"/>
    <s v="96-215-2767"/>
    <d v="2024-10-03T00:00:00"/>
    <x v="63"/>
    <s v="No"/>
    <d v="2024-10-24T00:00:00"/>
    <d v="2024-10-03T00:00:00"/>
    <n v="21"/>
    <d v="2024-11-01T00:00:00"/>
    <n v="8"/>
    <n v="0.72000000000000008"/>
    <n v="94"/>
    <n v="90"/>
    <n v="12"/>
    <n v="0.9"/>
    <n v="98"/>
    <n v="4.666666666666667"/>
    <n v="5.1999899792654221"/>
    <n v="71"/>
    <n v="0.35"/>
    <n v="88.2"/>
    <n v="2.5619475727928594E-4"/>
    <n v="70.56"/>
  </r>
  <r>
    <x v="25"/>
    <x v="5"/>
    <x v="63"/>
    <s v="72083 Acker Crossing"/>
    <x v="2"/>
    <s v="69-468-5468"/>
    <s v="37-099-6976"/>
    <d v="2024-11-03T00:00:00"/>
    <x v="25"/>
    <s v="Yes"/>
    <d v="2024-11-03T00:00:00"/>
    <d v="2024-06-10T00:00:00"/>
    <n v="146"/>
    <d v="2024-11-26T00:00:00"/>
    <n v="23"/>
    <n v="3.6"/>
    <n v="59"/>
    <n v="78"/>
    <n v="6"/>
    <n v="4.5"/>
    <n v="32"/>
    <n v="0.21917808219178081"/>
    <n v="5.1999899792654221"/>
    <n v="3"/>
    <n v="0.28000000000000003"/>
    <n v="144"/>
    <n v="4.182771547416913E-4"/>
    <n v="115.2"/>
  </r>
  <r>
    <x v="3"/>
    <x v="0"/>
    <x v="64"/>
    <s v="7744 Oxford Pass"/>
    <x v="2"/>
    <s v="68-636-4774"/>
    <s v="40-436-0171"/>
    <d v="2024-11-03T00:00:00"/>
    <x v="64"/>
    <s v="Yes"/>
    <d v="2024-11-03T00:00:00"/>
    <d v="2024-08-30T00:00:00"/>
    <n v="65"/>
    <d v="2025-02-19T00:00:00"/>
    <n v="108"/>
    <n v="1.1599999999999999"/>
    <n v="18"/>
    <n v="50"/>
    <n v="77"/>
    <n v="1.45"/>
    <n v="44"/>
    <n v="0.67692307692307696"/>
    <n v="5.1999899792654221"/>
    <n v="19"/>
    <n v="0.91"/>
    <n v="63.8"/>
    <n v="1.8532001717027713E-4"/>
    <n v="51.04"/>
  </r>
  <r>
    <x v="57"/>
    <x v="3"/>
    <x v="19"/>
    <s v="050 Mcbride Avenue"/>
    <x v="0"/>
    <s v="21-120-6238"/>
    <s v="86-292-4587"/>
    <d v="2024-12-03T00:00:00"/>
    <x v="65"/>
    <s v="Yes"/>
    <d v="2024-12-03T00:00:00"/>
    <d v="2024-05-26T00:00:00"/>
    <n v="191"/>
    <d v="2024-09-05T00:00:00"/>
    <n v="-89"/>
    <n v="1.4000000000000001"/>
    <n v="55"/>
    <n v="33"/>
    <n v="14"/>
    <n v="1.75"/>
    <n v="34"/>
    <n v="0.17801047120418848"/>
    <n v="5.1999899792654221"/>
    <n v="62"/>
    <n v="0.56999999999999995"/>
    <n v="59.5"/>
    <n v="1.7282979657729606E-4"/>
    <n v="47.6"/>
  </r>
  <r>
    <x v="10"/>
    <x v="2"/>
    <x v="65"/>
    <s v="1 Merchant Circle"/>
    <x v="1"/>
    <s v="92-995-8689"/>
    <s v="18-682-7828"/>
    <d v="2024-12-03T00:00:00"/>
    <x v="66"/>
    <s v="Yes"/>
    <d v="2024-12-03T00:00:00"/>
    <d v="2024-10-17T00:00:00"/>
    <n v="47"/>
    <d v="2024-03-06T00:00:00"/>
    <n v="-272"/>
    <n v="7.2"/>
    <n v="31"/>
    <n v="65"/>
    <n v="94"/>
    <n v="9"/>
    <n v="63"/>
    <n v="1.3404255319148937"/>
    <n v="5.1999899792654221"/>
    <n v="7"/>
    <n v="-0.82"/>
    <n v="567"/>
    <n v="1.6469662967954096E-3"/>
    <n v="453.6"/>
  </r>
  <r>
    <x v="26"/>
    <x v="6"/>
    <x v="66"/>
    <s v="97 Thierer Terrace"/>
    <x v="0"/>
    <s v="15-045-8444"/>
    <s v="29-143-2001"/>
    <d v="2024-03-04T00:00:00"/>
    <x v="67"/>
    <s v="No"/>
    <d v="2024-07-12T00:00:00"/>
    <d v="2024-03-04T00:00:00"/>
    <n v="130"/>
    <d v="2024-03-27T00:00:00"/>
    <n v="-107"/>
    <n v="9.6000000000000014"/>
    <n v="27"/>
    <n v="12"/>
    <n v="93"/>
    <n v="12"/>
    <n v="88"/>
    <n v="0.67692307692307696"/>
    <n v="5.1999899792654221"/>
    <n v="83"/>
    <n v="0.89"/>
    <n v="1056"/>
    <n v="3.0673658014390695E-3"/>
    <n v="844.80000000000018"/>
  </r>
  <r>
    <x v="58"/>
    <x v="2"/>
    <x v="67"/>
    <s v="069 Basil Center"/>
    <x v="2"/>
    <s v="73-567-6194"/>
    <s v="81-927-7236"/>
    <d v="2024-03-04T00:00:00"/>
    <x v="62"/>
    <s v="No"/>
    <d v="2024-12-10T00:00:00"/>
    <d v="2024-03-04T00:00:00"/>
    <n v="281"/>
    <d v="2024-09-08T00:00:00"/>
    <n v="-93"/>
    <n v="3.2"/>
    <n v="76"/>
    <n v="81"/>
    <n v="85"/>
    <n v="4"/>
    <n v="65"/>
    <n v="0.23131672597864769"/>
    <n v="5.1999899792654221"/>
    <n v="68"/>
    <n v="0.06"/>
    <n v="260"/>
    <n v="7.5522264050583159E-4"/>
    <n v="208"/>
  </r>
  <r>
    <x v="51"/>
    <x v="0"/>
    <x v="54"/>
    <s v="29 Vera Drive"/>
    <x v="0"/>
    <s v="48-242-8445"/>
    <s v="84-941-3034"/>
    <d v="2024-03-04T00:00:00"/>
    <x v="68"/>
    <s v="No"/>
    <d v="2024-06-15T00:00:00"/>
    <d v="2024-03-04T00:00:00"/>
    <n v="103"/>
    <d v="2024-06-24T00:00:00"/>
    <n v="9"/>
    <n v="3.2"/>
    <n v="40"/>
    <n v="3"/>
    <n v="5"/>
    <n v="4"/>
    <n v="45"/>
    <n v="0.43689320388349512"/>
    <n v="5.1999899792654221"/>
    <n v="69"/>
    <n v="-0.05"/>
    <n v="180"/>
    <n v="5.2284644342711413E-4"/>
    <n v="144"/>
  </r>
  <r>
    <x v="46"/>
    <x v="0"/>
    <x v="68"/>
    <s v="0584 Lindbergh Alley"/>
    <x v="2"/>
    <s v="33-507-9886"/>
    <s v="11-445-3951"/>
    <d v="2024-04-04T00:00:00"/>
    <x v="69"/>
    <s v="No"/>
    <d v="2024-08-19T00:00:00"/>
    <d v="2024-04-04T00:00:00"/>
    <n v="137"/>
    <d v="2024-06-27T00:00:00"/>
    <n v="-53"/>
    <n v="2.8000000000000003"/>
    <n v="68"/>
    <n v="25"/>
    <n v="16"/>
    <n v="3.5"/>
    <n v="25"/>
    <n v="0.18248175182481752"/>
    <n v="5.1999899792654221"/>
    <n v="83"/>
    <n v="-0.53"/>
    <n v="87.5"/>
    <n v="2.5416146555484715E-4"/>
    <n v="70"/>
  </r>
  <r>
    <x v="59"/>
    <x v="0"/>
    <x v="69"/>
    <s v="183 Algoma Trail"/>
    <x v="0"/>
    <s v="80-025-6757"/>
    <s v="49-608-3851"/>
    <d v="2024-04-04T00:00:00"/>
    <x v="70"/>
    <s v="No"/>
    <d v="2024-11-29T00:00:00"/>
    <d v="2024-04-04T00:00:00"/>
    <n v="239"/>
    <d v="2025-01-01T00:00:00"/>
    <n v="33"/>
    <n v="4.4000000000000004"/>
    <n v="59"/>
    <n v="29"/>
    <n v="100"/>
    <n v="5.5"/>
    <n v="74"/>
    <n v="0.30962343096234307"/>
    <n v="5.1999899792654221"/>
    <n v="16"/>
    <n v="-2.3199999999999998"/>
    <n v="407"/>
    <n v="1.1822139026379747E-3"/>
    <n v="325.60000000000002"/>
  </r>
  <r>
    <x v="60"/>
    <x v="1"/>
    <x v="70"/>
    <s v="7 Rutledge Pass"/>
    <x v="1"/>
    <s v="36-296-9609"/>
    <s v="46-041-1131"/>
    <d v="2024-05-04T00:00:00"/>
    <x v="71"/>
    <s v="No"/>
    <d v="2024-06-24T00:00:00"/>
    <d v="2024-05-04T00:00:00"/>
    <n v="51"/>
    <d v="2024-12-01T00:00:00"/>
    <n v="160"/>
    <n v="2"/>
    <n v="24"/>
    <n v="35"/>
    <n v="14"/>
    <n v="2.5"/>
    <n v="91"/>
    <n v="1.7843137254901962"/>
    <n v="5.1999899792654221"/>
    <n v="71"/>
    <n v="0.78"/>
    <n v="227.5"/>
    <n v="6.6081981044260256E-4"/>
    <n v="182"/>
  </r>
  <r>
    <x v="5"/>
    <x v="0"/>
    <x v="31"/>
    <s v="01 Straubel Hill"/>
    <x v="0"/>
    <s v="56-054-8664"/>
    <s v="53-247-1844"/>
    <d v="2024-05-04T00:00:00"/>
    <x v="72"/>
    <s v="Yes"/>
    <d v="2024-05-04T00:00:00"/>
    <d v="2024-03-25T00:00:00"/>
    <n v="40"/>
    <d v="2024-03-03T00:00:00"/>
    <n v="-62"/>
    <n v="1.9600000000000002"/>
    <n v="59"/>
    <n v="82"/>
    <n v="69"/>
    <n v="2.4500000000000002"/>
    <n v="30"/>
    <n v="0.75"/>
    <n v="5.1999899792654221"/>
    <n v="34"/>
    <n v="0.22"/>
    <n v="73.5"/>
    <n v="2.1349563106607162E-4"/>
    <n v="58.800000000000004"/>
  </r>
  <r>
    <x v="5"/>
    <x v="0"/>
    <x v="71"/>
    <s v="208 Miller Court"/>
    <x v="2"/>
    <s v="64-478-4745"/>
    <s v="36-780-8625"/>
    <d v="2024-06-04T00:00:00"/>
    <x v="73"/>
    <s v="Yes"/>
    <d v="2024-06-04T00:00:00"/>
    <d v="2024-04-20T00:00:00"/>
    <n v="45"/>
    <d v="2024-11-19T00:00:00"/>
    <n v="168"/>
    <n v="2"/>
    <n v="63"/>
    <n v="81"/>
    <n v="94"/>
    <n v="2.5"/>
    <n v="56"/>
    <n v="1.2444444444444445"/>
    <n v="5.1999899792654221"/>
    <n v="2"/>
    <n v="-0.13"/>
    <n v="140"/>
    <n v="4.0665834488775546E-4"/>
    <n v="112"/>
  </r>
  <r>
    <x v="43"/>
    <x v="1"/>
    <x v="72"/>
    <s v="203 Mariners Cove Junction"/>
    <x v="1"/>
    <s v="67-546-1568"/>
    <s v="10-038-3988"/>
    <d v="2024-06-04T00:00:00"/>
    <x v="74"/>
    <s v="No"/>
    <d v="2024-06-16T00:00:00"/>
    <d v="2024-06-04T00:00:00"/>
    <n v="12"/>
    <d v="2024-03-28T00:00:00"/>
    <n v="-80"/>
    <n v="3.2"/>
    <n v="57"/>
    <n v="36"/>
    <n v="53"/>
    <n v="4"/>
    <n v="56"/>
    <n v="4.666666666666667"/>
    <n v="5.1999899792654221"/>
    <n v="32"/>
    <n v="0.96"/>
    <n v="224"/>
    <n v="6.506533518204087E-4"/>
    <n v="179.20000000000002"/>
  </r>
  <r>
    <x v="16"/>
    <x v="2"/>
    <x v="68"/>
    <s v="6810 Aberg Junction"/>
    <x v="1"/>
    <s v="10-218-2680"/>
    <s v="72-024-1595"/>
    <d v="2024-06-04T00:00:00"/>
    <x v="75"/>
    <s v="Yes"/>
    <d v="2024-06-04T00:00:00"/>
    <d v="2024-05-28T00:00:00"/>
    <n v="7"/>
    <d v="2025-01-03T00:00:00"/>
    <n v="213"/>
    <n v="2"/>
    <n v="39"/>
    <n v="93"/>
    <n v="57"/>
    <n v="2.5"/>
    <n v="26"/>
    <n v="3.7142857142857144"/>
    <n v="5.1999899792654221"/>
    <n v="44"/>
    <n v="0.43"/>
    <n v="65"/>
    <n v="1.888056601264579E-4"/>
    <n v="52"/>
  </r>
  <r>
    <x v="61"/>
    <x v="3"/>
    <x v="4"/>
    <s v="805 Nancy Crossing"/>
    <x v="1"/>
    <s v="46-520-1819"/>
    <s v="10-762-7936"/>
    <d v="2024-07-04T00:00:00"/>
    <x v="51"/>
    <s v="No"/>
    <d v="2024-10-04T00:00:00"/>
    <d v="2024-07-04T00:00:00"/>
    <n v="92"/>
    <d v="2024-05-15T00:00:00"/>
    <n v="-142"/>
    <n v="3.6"/>
    <n v="41"/>
    <n v="36"/>
    <n v="78"/>
    <n v="4.5"/>
    <n v="38"/>
    <n v="0.41304347826086957"/>
    <n v="5.1999899792654221"/>
    <n v="75"/>
    <n v="-0.69"/>
    <n v="171"/>
    <n v="4.9670412125575841E-4"/>
    <n v="136.80000000000001"/>
  </r>
  <r>
    <x v="62"/>
    <x v="4"/>
    <x v="73"/>
    <s v="8 Fremont Circle"/>
    <x v="2"/>
    <s v="87-791-5803"/>
    <s v="89-843-0880"/>
    <d v="2024-07-04T00:00:00"/>
    <x v="76"/>
    <s v="Yes"/>
    <d v="2024-07-04T00:00:00"/>
    <d v="2024-03-09T00:00:00"/>
    <n v="117"/>
    <d v="2024-09-01T00:00:00"/>
    <n v="59"/>
    <n v="14.4"/>
    <n v="25"/>
    <n v="44"/>
    <n v="96"/>
    <n v="18"/>
    <n v="36"/>
    <n v="0.30769230769230771"/>
    <n v="5.1999899792654221"/>
    <n v="16"/>
    <n v="-0.97"/>
    <n v="648"/>
    <n v="1.882247196337611E-3"/>
    <n v="518.4"/>
  </r>
  <r>
    <x v="14"/>
    <x v="0"/>
    <x v="74"/>
    <s v="52 Victoria Plaza"/>
    <x v="0"/>
    <s v="71-436-5841"/>
    <s v="87-546-9674"/>
    <d v="2024-07-04T00:00:00"/>
    <x v="77"/>
    <s v="No"/>
    <d v="2024-09-25T00:00:00"/>
    <d v="2024-07-04T00:00:00"/>
    <n v="83"/>
    <d v="2024-06-25T00:00:00"/>
    <n v="-92"/>
    <n v="2"/>
    <n v="87"/>
    <n v="91"/>
    <n v="94"/>
    <n v="2.5"/>
    <n v="47"/>
    <n v="0.5662650602409639"/>
    <n v="5.1999899792654221"/>
    <n v="4"/>
    <n v="0.56000000000000005"/>
    <n v="117.5"/>
    <n v="3.4130253945936615E-4"/>
    <n v="94"/>
  </r>
  <r>
    <x v="48"/>
    <x v="0"/>
    <x v="75"/>
    <s v="1991 Kropf Way"/>
    <x v="2"/>
    <s v="07-679-1199"/>
    <s v="75-406-6250"/>
    <d v="2024-07-04T00:00:00"/>
    <x v="78"/>
    <s v="No"/>
    <d v="2024-07-10T00:00:00"/>
    <d v="2024-07-04T00:00:00"/>
    <n v="6"/>
    <d v="2024-10-15T00:00:00"/>
    <n v="97"/>
    <n v="1.6"/>
    <n v="20"/>
    <n v="65"/>
    <n v="61"/>
    <n v="2"/>
    <n v="51"/>
    <n v="8.5"/>
    <n v="5.1999899792654221"/>
    <n v="78"/>
    <n v="0.91"/>
    <n v="102"/>
    <n v="2.9627965127536468E-4"/>
    <n v="81.600000000000009"/>
  </r>
  <r>
    <x v="63"/>
    <x v="0"/>
    <x v="76"/>
    <s v="3825 Raven Avenue"/>
    <x v="0"/>
    <s v="48-957-8596"/>
    <s v="40-817-2222"/>
    <d v="2024-09-04T00:00:00"/>
    <x v="79"/>
    <s v="Yes"/>
    <d v="2024-09-04T00:00:00"/>
    <d v="2024-04-24T00:00:00"/>
    <n v="133"/>
    <d v="2024-10-18T00:00:00"/>
    <n v="44"/>
    <n v="43.056000000000004"/>
    <n v="95"/>
    <n v="25"/>
    <n v="91"/>
    <n v="53.82"/>
    <n v="87"/>
    <n v="0.65413533834586468"/>
    <n v="5.1999899792654221"/>
    <n v="5"/>
    <n v="-0.53"/>
    <n v="4682.34"/>
    <n v="1.360080453286952E-2"/>
    <n v="3745.8720000000003"/>
  </r>
  <r>
    <x v="64"/>
    <x v="0"/>
    <x v="4"/>
    <s v="78884 Union Street"/>
    <x v="1"/>
    <s v="20-325-1965"/>
    <s v="97-155-1262"/>
    <d v="2024-09-04T00:00:00"/>
    <x v="80"/>
    <s v="Yes"/>
    <d v="2024-09-04T00:00:00"/>
    <d v="2024-04-04T00:00:00"/>
    <n v="153"/>
    <d v="2024-05-21T00:00:00"/>
    <n v="-106"/>
    <n v="4"/>
    <n v="56"/>
    <n v="75"/>
    <n v="13"/>
    <n v="5"/>
    <n v="42"/>
    <n v="0.27450980392156865"/>
    <n v="5.1999899792654221"/>
    <n v="53"/>
    <n v="0.94"/>
    <n v="210"/>
    <n v="6.0998751733163314E-4"/>
    <n v="168"/>
  </r>
  <r>
    <x v="29"/>
    <x v="3"/>
    <x v="77"/>
    <s v="3 Anthes Place"/>
    <x v="0"/>
    <s v="51-069-0489"/>
    <s v="19-978-0708"/>
    <d v="2024-10-04T00:00:00"/>
    <x v="81"/>
    <s v="Yes"/>
    <d v="2024-10-04T00:00:00"/>
    <d v="2024-03-30T00:00:00"/>
    <n v="188"/>
    <d v="2024-05-30T00:00:00"/>
    <n v="-127"/>
    <n v="1.2000000000000002"/>
    <n v="96"/>
    <n v="83"/>
    <n v="50"/>
    <n v="1.5"/>
    <n v="81"/>
    <n v="0.43085106382978722"/>
    <n v="5.1999899792654221"/>
    <n v="89"/>
    <n v="-0.26"/>
    <n v="121.5"/>
    <n v="3.5292134931330204E-4"/>
    <n v="97.200000000000017"/>
  </r>
  <r>
    <x v="65"/>
    <x v="3"/>
    <x v="78"/>
    <s v="4627 Amoth Circle"/>
    <x v="2"/>
    <s v="17-493-4579"/>
    <s v="67-541-7091"/>
    <d v="2024-10-04T00:00:00"/>
    <x v="82"/>
    <s v="No"/>
    <d v="2024-11-08T00:00:00"/>
    <d v="2024-10-04T00:00:00"/>
    <n v="35"/>
    <d v="2024-05-28T00:00:00"/>
    <n v="-164"/>
    <n v="7.6000000000000005"/>
    <n v="76"/>
    <n v="8"/>
    <n v="2"/>
    <n v="9.5"/>
    <n v="24"/>
    <n v="0.68571428571428572"/>
    <n v="5.1999899792654221"/>
    <n v="53"/>
    <n v="-0.1"/>
    <n v="228"/>
    <n v="6.6227216167434458E-4"/>
    <n v="182.4"/>
  </r>
  <r>
    <x v="24"/>
    <x v="3"/>
    <x v="79"/>
    <s v="2 Miller Lane"/>
    <x v="0"/>
    <s v="46-622-3434"/>
    <s v="85-473-1534"/>
    <d v="2024-10-04T00:00:00"/>
    <x v="83"/>
    <s v="No"/>
    <d v="2024-12-08T00:00:00"/>
    <d v="2024-10-04T00:00:00"/>
    <n v="65"/>
    <d v="2024-07-23T00:00:00"/>
    <n v="-138"/>
    <n v="3.8000000000000003"/>
    <n v="17"/>
    <n v="19"/>
    <n v="74"/>
    <n v="4.75"/>
    <n v="58"/>
    <n v="0.89230769230769236"/>
    <n v="5.1999899792654221"/>
    <n v="27"/>
    <n v="-1.21"/>
    <n v="275.5"/>
    <n v="8.0024552868983301E-4"/>
    <n v="220.4"/>
  </r>
  <r>
    <x v="11"/>
    <x v="1"/>
    <x v="19"/>
    <s v="591 Maple Junction"/>
    <x v="2"/>
    <s v="05-899-1428"/>
    <s v="17-494-5505"/>
    <d v="2024-10-04T00:00:00"/>
    <x v="34"/>
    <s v="No"/>
    <d v="2025-01-25T00:00:00"/>
    <d v="2024-10-04T00:00:00"/>
    <n v="113"/>
    <d v="2024-07-01T00:00:00"/>
    <n v="-208"/>
    <n v="8"/>
    <n v="14"/>
    <n v="75"/>
    <n v="10"/>
    <n v="10"/>
    <n v="65"/>
    <n v="0.5752212389380531"/>
    <n v="5.1999899792654221"/>
    <n v="62"/>
    <n v="0.53"/>
    <n v="650"/>
    <n v="1.8880566012645789E-3"/>
    <n v="520"/>
  </r>
  <r>
    <x v="37"/>
    <x v="5"/>
    <x v="80"/>
    <s v="48 Golf View Pass"/>
    <x v="2"/>
    <s v="60-632-8752"/>
    <s v="07-948-8632"/>
    <d v="2024-11-04T00:00:00"/>
    <x v="80"/>
    <s v="Yes"/>
    <d v="2024-11-04T00:00:00"/>
    <d v="2024-04-04T00:00:00"/>
    <n v="214"/>
    <d v="2025-01-26T00:00:00"/>
    <n v="83"/>
    <n v="4"/>
    <n v="96"/>
    <n v="16"/>
    <n v="48"/>
    <n v="5"/>
    <n v="45"/>
    <n v="0.2102803738317757"/>
    <n v="5.1999899792654221"/>
    <n v="68"/>
    <n v="0.05"/>
    <n v="225"/>
    <n v="6.5355805428389264E-4"/>
    <n v="180"/>
  </r>
  <r>
    <x v="53"/>
    <x v="3"/>
    <x v="2"/>
    <s v="752 Mccormick Way"/>
    <x v="1"/>
    <s v="65-854-9364"/>
    <s v="64-800-4141"/>
    <d v="2024-11-04T00:00:00"/>
    <x v="31"/>
    <s v="No"/>
    <d v="2024-12-19T00:00:00"/>
    <d v="2024-11-04T00:00:00"/>
    <n v="45"/>
    <d v="2024-04-22T00:00:00"/>
    <n v="-241"/>
    <n v="5.04"/>
    <n v="30"/>
    <n v="34"/>
    <n v="96"/>
    <n v="6.3"/>
    <n v="61"/>
    <n v="1.3555555555555556"/>
    <n v="5.1999899792654221"/>
    <n v="13"/>
    <n v="-0.51"/>
    <n v="384.3"/>
    <n v="1.1162771567168888E-3"/>
    <n v="307.44"/>
  </r>
  <r>
    <x v="66"/>
    <x v="2"/>
    <x v="81"/>
    <s v="550 Clemons Plaza"/>
    <x v="2"/>
    <s v="66-268-8345"/>
    <s v="32-182-1895"/>
    <d v="2024-12-04T00:00:00"/>
    <x v="10"/>
    <s v="Yes"/>
    <d v="2024-12-04T00:00:00"/>
    <d v="2024-06-02T00:00:00"/>
    <n v="185"/>
    <d v="2025-01-08T00:00:00"/>
    <n v="35"/>
    <n v="2.4000000000000004"/>
    <n v="91"/>
    <n v="84"/>
    <n v="11"/>
    <n v="3"/>
    <n v="56"/>
    <n v="0.30270270270270272"/>
    <n v="5.1999899792654221"/>
    <n v="90"/>
    <n v="0.79"/>
    <n v="168"/>
    <n v="4.8799001386530652E-4"/>
    <n v="134.40000000000003"/>
  </r>
  <r>
    <x v="67"/>
    <x v="0"/>
    <x v="76"/>
    <s v="04 Hagan Crossing"/>
    <x v="1"/>
    <s v="13-673-7016"/>
    <s v="78-726-6352"/>
    <d v="2024-12-04T00:00:00"/>
    <x v="84"/>
    <s v="Yes"/>
    <d v="2024-12-04T00:00:00"/>
    <d v="2024-07-22T00:00:00"/>
    <n v="135"/>
    <d v="2025-02-23T00:00:00"/>
    <n v="81"/>
    <n v="3.2"/>
    <n v="47"/>
    <n v="67"/>
    <n v="57"/>
    <n v="4"/>
    <n v="36"/>
    <n v="0.26666666666666666"/>
    <n v="5.1999899792654221"/>
    <n v="48"/>
    <n v="-0.61"/>
    <n v="144"/>
    <n v="4.182771547416913E-4"/>
    <n v="115.2"/>
  </r>
  <r>
    <x v="37"/>
    <x v="5"/>
    <x v="82"/>
    <s v="39 Lakewood Gardens Center"/>
    <x v="0"/>
    <s v="20-054-3716"/>
    <s v="49-591-1019"/>
    <d v="2024-03-05T00:00:00"/>
    <x v="85"/>
    <s v="No"/>
    <d v="2024-09-16T00:00:00"/>
    <d v="2024-03-05T00:00:00"/>
    <n v="195"/>
    <d v="2024-02-25T00:00:00"/>
    <n v="-204"/>
    <n v="4"/>
    <n v="11"/>
    <n v="6"/>
    <n v="100"/>
    <n v="5"/>
    <n v="88"/>
    <n v="0.45128205128205129"/>
    <n v="5.1999899792654221"/>
    <n v="24"/>
    <n v="-0.33"/>
    <n v="440"/>
    <n v="1.2780690839329456E-3"/>
    <n v="352"/>
  </r>
  <r>
    <x v="51"/>
    <x v="0"/>
    <x v="83"/>
    <s v="5104 Jana Court"/>
    <x v="2"/>
    <s v="11-073-0189"/>
    <s v="75-190-3627"/>
    <d v="2024-04-05T00:00:00"/>
    <x v="86"/>
    <s v="No"/>
    <d v="2024-09-21T00:00:00"/>
    <d v="2024-04-05T00:00:00"/>
    <n v="169"/>
    <d v="2024-05-06T00:00:00"/>
    <n v="-138"/>
    <n v="3.2"/>
    <n v="95"/>
    <n v="50"/>
    <n v="76"/>
    <n v="4"/>
    <n v="69"/>
    <n v="0.40828402366863903"/>
    <n v="5.1999899792654221"/>
    <n v="5"/>
    <n v="0.73"/>
    <n v="276"/>
    <n v="8.0169787992157503E-4"/>
    <n v="220.8"/>
  </r>
  <r>
    <x v="34"/>
    <x v="2"/>
    <x v="84"/>
    <s v="68086 Crowley Circle"/>
    <x v="0"/>
    <s v="40-793-7235"/>
    <s v="89-048-3542"/>
    <d v="2024-04-05T00:00:00"/>
    <x v="87"/>
    <s v="No"/>
    <d v="2024-12-09T00:00:00"/>
    <d v="2024-04-05T00:00:00"/>
    <n v="248"/>
    <d v="2024-05-19T00:00:00"/>
    <n v="-204"/>
    <n v="3.2"/>
    <n v="92"/>
    <n v="67"/>
    <n v="51"/>
    <n v="4"/>
    <n v="23"/>
    <n v="9.2741935483870969E-2"/>
    <n v="5.1999899792654221"/>
    <n v="78"/>
    <n v="0.93"/>
    <n v="92"/>
    <n v="2.6723262664052501E-4"/>
    <n v="73.600000000000009"/>
  </r>
  <r>
    <x v="9"/>
    <x v="2"/>
    <x v="85"/>
    <s v="897 Independence Circle"/>
    <x v="1"/>
    <s v="56-894-3733"/>
    <s v="57-133-8386"/>
    <d v="2024-04-05T00:00:00"/>
    <x v="13"/>
    <s v="Yes"/>
    <d v="2024-04-05T00:00:00"/>
    <d v="2024-03-17T00:00:00"/>
    <n v="19"/>
    <d v="2025-02-02T00:00:00"/>
    <n v="303"/>
    <n v="1.4000000000000001"/>
    <n v="85"/>
    <n v="83"/>
    <n v="13"/>
    <n v="1.75"/>
    <n v="49"/>
    <n v="2.5789473684210527"/>
    <n v="5.1999899792654221"/>
    <n v="75"/>
    <n v="-2.39"/>
    <n v="85.75"/>
    <n v="2.4907823624375022E-4"/>
    <n v="68.600000000000009"/>
  </r>
  <r>
    <x v="68"/>
    <x v="0"/>
    <x v="86"/>
    <s v="0282 Emmet Hill"/>
    <x v="1"/>
    <s v="83-117-7658"/>
    <s v="61-424-7670"/>
    <d v="2024-04-05T00:00:00"/>
    <x v="41"/>
    <s v="Yes"/>
    <d v="2024-04-05T00:00:00"/>
    <d v="2024-02-25T00:00:00"/>
    <n v="40"/>
    <d v="2024-12-19T00:00:00"/>
    <n v="258"/>
    <n v="4"/>
    <n v="92"/>
    <n v="3"/>
    <n v="81"/>
    <n v="5"/>
    <n v="62"/>
    <n v="1.55"/>
    <n v="5.1999899792654221"/>
    <n v="20"/>
    <n v="-0.53"/>
    <n v="310"/>
    <n v="9.0045776368002993E-4"/>
    <n v="248"/>
  </r>
  <r>
    <x v="69"/>
    <x v="0"/>
    <x v="87"/>
    <s v="61 Waubesa Court"/>
    <x v="1"/>
    <s v="72-989-2512"/>
    <s v="03-117-6217"/>
    <d v="2024-04-05T00:00:00"/>
    <x v="88"/>
    <s v="No"/>
    <d v="2024-06-27T00:00:00"/>
    <d v="2024-04-05T00:00:00"/>
    <n v="83"/>
    <d v="2024-10-28T00:00:00"/>
    <n v="123"/>
    <n v="4.8000000000000007"/>
    <n v="24"/>
    <n v="21"/>
    <n v="4"/>
    <n v="6"/>
    <n v="85"/>
    <n v="1.0240963855421688"/>
    <n v="5.1999899792654221"/>
    <n v="17"/>
    <n v="0.68"/>
    <n v="510"/>
    <n v="1.4813982563768235E-3"/>
    <n v="408.00000000000006"/>
  </r>
  <r>
    <x v="49"/>
    <x v="2"/>
    <x v="88"/>
    <s v="1 Lillian Plaza"/>
    <x v="1"/>
    <s v="58-229-1358"/>
    <s v="66-883-2383"/>
    <d v="2024-04-05T00:00:00"/>
    <x v="89"/>
    <s v="No"/>
    <d v="2024-09-11T00:00:00"/>
    <d v="2024-04-05T00:00:00"/>
    <n v="159"/>
    <d v="2024-09-28T00:00:00"/>
    <n v="17"/>
    <n v="1.8800000000000001"/>
    <n v="21"/>
    <n v="24"/>
    <n v="2"/>
    <n v="2.35"/>
    <n v="87"/>
    <n v="0.54716981132075471"/>
    <n v="5.1999899792654221"/>
    <n v="36"/>
    <n v="0.8"/>
    <n v="204.45000000000002"/>
    <n v="5.9386641865929719E-4"/>
    <n v="163.56"/>
  </r>
  <r>
    <x v="7"/>
    <x v="4"/>
    <x v="89"/>
    <s v="4 Doe Crossing Avenue"/>
    <x v="2"/>
    <s v="28-275-5901"/>
    <s v="44-760-4337"/>
    <d v="2024-04-05T00:00:00"/>
    <x v="90"/>
    <s v="No"/>
    <d v="2024-04-23T00:00:00"/>
    <d v="2024-04-05T00:00:00"/>
    <n v="18"/>
    <d v="2025-01-24T00:00:00"/>
    <n v="276"/>
    <n v="8"/>
    <n v="64"/>
    <n v="1"/>
    <n v="92"/>
    <n v="10"/>
    <n v="49"/>
    <n v="2.7222222222222223"/>
    <n v="5.1999899792654221"/>
    <n v="15"/>
    <n v="0.59"/>
    <n v="490"/>
    <n v="1.4233042071071442E-3"/>
    <n v="392"/>
  </r>
  <r>
    <x v="70"/>
    <x v="6"/>
    <x v="90"/>
    <s v="24 South Trail"/>
    <x v="2"/>
    <s v="85-806-8672"/>
    <s v="44-646-7502"/>
    <d v="2024-04-05T00:00:00"/>
    <x v="36"/>
    <s v="No"/>
    <d v="2024-10-12T00:00:00"/>
    <d v="2024-04-05T00:00:00"/>
    <n v="190"/>
    <d v="2024-11-21T00:00:00"/>
    <n v="40"/>
    <n v="3.7600000000000002"/>
    <n v="35"/>
    <n v="88"/>
    <n v="87"/>
    <n v="4.7"/>
    <n v="39"/>
    <n v="0.20526315789473684"/>
    <n v="5.1999899792654221"/>
    <n v="62"/>
    <n v="0.69"/>
    <n v="183.3"/>
    <n v="5.3243196155661123E-4"/>
    <n v="146.64000000000001"/>
  </r>
  <r>
    <x v="44"/>
    <x v="1"/>
    <x v="91"/>
    <s v="8626 Chinook Parkway"/>
    <x v="2"/>
    <s v="65-718-0492"/>
    <s v="91-492-8216"/>
    <d v="2024-05-05T00:00:00"/>
    <x v="91"/>
    <s v="No"/>
    <d v="2025-01-23T00:00:00"/>
    <d v="2024-05-05T00:00:00"/>
    <n v="263"/>
    <d v="2025-02-16T00:00:00"/>
    <n v="24"/>
    <n v="4.8000000000000007"/>
    <n v="100"/>
    <n v="92"/>
    <n v="26"/>
    <n v="6"/>
    <n v="84"/>
    <n v="0.3193916349809886"/>
    <n v="5.1999899792654221"/>
    <n v="9"/>
    <n v="-0.59"/>
    <n v="504"/>
    <n v="1.4639700415959196E-3"/>
    <n v="403.20000000000005"/>
  </r>
  <r>
    <x v="71"/>
    <x v="6"/>
    <x v="92"/>
    <s v="5501 Fuller Way"/>
    <x v="1"/>
    <s v="86-482-6451"/>
    <s v="56-965-0404"/>
    <d v="2024-05-05T00:00:00"/>
    <x v="92"/>
    <s v="No"/>
    <d v="2024-10-27T00:00:00"/>
    <d v="2024-05-05T00:00:00"/>
    <n v="175"/>
    <d v="2024-08-10T00:00:00"/>
    <n v="-78"/>
    <n v="20"/>
    <n v="91"/>
    <n v="78"/>
    <n v="61"/>
    <n v="25"/>
    <n v="63"/>
    <n v="0.36"/>
    <n v="5.1999899792654221"/>
    <n v="15"/>
    <n v="0.89"/>
    <n v="1575"/>
    <n v="4.5749063799872484E-3"/>
    <n v="1260"/>
  </r>
  <r>
    <x v="1"/>
    <x v="1"/>
    <x v="93"/>
    <s v="5 Colorado Park"/>
    <x v="2"/>
    <s v="48-289-0604"/>
    <s v="94-261-1193"/>
    <d v="2024-05-05T00:00:00"/>
    <x v="93"/>
    <s v="No"/>
    <d v="2024-08-12T00:00:00"/>
    <d v="2024-05-05T00:00:00"/>
    <n v="99"/>
    <d v="2024-06-20T00:00:00"/>
    <n v="-53"/>
    <n v="1.6"/>
    <n v="18"/>
    <n v="72"/>
    <n v="71"/>
    <n v="2"/>
    <n v="25"/>
    <n v="0.25252525252525254"/>
    <n v="5.1999899792654221"/>
    <n v="81"/>
    <n v="0.76"/>
    <n v="50"/>
    <n v="1.4523512317419837E-4"/>
    <n v="40"/>
  </r>
  <r>
    <x v="72"/>
    <x v="3"/>
    <x v="94"/>
    <s v="3053 Sachs Center"/>
    <x v="0"/>
    <s v="21-809-7115"/>
    <s v="57-774-4116"/>
    <d v="2024-05-05T00:00:00"/>
    <x v="84"/>
    <s v="No"/>
    <d v="2024-07-22T00:00:00"/>
    <d v="2024-05-05T00:00:00"/>
    <n v="78"/>
    <d v="2025-02-24T00:00:00"/>
    <n v="217"/>
    <n v="1.4400000000000002"/>
    <n v="80"/>
    <n v="86"/>
    <n v="50"/>
    <n v="1.8"/>
    <n v="46"/>
    <n v="0.58974358974358976"/>
    <n v="5.1999899792654221"/>
    <n v="69"/>
    <n v="-2.2400000000000002"/>
    <n v="82.8"/>
    <n v="2.4050936397647249E-4"/>
    <n v="66.240000000000009"/>
  </r>
  <r>
    <x v="73"/>
    <x v="3"/>
    <x v="95"/>
    <s v="49263 Graceland Pass"/>
    <x v="0"/>
    <s v="84-269-9130"/>
    <s v="88-615-2915"/>
    <d v="2024-06-05T00:00:00"/>
    <x v="94"/>
    <s v="No"/>
    <d v="2024-09-27T00:00:00"/>
    <d v="2024-06-05T00:00:00"/>
    <n v="114"/>
    <d v="2024-08-02T00:00:00"/>
    <n v="-56"/>
    <n v="1.2000000000000002"/>
    <n v="11"/>
    <n v="10"/>
    <n v="80"/>
    <n v="1.5"/>
    <n v="48"/>
    <n v="0.42105263157894735"/>
    <n v="5.1999899792654221"/>
    <n v="65"/>
    <n v="-0.5"/>
    <n v="72"/>
    <n v="2.0913857737084565E-4"/>
    <n v="57.600000000000009"/>
  </r>
  <r>
    <x v="37"/>
    <x v="5"/>
    <x v="96"/>
    <s v="865 Eagle Crest Park"/>
    <x v="1"/>
    <s v="54-758-4622"/>
    <s v="94-903-2643"/>
    <d v="2024-06-05T00:00:00"/>
    <x v="54"/>
    <s v="No"/>
    <d v="2025-01-16T00:00:00"/>
    <d v="2024-06-05T00:00:00"/>
    <n v="225"/>
    <d v="2024-11-21T00:00:00"/>
    <n v="-56"/>
    <n v="4"/>
    <n v="99"/>
    <n v="3"/>
    <n v="79"/>
    <n v="5"/>
    <n v="65"/>
    <n v="0.28888888888888886"/>
    <n v="5.1999899792654221"/>
    <n v="16"/>
    <n v="-0.35"/>
    <n v="325"/>
    <n v="9.4402830063228943E-4"/>
    <n v="260"/>
  </r>
  <r>
    <x v="67"/>
    <x v="0"/>
    <x v="97"/>
    <s v="36124 Carberry Junction"/>
    <x v="2"/>
    <s v="65-867-4029"/>
    <s v="70-591-9841"/>
    <d v="2024-06-05T00:00:00"/>
    <x v="95"/>
    <s v="No"/>
    <d v="2024-09-03T00:00:00"/>
    <d v="2024-06-05T00:00:00"/>
    <n v="90"/>
    <d v="2024-06-16T00:00:00"/>
    <n v="-79"/>
    <n v="3.2"/>
    <n v="40"/>
    <n v="83"/>
    <n v="50"/>
    <n v="4"/>
    <n v="92"/>
    <n v="1.0222222222222221"/>
    <n v="5.1999899792654221"/>
    <n v="50"/>
    <n v="0.75"/>
    <n v="368"/>
    <n v="1.0689305065621E-3"/>
    <n v="294.40000000000003"/>
  </r>
  <r>
    <x v="74"/>
    <x v="5"/>
    <x v="98"/>
    <s v="6 Haas Circle"/>
    <x v="1"/>
    <s v="24-310-9184"/>
    <s v="69-378-2045"/>
    <d v="2024-07-05T00:00:00"/>
    <x v="19"/>
    <s v="No"/>
    <d v="2024-07-26T00:00:00"/>
    <d v="2024-07-05T00:00:00"/>
    <n v="21"/>
    <d v="2024-04-08T00:00:00"/>
    <n v="-109"/>
    <n v="2.4000000000000004"/>
    <n v="69"/>
    <n v="65"/>
    <n v="91"/>
    <n v="3"/>
    <n v="98"/>
    <n v="4.666666666666667"/>
    <n v="5.1999899792654221"/>
    <n v="50"/>
    <n v="0.46"/>
    <n v="294"/>
    <n v="8.5398252426428648E-4"/>
    <n v="235.20000000000005"/>
  </r>
  <r>
    <x v="75"/>
    <x v="2"/>
    <x v="99"/>
    <s v="292 Utah Street"/>
    <x v="2"/>
    <s v="53-930-2215"/>
    <s v="42-210-6541"/>
    <d v="2024-07-05T00:00:00"/>
    <x v="51"/>
    <s v="No"/>
    <d v="2024-10-04T00:00:00"/>
    <d v="2024-07-05T00:00:00"/>
    <n v="91"/>
    <d v="2024-07-09T00:00:00"/>
    <n v="-87"/>
    <n v="2"/>
    <n v="60"/>
    <n v="43"/>
    <n v="32"/>
    <n v="2.5"/>
    <n v="77"/>
    <n v="0.84615384615384615"/>
    <n v="5.1999899792654221"/>
    <n v="60"/>
    <n v="0.49"/>
    <n v="192.5"/>
    <n v="5.5915522422066372E-4"/>
    <n v="154"/>
  </r>
  <r>
    <x v="76"/>
    <x v="3"/>
    <x v="100"/>
    <s v="7403 Fuller Hill"/>
    <x v="0"/>
    <s v="94-598-3383"/>
    <s v="39-488-0039"/>
    <d v="2024-07-05T00:00:00"/>
    <x v="96"/>
    <s v="No"/>
    <d v="2024-10-08T00:00:00"/>
    <d v="2024-07-05T00:00:00"/>
    <n v="95"/>
    <d v="2024-09-01T00:00:00"/>
    <n v="-37"/>
    <n v="2"/>
    <n v="79"/>
    <n v="38"/>
    <n v="67"/>
    <n v="2.5"/>
    <n v="43"/>
    <n v="0.45263157894736844"/>
    <n v="5.1999899792654221"/>
    <n v="93"/>
    <n v="0.22"/>
    <n v="107.5"/>
    <n v="3.1225551482452649E-4"/>
    <n v="86"/>
  </r>
  <r>
    <x v="68"/>
    <x v="0"/>
    <x v="45"/>
    <s v="2696 Katie Road"/>
    <x v="1"/>
    <s v="83-625-3618"/>
    <s v="64-528-9996"/>
    <d v="2024-08-05T00:00:00"/>
    <x v="97"/>
    <s v="No"/>
    <d v="2025-01-11T00:00:00"/>
    <d v="2024-08-05T00:00:00"/>
    <n v="159"/>
    <d v="2024-07-04T00:00:00"/>
    <n v="-191"/>
    <n v="4"/>
    <n v="68"/>
    <n v="12"/>
    <n v="73"/>
    <n v="5"/>
    <n v="84"/>
    <n v="0.52830188679245282"/>
    <n v="5.1999899792654221"/>
    <n v="95"/>
    <n v="-1.1599999999999999"/>
    <n v="420"/>
    <n v="1.2199750346632663E-3"/>
    <n v="336"/>
  </r>
  <r>
    <x v="50"/>
    <x v="4"/>
    <x v="101"/>
    <s v="86207 Tennyson Parkway"/>
    <x v="2"/>
    <s v="13-844-2178"/>
    <s v="66-832-1802"/>
    <d v="2024-09-05T00:00:00"/>
    <x v="86"/>
    <s v="No"/>
    <d v="2024-09-21T00:00:00"/>
    <d v="2024-09-05T00:00:00"/>
    <n v="16"/>
    <d v="2024-03-24T00:00:00"/>
    <n v="-181"/>
    <n v="4.8000000000000007"/>
    <n v="44"/>
    <n v="67"/>
    <n v="48"/>
    <n v="6"/>
    <n v="90"/>
    <n v="5.625"/>
    <n v="5.1999899792654221"/>
    <n v="11"/>
    <n v="-0.13"/>
    <n v="540"/>
    <n v="1.5685393302813425E-3"/>
    <n v="432.00000000000006"/>
  </r>
  <r>
    <x v="77"/>
    <x v="6"/>
    <x v="25"/>
    <s v="57 Di Loreto Circle"/>
    <x v="2"/>
    <s v="05-184-4175"/>
    <s v="31-676-5646"/>
    <d v="2024-09-05T00:00:00"/>
    <x v="98"/>
    <s v="No"/>
    <d v="2024-10-23T00:00:00"/>
    <d v="2024-09-05T00:00:00"/>
    <n v="48"/>
    <d v="2024-05-03T00:00:00"/>
    <n v="-173"/>
    <n v="12"/>
    <n v="40"/>
    <n v="30"/>
    <n v="60"/>
    <n v="15"/>
    <n v="33"/>
    <n v="0.6875"/>
    <n v="5.1999899792654221"/>
    <n v="84"/>
    <n v="0.88"/>
    <n v="495"/>
    <n v="1.437827719424564E-3"/>
    <n v="396"/>
  </r>
  <r>
    <x v="76"/>
    <x v="3"/>
    <x v="102"/>
    <s v="9 Kipling Road"/>
    <x v="2"/>
    <s v="89-335-0155"/>
    <s v="83-780-4531"/>
    <d v="2024-09-05T00:00:00"/>
    <x v="89"/>
    <s v="No"/>
    <d v="2024-09-11T00:00:00"/>
    <d v="2024-09-05T00:00:00"/>
    <n v="6"/>
    <d v="2025-01-16T00:00:00"/>
    <n v="127"/>
    <n v="2"/>
    <n v="46"/>
    <n v="81"/>
    <n v="47"/>
    <n v="2.5"/>
    <n v="48"/>
    <n v="8"/>
    <n v="5.1999899792654221"/>
    <n v="48"/>
    <n v="-1.55"/>
    <n v="120"/>
    <n v="3.4856429561807613E-4"/>
    <n v="96"/>
  </r>
  <r>
    <x v="78"/>
    <x v="3"/>
    <x v="29"/>
    <s v="1309 Elka Junction"/>
    <x v="1"/>
    <s v="38-417-4656"/>
    <s v="57-202-5756"/>
    <d v="2024-10-05T00:00:00"/>
    <x v="99"/>
    <s v="Yes"/>
    <d v="2024-10-05T00:00:00"/>
    <d v="2024-04-13T00:00:00"/>
    <n v="175"/>
    <d v="2024-12-23T00:00:00"/>
    <n v="79"/>
    <n v="1.6"/>
    <n v="24"/>
    <n v="69"/>
    <n v="2"/>
    <n v="2"/>
    <n v="20"/>
    <n v="0.11428571428571428"/>
    <n v="5.1999899792654221"/>
    <n v="20"/>
    <n v="0"/>
    <n v="40"/>
    <n v="1.161880985393587E-4"/>
    <n v="32"/>
  </r>
  <r>
    <x v="26"/>
    <x v="6"/>
    <x v="103"/>
    <s v="744 Lakewood Gardens Crossing"/>
    <x v="2"/>
    <s v="74-305-1263"/>
    <s v="83-076-5024"/>
    <d v="2024-10-05T00:00:00"/>
    <x v="78"/>
    <s v="Yes"/>
    <d v="2024-10-05T00:00:00"/>
    <d v="2024-07-10T00:00:00"/>
    <n v="87"/>
    <d v="2024-08-16T00:00:00"/>
    <n v="-50"/>
    <n v="9.6000000000000014"/>
    <n v="29"/>
    <n v="91"/>
    <n v="48"/>
    <n v="12"/>
    <n v="28"/>
    <n v="0.32183908045977011"/>
    <n v="5.1999899792654221"/>
    <n v="40"/>
    <n v="0"/>
    <n v="336"/>
    <n v="9.7598002773061304E-4"/>
    <n v="268.80000000000007"/>
  </r>
  <r>
    <x v="79"/>
    <x v="2"/>
    <x v="104"/>
    <s v="895 Northland Hill"/>
    <x v="0"/>
    <s v="02-508-3777"/>
    <s v="69-933-2582"/>
    <d v="2024-11-05T00:00:00"/>
    <x v="100"/>
    <s v="Yes"/>
    <d v="2024-11-05T00:00:00"/>
    <d v="2024-07-07T00:00:00"/>
    <n v="121"/>
    <d v="2024-06-26T00:00:00"/>
    <n v="-132"/>
    <n v="0.64000000000000012"/>
    <n v="97"/>
    <n v="88"/>
    <n v="81"/>
    <n v="0.8"/>
    <n v="97"/>
    <n v="0.80165289256198347"/>
    <n v="5.1999899792654221"/>
    <n v="18"/>
    <n v="-0.43"/>
    <n v="77.600000000000009"/>
    <n v="2.2540491116635589E-4"/>
    <n v="62.080000000000013"/>
  </r>
  <r>
    <x v="80"/>
    <x v="6"/>
    <x v="105"/>
    <s v="26175 Oxford Way"/>
    <x v="0"/>
    <s v="79-136-9840"/>
    <s v="07-809-0926"/>
    <d v="2024-11-05T00:00:00"/>
    <x v="69"/>
    <s v="Yes"/>
    <d v="2024-11-05T00:00:00"/>
    <d v="2024-08-19T00:00:00"/>
    <n v="78"/>
    <d v="2024-06-23T00:00:00"/>
    <n v="-135"/>
    <n v="24"/>
    <n v="77"/>
    <n v="45"/>
    <n v="75"/>
    <n v="30"/>
    <n v="25"/>
    <n v="0.32051282051282054"/>
    <n v="5.1999899792654221"/>
    <n v="37"/>
    <n v="0.81"/>
    <n v="750"/>
    <n v="2.1785268476129755E-3"/>
    <n v="600"/>
  </r>
  <r>
    <x v="81"/>
    <x v="1"/>
    <x v="64"/>
    <s v="95 Packers Lane"/>
    <x v="0"/>
    <s v="35-299-0889"/>
    <s v="16-776-9987"/>
    <d v="2024-11-05T00:00:00"/>
    <x v="55"/>
    <s v="Yes"/>
    <d v="2024-11-05T00:00:00"/>
    <d v="2024-07-11T00:00:00"/>
    <n v="117"/>
    <d v="2024-04-21T00:00:00"/>
    <n v="-198"/>
    <n v="4"/>
    <n v="33"/>
    <n v="78"/>
    <n v="79"/>
    <n v="5"/>
    <n v="60"/>
    <n v="0.51282051282051277"/>
    <n v="5.1999899792654221"/>
    <n v="25"/>
    <n v="-0.48"/>
    <n v="300"/>
    <n v="8.7141073904519026E-4"/>
    <n v="240"/>
  </r>
  <r>
    <x v="45"/>
    <x v="2"/>
    <x v="106"/>
    <s v="9 Clemons Hill"/>
    <x v="0"/>
    <s v="41-594-5069"/>
    <s v="45-471-5053"/>
    <d v="2024-11-05T00:00:00"/>
    <x v="101"/>
    <s v="No"/>
    <d v="2025-02-05T00:00:00"/>
    <d v="2024-11-05T00:00:00"/>
    <n v="92"/>
    <d v="2024-03-21T00:00:00"/>
    <n v="-321"/>
    <n v="0.8"/>
    <n v="77"/>
    <n v="1"/>
    <n v="41"/>
    <n v="1"/>
    <n v="58"/>
    <n v="0.63043478260869568"/>
    <n v="5.1999899792654221"/>
    <n v="55"/>
    <n v="0.57999999999999996"/>
    <n v="58"/>
    <n v="1.6847274288207012E-4"/>
    <n v="46.400000000000006"/>
  </r>
  <r>
    <x v="82"/>
    <x v="2"/>
    <x v="107"/>
    <s v="84336 Haas Place"/>
    <x v="2"/>
    <s v="83-553-9523"/>
    <s v="89-976-4338"/>
    <d v="2024-11-05T00:00:00"/>
    <x v="102"/>
    <s v="No"/>
    <d v="2025-02-14T00:00:00"/>
    <d v="2024-11-05T00:00:00"/>
    <n v="101"/>
    <d v="2025-01-28T00:00:00"/>
    <n v="-17"/>
    <n v="1.9600000000000002"/>
    <n v="28"/>
    <n v="90"/>
    <n v="70"/>
    <n v="2.4500000000000002"/>
    <n v="76"/>
    <n v="0.75247524752475248"/>
    <n v="5.1999899792654221"/>
    <n v="78"/>
    <n v="0.05"/>
    <n v="186.20000000000002"/>
    <n v="5.4085559870071479E-4"/>
    <n v="148.96"/>
  </r>
  <r>
    <x v="62"/>
    <x v="4"/>
    <x v="45"/>
    <s v="63787 Arkansas Street"/>
    <x v="0"/>
    <s v="44-112-3331"/>
    <s v="90-453-4096"/>
    <d v="2024-11-05T00:00:00"/>
    <x v="103"/>
    <s v="Yes"/>
    <d v="2024-11-05T00:00:00"/>
    <d v="2024-07-02T00:00:00"/>
    <n v="126"/>
    <d v="2024-04-08T00:00:00"/>
    <n v="-211"/>
    <n v="14.4"/>
    <n v="85"/>
    <n v="17"/>
    <n v="96"/>
    <n v="18"/>
    <n v="92"/>
    <n v="0.73015873015873012"/>
    <n v="5.1999899792654221"/>
    <n v="34"/>
    <n v="-0.03"/>
    <n v="1656"/>
    <n v="4.8101872795294504E-3"/>
    <n v="1324.8"/>
  </r>
  <r>
    <x v="22"/>
    <x v="0"/>
    <x v="108"/>
    <s v="54706 Prairieview Point"/>
    <x v="2"/>
    <s v="93-198-5984"/>
    <s v="86-441-7850"/>
    <d v="2024-11-05T00:00:00"/>
    <x v="104"/>
    <s v="Yes"/>
    <d v="2024-11-05T00:00:00"/>
    <d v="2024-05-14T00:00:00"/>
    <n v="175"/>
    <d v="2024-09-17T00:00:00"/>
    <n v="-49"/>
    <n v="4"/>
    <n v="73"/>
    <n v="69"/>
    <n v="1"/>
    <n v="5"/>
    <n v="50"/>
    <n v="0.2857142857142857"/>
    <n v="5.1999899792654221"/>
    <n v="67"/>
    <n v="0.63"/>
    <n v="250"/>
    <n v="7.2617561587099192E-4"/>
    <n v="200"/>
  </r>
  <r>
    <x v="55"/>
    <x v="0"/>
    <x v="55"/>
    <s v="901 Norway Maple Crossing"/>
    <x v="1"/>
    <s v="73-874-7534"/>
    <s v="12-566-2563"/>
    <d v="2024-11-05T00:00:00"/>
    <x v="82"/>
    <s v="No"/>
    <d v="2024-11-08T00:00:00"/>
    <d v="2024-11-05T00:00:00"/>
    <n v="3"/>
    <d v="2024-12-18T00:00:00"/>
    <n v="40"/>
    <n v="4.8000000000000007"/>
    <n v="88"/>
    <n v="24"/>
    <n v="44"/>
    <n v="6"/>
    <n v="72"/>
    <n v="24"/>
    <n v="5.1999899792654221"/>
    <n v="88"/>
    <n v="-0.34"/>
    <n v="432"/>
    <n v="1.2548314642250741E-3"/>
    <n v="345.6"/>
  </r>
  <r>
    <x v="83"/>
    <x v="2"/>
    <x v="109"/>
    <s v="55309 6th Junction"/>
    <x v="2"/>
    <s v="18-107-7886"/>
    <s v="11-466-3182"/>
    <d v="2024-11-05T00:00:00"/>
    <x v="105"/>
    <s v="No"/>
    <d v="2024-11-07T00:00:00"/>
    <d v="2024-11-05T00:00:00"/>
    <n v="2"/>
    <d v="2024-02-27T00:00:00"/>
    <n v="-254"/>
    <n v="1.6"/>
    <n v="64"/>
    <n v="28"/>
    <n v="35"/>
    <n v="2"/>
    <n v="74"/>
    <n v="37"/>
    <n v="5.1999899792654221"/>
    <n v="50"/>
    <n v="-0.22"/>
    <n v="148"/>
    <n v="4.2989596459562719E-4"/>
    <n v="118.4"/>
  </r>
  <r>
    <x v="36"/>
    <x v="6"/>
    <x v="110"/>
    <s v="6808 Chinook Parkway"/>
    <x v="1"/>
    <s v="63-956-0739"/>
    <s v="17-123-1252"/>
    <d v="2024-12-05T00:00:00"/>
    <x v="106"/>
    <s v="No"/>
    <d v="2025-02-21T00:00:00"/>
    <d v="2024-12-05T00:00:00"/>
    <n v="78"/>
    <d v="2024-12-22T00:00:00"/>
    <n v="-61"/>
    <n v="8"/>
    <n v="68"/>
    <n v="12"/>
    <n v="42"/>
    <n v="10"/>
    <n v="39"/>
    <n v="0.5"/>
    <n v="5.1999899792654221"/>
    <n v="6"/>
    <n v="0.32"/>
    <n v="390"/>
    <n v="1.1328339607587473E-3"/>
    <n v="312"/>
  </r>
  <r>
    <x v="30"/>
    <x v="0"/>
    <x v="85"/>
    <s v="61707 Mariners Cove Park"/>
    <x v="0"/>
    <s v="26-177-5690"/>
    <s v="06-708-1412"/>
    <d v="2024-03-06T00:00:00"/>
    <x v="107"/>
    <s v="No"/>
    <d v="2024-07-15T00:00:00"/>
    <d v="2024-03-06T00:00:00"/>
    <n v="131"/>
    <d v="2025-01-21T00:00:00"/>
    <n v="190"/>
    <n v="1.4400000000000002"/>
    <n v="85"/>
    <n v="33"/>
    <n v="50"/>
    <n v="1.8"/>
    <n v="64"/>
    <n v="0.48854961832061067"/>
    <n v="5.1999899792654221"/>
    <n v="38"/>
    <n v="0.85"/>
    <n v="115.2"/>
    <n v="3.3462172379335306E-4"/>
    <n v="92.160000000000011"/>
  </r>
  <r>
    <x v="84"/>
    <x v="3"/>
    <x v="111"/>
    <s v="502 Sachs Circle"/>
    <x v="1"/>
    <s v="47-749-3277"/>
    <s v="96-551-3929"/>
    <d v="2024-03-06T00:00:00"/>
    <x v="108"/>
    <s v="Yes"/>
    <d v="2024-03-06T00:00:00"/>
    <d v="2024-02-29T00:00:00"/>
    <n v="6"/>
    <d v="2024-09-13T00:00:00"/>
    <n v="191"/>
    <n v="2"/>
    <n v="46"/>
    <n v="20"/>
    <n v="30"/>
    <n v="2.5"/>
    <n v="54"/>
    <n v="9"/>
    <n v="5.1999899792654221"/>
    <n v="24"/>
    <n v="0.41"/>
    <n v="135"/>
    <n v="3.9213483257033563E-4"/>
    <n v="108"/>
  </r>
  <r>
    <x v="85"/>
    <x v="4"/>
    <x v="112"/>
    <s v="46 Colorado Place"/>
    <x v="0"/>
    <s v="57-763-5501"/>
    <s v="25-790-1641"/>
    <d v="2024-03-06T00:00:00"/>
    <x v="109"/>
    <s v="No"/>
    <d v="2024-04-07T00:00:00"/>
    <d v="2024-03-06T00:00:00"/>
    <n v="32"/>
    <d v="2024-03-24T00:00:00"/>
    <n v="-14"/>
    <n v="6.4"/>
    <n v="72"/>
    <n v="29"/>
    <n v="10"/>
    <n v="8"/>
    <n v="54"/>
    <n v="1.6875"/>
    <n v="5.1999899792654221"/>
    <n v="38"/>
    <n v="0.56000000000000005"/>
    <n v="432"/>
    <n v="1.2548314642250741E-3"/>
    <n v="345.6"/>
  </r>
  <r>
    <x v="73"/>
    <x v="3"/>
    <x v="113"/>
    <s v="00397 Bay Terrace"/>
    <x v="0"/>
    <s v="90-230-9767"/>
    <s v="70-515-9048"/>
    <d v="2024-04-06T00:00:00"/>
    <x v="110"/>
    <s v="No"/>
    <d v="2024-05-01T00:00:00"/>
    <d v="2024-04-06T00:00:00"/>
    <n v="25"/>
    <d v="2024-11-17T00:00:00"/>
    <n v="200"/>
    <n v="1.2000000000000002"/>
    <n v="67"/>
    <n v="88"/>
    <n v="32"/>
    <n v="1.5"/>
    <n v="66"/>
    <n v="2.64"/>
    <n v="5.1999899792654221"/>
    <n v="42"/>
    <n v="0.3"/>
    <n v="99"/>
    <n v="2.8756554388491279E-4"/>
    <n v="79.200000000000017"/>
  </r>
  <r>
    <x v="15"/>
    <x v="0"/>
    <x v="114"/>
    <s v="7 Bonner Terrace"/>
    <x v="1"/>
    <s v="19-214-5762"/>
    <s v="88-108-3774"/>
    <d v="2024-04-06T00:00:00"/>
    <x v="79"/>
    <s v="No"/>
    <d v="2024-04-24T00:00:00"/>
    <d v="2024-04-06T00:00:00"/>
    <n v="18"/>
    <d v="2024-10-13T00:00:00"/>
    <n v="172"/>
    <n v="3.6"/>
    <n v="41"/>
    <n v="52"/>
    <n v="75"/>
    <n v="4.5"/>
    <n v="57"/>
    <n v="3.1666666666666665"/>
    <n v="5.1999899792654221"/>
    <n v="62"/>
    <n v="0.36"/>
    <n v="256.5"/>
    <n v="7.4505618188363762E-4"/>
    <n v="205.20000000000002"/>
  </r>
  <r>
    <x v="14"/>
    <x v="0"/>
    <x v="43"/>
    <s v="6292 Chive Street"/>
    <x v="1"/>
    <s v="74-642-2435"/>
    <s v="52-012-3409"/>
    <d v="2024-04-06T00:00:00"/>
    <x v="111"/>
    <s v="No"/>
    <d v="2024-12-28T00:00:00"/>
    <d v="2024-04-06T00:00:00"/>
    <n v="266"/>
    <d v="2024-04-08T00:00:00"/>
    <n v="-264"/>
    <n v="2"/>
    <n v="66"/>
    <n v="31"/>
    <n v="18"/>
    <n v="2.5"/>
    <n v="85"/>
    <n v="0.31954887218045114"/>
    <n v="5.1999899792654221"/>
    <n v="39"/>
    <n v="-0.09"/>
    <n v="212.5"/>
    <n v="6.1724927349034306E-4"/>
    <n v="170"/>
  </r>
  <r>
    <x v="77"/>
    <x v="6"/>
    <x v="1"/>
    <s v="0023 Upham Road"/>
    <x v="2"/>
    <s v="47-221-3391"/>
    <s v="21-450-5520"/>
    <d v="2024-04-06T00:00:00"/>
    <x v="60"/>
    <s v="No"/>
    <d v="2024-07-09T00:00:00"/>
    <d v="2024-04-06T00:00:00"/>
    <n v="94"/>
    <d v="2024-09-12T00:00:00"/>
    <n v="65"/>
    <n v="12"/>
    <n v="78"/>
    <n v="38"/>
    <n v="27"/>
    <n v="15"/>
    <n v="54"/>
    <n v="0.57446808510638303"/>
    <n v="5.1999899792654221"/>
    <n v="42"/>
    <n v="0.54"/>
    <n v="810"/>
    <n v="2.3528089954220135E-3"/>
    <n v="648"/>
  </r>
  <r>
    <x v="19"/>
    <x v="3"/>
    <x v="34"/>
    <s v="0 Moose Lane"/>
    <x v="1"/>
    <s v="87-104-0187"/>
    <s v="41-881-1166"/>
    <d v="2024-04-06T00:00:00"/>
    <x v="75"/>
    <s v="No"/>
    <d v="2024-05-28T00:00:00"/>
    <d v="2024-04-06T00:00:00"/>
    <n v="52"/>
    <d v="2025-02-05T00:00:00"/>
    <n v="253"/>
    <n v="2.2000000000000002"/>
    <n v="86"/>
    <n v="100"/>
    <n v="78"/>
    <n v="2.75"/>
    <n v="52"/>
    <n v="1"/>
    <n v="5.1999899792654221"/>
    <n v="91"/>
    <n v="0.22"/>
    <n v="143"/>
    <n v="4.1537245227820735E-4"/>
    <n v="114.4"/>
  </r>
  <r>
    <x v="75"/>
    <x v="2"/>
    <x v="108"/>
    <s v="4 Nelson Alley"/>
    <x v="0"/>
    <s v="87-272-6544"/>
    <s v="93-699-8001"/>
    <d v="2024-05-06T00:00:00"/>
    <x v="112"/>
    <s v="Yes"/>
    <d v="2024-05-06T00:00:00"/>
    <d v="2024-05-03T00:00:00"/>
    <n v="3"/>
    <d v="2025-02-13T00:00:00"/>
    <n v="283"/>
    <n v="2"/>
    <n v="90"/>
    <n v="3"/>
    <n v="49"/>
    <n v="2.5"/>
    <n v="51"/>
    <n v="17"/>
    <n v="5.1999899792654221"/>
    <n v="87"/>
    <n v="-0.75"/>
    <n v="127.5"/>
    <n v="3.7034956409420588E-4"/>
    <n v="102"/>
  </r>
  <r>
    <x v="54"/>
    <x v="3"/>
    <x v="115"/>
    <s v="84 Rusk Terrace"/>
    <x v="2"/>
    <s v="06-340-6856"/>
    <s v="11-005-7835"/>
    <d v="2024-05-06T00:00:00"/>
    <x v="113"/>
    <s v="No"/>
    <d v="2024-11-25T00:00:00"/>
    <d v="2024-05-06T00:00:00"/>
    <n v="203"/>
    <d v="2024-02-29T00:00:00"/>
    <n v="-270"/>
    <n v="7.8000000000000007"/>
    <n v="41"/>
    <n v="56"/>
    <n v="12"/>
    <n v="9.75"/>
    <n v="93"/>
    <n v="0.45812807881773399"/>
    <n v="5.1999899792654221"/>
    <n v="88"/>
    <n v="-0.71"/>
    <n v="906.75"/>
    <n v="2.6338389587640875E-3"/>
    <n v="725.40000000000009"/>
  </r>
  <r>
    <x v="53"/>
    <x v="3"/>
    <x v="116"/>
    <s v="662 Vernon Point"/>
    <x v="2"/>
    <s v="80-020-8041"/>
    <s v="66-684-1941"/>
    <d v="2024-06-06T00:00:00"/>
    <x v="114"/>
    <s v="No"/>
    <d v="2024-12-03T00:00:00"/>
    <d v="2024-06-06T00:00:00"/>
    <n v="180"/>
    <d v="2024-07-08T00:00:00"/>
    <n v="-148"/>
    <n v="4.9600000000000009"/>
    <n v="11"/>
    <n v="58"/>
    <n v="26"/>
    <n v="6.2"/>
    <n v="49"/>
    <n v="0.2722222222222222"/>
    <n v="5.1999899792654221"/>
    <n v="34"/>
    <n v="0.05"/>
    <n v="303.8"/>
    <n v="8.8244860840642938E-4"/>
    <n v="243.04000000000005"/>
  </r>
  <r>
    <x v="86"/>
    <x v="0"/>
    <x v="117"/>
    <s v="42719 Milwaukee Avenue"/>
    <x v="0"/>
    <s v="48-461-3742"/>
    <s v="78-381-5054"/>
    <d v="2024-07-06T00:00:00"/>
    <x v="115"/>
    <s v="Yes"/>
    <d v="2024-07-06T00:00:00"/>
    <d v="2024-05-17T00:00:00"/>
    <n v="50"/>
    <d v="2025-01-23T00:00:00"/>
    <n v="201"/>
    <n v="4.8000000000000007"/>
    <n v="37"/>
    <n v="8"/>
    <n v="50"/>
    <n v="6"/>
    <n v="47"/>
    <n v="0.94"/>
    <n v="5.1999899792654221"/>
    <n v="62"/>
    <n v="0.31"/>
    <n v="282"/>
    <n v="8.1912609470247881E-4"/>
    <n v="225.60000000000002"/>
  </r>
  <r>
    <x v="5"/>
    <x v="0"/>
    <x v="118"/>
    <s v="86 Corben Crossing"/>
    <x v="1"/>
    <s v="78-362-8578"/>
    <s v="57-633-6273"/>
    <d v="2024-07-06T00:00:00"/>
    <x v="116"/>
    <s v="No"/>
    <d v="2024-11-17T00:00:00"/>
    <d v="2024-07-06T00:00:00"/>
    <n v="134"/>
    <d v="2024-04-10T00:00:00"/>
    <n v="-221"/>
    <n v="1.9600000000000002"/>
    <n v="72"/>
    <n v="32"/>
    <n v="80"/>
    <n v="2.4500000000000002"/>
    <n v="25"/>
    <n v="0.18656716417910449"/>
    <n v="5.1999899792654221"/>
    <n v="9"/>
    <n v="-0.32"/>
    <n v="61.250000000000007"/>
    <n v="1.7791302588839302E-4"/>
    <n v="49.000000000000007"/>
  </r>
  <r>
    <x v="87"/>
    <x v="4"/>
    <x v="112"/>
    <s v="1 Monica Lane"/>
    <x v="1"/>
    <s v="60-550-4771"/>
    <s v="24-568-9517"/>
    <d v="2024-07-06T00:00:00"/>
    <x v="33"/>
    <s v="No"/>
    <d v="2024-10-03T00:00:00"/>
    <d v="2024-07-06T00:00:00"/>
    <n v="89"/>
    <d v="2024-08-24T00:00:00"/>
    <n v="-40"/>
    <n v="7.2"/>
    <n v="75"/>
    <n v="80"/>
    <n v="87"/>
    <n v="9"/>
    <n v="49"/>
    <n v="0.550561797752809"/>
    <n v="5.1999899792654221"/>
    <n v="40"/>
    <n v="0.64"/>
    <n v="441"/>
    <n v="1.2809737863964297E-3"/>
    <n v="352.8"/>
  </r>
  <r>
    <x v="20"/>
    <x v="6"/>
    <x v="119"/>
    <s v="321 Barby Parkway"/>
    <x v="2"/>
    <s v="11-155-7826"/>
    <s v="91-788-3177"/>
    <d v="2024-07-06T00:00:00"/>
    <x v="45"/>
    <s v="No"/>
    <d v="2025-01-31T00:00:00"/>
    <d v="2024-07-06T00:00:00"/>
    <n v="209"/>
    <d v="2024-12-26T00:00:00"/>
    <n v="-36"/>
    <n v="16"/>
    <n v="98"/>
    <n v="83"/>
    <n v="5"/>
    <n v="20"/>
    <n v="39"/>
    <n v="0.18660287081339713"/>
    <n v="5.1999899792654221"/>
    <n v="79"/>
    <n v="0.18"/>
    <n v="780"/>
    <n v="2.2656679215174945E-3"/>
    <n v="624"/>
  </r>
  <r>
    <x v="81"/>
    <x v="1"/>
    <x v="120"/>
    <s v="093 Anhalt Crossing"/>
    <x v="2"/>
    <s v="42-907-6946"/>
    <s v="32-386-9832"/>
    <d v="2024-07-06T00:00:00"/>
    <x v="117"/>
    <s v="No"/>
    <d v="2025-01-01T00:00:00"/>
    <d v="2024-07-06T00:00:00"/>
    <n v="179"/>
    <d v="2024-08-31T00:00:00"/>
    <n v="-123"/>
    <n v="4"/>
    <n v="90"/>
    <n v="75"/>
    <n v="6"/>
    <n v="5"/>
    <n v="55"/>
    <n v="0.30726256983240224"/>
    <n v="5.1999899792654221"/>
    <n v="64"/>
    <n v="-1.03"/>
    <n v="275"/>
    <n v="7.9879317745809109E-4"/>
    <n v="220"/>
  </r>
  <r>
    <x v="88"/>
    <x v="0"/>
    <x v="121"/>
    <s v="43 Lakewood Junction"/>
    <x v="0"/>
    <s v="99-048-8310"/>
    <s v="70-453-8646"/>
    <d v="2024-07-06T00:00:00"/>
    <x v="118"/>
    <s v="Yes"/>
    <d v="2024-07-06T00:00:00"/>
    <d v="2024-04-22T00:00:00"/>
    <n v="75"/>
    <d v="2024-05-27T00:00:00"/>
    <n v="-40"/>
    <n v="2"/>
    <n v="32"/>
    <n v="49"/>
    <n v="73"/>
    <n v="2.5"/>
    <n v="80"/>
    <n v="1.0666666666666667"/>
    <n v="5.1999899792654221"/>
    <n v="36"/>
    <n v="-0.16"/>
    <n v="200"/>
    <n v="5.8094049269679347E-4"/>
    <n v="160"/>
  </r>
  <r>
    <x v="89"/>
    <x v="2"/>
    <x v="122"/>
    <s v="6151 Forster Drive"/>
    <x v="1"/>
    <s v="85-440-3667"/>
    <s v="00-680-5333"/>
    <d v="2024-08-06T00:00:00"/>
    <x v="8"/>
    <s v="Yes"/>
    <d v="2024-08-06T00:00:00"/>
    <d v="2024-06-03T00:00:00"/>
    <n v="64"/>
    <d v="2024-09-09T00:00:00"/>
    <n v="34"/>
    <n v="5.6000000000000005"/>
    <n v="68"/>
    <n v="29"/>
    <n v="31"/>
    <n v="7"/>
    <n v="53"/>
    <n v="0.828125"/>
    <n v="5.1999899792654221"/>
    <n v="20"/>
    <n v="0.55000000000000004"/>
    <n v="371"/>
    <n v="1.077644613952552E-3"/>
    <n v="296.8"/>
  </r>
  <r>
    <x v="52"/>
    <x v="3"/>
    <x v="123"/>
    <s v="76 Fisk Park"/>
    <x v="1"/>
    <s v="93-571-7294"/>
    <s v="77-842-0920"/>
    <d v="2024-09-06T00:00:00"/>
    <x v="119"/>
    <s v="No"/>
    <d v="2024-11-03T00:00:00"/>
    <d v="2024-09-06T00:00:00"/>
    <n v="58"/>
    <d v="2024-05-22T00:00:00"/>
    <n v="-165"/>
    <n v="3.48"/>
    <n v="78"/>
    <n v="94"/>
    <n v="7"/>
    <n v="4.3499999999999996"/>
    <n v="69"/>
    <n v="1.1896551724137931"/>
    <n v="5.1999899792654221"/>
    <n v="40"/>
    <n v="0.62"/>
    <n v="300.14999999999998"/>
    <n v="8.7184644441471273E-4"/>
    <n v="240.12"/>
  </r>
  <r>
    <x v="90"/>
    <x v="0"/>
    <x v="35"/>
    <s v="58 Corscot Terrace"/>
    <x v="2"/>
    <s v="82-977-7752"/>
    <s v="57-473-8672"/>
    <d v="2024-09-06T00:00:00"/>
    <x v="111"/>
    <s v="No"/>
    <d v="2024-12-28T00:00:00"/>
    <d v="2024-09-06T00:00:00"/>
    <n v="113"/>
    <d v="2024-11-04T00:00:00"/>
    <n v="-54"/>
    <n v="2"/>
    <n v="88"/>
    <n v="78"/>
    <n v="17"/>
    <n v="2.5"/>
    <n v="58"/>
    <n v="0.51327433628318586"/>
    <n v="5.1999899792654221"/>
    <n v="21"/>
    <n v="0.42"/>
    <n v="145"/>
    <n v="4.211818572051753E-4"/>
    <n v="116"/>
  </r>
  <r>
    <x v="37"/>
    <x v="5"/>
    <x v="103"/>
    <s v="0 Larry Terrace"/>
    <x v="1"/>
    <s v="76-476-9996"/>
    <s v="88-428-6227"/>
    <d v="2024-10-06T00:00:00"/>
    <x v="120"/>
    <s v="No"/>
    <d v="2025-01-14T00:00:00"/>
    <d v="2024-10-06T00:00:00"/>
    <n v="100"/>
    <d v="2024-12-06T00:00:00"/>
    <n v="-39"/>
    <n v="4"/>
    <n v="37"/>
    <n v="96"/>
    <n v="82"/>
    <n v="5"/>
    <n v="35"/>
    <n v="0.35"/>
    <n v="5.1999899792654221"/>
    <n v="23"/>
    <n v="0.64"/>
    <n v="175"/>
    <n v="5.083229311096943E-4"/>
    <n v="140"/>
  </r>
  <r>
    <x v="91"/>
    <x v="1"/>
    <x v="69"/>
    <s v="20 Butterfield Lane"/>
    <x v="2"/>
    <s v="50-679-2072"/>
    <s v="81-588-5701"/>
    <d v="2024-10-06T00:00:00"/>
    <x v="112"/>
    <s v="Yes"/>
    <d v="2024-10-06T00:00:00"/>
    <d v="2024-05-03T00:00:00"/>
    <n v="156"/>
    <d v="2024-05-30T00:00:00"/>
    <n v="-129"/>
    <n v="1.8399999999999999"/>
    <n v="97"/>
    <n v="32"/>
    <n v="43"/>
    <n v="2.2999999999999998"/>
    <n v="82"/>
    <n v="0.52564102564102566"/>
    <n v="5.1999899792654221"/>
    <n v="98"/>
    <n v="0.34"/>
    <n v="188.6"/>
    <n v="5.4782688461307621E-4"/>
    <n v="150.88"/>
  </r>
  <r>
    <x v="31"/>
    <x v="2"/>
    <x v="89"/>
    <s v="591 Maple Wood Drive"/>
    <x v="1"/>
    <s v="50-329-3145"/>
    <s v="88-418-3855"/>
    <d v="2024-11-06T00:00:00"/>
    <x v="121"/>
    <s v="No"/>
    <d v="2024-12-20T00:00:00"/>
    <d v="2024-11-06T00:00:00"/>
    <n v="44"/>
    <d v="2024-04-21T00:00:00"/>
    <n v="-243"/>
    <n v="0.8"/>
    <n v="12"/>
    <n v="54"/>
    <n v="48"/>
    <n v="1"/>
    <n v="31"/>
    <n v="0.70454545454545459"/>
    <n v="5.1999899792654221"/>
    <n v="88"/>
    <n v="-0.2"/>
    <n v="31"/>
    <n v="9.004577636800299E-5"/>
    <n v="24.8"/>
  </r>
  <r>
    <x v="57"/>
    <x v="3"/>
    <x v="105"/>
    <s v="336 Old Shore Lane"/>
    <x v="2"/>
    <s v="52-392-5312"/>
    <s v="78-092-4768"/>
    <d v="2024-11-06T00:00:00"/>
    <x v="122"/>
    <s v="No"/>
    <d v="2025-02-19T00:00:00"/>
    <d v="2024-11-06T00:00:00"/>
    <n v="105"/>
    <d v="2024-07-24T00:00:00"/>
    <n v="-210"/>
    <n v="1.4000000000000001"/>
    <n v="50"/>
    <n v="42"/>
    <n v="20"/>
    <n v="1.75"/>
    <n v="87"/>
    <n v="0.82857142857142863"/>
    <n v="5.1999899792654221"/>
    <n v="59"/>
    <n v="-1.84"/>
    <n v="152.25"/>
    <n v="4.4224095006543403E-4"/>
    <n v="121.80000000000001"/>
  </r>
  <r>
    <x v="92"/>
    <x v="3"/>
    <x v="30"/>
    <s v="6500 Raven Drive"/>
    <x v="0"/>
    <s v="47-663-5703"/>
    <s v="52-062-2916"/>
    <d v="2024-12-06T00:00:00"/>
    <x v="123"/>
    <s v="Yes"/>
    <d v="2024-12-06T00:00:00"/>
    <d v="2024-06-14T00:00:00"/>
    <n v="175"/>
    <d v="2024-09-14T00:00:00"/>
    <n v="-83"/>
    <n v="3.6"/>
    <n v="15"/>
    <n v="49"/>
    <n v="40"/>
    <n v="4.5"/>
    <n v="68"/>
    <n v="0.38857142857142857"/>
    <n v="5.1999899792654221"/>
    <n v="74"/>
    <n v="0.32"/>
    <n v="306"/>
    <n v="8.8883895382609404E-4"/>
    <n v="244.8"/>
  </r>
  <r>
    <x v="70"/>
    <x v="6"/>
    <x v="124"/>
    <s v="96 American Ash Center"/>
    <x v="0"/>
    <s v="58-122-2282"/>
    <s v="55-773-9118"/>
    <d v="2024-12-06T00:00:00"/>
    <x v="124"/>
    <s v="Yes"/>
    <d v="2024-12-06T00:00:00"/>
    <d v="2024-06-30T00:00:00"/>
    <n v="159"/>
    <d v="2024-06-12T00:00:00"/>
    <n v="-177"/>
    <n v="4"/>
    <n v="59"/>
    <n v="20"/>
    <n v="17"/>
    <n v="5"/>
    <n v="45"/>
    <n v="0.28301886792452829"/>
    <n v="5.1999899792654221"/>
    <n v="15"/>
    <n v="-0.09"/>
    <n v="225"/>
    <n v="6.5355805428389264E-4"/>
    <n v="180"/>
  </r>
  <r>
    <x v="76"/>
    <x v="3"/>
    <x v="125"/>
    <s v="12 Rigney Street"/>
    <x v="2"/>
    <s v="84-151-2114"/>
    <s v="79-704-1471"/>
    <d v="2024-12-06T00:00:00"/>
    <x v="58"/>
    <s v="Yes"/>
    <d v="2024-12-06T00:00:00"/>
    <d v="2024-03-06T00:00:00"/>
    <n v="275"/>
    <d v="2024-08-11T00:00:00"/>
    <n v="-117"/>
    <n v="2"/>
    <n v="39"/>
    <n v="57"/>
    <n v="54"/>
    <n v="2.5"/>
    <n v="77"/>
    <n v="0.28000000000000003"/>
    <n v="5.1999899792654221"/>
    <n v="32"/>
    <n v="0.67"/>
    <n v="192.5"/>
    <n v="5.5915522422066372E-4"/>
    <n v="154"/>
  </r>
  <r>
    <x v="32"/>
    <x v="0"/>
    <x v="126"/>
    <s v="2718 Londonderry Plaza"/>
    <x v="1"/>
    <s v="93-682-2069"/>
    <s v="60-038-7810"/>
    <d v="2024-12-06T00:00:00"/>
    <x v="125"/>
    <s v="Yes"/>
    <d v="2024-12-06T00:00:00"/>
    <d v="2024-06-23T00:00:00"/>
    <n v="166"/>
    <d v="2024-08-16T00:00:00"/>
    <n v="-112"/>
    <n v="1.6"/>
    <n v="76"/>
    <n v="39"/>
    <n v="15"/>
    <n v="2"/>
    <n v="77"/>
    <n v="0.46385542168674698"/>
    <n v="5.1999899792654221"/>
    <n v="70"/>
    <n v="0.57999999999999996"/>
    <n v="154"/>
    <n v="4.4732417937653102E-4"/>
    <n v="123.2"/>
  </r>
  <r>
    <x v="67"/>
    <x v="0"/>
    <x v="101"/>
    <s v="41 Stephen Crossing"/>
    <x v="1"/>
    <s v="48-789-9187"/>
    <s v="95-944-5323"/>
    <d v="2024-12-06T00:00:00"/>
    <x v="126"/>
    <s v="Yes"/>
    <d v="2024-12-06T00:00:00"/>
    <d v="2024-06-26T00:00:00"/>
    <n v="163"/>
    <d v="2024-11-15T00:00:00"/>
    <n v="-21"/>
    <n v="3.2"/>
    <n v="45"/>
    <n v="79"/>
    <n v="95"/>
    <n v="4"/>
    <n v="84"/>
    <n v="0.51533742331288346"/>
    <n v="5.1999899792654221"/>
    <n v="62"/>
    <n v="0.09"/>
    <n v="336"/>
    <n v="9.7598002773061304E-4"/>
    <n v="268.8"/>
  </r>
  <r>
    <x v="93"/>
    <x v="5"/>
    <x v="112"/>
    <s v="9269 Main Trail"/>
    <x v="2"/>
    <s v="85-806-0613"/>
    <s v="06-286-2758"/>
    <d v="2024-03-07T00:00:00"/>
    <x v="117"/>
    <s v="No"/>
    <d v="2025-01-01T00:00:00"/>
    <d v="2024-03-07T00:00:00"/>
    <n v="300"/>
    <d v="2024-04-26T00:00:00"/>
    <n v="-250"/>
    <n v="4"/>
    <n v="41"/>
    <n v="21"/>
    <n v="47"/>
    <n v="5"/>
    <n v="50"/>
    <n v="0.16666666666666666"/>
    <n v="5.1999899792654221"/>
    <n v="99"/>
    <n v="0.26"/>
    <n v="250"/>
    <n v="7.2617561587099192E-4"/>
    <n v="200"/>
  </r>
  <r>
    <x v="80"/>
    <x v="6"/>
    <x v="127"/>
    <s v="620 Mockingbird Pass"/>
    <x v="2"/>
    <s v="19-244-9890"/>
    <s v="98-107-0604"/>
    <d v="2024-03-07T00:00:00"/>
    <x v="127"/>
    <s v="No"/>
    <d v="2024-10-02T00:00:00"/>
    <d v="2024-03-07T00:00:00"/>
    <n v="209"/>
    <d v="2024-11-09T00:00:00"/>
    <n v="38"/>
    <n v="24"/>
    <n v="61"/>
    <n v="22"/>
    <n v="98"/>
    <n v="30"/>
    <n v="90"/>
    <n v="0.43062200956937802"/>
    <n v="5.1999899792654221"/>
    <n v="11"/>
    <n v="-0.98"/>
    <n v="2700"/>
    <n v="7.842696651406713E-3"/>
    <n v="2160"/>
  </r>
  <r>
    <x v="69"/>
    <x v="0"/>
    <x v="76"/>
    <s v="37973 Parkside Junction"/>
    <x v="2"/>
    <s v="60-285-3783"/>
    <s v="58-827-9061"/>
    <d v="2024-04-07T00:00:00"/>
    <x v="50"/>
    <s v="Yes"/>
    <d v="2024-04-07T00:00:00"/>
    <d v="2024-03-28T00:00:00"/>
    <n v="10"/>
    <d v="2025-01-15T00:00:00"/>
    <n v="283"/>
    <n v="4.8000000000000007"/>
    <n v="51"/>
    <n v="62"/>
    <n v="95"/>
    <n v="6"/>
    <n v="52"/>
    <n v="5.2"/>
    <n v="5.1999899792654221"/>
    <n v="21"/>
    <n v="0.88"/>
    <n v="312"/>
    <n v="9.0626716860699782E-4"/>
    <n v="249.60000000000002"/>
  </r>
  <r>
    <x v="72"/>
    <x v="3"/>
    <x v="128"/>
    <s v="18 Comanche Junction"/>
    <x v="1"/>
    <s v="34-547-0827"/>
    <s v="30-853-8580"/>
    <d v="2024-04-07T00:00:00"/>
    <x v="128"/>
    <s v="No"/>
    <d v="2025-01-17T00:00:00"/>
    <d v="2024-04-07T00:00:00"/>
    <n v="285"/>
    <d v="2024-07-05T00:00:00"/>
    <n v="-196"/>
    <n v="1.4400000000000002"/>
    <n v="54"/>
    <n v="53"/>
    <n v="33"/>
    <n v="1.8"/>
    <n v="94"/>
    <n v="0.3298245614035088"/>
    <n v="5.1999899792654221"/>
    <n v="82"/>
    <n v="0.6"/>
    <n v="169.20000000000002"/>
    <n v="4.914756568214874E-4"/>
    <n v="135.36000000000001"/>
  </r>
  <r>
    <x v="5"/>
    <x v="0"/>
    <x v="129"/>
    <s v="30968 Anzinger Court"/>
    <x v="0"/>
    <s v="06-731-2162"/>
    <s v="17-546-8875"/>
    <d v="2024-04-07T00:00:00"/>
    <x v="129"/>
    <s v="No"/>
    <d v="2024-10-07T00:00:00"/>
    <d v="2024-04-07T00:00:00"/>
    <n v="183"/>
    <d v="2024-07-19T00:00:00"/>
    <n v="-80"/>
    <n v="2"/>
    <n v="87"/>
    <n v="1"/>
    <n v="98"/>
    <n v="2.5"/>
    <n v="61"/>
    <n v="0.33333333333333331"/>
    <n v="5.1999899792654221"/>
    <n v="84"/>
    <n v="0.13"/>
    <n v="152.5"/>
    <n v="4.4296712568130505E-4"/>
    <n v="122"/>
  </r>
  <r>
    <x v="91"/>
    <x v="1"/>
    <x v="130"/>
    <s v="339 Paget Place"/>
    <x v="0"/>
    <s v="48-193-1199"/>
    <s v="63-924-5144"/>
    <d v="2024-05-07T00:00:00"/>
    <x v="130"/>
    <s v="No"/>
    <d v="2024-12-24T00:00:00"/>
    <d v="2024-05-07T00:00:00"/>
    <n v="231"/>
    <d v="2024-06-09T00:00:00"/>
    <n v="-198"/>
    <n v="1.8399999999999999"/>
    <n v="46"/>
    <n v="51"/>
    <n v="92"/>
    <n v="2.2999999999999998"/>
    <n v="47"/>
    <n v="0.20346320346320346"/>
    <n v="5.1999899792654221"/>
    <n v="25"/>
    <n v="-0.38"/>
    <n v="108.1"/>
    <n v="3.1399833630261684E-4"/>
    <n v="86.47999999999999"/>
  </r>
  <r>
    <x v="78"/>
    <x v="3"/>
    <x v="131"/>
    <s v="2693 6th Court"/>
    <x v="0"/>
    <s v="40-003-7322"/>
    <s v="41-644-3129"/>
    <d v="2024-05-07T00:00:00"/>
    <x v="131"/>
    <s v="No"/>
    <d v="2025-02-16T00:00:00"/>
    <d v="2024-05-07T00:00:00"/>
    <n v="285"/>
    <d v="2024-10-11T00:00:00"/>
    <n v="-128"/>
    <n v="1.6"/>
    <n v="13"/>
    <n v="32"/>
    <n v="79"/>
    <n v="2"/>
    <n v="38"/>
    <n v="0.13333333333333333"/>
    <n v="5.1999899792654221"/>
    <n v="61"/>
    <n v="0.47"/>
    <n v="76"/>
    <n v="2.2075738722478154E-4"/>
    <n v="60.800000000000004"/>
  </r>
  <r>
    <x v="59"/>
    <x v="0"/>
    <x v="132"/>
    <s v="1 Elmside Parkway"/>
    <x v="0"/>
    <s v="91-417-0366"/>
    <s v="28-442-2578"/>
    <d v="2024-06-07T00:00:00"/>
    <x v="132"/>
    <s v="No"/>
    <d v="2024-12-07T00:00:00"/>
    <d v="2024-06-07T00:00:00"/>
    <n v="183"/>
    <d v="2024-12-04T00:00:00"/>
    <n v="-3"/>
    <n v="4.4000000000000004"/>
    <n v="25"/>
    <n v="74"/>
    <n v="100"/>
    <n v="5.5"/>
    <n v="41"/>
    <n v="0.22404371584699453"/>
    <n v="5.1999899792654221"/>
    <n v="59"/>
    <n v="-0.61"/>
    <n v="225.5"/>
    <n v="6.5501040551563467E-4"/>
    <n v="180.4"/>
  </r>
  <r>
    <x v="23"/>
    <x v="0"/>
    <x v="13"/>
    <s v="5325 Milwaukee Lane"/>
    <x v="0"/>
    <s v="24-571-1080"/>
    <s v="07-520-1107"/>
    <d v="2024-06-07T00:00:00"/>
    <x v="106"/>
    <s v="No"/>
    <d v="2025-02-21T00:00:00"/>
    <d v="2024-06-07T00:00:00"/>
    <n v="259"/>
    <d v="2024-04-11T00:00:00"/>
    <n v="-316"/>
    <n v="3.2"/>
    <n v="60"/>
    <n v="15"/>
    <n v="89"/>
    <n v="4"/>
    <n v="21"/>
    <n v="8.1081081081081086E-2"/>
    <n v="5.1999899792654221"/>
    <n v="29"/>
    <n v="-0.44"/>
    <n v="84"/>
    <n v="2.4399500693265326E-4"/>
    <n v="67.2"/>
  </r>
  <r>
    <x v="73"/>
    <x v="3"/>
    <x v="133"/>
    <s v="38 Superior Road"/>
    <x v="0"/>
    <s v="22-083-3347"/>
    <s v="01-431-7544"/>
    <d v="2024-07-07T00:00:00"/>
    <x v="133"/>
    <s v="Yes"/>
    <d v="2024-07-07T00:00:00"/>
    <d v="2024-04-29T00:00:00"/>
    <n v="69"/>
    <d v="2024-04-30T00:00:00"/>
    <n v="-68"/>
    <n v="1.2000000000000002"/>
    <n v="69"/>
    <n v="82"/>
    <n v="58"/>
    <n v="1.5"/>
    <n v="34"/>
    <n v="0.49275362318840582"/>
    <n v="5.1999899792654221"/>
    <n v="22"/>
    <n v="-0.38"/>
    <n v="51"/>
    <n v="1.4813982563768234E-4"/>
    <n v="40.800000000000004"/>
  </r>
  <r>
    <x v="52"/>
    <x v="3"/>
    <x v="134"/>
    <s v="96629 Nova Plaza"/>
    <x v="0"/>
    <s v="09-101-1740"/>
    <s v="63-836-1262"/>
    <d v="2024-07-07T00:00:00"/>
    <x v="121"/>
    <s v="No"/>
    <d v="2024-12-20T00:00:00"/>
    <d v="2024-07-07T00:00:00"/>
    <n v="166"/>
    <d v="2024-08-31T00:00:00"/>
    <n v="-111"/>
    <n v="3.8000000000000003"/>
    <n v="36"/>
    <n v="81"/>
    <n v="54"/>
    <n v="4.75"/>
    <n v="73"/>
    <n v="0.43975903614457829"/>
    <n v="5.1999899792654221"/>
    <n v="60"/>
    <n v="0.35"/>
    <n v="346.75"/>
    <n v="1.0072055792130657E-3"/>
    <n v="277.40000000000003"/>
  </r>
  <r>
    <x v="35"/>
    <x v="5"/>
    <x v="135"/>
    <s v="657 Texas Street"/>
    <x v="1"/>
    <s v="17-274-6898"/>
    <s v="34-738-1209"/>
    <d v="2024-07-07T00:00:00"/>
    <x v="134"/>
    <s v="Yes"/>
    <d v="2024-07-07T00:00:00"/>
    <d v="2024-06-01T00:00:00"/>
    <n v="36"/>
    <d v="2024-03-22T00:00:00"/>
    <n v="-107"/>
    <n v="2.8000000000000003"/>
    <n v="36"/>
    <n v="53"/>
    <n v="92"/>
    <n v="3.5"/>
    <n v="67"/>
    <n v="1.8611111111111112"/>
    <n v="5.1999899792654221"/>
    <n v="43"/>
    <n v="0.18"/>
    <n v="234.5"/>
    <n v="6.8115272768699039E-4"/>
    <n v="187.60000000000002"/>
  </r>
  <r>
    <x v="23"/>
    <x v="0"/>
    <x v="136"/>
    <s v="17 Reinke Circle"/>
    <x v="1"/>
    <s v="38-655-2312"/>
    <s v="91-127-7174"/>
    <d v="2024-08-07T00:00:00"/>
    <x v="135"/>
    <s v="Yes"/>
    <d v="2024-08-07T00:00:00"/>
    <d v="2024-04-09T00:00:00"/>
    <n v="120"/>
    <d v="2024-10-18T00:00:00"/>
    <n v="72"/>
    <n v="3.2"/>
    <n v="79"/>
    <n v="74"/>
    <n v="87"/>
    <n v="4"/>
    <n v="80"/>
    <n v="0.66666666666666663"/>
    <n v="5.1999899792654221"/>
    <n v="26"/>
    <n v="0.36"/>
    <n v="320"/>
    <n v="9.295047883148696E-4"/>
    <n v="256"/>
  </r>
  <r>
    <x v="16"/>
    <x v="2"/>
    <x v="4"/>
    <s v="3 Bellgrove Way"/>
    <x v="2"/>
    <s v="60-327-4114"/>
    <s v="59-968-8346"/>
    <d v="2024-09-07T00:00:00"/>
    <x v="136"/>
    <s v="No"/>
    <d v="2024-11-22T00:00:00"/>
    <d v="2024-09-07T00:00:00"/>
    <n v="76"/>
    <d v="2024-10-17T00:00:00"/>
    <n v="-36"/>
    <n v="1.8800000000000001"/>
    <n v="63"/>
    <n v="7"/>
    <n v="23"/>
    <n v="2.35"/>
    <n v="78"/>
    <n v="1.0263157894736843"/>
    <n v="5.1999899792654221"/>
    <n v="100"/>
    <n v="0.68"/>
    <n v="183.3"/>
    <n v="5.3243196155661123E-4"/>
    <n v="146.64000000000001"/>
  </r>
  <r>
    <x v="94"/>
    <x v="0"/>
    <x v="100"/>
    <s v="00 Ridgeway Plaza"/>
    <x v="0"/>
    <s v="54-281-3746"/>
    <s v="08-824-4585"/>
    <d v="2024-09-07T00:00:00"/>
    <x v="137"/>
    <s v="Yes"/>
    <d v="2024-09-07T00:00:00"/>
    <d v="2024-03-10T00:00:00"/>
    <n v="181"/>
    <d v="2024-11-03T00:00:00"/>
    <n v="57"/>
    <n v="1.6"/>
    <n v="26"/>
    <n v="70"/>
    <n v="52"/>
    <n v="2"/>
    <n v="36"/>
    <n v="0.19889502762430938"/>
    <n v="5.1999899792654221"/>
    <n v="10"/>
    <n v="-0.28000000000000003"/>
    <n v="72"/>
    <n v="2.0913857737084565E-4"/>
    <n v="57.6"/>
  </r>
  <r>
    <x v="90"/>
    <x v="0"/>
    <x v="13"/>
    <s v="42 Bunker Hill Junction"/>
    <x v="0"/>
    <s v="25-349-7974"/>
    <s v="82-737-6019"/>
    <d v="2024-10-07T00:00:00"/>
    <x v="75"/>
    <s v="Yes"/>
    <d v="2024-10-07T00:00:00"/>
    <d v="2024-05-28T00:00:00"/>
    <n v="132"/>
    <d v="2024-06-22T00:00:00"/>
    <n v="-107"/>
    <n v="2"/>
    <n v="72"/>
    <n v="70"/>
    <n v="99"/>
    <n v="2.5"/>
    <n v="82"/>
    <n v="0.62121212121212122"/>
    <n v="5.1999899792654221"/>
    <n v="32"/>
    <n v="0.72"/>
    <n v="205"/>
    <n v="5.954640050142133E-4"/>
    <n v="164"/>
  </r>
  <r>
    <x v="42"/>
    <x v="0"/>
    <x v="68"/>
    <s v="701 Logan Court"/>
    <x v="2"/>
    <s v="16-380-0753"/>
    <s v="24-603-5521"/>
    <d v="2024-10-07T00:00:00"/>
    <x v="138"/>
    <s v="Yes"/>
    <d v="2024-10-07T00:00:00"/>
    <d v="2024-05-16T00:00:00"/>
    <n v="144"/>
    <d v="2024-05-08T00:00:00"/>
    <n v="-152"/>
    <n v="4"/>
    <n v="38"/>
    <n v="22"/>
    <n v="71"/>
    <n v="5"/>
    <n v="33"/>
    <n v="0.22916666666666666"/>
    <n v="5.1999899792654221"/>
    <n v="62"/>
    <n v="0.61"/>
    <n v="165"/>
    <n v="4.7927590647485463E-4"/>
    <n v="132"/>
  </r>
  <r>
    <x v="93"/>
    <x v="5"/>
    <x v="80"/>
    <s v="6 Lillian Junction"/>
    <x v="2"/>
    <s v="38-049-9319"/>
    <s v="90-447-5123"/>
    <d v="2024-11-07T00:00:00"/>
    <x v="133"/>
    <s v="Yes"/>
    <d v="2024-11-07T00:00:00"/>
    <d v="2024-04-29T00:00:00"/>
    <n v="192"/>
    <d v="2024-05-09T00:00:00"/>
    <n v="-182"/>
    <n v="4"/>
    <n v="82"/>
    <n v="6"/>
    <n v="53"/>
    <n v="5"/>
    <n v="21"/>
    <n v="0.109375"/>
    <n v="5.1999899792654221"/>
    <n v="58"/>
    <n v="-0.88"/>
    <n v="105"/>
    <n v="3.0499375866581657E-4"/>
    <n v="84"/>
  </r>
  <r>
    <x v="54"/>
    <x v="3"/>
    <x v="79"/>
    <s v="72 Crownhardt Circle"/>
    <x v="2"/>
    <s v="50-329-3360"/>
    <s v="85-594-2570"/>
    <d v="2024-11-07T00:00:00"/>
    <x v="131"/>
    <s v="No"/>
    <d v="2025-02-16T00:00:00"/>
    <d v="2024-11-07T00:00:00"/>
    <n v="101"/>
    <d v="2024-08-25T00:00:00"/>
    <n v="-175"/>
    <n v="8"/>
    <n v="19"/>
    <n v="77"/>
    <n v="66"/>
    <n v="10"/>
    <n v="62"/>
    <n v="0.61386138613861385"/>
    <n v="5.1999899792654221"/>
    <n v="100"/>
    <n v="-1.76"/>
    <n v="620"/>
    <n v="1.8009155273600599E-3"/>
    <n v="496"/>
  </r>
  <r>
    <x v="35"/>
    <x v="5"/>
    <x v="54"/>
    <s v="8524 Shelley Way"/>
    <x v="2"/>
    <s v="19-610-2236"/>
    <s v="53-799-3174"/>
    <d v="2024-12-07T00:00:00"/>
    <x v="139"/>
    <s v="Yes"/>
    <d v="2024-12-07T00:00:00"/>
    <d v="2024-08-03T00:00:00"/>
    <n v="126"/>
    <d v="2024-03-19T00:00:00"/>
    <n v="-263"/>
    <n v="2.8000000000000003"/>
    <n v="58"/>
    <n v="48"/>
    <n v="9"/>
    <n v="3.5"/>
    <n v="98"/>
    <n v="0.77777777777777779"/>
    <n v="5.1999899792654221"/>
    <n v="69"/>
    <n v="-0.61"/>
    <n v="343"/>
    <n v="9.9631294497500088E-4"/>
    <n v="274.40000000000003"/>
  </r>
  <r>
    <x v="58"/>
    <x v="2"/>
    <x v="137"/>
    <s v="9 Meadow Ridge Center"/>
    <x v="2"/>
    <s v="46-632-8420"/>
    <s v="27-996-8883"/>
    <d v="2024-03-08T00:00:00"/>
    <x v="2"/>
    <s v="No"/>
    <d v="2024-12-21T00:00:00"/>
    <d v="2024-03-08T00:00:00"/>
    <n v="288"/>
    <d v="2024-05-23T00:00:00"/>
    <n v="-212"/>
    <n v="3.28"/>
    <n v="98"/>
    <n v="24"/>
    <n v="4"/>
    <n v="4.0999999999999996"/>
    <n v="89"/>
    <n v="0.30902777777777779"/>
    <n v="5.1999899792654221"/>
    <n v="80"/>
    <n v="0.3"/>
    <n v="364.9"/>
    <n v="1.0599259289252997E-3"/>
    <n v="291.91999999999996"/>
  </r>
  <r>
    <x v="95"/>
    <x v="0"/>
    <x v="138"/>
    <s v="2 Hooker Terrace"/>
    <x v="2"/>
    <s v="14-836-2894"/>
    <s v="82-157-4299"/>
    <d v="2024-03-08T00:00:00"/>
    <x v="97"/>
    <s v="No"/>
    <d v="2025-01-11T00:00:00"/>
    <d v="2024-03-08T00:00:00"/>
    <n v="309"/>
    <d v="2024-09-25T00:00:00"/>
    <n v="-108"/>
    <n v="2.8000000000000003"/>
    <n v="44"/>
    <n v="92"/>
    <n v="92"/>
    <n v="3.5"/>
    <n v="41"/>
    <n v="0.13268608414239483"/>
    <n v="5.1999899792654221"/>
    <n v="61"/>
    <n v="0.1"/>
    <n v="143.5"/>
    <n v="4.1682480350994932E-4"/>
    <n v="114.80000000000001"/>
  </r>
  <r>
    <x v="96"/>
    <x v="0"/>
    <x v="139"/>
    <s v="56 Esker Park"/>
    <x v="1"/>
    <s v="08-196-2703"/>
    <s v="34-315-1199"/>
    <d v="2024-03-08T00:00:00"/>
    <x v="70"/>
    <s v="No"/>
    <d v="2024-11-29T00:00:00"/>
    <d v="2024-03-08T00:00:00"/>
    <n v="266"/>
    <d v="2024-10-17T00:00:00"/>
    <n v="-43"/>
    <n v="2.4000000000000004"/>
    <n v="100"/>
    <n v="52"/>
    <n v="2"/>
    <n v="3"/>
    <n v="86"/>
    <n v="0.32330827067669171"/>
    <n v="5.1999899792654221"/>
    <n v="70"/>
    <n v="-0.49"/>
    <n v="258"/>
    <n v="7.4941323557886359E-4"/>
    <n v="206.40000000000003"/>
  </r>
  <r>
    <x v="36"/>
    <x v="6"/>
    <x v="70"/>
    <s v="236 Gateway Lane"/>
    <x v="0"/>
    <s v="87-097-5691"/>
    <s v="26-213-7885"/>
    <d v="2024-04-08T00:00:00"/>
    <x v="140"/>
    <s v="No"/>
    <d v="2024-08-29T00:00:00"/>
    <d v="2024-04-08T00:00:00"/>
    <n v="143"/>
    <d v="2024-03-26T00:00:00"/>
    <n v="-156"/>
    <n v="8"/>
    <n v="62"/>
    <n v="78"/>
    <n v="97"/>
    <n v="10"/>
    <n v="62"/>
    <n v="0.43356643356643354"/>
    <n v="5.1999899792654221"/>
    <n v="97"/>
    <n v="0.19"/>
    <n v="620"/>
    <n v="1.8009155273600599E-3"/>
    <n v="496"/>
  </r>
  <r>
    <x v="88"/>
    <x v="0"/>
    <x v="33"/>
    <s v="2 Sunbrook Lane"/>
    <x v="1"/>
    <s v="04-453-5485"/>
    <s v="43-880-2879"/>
    <d v="2024-04-08T00:00:00"/>
    <x v="141"/>
    <s v="No"/>
    <d v="2025-01-10T00:00:00"/>
    <d v="2024-04-08T00:00:00"/>
    <n v="277"/>
    <d v="2024-04-02T00:00:00"/>
    <n v="-283"/>
    <n v="2"/>
    <n v="84"/>
    <n v="20"/>
    <n v="58"/>
    <n v="2.5"/>
    <n v="86"/>
    <n v="0.31046931407942241"/>
    <n v="5.1999899792654221"/>
    <n v="64"/>
    <n v="-0.56000000000000005"/>
    <n v="215"/>
    <n v="6.2451102964905297E-4"/>
    <n v="172"/>
  </r>
  <r>
    <x v="97"/>
    <x v="2"/>
    <x v="20"/>
    <s v="6172 Hovde Circle"/>
    <x v="1"/>
    <s v="82-678-8097"/>
    <s v="65-403-0311"/>
    <d v="2024-04-08T00:00:00"/>
    <x v="38"/>
    <s v="No"/>
    <d v="2024-08-24T00:00:00"/>
    <d v="2024-04-08T00:00:00"/>
    <n v="138"/>
    <d v="2024-04-05T00:00:00"/>
    <n v="-141"/>
    <n v="3.84"/>
    <n v="68"/>
    <n v="82"/>
    <n v="58"/>
    <n v="4.8"/>
    <n v="90"/>
    <n v="0.65217391304347827"/>
    <n v="5.1999899792654221"/>
    <n v="2"/>
    <n v="0.26"/>
    <n v="432"/>
    <n v="1.2548314642250741E-3"/>
    <n v="345.59999999999997"/>
  </r>
  <r>
    <x v="46"/>
    <x v="0"/>
    <x v="140"/>
    <s v="4 Sundown Place"/>
    <x v="2"/>
    <s v="43-703-9939"/>
    <s v="69-928-4929"/>
    <d v="2024-05-08T00:00:00"/>
    <x v="142"/>
    <s v="No"/>
    <d v="2024-05-22T00:00:00"/>
    <d v="2024-05-08T00:00:00"/>
    <n v="14"/>
    <d v="2025-02-17T00:00:00"/>
    <n v="271"/>
    <n v="2.8000000000000003"/>
    <n v="55"/>
    <n v="91"/>
    <n v="35"/>
    <n v="3.5"/>
    <n v="81"/>
    <n v="5.7857142857142856"/>
    <n v="5.1999899792654221"/>
    <n v="19"/>
    <n v="0.98"/>
    <n v="283.5"/>
    <n v="8.2348314839770479E-4"/>
    <n v="226.8"/>
  </r>
  <r>
    <x v="98"/>
    <x v="5"/>
    <x v="23"/>
    <s v="8 Mayer Trail"/>
    <x v="2"/>
    <s v="28-433-8533"/>
    <s v="81-694-0300"/>
    <d v="2024-05-08T00:00:00"/>
    <x v="143"/>
    <s v="Yes"/>
    <d v="2024-05-08T00:00:00"/>
    <d v="2024-02-27T00:00:00"/>
    <n v="71"/>
    <d v="2025-02-02T00:00:00"/>
    <n v="270"/>
    <n v="2.5600000000000005"/>
    <n v="87"/>
    <n v="70"/>
    <n v="77"/>
    <n v="3.2"/>
    <n v="73"/>
    <n v="1.028169014084507"/>
    <n v="5.1999899792654221"/>
    <n v="44"/>
    <n v="0.77"/>
    <n v="233.60000000000002"/>
    <n v="6.7853849546985483E-4"/>
    <n v="186.88000000000002"/>
  </r>
  <r>
    <x v="65"/>
    <x v="3"/>
    <x v="35"/>
    <s v="2 Veith Crossing"/>
    <x v="2"/>
    <s v="74-234-0628"/>
    <s v="49-559-7092"/>
    <d v="2024-05-08T00:00:00"/>
    <x v="144"/>
    <s v="No"/>
    <d v="2024-12-15T00:00:00"/>
    <d v="2024-05-08T00:00:00"/>
    <n v="221"/>
    <d v="2024-05-13T00:00:00"/>
    <n v="-216"/>
    <n v="7.6000000000000005"/>
    <n v="12"/>
    <n v="56"/>
    <n v="92"/>
    <n v="9.5"/>
    <n v="56"/>
    <n v="0.25339366515837103"/>
    <n v="5.1999899792654221"/>
    <n v="6"/>
    <n v="0.4"/>
    <n v="532"/>
    <n v="1.5453017105734707E-3"/>
    <n v="425.6"/>
  </r>
  <r>
    <x v="14"/>
    <x v="0"/>
    <x v="135"/>
    <s v="880 Calypso Road"/>
    <x v="1"/>
    <s v="02-888-9412"/>
    <s v="22-307-4653"/>
    <d v="2024-06-08T00:00:00"/>
    <x v="50"/>
    <s v="Yes"/>
    <d v="2024-06-08T00:00:00"/>
    <d v="2024-03-28T00:00:00"/>
    <n v="72"/>
    <d v="2025-02-04T00:00:00"/>
    <n v="241"/>
    <n v="1.984"/>
    <n v="95"/>
    <n v="66"/>
    <n v="69"/>
    <n v="2.48"/>
    <n v="92"/>
    <n v="1.2777777777777777"/>
    <n v="5.1999899792654221"/>
    <n v="72"/>
    <n v="0.89"/>
    <n v="228.16"/>
    <n v="6.6273691406850202E-4"/>
    <n v="182.52799999999999"/>
  </r>
  <r>
    <x v="22"/>
    <x v="0"/>
    <x v="131"/>
    <s v="44051 Old Shore Junction"/>
    <x v="1"/>
    <s v="80-658-6456"/>
    <s v="42-080-6579"/>
    <d v="2024-06-08T00:00:00"/>
    <x v="1"/>
    <s v="Yes"/>
    <d v="2024-06-08T00:00:00"/>
    <d v="2024-05-19T00:00:00"/>
    <n v="20"/>
    <d v="2024-12-10T00:00:00"/>
    <n v="185"/>
    <n v="4"/>
    <n v="84"/>
    <n v="9"/>
    <n v="46"/>
    <n v="5"/>
    <n v="30"/>
    <n v="1.5"/>
    <n v="5.1999899792654221"/>
    <n v="68"/>
    <n v="0.22"/>
    <n v="150"/>
    <n v="4.3570536952259513E-4"/>
    <n v="120"/>
  </r>
  <r>
    <x v="53"/>
    <x v="3"/>
    <x v="141"/>
    <s v="2446 Anhalt Way"/>
    <x v="0"/>
    <s v="70-587-1204"/>
    <s v="41-399-9203"/>
    <d v="2024-07-08T00:00:00"/>
    <x v="107"/>
    <s v="No"/>
    <d v="2024-07-15T00:00:00"/>
    <d v="2024-07-08T00:00:00"/>
    <n v="7"/>
    <d v="2024-06-23T00:00:00"/>
    <n v="-22"/>
    <n v="4.8000000000000007"/>
    <n v="68"/>
    <n v="68"/>
    <n v="97"/>
    <n v="6"/>
    <n v="37"/>
    <n v="5.2857142857142856"/>
    <n v="5.1999899792654221"/>
    <n v="31"/>
    <n v="-1.27"/>
    <n v="222"/>
    <n v="6.4484394689344081E-4"/>
    <n v="177.60000000000002"/>
  </r>
  <r>
    <x v="77"/>
    <x v="6"/>
    <x v="76"/>
    <s v="5 Anderson Trail"/>
    <x v="2"/>
    <s v="88-951-9038"/>
    <s v="14-713-5795"/>
    <d v="2024-07-08T00:00:00"/>
    <x v="57"/>
    <s v="No"/>
    <d v="2024-10-11T00:00:00"/>
    <d v="2024-07-08T00:00:00"/>
    <n v="95"/>
    <d v="2025-02-11T00:00:00"/>
    <n v="123"/>
    <n v="12"/>
    <n v="11"/>
    <n v="72"/>
    <n v="5"/>
    <n v="15"/>
    <n v="89"/>
    <n v="0.93684210526315792"/>
    <n v="5.1999899792654221"/>
    <n v="4"/>
    <n v="0.16"/>
    <n v="1335"/>
    <n v="3.8777777887510968E-3"/>
    <n v="1068"/>
  </r>
  <r>
    <x v="38"/>
    <x v="1"/>
    <x v="116"/>
    <s v="70156 7th Junction"/>
    <x v="0"/>
    <s v="45-317-9731"/>
    <s v="05-779-0378"/>
    <d v="2024-07-08T00:00:00"/>
    <x v="27"/>
    <s v="No"/>
    <d v="2025-01-07T00:00:00"/>
    <d v="2024-07-08T00:00:00"/>
    <n v="183"/>
    <d v="2024-08-20T00:00:00"/>
    <n v="-140"/>
    <n v="1.4400000000000002"/>
    <n v="44"/>
    <n v="83"/>
    <n v="78"/>
    <n v="1.8"/>
    <n v="46"/>
    <n v="0.25136612021857924"/>
    <n v="5.1999899792654221"/>
    <n v="4"/>
    <n v="0.96"/>
    <n v="82.8"/>
    <n v="2.4050936397647249E-4"/>
    <n v="66.240000000000009"/>
  </r>
  <r>
    <x v="12"/>
    <x v="0"/>
    <x v="77"/>
    <s v="183 Buell Park"/>
    <x v="0"/>
    <s v="63-874-9747"/>
    <s v="22-506-4911"/>
    <d v="2024-07-08T00:00:00"/>
    <x v="87"/>
    <s v="No"/>
    <d v="2024-12-09T00:00:00"/>
    <d v="2024-07-08T00:00:00"/>
    <n v="154"/>
    <d v="2024-11-11T00:00:00"/>
    <n v="-28"/>
    <n v="2.4000000000000004"/>
    <n v="36"/>
    <n v="59"/>
    <n v="90"/>
    <n v="3"/>
    <n v="25"/>
    <n v="0.16233766233766234"/>
    <n v="5.1999899792654221"/>
    <n v="60"/>
    <n v="0.91"/>
    <n v="75"/>
    <n v="2.1785268476129756E-4"/>
    <n v="60.000000000000007"/>
  </r>
  <r>
    <x v="67"/>
    <x v="0"/>
    <x v="18"/>
    <s v="832 Goodland Alley"/>
    <x v="0"/>
    <s v="44-546-5713"/>
    <s v="61-382-5182"/>
    <d v="2024-07-08T00:00:00"/>
    <x v="54"/>
    <s v="No"/>
    <d v="2025-01-16T00:00:00"/>
    <d v="2024-07-08T00:00:00"/>
    <n v="192"/>
    <d v="2025-02-13T00:00:00"/>
    <n v="28"/>
    <n v="3.2"/>
    <n v="94"/>
    <n v="69"/>
    <n v="68"/>
    <n v="4"/>
    <n v="24"/>
    <n v="0.125"/>
    <n v="5.1999899792654221"/>
    <n v="20"/>
    <n v="-1.4"/>
    <n v="96"/>
    <n v="2.788514364944609E-4"/>
    <n v="76.800000000000011"/>
  </r>
  <r>
    <x v="84"/>
    <x v="3"/>
    <x v="59"/>
    <s v="836 Brown Alley"/>
    <x v="0"/>
    <s v="23-070-2433"/>
    <s v="82-235-9317"/>
    <d v="2024-08-08T00:00:00"/>
    <x v="145"/>
    <s v="Yes"/>
    <d v="2024-08-08T00:00:00"/>
    <d v="2024-04-11T00:00:00"/>
    <n v="119"/>
    <d v="2024-12-28T00:00:00"/>
    <n v="142"/>
    <n v="2"/>
    <n v="68"/>
    <n v="7"/>
    <n v="37"/>
    <n v="2.5"/>
    <n v="69"/>
    <n v="0.57983193277310929"/>
    <n v="5.1999899792654221"/>
    <n v="1"/>
    <n v="0.17"/>
    <n v="172.5"/>
    <n v="5.0106117495098438E-4"/>
    <n v="138"/>
  </r>
  <r>
    <x v="27"/>
    <x v="4"/>
    <x v="142"/>
    <s v="10997 Dexter Parkway"/>
    <x v="2"/>
    <s v="91-257-3672"/>
    <s v="30-438-6295"/>
    <d v="2024-08-08T00:00:00"/>
    <x v="146"/>
    <s v="No"/>
    <d v="2024-12-18T00:00:00"/>
    <d v="2024-08-08T00:00:00"/>
    <n v="132"/>
    <d v="2024-07-05T00:00:00"/>
    <n v="-166"/>
    <n v="5.6000000000000005"/>
    <n v="78"/>
    <n v="75"/>
    <n v="3"/>
    <n v="7"/>
    <n v="63"/>
    <n v="0.47727272727272729"/>
    <n v="5.1999899792654221"/>
    <n v="100"/>
    <n v="0.99"/>
    <n v="441"/>
    <n v="1.2809737863964297E-3"/>
    <n v="352.8"/>
  </r>
  <r>
    <x v="63"/>
    <x v="0"/>
    <x v="43"/>
    <s v="154 Delladonna Hill"/>
    <x v="1"/>
    <s v="69-561-2496"/>
    <s v="38-790-7081"/>
    <d v="2024-08-08T00:00:00"/>
    <x v="147"/>
    <s v="Yes"/>
    <d v="2024-08-08T00:00:00"/>
    <d v="2024-03-18T00:00:00"/>
    <n v="143"/>
    <d v="2024-12-09T00:00:00"/>
    <n v="123"/>
    <n v="12.248000000000001"/>
    <n v="82"/>
    <n v="29"/>
    <n v="62"/>
    <n v="15.31"/>
    <n v="77"/>
    <n v="0.53846153846153844"/>
    <n v="5.1999899792654221"/>
    <n v="27"/>
    <n v="-0.59"/>
    <n v="1178.8700000000001"/>
    <n v="3.424266593127345E-3"/>
    <n v="943.09600000000012"/>
  </r>
  <r>
    <x v="52"/>
    <x v="3"/>
    <x v="143"/>
    <s v="07855 Goodland Lane"/>
    <x v="2"/>
    <s v="87-013-6488"/>
    <s v="77-471-0792"/>
    <d v="2024-08-08T00:00:00"/>
    <x v="148"/>
    <s v="No"/>
    <d v="2024-10-26T00:00:00"/>
    <d v="2024-08-08T00:00:00"/>
    <n v="79"/>
    <d v="2024-04-14T00:00:00"/>
    <n v="-195"/>
    <n v="3.4000000000000004"/>
    <n v="22"/>
    <n v="10"/>
    <n v="53"/>
    <n v="4.25"/>
    <n v="64"/>
    <n v="0.810126582278481"/>
    <n v="5.1999899792654221"/>
    <n v="7"/>
    <n v="0.65"/>
    <n v="272"/>
    <n v="7.9007907006763915E-4"/>
    <n v="217.60000000000002"/>
  </r>
  <r>
    <x v="20"/>
    <x v="6"/>
    <x v="83"/>
    <s v="993 Kensington Drive"/>
    <x v="0"/>
    <s v="31-969-4614"/>
    <s v="83-104-8425"/>
    <d v="2024-09-08T00:00:00"/>
    <x v="149"/>
    <s v="Yes"/>
    <d v="2024-09-08T00:00:00"/>
    <d v="2024-06-06T00:00:00"/>
    <n v="94"/>
    <d v="2025-01-15T00:00:00"/>
    <n v="129"/>
    <n v="16"/>
    <n v="62"/>
    <n v="89"/>
    <n v="6"/>
    <n v="20"/>
    <n v="23"/>
    <n v="0.24468085106382978"/>
    <n v="5.1999899792654221"/>
    <n v="11"/>
    <n v="0.89"/>
    <n v="460"/>
    <n v="1.3361631332026249E-3"/>
    <n v="368"/>
  </r>
  <r>
    <x v="83"/>
    <x v="2"/>
    <x v="144"/>
    <s v="779 Ridgeway Street"/>
    <x v="1"/>
    <s v="96-209-1739"/>
    <s v="82-930-7733"/>
    <d v="2024-09-08T00:00:00"/>
    <x v="143"/>
    <s v="Yes"/>
    <d v="2024-09-08T00:00:00"/>
    <d v="2024-02-27T00:00:00"/>
    <n v="194"/>
    <d v="2024-02-29T00:00:00"/>
    <n v="-192"/>
    <n v="1.6"/>
    <n v="70"/>
    <n v="81"/>
    <n v="75"/>
    <n v="2"/>
    <n v="24"/>
    <n v="0.12371134020618557"/>
    <n v="5.1999899792654221"/>
    <n v="54"/>
    <n v="0.52"/>
    <n v="48"/>
    <n v="1.3942571824723045E-4"/>
    <n v="38.400000000000006"/>
  </r>
  <r>
    <x v="29"/>
    <x v="3"/>
    <x v="145"/>
    <s v="81878 Nobel Point"/>
    <x v="0"/>
    <s v="20-022-3173"/>
    <s v="54-188-1006"/>
    <d v="2024-10-08T00:00:00"/>
    <x v="150"/>
    <s v="No"/>
    <d v="2024-11-10T00:00:00"/>
    <d v="2024-10-08T00:00:00"/>
    <n v="33"/>
    <d v="2025-02-22T00:00:00"/>
    <n v="104"/>
    <n v="1.2000000000000002"/>
    <n v="21"/>
    <n v="63"/>
    <n v="65"/>
    <n v="1.5"/>
    <n v="38"/>
    <n v="1.1515151515151516"/>
    <n v="5.1999899792654221"/>
    <n v="73"/>
    <n v="-1.25"/>
    <n v="57"/>
    <n v="1.6556804041858615E-4"/>
    <n v="45.600000000000009"/>
  </r>
  <r>
    <x v="15"/>
    <x v="0"/>
    <x v="132"/>
    <s v="6 Charing Cross Circle"/>
    <x v="2"/>
    <s v="44-552-3909"/>
    <s v="80-863-1186"/>
    <d v="2024-10-08T00:00:00"/>
    <x v="151"/>
    <s v="Yes"/>
    <d v="2024-10-08T00:00:00"/>
    <d v="2024-02-26T00:00:00"/>
    <n v="225"/>
    <d v="2025-01-19T00:00:00"/>
    <n v="103"/>
    <n v="3.6"/>
    <n v="61"/>
    <n v="50"/>
    <n v="9"/>
    <n v="4.5"/>
    <n v="24"/>
    <n v="0.10666666666666667"/>
    <n v="5.1999899792654221"/>
    <n v="92"/>
    <n v="-0.92"/>
    <n v="108"/>
    <n v="3.1370786605626851E-4"/>
    <n v="86.4"/>
  </r>
  <r>
    <x v="68"/>
    <x v="0"/>
    <x v="146"/>
    <s v="1519 Delaware Court"/>
    <x v="1"/>
    <s v="40-902-1995"/>
    <s v="86-879-7811"/>
    <d v="2024-10-08T00:00:00"/>
    <x v="83"/>
    <s v="No"/>
    <d v="2024-12-08T00:00:00"/>
    <d v="2024-10-08T00:00:00"/>
    <n v="61"/>
    <d v="2024-04-01T00:00:00"/>
    <n v="-251"/>
    <n v="3.84"/>
    <n v="46"/>
    <n v="88"/>
    <n v="20"/>
    <n v="4.8"/>
    <n v="59"/>
    <n v="0.96721311475409832"/>
    <n v="5.1999899792654221"/>
    <n v="79"/>
    <n v="-2.83"/>
    <n v="283.2"/>
    <n v="8.2261173765865953E-4"/>
    <n v="226.56"/>
  </r>
  <r>
    <x v="24"/>
    <x v="3"/>
    <x v="94"/>
    <s v="2 Fair Oaks Pass"/>
    <x v="0"/>
    <s v="07-846-4804"/>
    <s v="30-605-2164"/>
    <d v="2024-10-08T00:00:00"/>
    <x v="103"/>
    <s v="Yes"/>
    <d v="2024-10-08T00:00:00"/>
    <d v="2024-07-02T00:00:00"/>
    <n v="98"/>
    <d v="2024-09-25T00:00:00"/>
    <n v="-13"/>
    <n v="3.8000000000000003"/>
    <n v="20"/>
    <n v="25"/>
    <n v="73"/>
    <n v="4.75"/>
    <n v="78"/>
    <n v="0.79591836734693877"/>
    <n v="5.1999899792654221"/>
    <n v="1"/>
    <n v="-0.34"/>
    <n v="370.5"/>
    <n v="1.0761922627208099E-3"/>
    <n v="296.40000000000003"/>
  </r>
  <r>
    <x v="21"/>
    <x v="0"/>
    <x v="147"/>
    <s v="18 Daystar Parkway"/>
    <x v="2"/>
    <s v="17-504-3699"/>
    <s v="81-276-8218"/>
    <d v="2024-10-08T00:00:00"/>
    <x v="68"/>
    <s v="Yes"/>
    <d v="2024-10-08T00:00:00"/>
    <d v="2024-06-15T00:00:00"/>
    <n v="115"/>
    <d v="2024-08-17T00:00:00"/>
    <n v="-52"/>
    <n v="1.6"/>
    <n v="80"/>
    <n v="60"/>
    <n v="71"/>
    <n v="2"/>
    <n v="98"/>
    <n v="0.85217391304347823"/>
    <n v="5.1999899792654221"/>
    <n v="13"/>
    <n v="0.99"/>
    <n v="196"/>
    <n v="5.6932168284285758E-4"/>
    <n v="156.80000000000001"/>
  </r>
  <r>
    <x v="58"/>
    <x v="2"/>
    <x v="148"/>
    <s v="7 Spohn Avenue"/>
    <x v="1"/>
    <s v="55-522-8242"/>
    <s v="48-884-5431"/>
    <d v="2024-11-08T00:00:00"/>
    <x v="81"/>
    <s v="Yes"/>
    <d v="2024-11-08T00:00:00"/>
    <d v="2024-03-30T00:00:00"/>
    <n v="223"/>
    <d v="2024-09-07T00:00:00"/>
    <n v="-62"/>
    <n v="3.2"/>
    <n v="29"/>
    <n v="36"/>
    <n v="40"/>
    <n v="4"/>
    <n v="60"/>
    <n v="0.26905829596412556"/>
    <n v="5.1999899792654221"/>
    <n v="96"/>
    <n v="0.87"/>
    <n v="240"/>
    <n v="6.9712859123615225E-4"/>
    <n v="192"/>
  </r>
  <r>
    <x v="95"/>
    <x v="0"/>
    <x v="149"/>
    <s v="39 Dahle Alley"/>
    <x v="0"/>
    <s v="17-022-9721"/>
    <s v="59-629-0798"/>
    <d v="2024-11-08T00:00:00"/>
    <x v="152"/>
    <s v="No"/>
    <d v="2024-12-13T00:00:00"/>
    <d v="2024-11-08T00:00:00"/>
    <n v="35"/>
    <d v="2025-01-12T00:00:00"/>
    <n v="30"/>
    <n v="2.8000000000000003"/>
    <n v="43"/>
    <n v="63"/>
    <n v="99"/>
    <n v="3.5"/>
    <n v="39"/>
    <n v="1.1142857142857143"/>
    <n v="5.1999899792654221"/>
    <n v="77"/>
    <n v="-0.6"/>
    <n v="136.5"/>
    <n v="3.9649188626556155E-4"/>
    <n v="109.20000000000002"/>
  </r>
  <r>
    <x v="60"/>
    <x v="1"/>
    <x v="150"/>
    <s v="27408 Burning Wood Street"/>
    <x v="0"/>
    <s v="03-940-0630"/>
    <s v="49-762-8263"/>
    <d v="2024-11-08T00:00:00"/>
    <x v="153"/>
    <s v="Yes"/>
    <d v="2024-11-08T00:00:00"/>
    <d v="2024-10-31T00:00:00"/>
    <n v="8"/>
    <d v="2024-04-03T00:00:00"/>
    <n v="-219"/>
    <n v="2"/>
    <n v="23"/>
    <n v="43"/>
    <n v="75"/>
    <n v="2.5"/>
    <n v="91"/>
    <n v="11.375"/>
    <n v="5.1999899792654221"/>
    <n v="86"/>
    <n v="-0.97"/>
    <n v="227.5"/>
    <n v="6.6081981044260256E-4"/>
    <n v="182"/>
  </r>
  <r>
    <x v="73"/>
    <x v="3"/>
    <x v="92"/>
    <s v="3 Westerfield Crossing"/>
    <x v="2"/>
    <s v="71-594-6552"/>
    <s v="63-492-7603"/>
    <d v="2024-12-08T00:00:00"/>
    <x v="122"/>
    <s v="No"/>
    <d v="2025-02-19T00:00:00"/>
    <d v="2024-12-08T00:00:00"/>
    <n v="73"/>
    <d v="2024-04-17T00:00:00"/>
    <n v="-308"/>
    <n v="1.2000000000000002"/>
    <n v="12"/>
    <n v="59"/>
    <n v="62"/>
    <n v="1.5"/>
    <n v="95"/>
    <n v="1.3013698630136987"/>
    <n v="5.1999899792654221"/>
    <n v="99"/>
    <n v="0.05"/>
    <n v="142.5"/>
    <n v="4.1392010104646538E-4"/>
    <n v="114.00000000000001"/>
  </r>
  <r>
    <x v="71"/>
    <x v="6"/>
    <x v="39"/>
    <s v="5756 Stephen Avenue"/>
    <x v="2"/>
    <s v="20-225-3930"/>
    <s v="73-069-2753"/>
    <d v="2024-12-08T00:00:00"/>
    <x v="108"/>
    <s v="Yes"/>
    <d v="2024-12-08T00:00:00"/>
    <d v="2024-02-29T00:00:00"/>
    <n v="283"/>
    <d v="2024-03-17T00:00:00"/>
    <n v="-266"/>
    <n v="20"/>
    <n v="99"/>
    <n v="87"/>
    <n v="10"/>
    <n v="25"/>
    <n v="93"/>
    <n v="0.32862190812720848"/>
    <n v="5.1999899792654221"/>
    <n v="70"/>
    <n v="-0.04"/>
    <n v="2325"/>
    <n v="6.7534332276002248E-3"/>
    <n v="1860"/>
  </r>
  <r>
    <x v="59"/>
    <x v="0"/>
    <x v="151"/>
    <s v="84239 Meadow Vale Trail"/>
    <x v="1"/>
    <s v="53-151-5726"/>
    <s v="93-180-4005"/>
    <d v="2024-12-08T00:00:00"/>
    <x v="154"/>
    <s v="No"/>
    <d v="2025-01-12T00:00:00"/>
    <d v="2024-12-08T00:00:00"/>
    <n v="35"/>
    <d v="2024-04-20T00:00:00"/>
    <n v="-267"/>
    <n v="4.4000000000000004"/>
    <n v="37"/>
    <n v="45"/>
    <n v="62"/>
    <n v="5.5"/>
    <n v="34"/>
    <n v="0.97142857142857142"/>
    <n v="5.1999899792654221"/>
    <n v="23"/>
    <n v="0.25"/>
    <n v="187"/>
    <n v="5.4317936067150197E-4"/>
    <n v="149.60000000000002"/>
  </r>
  <r>
    <x v="92"/>
    <x v="3"/>
    <x v="152"/>
    <s v="4784 Farmco Alley"/>
    <x v="1"/>
    <s v="77-777-4536"/>
    <s v="64-396-5538"/>
    <d v="2024-12-08T00:00:00"/>
    <x v="155"/>
    <s v="Yes"/>
    <d v="2024-12-08T00:00:00"/>
    <d v="2024-09-12T00:00:00"/>
    <n v="87"/>
    <d v="2024-04-04T00:00:00"/>
    <n v="-248"/>
    <n v="3.5200000000000005"/>
    <n v="26"/>
    <n v="67"/>
    <n v="46"/>
    <n v="4.4000000000000004"/>
    <n v="54"/>
    <n v="0.62068965517241381"/>
    <n v="5.1999899792654221"/>
    <n v="46"/>
    <n v="0.32"/>
    <n v="237.60000000000002"/>
    <n v="6.9015730532379072E-4"/>
    <n v="190.08"/>
  </r>
  <r>
    <x v="79"/>
    <x v="2"/>
    <x v="80"/>
    <s v="79 Monterey Avenue"/>
    <x v="2"/>
    <s v="07-834-3320"/>
    <s v="47-831-9154"/>
    <d v="2024-12-08T00:00:00"/>
    <x v="156"/>
    <s v="Yes"/>
    <d v="2024-12-08T00:00:00"/>
    <d v="2024-03-07T00:00:00"/>
    <n v="276"/>
    <d v="2024-09-20T00:00:00"/>
    <n v="-79"/>
    <n v="0.64000000000000012"/>
    <n v="94"/>
    <n v="60"/>
    <n v="78"/>
    <n v="0.8"/>
    <n v="100"/>
    <n v="0.36231884057971014"/>
    <n v="5.1999899792654221"/>
    <n v="42"/>
    <n v="0.15"/>
    <n v="80"/>
    <n v="2.323761970787174E-4"/>
    <n v="64.000000000000014"/>
  </r>
  <r>
    <x v="75"/>
    <x v="2"/>
    <x v="153"/>
    <s v="587 Vermont Terrace"/>
    <x v="1"/>
    <s v="51-761-6320"/>
    <s v="28-461-1136"/>
    <d v="2024-03-09T00:00:00"/>
    <x v="64"/>
    <s v="No"/>
    <d v="2024-08-30T00:00:00"/>
    <d v="2024-03-09T00:00:00"/>
    <n v="174"/>
    <d v="2024-06-22T00:00:00"/>
    <n v="-69"/>
    <n v="2"/>
    <n v="43"/>
    <n v="78"/>
    <n v="85"/>
    <n v="2.5"/>
    <n v="48"/>
    <n v="0.27586206896551724"/>
    <n v="5.1999899792654221"/>
    <n v="98"/>
    <n v="0.57999999999999996"/>
    <n v="120"/>
    <n v="3.4856429561807613E-4"/>
    <n v="96"/>
  </r>
  <r>
    <x v="13"/>
    <x v="5"/>
    <x v="0"/>
    <s v="983 Sommers Circle"/>
    <x v="0"/>
    <s v="34-291-4939"/>
    <s v="39-284-1614"/>
    <d v="2024-03-09T00:00:00"/>
    <x v="157"/>
    <s v="No"/>
    <d v="2024-11-24T00:00:00"/>
    <d v="2024-03-09T00:00:00"/>
    <n v="260"/>
    <d v="2025-02-13T00:00:00"/>
    <n v="81"/>
    <n v="3.2"/>
    <n v="34"/>
    <n v="49"/>
    <n v="27"/>
    <n v="4"/>
    <n v="78"/>
    <n v="0.3"/>
    <n v="5.1999899792654221"/>
    <n v="20"/>
    <n v="-1.04"/>
    <n v="312"/>
    <n v="9.0626716860699782E-4"/>
    <n v="249.60000000000002"/>
  </r>
  <r>
    <x v="56"/>
    <x v="0"/>
    <x v="84"/>
    <s v="51890 Lindbergh Terrace"/>
    <x v="2"/>
    <s v="67-025-1245"/>
    <s v="28-575-0716"/>
    <d v="2024-04-09T00:00:00"/>
    <x v="58"/>
    <s v="Yes"/>
    <d v="2024-04-09T00:00:00"/>
    <d v="2024-03-06T00:00:00"/>
    <n v="34"/>
    <d v="2024-08-12T00:00:00"/>
    <n v="125"/>
    <n v="0.8"/>
    <n v="88"/>
    <n v="46"/>
    <n v="55"/>
    <n v="1"/>
    <n v="73"/>
    <n v="2.1470588235294117"/>
    <n v="5.1999899792654221"/>
    <n v="63"/>
    <n v="0.74"/>
    <n v="73"/>
    <n v="2.1204327983432962E-4"/>
    <n v="58.400000000000006"/>
  </r>
  <r>
    <x v="51"/>
    <x v="0"/>
    <x v="154"/>
    <s v="95 Kingsford Terrace"/>
    <x v="0"/>
    <s v="63-936-0145"/>
    <s v="69-415-3675"/>
    <d v="2024-04-09T00:00:00"/>
    <x v="158"/>
    <s v="No"/>
    <d v="2024-06-08T00:00:00"/>
    <d v="2024-04-09T00:00:00"/>
    <n v="60"/>
    <d v="2024-12-03T00:00:00"/>
    <n v="178"/>
    <n v="3.2"/>
    <n v="22"/>
    <n v="56"/>
    <n v="72"/>
    <n v="4"/>
    <n v="70"/>
    <n v="1.1666666666666667"/>
    <n v="5.1999899792654221"/>
    <n v="39"/>
    <n v="0.14000000000000001"/>
    <n v="280"/>
    <n v="8.1331668977551092E-4"/>
    <n v="224"/>
  </r>
  <r>
    <x v="99"/>
    <x v="0"/>
    <x v="155"/>
    <s v="12710 Gulseth Circle"/>
    <x v="2"/>
    <s v="27-495-1912"/>
    <s v="34-667-8907"/>
    <d v="2024-05-09T00:00:00"/>
    <x v="108"/>
    <s v="Yes"/>
    <d v="2024-05-09T00:00:00"/>
    <d v="2024-02-29T00:00:00"/>
    <n v="70"/>
    <d v="2024-05-24T00:00:00"/>
    <n v="15"/>
    <n v="0.96"/>
    <n v="26"/>
    <n v="63"/>
    <n v="88"/>
    <n v="1.2"/>
    <n v="84"/>
    <n v="1.2"/>
    <n v="5.1999899792654221"/>
    <n v="70"/>
    <n v="0.44"/>
    <n v="100.8"/>
    <n v="2.9279400831918391E-4"/>
    <n v="80.64"/>
  </r>
  <r>
    <x v="87"/>
    <x v="4"/>
    <x v="156"/>
    <s v="1 Westport Crossing"/>
    <x v="2"/>
    <s v="47-554-5780"/>
    <s v="62-979-5038"/>
    <d v="2024-06-09T00:00:00"/>
    <x v="159"/>
    <s v="No"/>
    <d v="2024-06-22T00:00:00"/>
    <d v="2024-06-09T00:00:00"/>
    <n v="13"/>
    <d v="2024-04-17T00:00:00"/>
    <n v="-66"/>
    <n v="7.2"/>
    <n v="93"/>
    <n v="62"/>
    <n v="65"/>
    <n v="9"/>
    <n v="78"/>
    <n v="6"/>
    <n v="5.1999899792654221"/>
    <n v="87"/>
    <n v="0.17"/>
    <n v="702"/>
    <n v="2.0391011293657453E-3"/>
    <n v="561.6"/>
  </r>
  <r>
    <x v="56"/>
    <x v="0"/>
    <x v="22"/>
    <s v="84305 Fair Oaks Plaza"/>
    <x v="1"/>
    <s v="21-013-3508"/>
    <s v="64-489-8494"/>
    <d v="2024-06-09T00:00:00"/>
    <x v="46"/>
    <s v="No"/>
    <d v="2024-06-13T00:00:00"/>
    <d v="2024-06-09T00:00:00"/>
    <n v="4"/>
    <d v="2024-11-10T00:00:00"/>
    <n v="150"/>
    <n v="0.8"/>
    <n v="12"/>
    <n v="95"/>
    <n v="49"/>
    <n v="1"/>
    <n v="25"/>
    <n v="6.25"/>
    <n v="5.1999899792654221"/>
    <n v="23"/>
    <n v="-0.12"/>
    <n v="25"/>
    <n v="7.2617561587099184E-5"/>
    <n v="20"/>
  </r>
  <r>
    <x v="83"/>
    <x v="2"/>
    <x v="31"/>
    <s v="15 Oriole Park"/>
    <x v="0"/>
    <s v="39-913-2999"/>
    <s v="74-119-8973"/>
    <d v="2024-06-09T00:00:00"/>
    <x v="11"/>
    <s v="Yes"/>
    <d v="2024-06-09T00:00:00"/>
    <d v="2024-04-06T00:00:00"/>
    <n v="64"/>
    <d v="2024-04-10T00:00:00"/>
    <n v="-60"/>
    <n v="1.6"/>
    <n v="23"/>
    <n v="99"/>
    <n v="97"/>
    <n v="2"/>
    <n v="68"/>
    <n v="1.0625"/>
    <n v="5.1999899792654221"/>
    <n v="76"/>
    <n v="0.08"/>
    <n v="136"/>
    <n v="3.9503953503381957E-4"/>
    <n v="108.80000000000001"/>
  </r>
  <r>
    <x v="37"/>
    <x v="5"/>
    <x v="157"/>
    <s v="43442 Homewood Street"/>
    <x v="2"/>
    <s v="82-395-5070"/>
    <s v="01-801-9502"/>
    <d v="2024-07-09T00:00:00"/>
    <x v="160"/>
    <s v="No"/>
    <d v="2025-02-17T00:00:00"/>
    <d v="2024-07-09T00:00:00"/>
    <n v="223"/>
    <d v="2025-02-20T00:00:00"/>
    <n v="3"/>
    <n v="4"/>
    <n v="75"/>
    <n v="81"/>
    <n v="17"/>
    <n v="5"/>
    <n v="69"/>
    <n v="0.3094170403587444"/>
    <n v="5.1999899792654221"/>
    <n v="38"/>
    <n v="-0.12"/>
    <n v="345"/>
    <n v="1.0021223499019688E-3"/>
    <n v="276"/>
  </r>
  <r>
    <x v="25"/>
    <x v="5"/>
    <x v="22"/>
    <s v="56830 Fremont Road"/>
    <x v="1"/>
    <s v="62-100-2245"/>
    <s v="18-110-8314"/>
    <d v="2024-07-09T00:00:00"/>
    <x v="82"/>
    <s v="No"/>
    <d v="2024-11-08T00:00:00"/>
    <d v="2024-07-09T00:00:00"/>
    <n v="122"/>
    <d v="2024-07-12T00:00:00"/>
    <n v="-119"/>
    <n v="3.3600000000000003"/>
    <n v="22"/>
    <n v="60"/>
    <n v="73"/>
    <n v="4.2"/>
    <n v="62"/>
    <n v="0.50819672131147542"/>
    <n v="5.1999899792654221"/>
    <n v="3"/>
    <n v="0.45"/>
    <n v="260.40000000000003"/>
    <n v="7.5638452149122523E-4"/>
    <n v="208.32000000000002"/>
  </r>
  <r>
    <x v="59"/>
    <x v="0"/>
    <x v="66"/>
    <s v="10 Golf Course Hill"/>
    <x v="1"/>
    <s v="09-712-3630"/>
    <s v="17-807-6972"/>
    <d v="2024-07-09T00:00:00"/>
    <x v="72"/>
    <s v="Yes"/>
    <d v="2024-07-09T00:00:00"/>
    <d v="2024-03-25T00:00:00"/>
    <n v="106"/>
    <d v="2024-09-30T00:00:00"/>
    <n v="83"/>
    <n v="4.4000000000000004"/>
    <n v="87"/>
    <n v="62"/>
    <n v="2"/>
    <n v="5.5"/>
    <n v="22"/>
    <n v="0.20754716981132076"/>
    <n v="5.1999899792654221"/>
    <n v="38"/>
    <n v="0.95"/>
    <n v="121"/>
    <n v="3.5146899808156007E-4"/>
    <n v="96.800000000000011"/>
  </r>
  <r>
    <x v="18"/>
    <x v="0"/>
    <x v="158"/>
    <s v="357 Maple Park"/>
    <x v="2"/>
    <s v="25-010-9478"/>
    <s v="24-576-3402"/>
    <d v="2024-08-09T00:00:00"/>
    <x v="161"/>
    <s v="No"/>
    <d v="2024-10-13T00:00:00"/>
    <d v="2024-08-09T00:00:00"/>
    <n v="65"/>
    <d v="2024-07-31T00:00:00"/>
    <n v="-74"/>
    <n v="2.4000000000000004"/>
    <n v="74"/>
    <n v="30"/>
    <n v="24"/>
    <n v="3"/>
    <n v="82"/>
    <n v="1.2615384615384615"/>
    <n v="5.1999899792654221"/>
    <n v="12"/>
    <n v="-0.73"/>
    <n v="246"/>
    <n v="7.1455680601705603E-4"/>
    <n v="196.80000000000004"/>
  </r>
  <r>
    <x v="100"/>
    <x v="4"/>
    <x v="128"/>
    <s v="7 Riverside Road"/>
    <x v="2"/>
    <s v="03-919-9890"/>
    <s v="69-289-8783"/>
    <d v="2024-08-09T00:00:00"/>
    <x v="132"/>
    <s v="No"/>
    <d v="2024-12-07T00:00:00"/>
    <d v="2024-08-09T00:00:00"/>
    <n v="120"/>
    <d v="2024-07-25T00:00:00"/>
    <n v="-135"/>
    <n v="16"/>
    <n v="47"/>
    <n v="29"/>
    <n v="70"/>
    <n v="20"/>
    <n v="61"/>
    <n v="0.5083333333333333"/>
    <n v="5.1999899792654221"/>
    <n v="44"/>
    <n v="0.85"/>
    <n v="1220"/>
    <n v="3.5437370054504404E-3"/>
    <n v="976"/>
  </r>
  <r>
    <x v="101"/>
    <x v="4"/>
    <x v="122"/>
    <s v="4353 Dixon Circle"/>
    <x v="2"/>
    <s v="61-293-6327"/>
    <s v="00-023-7719"/>
    <d v="2024-08-09T00:00:00"/>
    <x v="162"/>
    <s v="No"/>
    <d v="2024-12-29T00:00:00"/>
    <d v="2024-08-09T00:00:00"/>
    <n v="142"/>
    <d v="2024-04-04T00:00:00"/>
    <n v="-269"/>
    <n v="12"/>
    <n v="98"/>
    <n v="67"/>
    <n v="49"/>
    <n v="15"/>
    <n v="21"/>
    <n v="0.14788732394366197"/>
    <n v="5.1999899792654221"/>
    <n v="61"/>
    <n v="0.28000000000000003"/>
    <n v="315"/>
    <n v="9.1498127599744976E-4"/>
    <n v="252"/>
  </r>
  <r>
    <x v="102"/>
    <x v="0"/>
    <x v="159"/>
    <s v="89 Karstens Alley"/>
    <x v="0"/>
    <s v="08-519-5579"/>
    <s v="32-178-2765"/>
    <d v="2024-08-09T00:00:00"/>
    <x v="163"/>
    <s v="No"/>
    <d v="2024-08-22T00:00:00"/>
    <d v="2024-08-09T00:00:00"/>
    <n v="13"/>
    <d v="2024-08-16T00:00:00"/>
    <n v="-6"/>
    <n v="3.2"/>
    <n v="35"/>
    <n v="4"/>
    <n v="76"/>
    <n v="4"/>
    <n v="90"/>
    <n v="6.9230769230769234"/>
    <n v="5.1999899792654221"/>
    <n v="30"/>
    <n v="-1.9"/>
    <n v="360"/>
    <n v="1.0456928868542283E-3"/>
    <n v="288"/>
  </r>
  <r>
    <x v="59"/>
    <x v="0"/>
    <x v="160"/>
    <s v="898 Rowland Trail"/>
    <x v="2"/>
    <s v="00-366-9496"/>
    <s v="40-515-1141"/>
    <d v="2024-08-09T00:00:00"/>
    <x v="164"/>
    <s v="No"/>
    <d v="2025-02-08T00:00:00"/>
    <d v="2024-08-09T00:00:00"/>
    <n v="183"/>
    <d v="2024-12-28T00:00:00"/>
    <n v="-42"/>
    <n v="4.4000000000000004"/>
    <n v="30"/>
    <n v="66"/>
    <n v="28"/>
    <n v="5.5"/>
    <n v="63"/>
    <n v="0.34426229508196721"/>
    <n v="5.1999899792654221"/>
    <n v="98"/>
    <n v="0.67"/>
    <n v="346.5"/>
    <n v="1.0064794035971947E-3"/>
    <n v="277.20000000000005"/>
  </r>
  <r>
    <x v="55"/>
    <x v="0"/>
    <x v="151"/>
    <s v="92655 Pond Park"/>
    <x v="0"/>
    <s v="28-840-6096"/>
    <s v="15-444-8224"/>
    <d v="2024-09-09T00:00:00"/>
    <x v="102"/>
    <s v="No"/>
    <d v="2025-02-14T00:00:00"/>
    <d v="2024-09-09T00:00:00"/>
    <n v="158"/>
    <d v="2024-09-12T00:00:00"/>
    <n v="-155"/>
    <n v="4.8000000000000007"/>
    <n v="19"/>
    <n v="65"/>
    <n v="48"/>
    <n v="6"/>
    <n v="59"/>
    <n v="0.37341772151898733"/>
    <n v="5.1999899792654221"/>
    <n v="53"/>
    <n v="-0.56000000000000005"/>
    <n v="354"/>
    <n v="1.0282646720733246E-3"/>
    <n v="283.20000000000005"/>
  </r>
  <r>
    <x v="29"/>
    <x v="3"/>
    <x v="161"/>
    <s v="403 Loomis Way"/>
    <x v="1"/>
    <s v="04-542-3863"/>
    <s v="55-952-9832"/>
    <d v="2024-10-09T00:00:00"/>
    <x v="165"/>
    <s v="No"/>
    <d v="2024-12-11T00:00:00"/>
    <d v="2024-10-09T00:00:00"/>
    <n v="63"/>
    <d v="2024-12-22T00:00:00"/>
    <n v="11"/>
    <n v="1.2000000000000002"/>
    <n v="34"/>
    <n v="46"/>
    <n v="45"/>
    <n v="1.5"/>
    <n v="49"/>
    <n v="0.77777777777777779"/>
    <n v="5.1999899792654221"/>
    <n v="25"/>
    <n v="0.1"/>
    <n v="73.5"/>
    <n v="2.1349563106607162E-4"/>
    <n v="58.800000000000011"/>
  </r>
  <r>
    <x v="10"/>
    <x v="2"/>
    <x v="162"/>
    <s v="87784 Blaine Way"/>
    <x v="1"/>
    <s v="18-199-5799"/>
    <s v="76-870-2139"/>
    <d v="2024-10-09T00:00:00"/>
    <x v="166"/>
    <s v="Yes"/>
    <d v="2024-10-09T00:00:00"/>
    <d v="2024-04-28T00:00:00"/>
    <n v="164"/>
    <d v="2024-10-30T00:00:00"/>
    <n v="21"/>
    <n v="7.2"/>
    <n v="40"/>
    <n v="81"/>
    <n v="40"/>
    <n v="9"/>
    <n v="40"/>
    <n v="0.24390243902439024"/>
    <n v="5.1999899792654221"/>
    <n v="48"/>
    <n v="0.49"/>
    <n v="360"/>
    <n v="1.0456928868542283E-3"/>
    <n v="288"/>
  </r>
  <r>
    <x v="76"/>
    <x v="3"/>
    <x v="163"/>
    <s v="32 Cottonwood Pass"/>
    <x v="2"/>
    <s v="56-875-3717"/>
    <s v="39-257-6162"/>
    <d v="2024-10-09T00:00:00"/>
    <x v="167"/>
    <s v="Yes"/>
    <d v="2024-10-09T00:00:00"/>
    <d v="2024-08-01T00:00:00"/>
    <n v="69"/>
    <d v="2024-05-03T00:00:00"/>
    <n v="-159"/>
    <n v="2"/>
    <n v="89"/>
    <n v="54"/>
    <n v="15"/>
    <n v="2.5"/>
    <n v="64"/>
    <n v="0.92753623188405798"/>
    <n v="5.1999899792654221"/>
    <n v="63"/>
    <n v="-0.2"/>
    <n v="160"/>
    <n v="4.647523941574348E-4"/>
    <n v="128"/>
  </r>
  <r>
    <x v="89"/>
    <x v="2"/>
    <x v="164"/>
    <s v="890 Eggendart Pass"/>
    <x v="0"/>
    <s v="25-522-6043"/>
    <s v="29-122-7037"/>
    <d v="2024-10-09T00:00:00"/>
    <x v="69"/>
    <s v="Yes"/>
    <d v="2024-10-09T00:00:00"/>
    <d v="2024-08-19T00:00:00"/>
    <n v="51"/>
    <d v="2025-02-03T00:00:00"/>
    <n v="117"/>
    <n v="5.6000000000000005"/>
    <n v="71"/>
    <n v="93"/>
    <n v="75"/>
    <n v="7"/>
    <n v="77"/>
    <n v="1.5098039215686274"/>
    <n v="5.1999899792654221"/>
    <n v="58"/>
    <n v="0.02"/>
    <n v="539"/>
    <n v="1.5656346278178585E-3"/>
    <n v="431.20000000000005"/>
  </r>
  <r>
    <x v="41"/>
    <x v="2"/>
    <x v="165"/>
    <s v="4 Duke Way"/>
    <x v="0"/>
    <s v="27-459-0724"/>
    <s v="45-331-8563"/>
    <d v="2024-11-09T00:00:00"/>
    <x v="93"/>
    <s v="Yes"/>
    <d v="2024-11-09T00:00:00"/>
    <d v="2024-08-12T00:00:00"/>
    <n v="89"/>
    <d v="2025-02-24T00:00:00"/>
    <n v="107"/>
    <n v="5.6000000000000005"/>
    <n v="91"/>
    <n v="7"/>
    <n v="64"/>
    <n v="7"/>
    <n v="32"/>
    <n v="0.3595505617977528"/>
    <n v="5.1999899792654221"/>
    <n v="65"/>
    <n v="0.25"/>
    <n v="224"/>
    <n v="6.506533518204087E-4"/>
    <n v="179.20000000000002"/>
  </r>
  <r>
    <x v="103"/>
    <x v="1"/>
    <x v="44"/>
    <s v="7 Gateway Center"/>
    <x v="1"/>
    <s v="75-080-4909"/>
    <s v="34-726-5887"/>
    <d v="2024-12-09T00:00:00"/>
    <x v="168"/>
    <s v="Yes"/>
    <d v="2024-12-09T00:00:00"/>
    <d v="2024-04-12T00:00:00"/>
    <n v="241"/>
    <d v="2024-09-09T00:00:00"/>
    <n v="-91"/>
    <n v="2"/>
    <n v="20"/>
    <n v="55"/>
    <n v="15"/>
    <n v="2.5"/>
    <n v="86"/>
    <n v="0.35684647302904565"/>
    <n v="5.1999899792654221"/>
    <n v="61"/>
    <n v="-1.03"/>
    <n v="215"/>
    <n v="6.2451102964905297E-4"/>
    <n v="172"/>
  </r>
  <r>
    <x v="0"/>
    <x v="0"/>
    <x v="166"/>
    <s v="459 Gateway Pass"/>
    <x v="2"/>
    <s v="07-970-9352"/>
    <s v="14-724-4622"/>
    <d v="2024-03-10T00:00:00"/>
    <x v="138"/>
    <s v="No"/>
    <d v="2024-05-16T00:00:00"/>
    <d v="2024-03-10T00:00:00"/>
    <n v="67"/>
    <d v="2024-07-12T00:00:00"/>
    <n v="57"/>
    <n v="3.5600000000000005"/>
    <n v="96"/>
    <n v="33"/>
    <n v="72"/>
    <n v="4.45"/>
    <n v="74"/>
    <n v="1.1044776119402986"/>
    <n v="5.1999899792654221"/>
    <n v="100"/>
    <n v="0.28999999999999998"/>
    <n v="329.3"/>
    <n v="9.5651852122527058E-4"/>
    <n v="263.44000000000005"/>
  </r>
  <r>
    <x v="58"/>
    <x v="2"/>
    <x v="96"/>
    <s v="4929 Westend Point"/>
    <x v="2"/>
    <s v="26-134-9069"/>
    <s v="80-068-0825"/>
    <d v="2024-03-10T00:00:00"/>
    <x v="169"/>
    <s v="No"/>
    <d v="2024-11-11T00:00:00"/>
    <d v="2024-03-10T00:00:00"/>
    <n v="246"/>
    <d v="2025-01-30T00:00:00"/>
    <n v="80"/>
    <n v="3.2"/>
    <n v="14"/>
    <n v="87"/>
    <n v="8"/>
    <n v="4"/>
    <n v="90"/>
    <n v="0.36585365853658536"/>
    <n v="5.1999899792654221"/>
    <n v="14"/>
    <n v="-0.35"/>
    <n v="360"/>
    <n v="1.0456928868542283E-3"/>
    <n v="288"/>
  </r>
  <r>
    <x v="78"/>
    <x v="3"/>
    <x v="167"/>
    <s v="160 Crowley Center"/>
    <x v="0"/>
    <s v="08-396-2704"/>
    <s v="94-186-9620"/>
    <d v="2024-03-10T00:00:00"/>
    <x v="170"/>
    <s v="No"/>
    <d v="2024-04-01T00:00:00"/>
    <d v="2024-03-10T00:00:00"/>
    <n v="22"/>
    <d v="2024-05-10T00:00:00"/>
    <n v="39"/>
    <n v="1.6"/>
    <n v="42"/>
    <n v="12"/>
    <n v="28"/>
    <n v="2"/>
    <n v="80"/>
    <n v="3.6363636363636362"/>
    <n v="5.1999899792654221"/>
    <n v="8"/>
    <n v="0.84"/>
    <n v="160"/>
    <n v="4.647523941574348E-4"/>
    <n v="128"/>
  </r>
  <r>
    <x v="94"/>
    <x v="0"/>
    <x v="162"/>
    <s v="62494 Longview Drive"/>
    <x v="2"/>
    <s v="24-975-4231"/>
    <s v="99-145-4924"/>
    <d v="2024-03-10T00:00:00"/>
    <x v="60"/>
    <s v="No"/>
    <d v="2024-07-09T00:00:00"/>
    <d v="2024-03-10T00:00:00"/>
    <n v="121"/>
    <d v="2024-08-17T00:00:00"/>
    <n v="39"/>
    <n v="1.6800000000000002"/>
    <n v="31"/>
    <n v="61"/>
    <n v="28"/>
    <n v="2.1"/>
    <n v="55"/>
    <n v="0.45454545454545453"/>
    <n v="5.1999899792654221"/>
    <n v="70"/>
    <n v="0.9"/>
    <n v="115.5"/>
    <n v="3.3549313453239826E-4"/>
    <n v="92.4"/>
  </r>
  <r>
    <x v="84"/>
    <x v="3"/>
    <x v="132"/>
    <s v="8499 Hanover Terrace"/>
    <x v="2"/>
    <s v="28-197-9246"/>
    <s v="31-281-2352"/>
    <d v="2024-03-10T00:00:00"/>
    <x v="55"/>
    <s v="No"/>
    <d v="2024-07-11T00:00:00"/>
    <d v="2024-03-10T00:00:00"/>
    <n v="123"/>
    <d v="2024-05-23T00:00:00"/>
    <n v="-49"/>
    <n v="2"/>
    <n v="47"/>
    <n v="30"/>
    <n v="16"/>
    <n v="2.5"/>
    <n v="22"/>
    <n v="0.17886178861788618"/>
    <n v="5.1999899792654221"/>
    <n v="81"/>
    <n v="-0.27"/>
    <n v="55"/>
    <n v="1.597586354916182E-4"/>
    <n v="44"/>
  </r>
  <r>
    <x v="91"/>
    <x v="1"/>
    <x v="38"/>
    <s v="48788 Chinook Place"/>
    <x v="0"/>
    <s v="77-013-1553"/>
    <s v="42-252-5861"/>
    <d v="2024-04-10T00:00:00"/>
    <x v="161"/>
    <s v="No"/>
    <d v="2024-10-13T00:00:00"/>
    <d v="2024-04-10T00:00:00"/>
    <n v="186"/>
    <d v="2024-08-20T00:00:00"/>
    <n v="-54"/>
    <n v="1.8399999999999999"/>
    <n v="79"/>
    <n v="31"/>
    <n v="66"/>
    <n v="2.2999999999999998"/>
    <n v="92"/>
    <n v="0.4946236559139785"/>
    <n v="5.1999899792654221"/>
    <n v="13"/>
    <n v="-2.68"/>
    <n v="211.6"/>
    <n v="6.1463504127320749E-4"/>
    <n v="169.27999999999997"/>
  </r>
  <r>
    <x v="100"/>
    <x v="4"/>
    <x v="168"/>
    <s v="26266 Esker Point"/>
    <x v="1"/>
    <s v="83-716-2177"/>
    <s v="79-518-8344"/>
    <d v="2024-04-10T00:00:00"/>
    <x v="171"/>
    <s v="No"/>
    <d v="2024-10-10T00:00:00"/>
    <d v="2024-04-10T00:00:00"/>
    <n v="183"/>
    <d v="2024-09-13T00:00:00"/>
    <n v="-27"/>
    <n v="16"/>
    <n v="18"/>
    <n v="46"/>
    <n v="26"/>
    <n v="20"/>
    <n v="57"/>
    <n v="0.31147540983606559"/>
    <n v="5.1999899792654221"/>
    <n v="95"/>
    <n v="0.86"/>
    <n v="1140"/>
    <n v="3.311360808371723E-3"/>
    <n v="912"/>
  </r>
  <r>
    <x v="100"/>
    <x v="4"/>
    <x v="64"/>
    <s v="6410 Northwestern Pass"/>
    <x v="2"/>
    <s v="55-164-7723"/>
    <s v="85-454-9252"/>
    <d v="2024-04-10T00:00:00"/>
    <x v="115"/>
    <s v="No"/>
    <d v="2024-05-17T00:00:00"/>
    <d v="2024-04-10T00:00:00"/>
    <n v="37"/>
    <d v="2025-01-08T00:00:00"/>
    <n v="236"/>
    <n v="16"/>
    <n v="82"/>
    <n v="31"/>
    <n v="86"/>
    <n v="20"/>
    <n v="66"/>
    <n v="1.7837837837837838"/>
    <n v="5.1999899792654221"/>
    <n v="74"/>
    <n v="-0.67"/>
    <n v="1320"/>
    <n v="3.8342072517988371E-3"/>
    <n v="1056"/>
  </r>
  <r>
    <x v="10"/>
    <x v="2"/>
    <x v="165"/>
    <s v="0782 Dapin Avenue"/>
    <x v="2"/>
    <s v="22-778-3553"/>
    <s v="49-590-1752"/>
    <d v="2024-04-10T00:00:00"/>
    <x v="63"/>
    <s v="No"/>
    <d v="2024-10-24T00:00:00"/>
    <d v="2024-04-10T00:00:00"/>
    <n v="197"/>
    <d v="2025-02-09T00:00:00"/>
    <n v="108"/>
    <n v="7.2"/>
    <n v="36"/>
    <n v="77"/>
    <n v="49"/>
    <n v="9"/>
    <n v="30"/>
    <n v="0.15228426395939088"/>
    <n v="5.1999899792654221"/>
    <n v="84"/>
    <n v="-0.12"/>
    <n v="270"/>
    <n v="7.8426966514067126E-4"/>
    <n v="216"/>
  </r>
  <r>
    <x v="11"/>
    <x v="1"/>
    <x v="169"/>
    <s v="8 Thackeray Drive"/>
    <x v="0"/>
    <s v="14-331-3739"/>
    <s v="87-159-6467"/>
    <d v="2024-04-10T00:00:00"/>
    <x v="172"/>
    <s v="No"/>
    <d v="2024-10-15T00:00:00"/>
    <d v="2024-04-10T00:00:00"/>
    <n v="188"/>
    <d v="2024-03-28T00:00:00"/>
    <n v="-201"/>
    <n v="8"/>
    <n v="24"/>
    <n v="89"/>
    <n v="27"/>
    <n v="10"/>
    <n v="99"/>
    <n v="0.52659574468085102"/>
    <n v="5.1999899792654221"/>
    <n v="1"/>
    <n v="-1.8"/>
    <n v="990"/>
    <n v="2.875655438849128E-3"/>
    <n v="792"/>
  </r>
  <r>
    <x v="7"/>
    <x v="4"/>
    <x v="170"/>
    <s v="5 Forest Run Way"/>
    <x v="0"/>
    <s v="47-578-4161"/>
    <s v="96-001-5429"/>
    <d v="2024-05-10T00:00:00"/>
    <x v="137"/>
    <s v="Yes"/>
    <d v="2024-05-10T00:00:00"/>
    <d v="2024-03-10T00:00:00"/>
    <n v="61"/>
    <d v="2024-09-14T00:00:00"/>
    <n v="127"/>
    <n v="8"/>
    <n v="88"/>
    <n v="56"/>
    <n v="81"/>
    <n v="10"/>
    <n v="98"/>
    <n v="1.6065573770491803"/>
    <n v="5.1999899792654221"/>
    <n v="86"/>
    <n v="0.99"/>
    <n v="980"/>
    <n v="2.8466084142142883E-3"/>
    <n v="784"/>
  </r>
  <r>
    <x v="83"/>
    <x v="2"/>
    <x v="171"/>
    <s v="230 Tony Court"/>
    <x v="0"/>
    <s v="59-857-6577"/>
    <s v="57-569-7172"/>
    <d v="2024-05-10T00:00:00"/>
    <x v="173"/>
    <s v="No"/>
    <d v="2024-08-10T00:00:00"/>
    <d v="2024-05-10T00:00:00"/>
    <n v="92"/>
    <d v="2024-03-04T00:00:00"/>
    <n v="-159"/>
    <n v="1.6"/>
    <n v="23"/>
    <n v="100"/>
    <n v="77"/>
    <n v="2"/>
    <n v="63"/>
    <n v="0.68478260869565222"/>
    <n v="5.1999899792654221"/>
    <n v="26"/>
    <n v="0.12"/>
    <n v="126"/>
    <n v="3.659925103989799E-4"/>
    <n v="100.80000000000001"/>
  </r>
  <r>
    <x v="22"/>
    <x v="0"/>
    <x v="9"/>
    <s v="545 Linden Alley"/>
    <x v="0"/>
    <s v="02-559-8196"/>
    <s v="44-495-6660"/>
    <d v="2024-06-10T00:00:00"/>
    <x v="3"/>
    <s v="No"/>
    <d v="2024-12-12T00:00:00"/>
    <d v="2024-06-10T00:00:00"/>
    <n v="185"/>
    <d v="2024-07-25T00:00:00"/>
    <n v="-140"/>
    <n v="4.16"/>
    <n v="61"/>
    <n v="14"/>
    <n v="49"/>
    <n v="5.2"/>
    <n v="74"/>
    <n v="0.4"/>
    <n v="5.1999899792654221"/>
    <n v="35"/>
    <n v="0.59"/>
    <n v="384.8"/>
    <n v="1.1177295079486307E-3"/>
    <n v="307.84000000000003"/>
  </r>
  <r>
    <x v="0"/>
    <x v="0"/>
    <x v="172"/>
    <s v="521 Burning Wood Trail"/>
    <x v="0"/>
    <s v="13-900-9016"/>
    <s v="63-969-9608"/>
    <d v="2024-06-10T00:00:00"/>
    <x v="0"/>
    <s v="No"/>
    <d v="2025-01-06T00:00:00"/>
    <d v="2024-06-10T00:00:00"/>
    <n v="210"/>
    <d v="2024-09-19T00:00:00"/>
    <n v="-109"/>
    <n v="3.6"/>
    <n v="89"/>
    <n v="96"/>
    <n v="94"/>
    <n v="4.5"/>
    <n v="38"/>
    <n v="0.18095238095238095"/>
    <n v="5.1999899792654221"/>
    <n v="96"/>
    <n v="0.53"/>
    <n v="171"/>
    <n v="4.9670412125575841E-4"/>
    <n v="136.80000000000001"/>
  </r>
  <r>
    <x v="104"/>
    <x v="0"/>
    <x v="22"/>
    <s v="3 Buhler Place"/>
    <x v="1"/>
    <s v="15-144-9413"/>
    <s v="08-912-0895"/>
    <d v="2024-07-10T00:00:00"/>
    <x v="124"/>
    <s v="Yes"/>
    <d v="2024-07-10T00:00:00"/>
    <d v="2024-06-30T00:00:00"/>
    <n v="10"/>
    <d v="2024-07-29T00:00:00"/>
    <n v="19"/>
    <n v="4.7200000000000006"/>
    <n v="58"/>
    <n v="15"/>
    <n v="87"/>
    <n v="5.9"/>
    <n v="52"/>
    <n v="5.2"/>
    <n v="5.1999899792654221"/>
    <n v="81"/>
    <n v="-1.53"/>
    <n v="306.8"/>
    <n v="8.9116271579688122E-4"/>
    <n v="245.44000000000003"/>
  </r>
  <r>
    <x v="59"/>
    <x v="0"/>
    <x v="173"/>
    <s v="23704 Algoma Park"/>
    <x v="2"/>
    <s v="65-527-9488"/>
    <s v="23-482-0516"/>
    <d v="2024-07-10T00:00:00"/>
    <x v="71"/>
    <s v="Yes"/>
    <d v="2024-07-10T00:00:00"/>
    <d v="2024-06-24T00:00:00"/>
    <n v="16"/>
    <d v="2024-10-10T00:00:00"/>
    <n v="92"/>
    <n v="4.4000000000000004"/>
    <n v="38"/>
    <n v="72"/>
    <n v="39"/>
    <n v="5.5"/>
    <n v="59"/>
    <n v="3.6875"/>
    <n v="5.1999899792654221"/>
    <n v="8"/>
    <n v="-0.56000000000000005"/>
    <n v="324.5"/>
    <n v="9.425759494005474E-4"/>
    <n v="259.60000000000002"/>
  </r>
  <r>
    <x v="90"/>
    <x v="0"/>
    <x v="174"/>
    <s v="62 Thackeray Center"/>
    <x v="1"/>
    <s v="74-818-3306"/>
    <s v="75-536-2986"/>
    <d v="2024-08-10T00:00:00"/>
    <x v="174"/>
    <s v="Yes"/>
    <d v="2024-08-10T00:00:00"/>
    <d v="2024-07-27T00:00:00"/>
    <n v="14"/>
    <d v="2024-05-09T00:00:00"/>
    <n v="-93"/>
    <n v="1.9600000000000002"/>
    <n v="45"/>
    <n v="70"/>
    <n v="98"/>
    <n v="2.4500000000000002"/>
    <n v="25"/>
    <n v="1.7857142857142858"/>
    <n v="5.1999899792654221"/>
    <n v="39"/>
    <n v="0.86"/>
    <n v="61.250000000000007"/>
    <n v="1.7791302588839302E-4"/>
    <n v="49.000000000000007"/>
  </r>
  <r>
    <x v="105"/>
    <x v="6"/>
    <x v="135"/>
    <s v="5306 Arkansas Avenue"/>
    <x v="2"/>
    <s v="60-198-7050"/>
    <s v="27-493-6787"/>
    <d v="2024-08-10T00:00:00"/>
    <x v="157"/>
    <s v="No"/>
    <d v="2024-11-24T00:00:00"/>
    <d v="2024-08-10T00:00:00"/>
    <n v="106"/>
    <d v="2024-03-19T00:00:00"/>
    <n v="-250"/>
    <n v="6.4"/>
    <n v="26"/>
    <n v="59"/>
    <n v="54"/>
    <n v="8"/>
    <n v="92"/>
    <n v="0.86792452830188682"/>
    <n v="5.1999899792654221"/>
    <n v="49"/>
    <n v="-0.56000000000000005"/>
    <n v="736"/>
    <n v="2.1378610131242001E-3"/>
    <n v="588.80000000000007"/>
  </r>
  <r>
    <x v="106"/>
    <x v="2"/>
    <x v="141"/>
    <s v="285 1st Park"/>
    <x v="0"/>
    <s v="82-041-7211"/>
    <s v="03-615-0558"/>
    <d v="2024-09-10T00:00:00"/>
    <x v="1"/>
    <s v="Yes"/>
    <d v="2024-09-10T00:00:00"/>
    <d v="2024-05-19T00:00:00"/>
    <n v="114"/>
    <d v="2024-07-01T00:00:00"/>
    <n v="-71"/>
    <n v="6.4"/>
    <n v="49"/>
    <n v="49"/>
    <n v="26"/>
    <n v="8"/>
    <n v="78"/>
    <n v="0.68421052631578949"/>
    <n v="5.1999899792654221"/>
    <n v="61"/>
    <n v="0.47"/>
    <n v="624"/>
    <n v="1.8125343372139956E-3"/>
    <n v="499.20000000000005"/>
  </r>
  <r>
    <x v="94"/>
    <x v="0"/>
    <x v="130"/>
    <s v="379 Duke Court"/>
    <x v="2"/>
    <s v="17-002-4721"/>
    <s v="38-310-4533"/>
    <d v="2024-09-10T00:00:00"/>
    <x v="175"/>
    <s v="No"/>
    <d v="2025-02-18T00:00:00"/>
    <d v="2024-09-10T00:00:00"/>
    <n v="161"/>
    <d v="2024-10-29T00:00:00"/>
    <n v="-112"/>
    <n v="1.6"/>
    <n v="31"/>
    <n v="55"/>
    <n v="5"/>
    <n v="2"/>
    <n v="71"/>
    <n v="0.44099378881987578"/>
    <n v="5.1999899792654221"/>
    <n v="46"/>
    <n v="0.22"/>
    <n v="142"/>
    <n v="4.1246774981472341E-4"/>
    <n v="113.60000000000001"/>
  </r>
  <r>
    <x v="107"/>
    <x v="0"/>
    <x v="138"/>
    <s v="07 Maple Wood Drive"/>
    <x v="2"/>
    <s v="74-404-0582"/>
    <s v="31-628-6696"/>
    <d v="2024-09-10T00:00:00"/>
    <x v="176"/>
    <s v="No"/>
    <d v="2024-11-20T00:00:00"/>
    <d v="2024-09-10T00:00:00"/>
    <n v="71"/>
    <d v="2024-06-11T00:00:00"/>
    <n v="-162"/>
    <n v="6.4"/>
    <n v="57"/>
    <n v="82"/>
    <n v="59"/>
    <n v="8"/>
    <n v="44"/>
    <n v="0.61971830985915488"/>
    <n v="5.1999899792654221"/>
    <n v="57"/>
    <n v="0.35"/>
    <n v="352"/>
    <n v="1.0224552671463565E-3"/>
    <n v="281.60000000000002"/>
  </r>
  <r>
    <x v="25"/>
    <x v="5"/>
    <x v="52"/>
    <s v="7444 Saint Paul Circle"/>
    <x v="0"/>
    <s v="73-561-2867"/>
    <s v="60-386-5077"/>
    <d v="2024-10-10T00:00:00"/>
    <x v="177"/>
    <s v="Yes"/>
    <d v="2024-10-10T00:00:00"/>
    <d v="2024-06-29T00:00:00"/>
    <n v="103"/>
    <d v="2024-09-29T00:00:00"/>
    <n v="-11"/>
    <n v="3.2"/>
    <n v="12"/>
    <n v="86"/>
    <n v="98"/>
    <n v="4"/>
    <n v="75"/>
    <n v="0.72815533980582525"/>
    <n v="5.1999899792654221"/>
    <n v="86"/>
    <n v="-0.3"/>
    <n v="300"/>
    <n v="8.7141073904519026E-4"/>
    <n v="240"/>
  </r>
  <r>
    <x v="51"/>
    <x v="0"/>
    <x v="96"/>
    <s v="2 Scofield Street"/>
    <x v="2"/>
    <s v="45-194-4094"/>
    <s v="65-611-4749"/>
    <d v="2024-10-10T00:00:00"/>
    <x v="123"/>
    <s v="Yes"/>
    <d v="2024-10-10T00:00:00"/>
    <d v="2024-06-14T00:00:00"/>
    <n v="118"/>
    <d v="2024-10-10T00:00:00"/>
    <n v="0"/>
    <n v="3.12"/>
    <n v="64"/>
    <n v="71"/>
    <n v="69"/>
    <n v="3.9"/>
    <n v="60"/>
    <n v="0.50847457627118642"/>
    <n v="5.1999899792654221"/>
    <n v="67"/>
    <n v="-0.15"/>
    <n v="234"/>
    <n v="6.7970037645524836E-4"/>
    <n v="187.20000000000002"/>
  </r>
  <r>
    <x v="88"/>
    <x v="0"/>
    <x v="102"/>
    <s v="826 Melvin Pass"/>
    <x v="0"/>
    <s v="92-362-3567"/>
    <s v="40-056-7748"/>
    <d v="2024-10-10T00:00:00"/>
    <x v="178"/>
    <s v="Yes"/>
    <d v="2024-10-10T00:00:00"/>
    <d v="2024-05-06T00:00:00"/>
    <n v="157"/>
    <d v="2024-12-25T00:00:00"/>
    <n v="76"/>
    <n v="2"/>
    <n v="11"/>
    <n v="10"/>
    <n v="60"/>
    <n v="2.5"/>
    <n v="93"/>
    <n v="0.59235668789808915"/>
    <n v="5.1999899792654221"/>
    <n v="53"/>
    <n v="-0.12"/>
    <n v="232.5"/>
    <n v="6.7534332276002239E-4"/>
    <n v="186"/>
  </r>
  <r>
    <x v="24"/>
    <x v="3"/>
    <x v="175"/>
    <s v="63578 Butternut Hill"/>
    <x v="2"/>
    <s v="96-961-2193"/>
    <s v="71-467-4910"/>
    <d v="2024-10-10T00:00:00"/>
    <x v="59"/>
    <s v="Yes"/>
    <d v="2024-10-10T00:00:00"/>
    <d v="2024-08-16T00:00:00"/>
    <n v="55"/>
    <d v="2024-11-10T00:00:00"/>
    <n v="31"/>
    <n v="3.8000000000000003"/>
    <n v="46"/>
    <n v="39"/>
    <n v="11"/>
    <n v="4.75"/>
    <n v="36"/>
    <n v="0.65454545454545454"/>
    <n v="5.1999899792654221"/>
    <n v="54"/>
    <n v="0.43"/>
    <n v="171"/>
    <n v="4.9670412125575841E-4"/>
    <n v="136.80000000000001"/>
  </r>
  <r>
    <x v="108"/>
    <x v="0"/>
    <x v="176"/>
    <s v="66330 Northridge Street"/>
    <x v="1"/>
    <s v="92-652-3737"/>
    <s v="42-361-6981"/>
    <d v="2024-11-10T00:00:00"/>
    <x v="179"/>
    <s v="Yes"/>
    <d v="2024-11-10T00:00:00"/>
    <d v="2024-07-30T00:00:00"/>
    <n v="103"/>
    <d v="2024-10-01T00:00:00"/>
    <n v="-40"/>
    <n v="2"/>
    <n v="89"/>
    <n v="56"/>
    <n v="74"/>
    <n v="2.5"/>
    <n v="27"/>
    <n v="0.26213592233009708"/>
    <n v="5.1999899792654221"/>
    <n v="51"/>
    <n v="-0.5"/>
    <n v="67.5"/>
    <n v="1.9606741628516781E-4"/>
    <n v="54"/>
  </r>
  <r>
    <x v="13"/>
    <x v="5"/>
    <x v="62"/>
    <s v="297 Petterle Way"/>
    <x v="0"/>
    <s v="89-673-1543"/>
    <s v="43-679-7350"/>
    <d v="2024-11-10T00:00:00"/>
    <x v="50"/>
    <s v="Yes"/>
    <d v="2024-11-10T00:00:00"/>
    <d v="2024-03-28T00:00:00"/>
    <n v="227"/>
    <d v="2025-01-03T00:00:00"/>
    <n v="54"/>
    <n v="3.2"/>
    <n v="72"/>
    <n v="78"/>
    <n v="1"/>
    <n v="4"/>
    <n v="85"/>
    <n v="0.37444933920704848"/>
    <n v="5.1999899792654221"/>
    <n v="30"/>
    <n v="-0.89"/>
    <n v="340"/>
    <n v="9.8759883758454893E-4"/>
    <n v="272"/>
  </r>
  <r>
    <x v="109"/>
    <x v="5"/>
    <x v="124"/>
    <s v="175 Sycamore Circle"/>
    <x v="2"/>
    <s v="70-815-4015"/>
    <s v="89-134-9717"/>
    <d v="2024-12-10T00:00:00"/>
    <x v="107"/>
    <s v="Yes"/>
    <d v="2024-12-10T00:00:00"/>
    <d v="2024-07-15T00:00:00"/>
    <n v="148"/>
    <d v="2024-08-30T00:00:00"/>
    <n v="-102"/>
    <n v="4.8000000000000007"/>
    <n v="38"/>
    <n v="93"/>
    <n v="61"/>
    <n v="6"/>
    <n v="67"/>
    <n v="0.45270270270270269"/>
    <n v="5.1999899792654221"/>
    <n v="100"/>
    <n v="0.65"/>
    <n v="402"/>
    <n v="1.1676903903205548E-3"/>
    <n v="321.60000000000002"/>
  </r>
  <r>
    <x v="53"/>
    <x v="3"/>
    <x v="140"/>
    <s v="92321 Nelson Trail"/>
    <x v="1"/>
    <s v="90-737-0044"/>
    <s v="39-339-3869"/>
    <d v="2024-12-10T00:00:00"/>
    <x v="128"/>
    <s v="No"/>
    <d v="2025-01-17T00:00:00"/>
    <d v="2024-12-10T00:00:00"/>
    <n v="38"/>
    <d v="2024-05-17T00:00:00"/>
    <n v="-245"/>
    <n v="4.8000000000000007"/>
    <n v="79"/>
    <n v="98"/>
    <n v="97"/>
    <n v="6"/>
    <n v="26"/>
    <n v="0.68421052631578949"/>
    <n v="5.1999899792654221"/>
    <n v="21"/>
    <n v="-0.49"/>
    <n v="156"/>
    <n v="4.5313358430349891E-4"/>
    <n v="124.80000000000001"/>
  </r>
  <r>
    <x v="70"/>
    <x v="6"/>
    <x v="56"/>
    <s v="87417 Forest Pass"/>
    <x v="2"/>
    <s v="67-473-7093"/>
    <s v="92-830-6986"/>
    <d v="2024-12-10T00:00:00"/>
    <x v="180"/>
    <s v="Yes"/>
    <d v="2024-12-10T00:00:00"/>
    <d v="2024-03-20T00:00:00"/>
    <n v="265"/>
    <d v="2024-04-19T00:00:00"/>
    <n v="-235"/>
    <n v="4"/>
    <n v="56"/>
    <n v="12"/>
    <n v="85"/>
    <n v="5"/>
    <n v="52"/>
    <n v="0.19622641509433963"/>
    <n v="5.1999899792654221"/>
    <n v="46"/>
    <n v="0.19"/>
    <n v="260"/>
    <n v="7.5522264050583159E-4"/>
    <n v="208"/>
  </r>
  <r>
    <x v="104"/>
    <x v="0"/>
    <x v="177"/>
    <s v="00 Drewry Court"/>
    <x v="2"/>
    <s v="22-621-2774"/>
    <s v="70-901-6191"/>
    <d v="2024-03-11T00:00:00"/>
    <x v="124"/>
    <s v="No"/>
    <d v="2024-06-30T00:00:00"/>
    <d v="2024-03-11T00:00:00"/>
    <n v="111"/>
    <d v="2024-06-14T00:00:00"/>
    <n v="-16"/>
    <n v="4.8000000000000007"/>
    <n v="54"/>
    <n v="26"/>
    <n v="16"/>
    <n v="6"/>
    <n v="63"/>
    <n v="0.56756756756756754"/>
    <n v="5.1999899792654221"/>
    <n v="97"/>
    <n v="0.12"/>
    <n v="378"/>
    <n v="1.0979775311969397E-3"/>
    <n v="302.40000000000003"/>
  </r>
  <r>
    <x v="18"/>
    <x v="0"/>
    <x v="54"/>
    <s v="25784 Old Gate Crossing"/>
    <x v="2"/>
    <s v="15-240-6267"/>
    <s v="12-983-3026"/>
    <d v="2024-03-11T00:00:00"/>
    <x v="14"/>
    <s v="No"/>
    <d v="2024-04-10T00:00:00"/>
    <d v="2024-03-11T00:00:00"/>
    <n v="30"/>
    <d v="2024-04-26T00:00:00"/>
    <n v="16"/>
    <n v="2.4000000000000004"/>
    <n v="91"/>
    <n v="55"/>
    <n v="94"/>
    <n v="3"/>
    <n v="42"/>
    <n v="1.4"/>
    <n v="5.1999899792654221"/>
    <n v="93"/>
    <n v="-0.54"/>
    <n v="126"/>
    <n v="3.659925103989799E-4"/>
    <n v="100.80000000000001"/>
  </r>
  <r>
    <x v="15"/>
    <x v="0"/>
    <x v="178"/>
    <s v="622 Anthes Lane"/>
    <x v="1"/>
    <s v="75-152-8731"/>
    <s v="05-593-1927"/>
    <d v="2024-04-11T00:00:00"/>
    <x v="181"/>
    <s v="No"/>
    <d v="2024-11-12T00:00:00"/>
    <d v="2024-04-11T00:00:00"/>
    <n v="215"/>
    <d v="2024-08-08T00:00:00"/>
    <n v="-96"/>
    <n v="3.5600000000000005"/>
    <n v="82"/>
    <n v="65"/>
    <n v="69"/>
    <n v="4.45"/>
    <n v="30"/>
    <n v="0.13953488372093023"/>
    <n v="5.1999899792654221"/>
    <n v="78"/>
    <n v="-1.21"/>
    <n v="133.5"/>
    <n v="3.8777777887510966E-4"/>
    <n v="106.80000000000001"/>
  </r>
  <r>
    <x v="110"/>
    <x v="2"/>
    <x v="179"/>
    <s v="553 Hooker Trail"/>
    <x v="1"/>
    <s v="40-913-9772"/>
    <s v="51-215-2283"/>
    <d v="2024-04-11T00:00:00"/>
    <x v="182"/>
    <s v="Yes"/>
    <d v="2024-04-11T00:00:00"/>
    <d v="2024-03-03T00:00:00"/>
    <n v="39"/>
    <d v="2024-05-26T00:00:00"/>
    <n v="45"/>
    <n v="0.16000000000000003"/>
    <n v="36"/>
    <n v="30"/>
    <n v="44"/>
    <n v="0.2"/>
    <n v="68"/>
    <n v="1.7435897435897436"/>
    <n v="5.1999899792654221"/>
    <n v="88"/>
    <n v="-1.6"/>
    <n v="13.600000000000001"/>
    <n v="3.9503953503381961E-5"/>
    <n v="10.880000000000003"/>
  </r>
  <r>
    <x v="61"/>
    <x v="3"/>
    <x v="180"/>
    <s v="9431 Clarendon Pass"/>
    <x v="2"/>
    <s v="29-377-7040"/>
    <s v="59-979-6740"/>
    <d v="2024-04-11T00:00:00"/>
    <x v="20"/>
    <s v="No"/>
    <d v="2024-05-29T00:00:00"/>
    <d v="2024-04-11T00:00:00"/>
    <n v="48"/>
    <d v="2024-07-29T00:00:00"/>
    <n v="61"/>
    <n v="2.4000000000000004"/>
    <n v="22"/>
    <n v="77"/>
    <n v="15"/>
    <n v="3"/>
    <n v="68"/>
    <n v="1.4166666666666667"/>
    <n v="5.1999899792654221"/>
    <n v="46"/>
    <n v="-0.28999999999999998"/>
    <n v="204"/>
    <n v="5.9255930255072936E-4"/>
    <n v="163.20000000000002"/>
  </r>
  <r>
    <x v="60"/>
    <x v="1"/>
    <x v="169"/>
    <s v="88721 Dawn Crossing"/>
    <x v="0"/>
    <s v="72-780-6006"/>
    <s v="81-292-4650"/>
    <d v="2024-05-11T00:00:00"/>
    <x v="152"/>
    <s v="No"/>
    <d v="2024-12-13T00:00:00"/>
    <d v="2024-05-11T00:00:00"/>
    <n v="216"/>
    <d v="2024-04-17T00:00:00"/>
    <n v="-240"/>
    <n v="2"/>
    <n v="87"/>
    <n v="24"/>
    <n v="19"/>
    <n v="2.5"/>
    <n v="83"/>
    <n v="0.38425925925925924"/>
    <n v="5.1999899792654221"/>
    <n v="3"/>
    <n v="0.32"/>
    <n v="207.5"/>
    <n v="6.0272576117292322E-4"/>
    <n v="166"/>
  </r>
  <r>
    <x v="12"/>
    <x v="0"/>
    <x v="51"/>
    <s v="43211 Anzinger Drive"/>
    <x v="2"/>
    <s v="91-127-7489"/>
    <s v="86-079-1525"/>
    <d v="2024-05-11T00:00:00"/>
    <x v="62"/>
    <s v="No"/>
    <d v="2024-12-10T00:00:00"/>
    <d v="2024-05-11T00:00:00"/>
    <n v="213"/>
    <d v="2024-08-04T00:00:00"/>
    <n v="-128"/>
    <n v="2.3600000000000003"/>
    <n v="44"/>
    <n v="8"/>
    <n v="52"/>
    <n v="2.95"/>
    <n v="42"/>
    <n v="0.19718309859154928"/>
    <n v="5.1999899792654221"/>
    <n v="66"/>
    <n v="0.96"/>
    <n v="123.9"/>
    <n v="3.5989263522566358E-4"/>
    <n v="99.120000000000019"/>
  </r>
  <r>
    <x v="85"/>
    <x v="4"/>
    <x v="4"/>
    <s v="0 Village Green Street"/>
    <x v="2"/>
    <s v="17-647-0503"/>
    <s v="69-416-9493"/>
    <d v="2024-05-11T00:00:00"/>
    <x v="183"/>
    <s v="No"/>
    <d v="2024-05-24T00:00:00"/>
    <d v="2024-05-11T00:00:00"/>
    <n v="13"/>
    <d v="2024-08-20T00:00:00"/>
    <n v="88"/>
    <n v="6.4"/>
    <n v="96"/>
    <n v="12"/>
    <n v="8"/>
    <n v="8"/>
    <n v="97"/>
    <n v="7.4615384615384617"/>
    <n v="5.1999899792654221"/>
    <n v="92"/>
    <n v="-0.56999999999999995"/>
    <n v="776"/>
    <n v="2.2540491116635588E-3"/>
    <n v="620.80000000000007"/>
  </r>
  <r>
    <x v="48"/>
    <x v="0"/>
    <x v="181"/>
    <s v="13 Corscot Hill"/>
    <x v="2"/>
    <s v="91-848-0606"/>
    <s v="68-836-0350"/>
    <d v="2024-06-11T00:00:00"/>
    <x v="184"/>
    <s v="No"/>
    <d v="2024-07-23T00:00:00"/>
    <d v="2024-06-11T00:00:00"/>
    <n v="42"/>
    <d v="2024-10-28T00:00:00"/>
    <n v="97"/>
    <n v="1.6"/>
    <n v="39"/>
    <n v="22"/>
    <n v="73"/>
    <n v="2"/>
    <n v="60"/>
    <n v="1.4285714285714286"/>
    <n v="5.1999899792654221"/>
    <n v="2"/>
    <n v="0.05"/>
    <n v="120"/>
    <n v="3.4856429561807613E-4"/>
    <n v="96"/>
  </r>
  <r>
    <x v="67"/>
    <x v="0"/>
    <x v="182"/>
    <s v="3104 Ridge Oak Hill"/>
    <x v="1"/>
    <s v="11-745-3025"/>
    <s v="54-711-1582"/>
    <d v="2024-06-11T00:00:00"/>
    <x v="106"/>
    <s v="No"/>
    <d v="2025-02-21T00:00:00"/>
    <d v="2024-06-11T00:00:00"/>
    <n v="255"/>
    <d v="2024-09-03T00:00:00"/>
    <n v="-171"/>
    <n v="3.2"/>
    <n v="15"/>
    <n v="27"/>
    <n v="21"/>
    <n v="4"/>
    <n v="37"/>
    <n v="0.14509803921568629"/>
    <n v="5.1999899792654221"/>
    <n v="67"/>
    <n v="0.97"/>
    <n v="148"/>
    <n v="4.2989596459562719E-4"/>
    <n v="118.4"/>
  </r>
  <r>
    <x v="108"/>
    <x v="0"/>
    <x v="183"/>
    <s v="3 Lawn Park"/>
    <x v="0"/>
    <s v="29-823-6004"/>
    <s v="10-295-7996"/>
    <d v="2024-06-11T00:00:00"/>
    <x v="80"/>
    <s v="Yes"/>
    <d v="2024-06-11T00:00:00"/>
    <d v="2024-04-04T00:00:00"/>
    <n v="68"/>
    <d v="2024-03-10T00:00:00"/>
    <n v="-93"/>
    <n v="2"/>
    <n v="52"/>
    <n v="79"/>
    <n v="87"/>
    <n v="2.5"/>
    <n v="36"/>
    <n v="0.52941176470588236"/>
    <n v="5.1999899792654221"/>
    <n v="100"/>
    <n v="-0.81"/>
    <n v="90"/>
    <n v="2.6142322171355707E-4"/>
    <n v="72"/>
  </r>
  <r>
    <x v="64"/>
    <x v="0"/>
    <x v="184"/>
    <s v="277 Pawling Terrace"/>
    <x v="0"/>
    <s v="21-718-6746"/>
    <s v="96-012-3393"/>
    <d v="2024-06-11T00:00:00"/>
    <x v="185"/>
    <s v="No"/>
    <d v="2025-01-20T00:00:00"/>
    <d v="2024-06-11T00:00:00"/>
    <n v="223"/>
    <d v="2024-06-06T00:00:00"/>
    <n v="-228"/>
    <n v="4"/>
    <n v="16"/>
    <n v="53"/>
    <n v="12"/>
    <n v="5"/>
    <n v="21"/>
    <n v="9.417040358744394E-2"/>
    <n v="5.1999899792654221"/>
    <n v="29"/>
    <n v="-1.78"/>
    <n v="105"/>
    <n v="3.0499375866581657E-4"/>
    <n v="84"/>
  </r>
  <r>
    <x v="11"/>
    <x v="1"/>
    <x v="29"/>
    <s v="00616 Manitowish Parkway"/>
    <x v="2"/>
    <s v="86-692-2312"/>
    <s v="77-783-4107"/>
    <d v="2024-06-11T00:00:00"/>
    <x v="132"/>
    <s v="No"/>
    <d v="2024-12-07T00:00:00"/>
    <d v="2024-06-11T00:00:00"/>
    <n v="179"/>
    <d v="2024-04-30T00:00:00"/>
    <n v="-221"/>
    <n v="8"/>
    <n v="30"/>
    <n v="48"/>
    <n v="52"/>
    <n v="10"/>
    <n v="22"/>
    <n v="0.12290502793296089"/>
    <n v="5.1999899792654221"/>
    <n v="78"/>
    <n v="-0.38"/>
    <n v="220"/>
    <n v="6.3903454196647281E-4"/>
    <n v="176"/>
  </r>
  <r>
    <x v="52"/>
    <x v="3"/>
    <x v="185"/>
    <s v="67 Little Fleur Road"/>
    <x v="1"/>
    <s v="54-109-8062"/>
    <s v="04-726-3363"/>
    <d v="2024-07-11T00:00:00"/>
    <x v="186"/>
    <s v="No"/>
    <d v="2025-01-19T00:00:00"/>
    <d v="2024-07-11T00:00:00"/>
    <n v="192"/>
    <d v="2025-02-16T00:00:00"/>
    <n v="28"/>
    <n v="3.6"/>
    <n v="75"/>
    <n v="69"/>
    <n v="100"/>
    <n v="4.5"/>
    <n v="43"/>
    <n v="0.22395833333333334"/>
    <n v="5.1999899792654221"/>
    <n v="18"/>
    <n v="-2.5499999999999998"/>
    <n v="193.5"/>
    <n v="5.6205992668414766E-4"/>
    <n v="154.80000000000001"/>
  </r>
  <r>
    <x v="111"/>
    <x v="5"/>
    <x v="186"/>
    <s v="0 Saint Paul Center"/>
    <x v="2"/>
    <s v="74-943-9034"/>
    <s v="15-739-5480"/>
    <d v="2024-07-11T00:00:00"/>
    <x v="187"/>
    <s v="No"/>
    <d v="2024-11-18T00:00:00"/>
    <d v="2024-07-11T00:00:00"/>
    <n v="130"/>
    <d v="2024-05-06T00:00:00"/>
    <n v="-196"/>
    <n v="2"/>
    <n v="30"/>
    <n v="91"/>
    <n v="34"/>
    <n v="2.5"/>
    <n v="97"/>
    <n v="0.74615384615384617"/>
    <n v="5.1999899792654221"/>
    <n v="88"/>
    <n v="0.57999999999999996"/>
    <n v="242.5"/>
    <n v="7.0439034739486217E-4"/>
    <n v="194"/>
  </r>
  <r>
    <x v="102"/>
    <x v="0"/>
    <x v="187"/>
    <s v="7 Heffernan Drive"/>
    <x v="2"/>
    <s v="71-300-2191"/>
    <s v="98-677-4279"/>
    <d v="2024-07-11T00:00:00"/>
    <x v="178"/>
    <s v="Yes"/>
    <d v="2024-07-11T00:00:00"/>
    <d v="2024-05-06T00:00:00"/>
    <n v="66"/>
    <d v="2024-05-01T00:00:00"/>
    <n v="-71"/>
    <n v="3.2"/>
    <n v="79"/>
    <n v="72"/>
    <n v="6"/>
    <n v="4"/>
    <n v="67"/>
    <n v="1.0151515151515151"/>
    <n v="5.1999899792654221"/>
    <n v="63"/>
    <n v="0.09"/>
    <n v="268"/>
    <n v="7.7846026021370326E-4"/>
    <n v="214.4"/>
  </r>
  <r>
    <x v="73"/>
    <x v="3"/>
    <x v="114"/>
    <s v="8 Dovetail Junction"/>
    <x v="2"/>
    <s v="65-145-9672"/>
    <s v="65-068-1200"/>
    <d v="2024-08-11T00:00:00"/>
    <x v="188"/>
    <s v="Yes"/>
    <d v="2024-08-11T00:00:00"/>
    <d v="2024-03-16T00:00:00"/>
    <n v="148"/>
    <d v="2024-05-26T00:00:00"/>
    <n v="-77"/>
    <n v="1.2000000000000002"/>
    <n v="71"/>
    <n v="10"/>
    <n v="49"/>
    <n v="1.5"/>
    <n v="66"/>
    <n v="0.44594594594594594"/>
    <n v="5.1999899792654221"/>
    <n v="43"/>
    <n v="0.06"/>
    <n v="99"/>
    <n v="2.8756554388491279E-4"/>
    <n v="79.200000000000017"/>
  </r>
  <r>
    <x v="46"/>
    <x v="0"/>
    <x v="68"/>
    <s v="4 4th Place"/>
    <x v="2"/>
    <s v="93-966-7754"/>
    <s v="78-787-7171"/>
    <d v="2024-08-11T00:00:00"/>
    <x v="189"/>
    <s v="No"/>
    <d v="2025-01-18T00:00:00"/>
    <d v="2024-08-11T00:00:00"/>
    <n v="160"/>
    <d v="2024-09-27T00:00:00"/>
    <n v="-113"/>
    <n v="2.8000000000000003"/>
    <n v="65"/>
    <n v="35"/>
    <n v="3"/>
    <n v="3.5"/>
    <n v="25"/>
    <n v="0.15625"/>
    <n v="5.1999899792654221"/>
    <n v="13"/>
    <n v="0.35"/>
    <n v="87.5"/>
    <n v="2.5416146555484715E-4"/>
    <n v="70"/>
  </r>
  <r>
    <x v="39"/>
    <x v="1"/>
    <x v="188"/>
    <s v="4 Browning Terrace"/>
    <x v="2"/>
    <s v="27-216-9671"/>
    <s v="40-773-7065"/>
    <d v="2024-08-11T00:00:00"/>
    <x v="168"/>
    <s v="Yes"/>
    <d v="2024-08-11T00:00:00"/>
    <d v="2024-04-12T00:00:00"/>
    <n v="121"/>
    <d v="2024-06-04T00:00:00"/>
    <n v="-68"/>
    <n v="5.2"/>
    <n v="100"/>
    <n v="86"/>
    <n v="94"/>
    <n v="6.5"/>
    <n v="77"/>
    <n v="0.63636363636363635"/>
    <n v="5.1999899792654221"/>
    <n v="57"/>
    <n v="0.48"/>
    <n v="500.5"/>
    <n v="1.4538035829737258E-3"/>
    <n v="400.40000000000003"/>
  </r>
  <r>
    <x v="62"/>
    <x v="4"/>
    <x v="189"/>
    <s v="46 Cardinal Way"/>
    <x v="0"/>
    <s v="44-538-3366"/>
    <s v="33-898-6242"/>
    <d v="2024-09-11T00:00:00"/>
    <x v="190"/>
    <s v="Yes"/>
    <d v="2024-09-11T00:00:00"/>
    <d v="2024-04-17T00:00:00"/>
    <n v="147"/>
    <d v="2024-03-30T00:00:00"/>
    <n v="-165"/>
    <n v="14.4"/>
    <n v="58"/>
    <n v="77"/>
    <n v="96"/>
    <n v="18"/>
    <n v="25"/>
    <n v="0.17006802721088435"/>
    <n v="5.1999899792654221"/>
    <n v="17"/>
    <n v="0.26"/>
    <n v="450"/>
    <n v="1.3071161085677853E-3"/>
    <n v="360"/>
  </r>
  <r>
    <x v="112"/>
    <x v="0"/>
    <x v="190"/>
    <s v="0039 Shelley Place"/>
    <x v="2"/>
    <s v="34-075-0371"/>
    <s v="32-771-2617"/>
    <d v="2024-09-11T00:00:00"/>
    <x v="141"/>
    <s v="No"/>
    <d v="2025-01-10T00:00:00"/>
    <d v="2024-09-11T00:00:00"/>
    <n v="121"/>
    <d v="2024-12-03T00:00:00"/>
    <n v="-38"/>
    <n v="2.4000000000000004"/>
    <n v="75"/>
    <n v="10"/>
    <n v="68"/>
    <n v="3"/>
    <n v="90"/>
    <n v="0.74380165289256195"/>
    <n v="5.1999899792654221"/>
    <n v="42"/>
    <n v="0.32"/>
    <n v="270"/>
    <n v="7.8426966514067126E-4"/>
    <n v="216.00000000000003"/>
  </r>
  <r>
    <x v="8"/>
    <x v="2"/>
    <x v="191"/>
    <s v="5862 Hooker Pass"/>
    <x v="2"/>
    <s v="24-972-6969"/>
    <s v="27-532-7847"/>
    <d v="2024-09-11T00:00:00"/>
    <x v="75"/>
    <s v="Yes"/>
    <d v="2024-09-11T00:00:00"/>
    <d v="2024-05-28T00:00:00"/>
    <n v="106"/>
    <d v="2024-06-13T00:00:00"/>
    <n v="-90"/>
    <n v="7.3599999999999994"/>
    <n v="69"/>
    <n v="53"/>
    <n v="32"/>
    <n v="9.1999999999999993"/>
    <n v="28"/>
    <n v="0.26415094339622641"/>
    <n v="5.1999899792654221"/>
    <n v="56"/>
    <n v="0.53"/>
    <n v="257.59999999999997"/>
    <n v="7.4825135459346995E-4"/>
    <n v="206.07999999999998"/>
  </r>
  <r>
    <x v="36"/>
    <x v="6"/>
    <x v="4"/>
    <s v="0 Ohio Hill"/>
    <x v="1"/>
    <s v="92-455-2959"/>
    <s v="13-109-8639"/>
    <d v="2024-09-11T00:00:00"/>
    <x v="191"/>
    <s v="Yes"/>
    <d v="2024-09-11T00:00:00"/>
    <d v="2024-07-16T00:00:00"/>
    <n v="57"/>
    <d v="2024-02-25T00:00:00"/>
    <n v="-199"/>
    <n v="8.24"/>
    <n v="59"/>
    <n v="62"/>
    <n v="57"/>
    <n v="10.3"/>
    <n v="90"/>
    <n v="1.5789473684210527"/>
    <n v="5.1999899792654221"/>
    <n v="94"/>
    <n v="-1"/>
    <n v="927.00000000000011"/>
    <n v="2.6926591836496381E-3"/>
    <n v="741.6"/>
  </r>
  <r>
    <x v="93"/>
    <x v="5"/>
    <x v="192"/>
    <s v="86 Maryland Junction"/>
    <x v="2"/>
    <s v="58-182-6781"/>
    <s v="75-328-1709"/>
    <d v="2024-10-11T00:00:00"/>
    <x v="177"/>
    <s v="Yes"/>
    <d v="2024-10-11T00:00:00"/>
    <d v="2024-06-29T00:00:00"/>
    <n v="104"/>
    <d v="2024-11-15T00:00:00"/>
    <n v="35"/>
    <n v="4"/>
    <n v="34"/>
    <n v="55"/>
    <n v="22"/>
    <n v="5"/>
    <n v="77"/>
    <n v="0.74038461538461542"/>
    <n v="5.1999899792654221"/>
    <n v="85"/>
    <n v="-0.04"/>
    <n v="385"/>
    <n v="1.1183104484413274E-3"/>
    <n v="308"/>
  </r>
  <r>
    <x v="91"/>
    <x v="1"/>
    <x v="130"/>
    <s v="0087 Bluejay Plaza"/>
    <x v="1"/>
    <s v="42-134-9798"/>
    <s v="16-869-7328"/>
    <d v="2024-10-11T00:00:00"/>
    <x v="98"/>
    <s v="No"/>
    <d v="2024-10-23T00:00:00"/>
    <d v="2024-10-11T00:00:00"/>
    <n v="12"/>
    <d v="2024-12-30T00:00:00"/>
    <n v="68"/>
    <n v="1.8399999999999999"/>
    <n v="19"/>
    <n v="80"/>
    <n v="87"/>
    <n v="2.2999999999999998"/>
    <n v="33"/>
    <n v="2.75"/>
    <n v="5.1999899792654221"/>
    <n v="38"/>
    <n v="-0.1"/>
    <n v="75.899999999999991"/>
    <n v="2.204669169784331E-4"/>
    <n v="60.72"/>
  </r>
  <r>
    <x v="89"/>
    <x v="2"/>
    <x v="17"/>
    <s v="96 American Center"/>
    <x v="1"/>
    <s v="18-278-2383"/>
    <s v="73-210-4267"/>
    <d v="2024-11-11T00:00:00"/>
    <x v="192"/>
    <s v="Yes"/>
    <d v="2024-11-11T00:00:00"/>
    <d v="2024-09-15T00:00:00"/>
    <n v="57"/>
    <d v="2024-07-02T00:00:00"/>
    <n v="-132"/>
    <n v="5.6000000000000005"/>
    <n v="97"/>
    <n v="77"/>
    <n v="13"/>
    <n v="7"/>
    <n v="43"/>
    <n v="0.75438596491228072"/>
    <n v="5.1999899792654221"/>
    <n v="40"/>
    <n v="-0.15"/>
    <n v="301"/>
    <n v="8.743154415086742E-4"/>
    <n v="240.8"/>
  </r>
  <r>
    <x v="82"/>
    <x v="2"/>
    <x v="57"/>
    <s v="53 Lawn Circle"/>
    <x v="2"/>
    <s v="03-597-9488"/>
    <s v="03-983-0515"/>
    <d v="2024-11-11T00:00:00"/>
    <x v="55"/>
    <s v="Yes"/>
    <d v="2024-11-11T00:00:00"/>
    <d v="2024-07-11T00:00:00"/>
    <n v="123"/>
    <d v="2024-03-28T00:00:00"/>
    <n v="-228"/>
    <n v="2"/>
    <n v="70"/>
    <n v="66"/>
    <n v="74"/>
    <n v="2.5"/>
    <n v="47"/>
    <n v="0.38211382113821141"/>
    <n v="5.1999899792654221"/>
    <n v="77"/>
    <n v="7.0000000000000007E-2"/>
    <n v="117.5"/>
    <n v="3.4130253945936615E-4"/>
    <n v="94"/>
  </r>
  <r>
    <x v="71"/>
    <x v="6"/>
    <x v="169"/>
    <s v="95261 Morningstar Way"/>
    <x v="1"/>
    <s v="14-681-7035"/>
    <s v="01-308-0960"/>
    <d v="2024-12-11T00:00:00"/>
    <x v="5"/>
    <s v="Yes"/>
    <d v="2024-12-11T00:00:00"/>
    <d v="2024-08-07T00:00:00"/>
    <n v="126"/>
    <d v="2024-05-18T00:00:00"/>
    <n v="-207"/>
    <n v="20"/>
    <n v="36"/>
    <n v="90"/>
    <n v="57"/>
    <n v="25"/>
    <n v="35"/>
    <n v="0.27777777777777779"/>
    <n v="5.1999899792654221"/>
    <n v="68"/>
    <n v="-0.64"/>
    <n v="875"/>
    <n v="2.5416146555484716E-3"/>
    <n v="700"/>
  </r>
  <r>
    <x v="60"/>
    <x v="1"/>
    <x v="152"/>
    <s v="8 Spaight Circle"/>
    <x v="0"/>
    <s v="01-439-6231"/>
    <s v="08-490-1714"/>
    <d v="2024-12-11T00:00:00"/>
    <x v="193"/>
    <s v="Yes"/>
    <d v="2024-12-11T00:00:00"/>
    <d v="2024-10-28T00:00:00"/>
    <n v="44"/>
    <d v="2024-12-09T00:00:00"/>
    <n v="-2"/>
    <n v="2"/>
    <n v="88"/>
    <n v="100"/>
    <n v="17"/>
    <n v="2.5"/>
    <n v="25"/>
    <n v="0.56818181818181823"/>
    <n v="5.1999899792654221"/>
    <n v="28"/>
    <n v="-0.94"/>
    <n v="62.5"/>
    <n v="1.8154390396774798E-4"/>
    <n v="50"/>
  </r>
  <r>
    <x v="12"/>
    <x v="0"/>
    <x v="50"/>
    <s v="72090 Northfield Place"/>
    <x v="1"/>
    <s v="25-911-7736"/>
    <s v="40-180-0752"/>
    <d v="2024-12-11T00:00:00"/>
    <x v="16"/>
    <s v="Yes"/>
    <d v="2024-12-11T00:00:00"/>
    <d v="2024-08-17T00:00:00"/>
    <n v="116"/>
    <d v="2024-08-29T00:00:00"/>
    <n v="-104"/>
    <n v="2.4000000000000004"/>
    <n v="75"/>
    <n v="48"/>
    <n v="25"/>
    <n v="3"/>
    <n v="96"/>
    <n v="0.82758620689655171"/>
    <n v="5.1999899792654221"/>
    <n v="65"/>
    <n v="-0.12"/>
    <n v="288"/>
    <n v="8.3655430948338259E-4"/>
    <n v="230.40000000000003"/>
  </r>
  <r>
    <x v="26"/>
    <x v="6"/>
    <x v="193"/>
    <s v="90865 Sherman Court"/>
    <x v="2"/>
    <s v="36-918-2937"/>
    <s v="53-844-0478"/>
    <d v="2024-03-12T00:00:00"/>
    <x v="194"/>
    <s v="No"/>
    <d v="2025-02-12T00:00:00"/>
    <d v="2024-03-12T00:00:00"/>
    <n v="337"/>
    <d v="2024-11-28T00:00:00"/>
    <n v="-76"/>
    <n v="9.6000000000000014"/>
    <n v="62"/>
    <n v="89"/>
    <n v="18"/>
    <n v="12"/>
    <n v="35"/>
    <n v="0.10385756676557864"/>
    <n v="5.1999899792654221"/>
    <n v="36"/>
    <n v="0.32"/>
    <n v="420"/>
    <n v="1.2199750346632663E-3"/>
    <n v="336.00000000000006"/>
  </r>
  <r>
    <x v="14"/>
    <x v="0"/>
    <x v="22"/>
    <s v="85276 Lakewood Gardens Alley"/>
    <x v="1"/>
    <s v="37-666-3902"/>
    <s v="58-536-6583"/>
    <d v="2024-03-12T00:00:00"/>
    <x v="195"/>
    <s v="No"/>
    <d v="2024-08-11T00:00:00"/>
    <d v="2024-03-12T00:00:00"/>
    <n v="152"/>
    <d v="2024-06-12T00:00:00"/>
    <n v="-60"/>
    <n v="1.9600000000000002"/>
    <n v="19"/>
    <n v="73"/>
    <n v="60"/>
    <n v="2.4500000000000002"/>
    <n v="70"/>
    <n v="0.46052631578947367"/>
    <n v="5.1999899792654221"/>
    <n v="48"/>
    <n v="-0.03"/>
    <n v="171.5"/>
    <n v="4.9815647248750044E-4"/>
    <n v="137.20000000000002"/>
  </r>
  <r>
    <x v="75"/>
    <x v="2"/>
    <x v="159"/>
    <s v="27535 Morrow Avenue"/>
    <x v="0"/>
    <s v="27-757-4489"/>
    <s v="04-456-0715"/>
    <d v="2024-04-12T00:00:00"/>
    <x v="186"/>
    <s v="No"/>
    <d v="2025-01-19T00:00:00"/>
    <d v="2024-04-12T00:00:00"/>
    <n v="282"/>
    <d v="2024-07-04T00:00:00"/>
    <n v="-199"/>
    <n v="2"/>
    <n v="35"/>
    <n v="78"/>
    <n v="68"/>
    <n v="2.5"/>
    <n v="95"/>
    <n v="0.33687943262411346"/>
    <n v="5.1999899792654221"/>
    <n v="91"/>
    <n v="0.31"/>
    <n v="237.5"/>
    <n v="6.8986683507744223E-4"/>
    <n v="190"/>
  </r>
  <r>
    <x v="106"/>
    <x v="2"/>
    <x v="64"/>
    <s v="42 Clemons Terrace"/>
    <x v="1"/>
    <s v="97-040-3822"/>
    <s v="78-459-1417"/>
    <d v="2024-05-12T00:00:00"/>
    <x v="196"/>
    <s v="No"/>
    <d v="2024-08-23T00:00:00"/>
    <d v="2024-05-12T00:00:00"/>
    <n v="103"/>
    <d v="2024-05-17T00:00:00"/>
    <n v="-98"/>
    <n v="6.4"/>
    <n v="50"/>
    <n v="99"/>
    <n v="73"/>
    <n v="8"/>
    <n v="42"/>
    <n v="0.40776699029126212"/>
    <n v="5.1999899792654221"/>
    <n v="1"/>
    <n v="0.04"/>
    <n v="336"/>
    <n v="9.7598002773061304E-4"/>
    <n v="268.8"/>
  </r>
  <r>
    <x v="85"/>
    <x v="4"/>
    <x v="194"/>
    <s v="8531 Manley Court"/>
    <x v="0"/>
    <s v="98-445-7372"/>
    <s v="71-676-6562"/>
    <d v="2024-05-12T00:00:00"/>
    <x v="33"/>
    <s v="No"/>
    <d v="2024-10-03T00:00:00"/>
    <d v="2024-05-12T00:00:00"/>
    <n v="144"/>
    <d v="2024-05-30T00:00:00"/>
    <n v="-126"/>
    <n v="6.4"/>
    <n v="65"/>
    <n v="79"/>
    <n v="52"/>
    <n v="8"/>
    <n v="56"/>
    <n v="0.3888888888888889"/>
    <n v="5.1999899792654221"/>
    <n v="94"/>
    <n v="0.98"/>
    <n v="448"/>
    <n v="1.3013067036408174E-3"/>
    <n v="358.40000000000003"/>
  </r>
  <r>
    <x v="70"/>
    <x v="6"/>
    <x v="195"/>
    <s v="0920 Monica Pass"/>
    <x v="2"/>
    <s v="92-152-5820"/>
    <s v="50-747-2259"/>
    <d v="2024-05-12T00:00:00"/>
    <x v="110"/>
    <s v="Yes"/>
    <d v="2024-05-12T00:00:00"/>
    <d v="2024-05-01T00:00:00"/>
    <n v="11"/>
    <d v="2024-06-24T00:00:00"/>
    <n v="43"/>
    <n v="4.24"/>
    <n v="18"/>
    <n v="36"/>
    <n v="53"/>
    <n v="5.3"/>
    <n v="65"/>
    <n v="5.9090909090909092"/>
    <n v="5.1999899792654221"/>
    <n v="100"/>
    <n v="-0.68"/>
    <n v="344.5"/>
    <n v="1.0006699986702268E-3"/>
    <n v="275.60000000000002"/>
  </r>
  <r>
    <x v="113"/>
    <x v="5"/>
    <x v="124"/>
    <s v="88 Lighthouse Bay Crossing"/>
    <x v="0"/>
    <s v="24-986-5091"/>
    <s v="51-076-1164"/>
    <d v="2024-05-12T00:00:00"/>
    <x v="197"/>
    <s v="No"/>
    <d v="2024-06-25T00:00:00"/>
    <d v="2024-05-12T00:00:00"/>
    <n v="44"/>
    <d v="2024-08-14T00:00:00"/>
    <n v="50"/>
    <n v="4.4000000000000004"/>
    <n v="89"/>
    <n v="22"/>
    <n v="23"/>
    <n v="5.5"/>
    <n v="83"/>
    <n v="1.8863636363636365"/>
    <n v="5.1999899792654221"/>
    <n v="25"/>
    <n v="-0.54"/>
    <n v="456.5"/>
    <n v="1.3259966745804311E-3"/>
    <n v="365.20000000000005"/>
  </r>
  <r>
    <x v="69"/>
    <x v="0"/>
    <x v="196"/>
    <s v="81533 John Wall Court"/>
    <x v="0"/>
    <s v="22-849-2551"/>
    <s v="14-231-9135"/>
    <d v="2024-06-12T00:00:00"/>
    <x v="121"/>
    <s v="No"/>
    <d v="2024-12-20T00:00:00"/>
    <d v="2024-06-12T00:00:00"/>
    <n v="191"/>
    <d v="2024-09-08T00:00:00"/>
    <n v="-103"/>
    <n v="4.9600000000000009"/>
    <n v="34"/>
    <n v="1"/>
    <n v="79"/>
    <n v="6.2"/>
    <n v="58"/>
    <n v="0.30366492146596857"/>
    <n v="5.1999899792654221"/>
    <n v="36"/>
    <n v="0.7"/>
    <n v="359.6"/>
    <n v="1.0445310058688347E-3"/>
    <n v="287.68000000000006"/>
  </r>
  <r>
    <x v="29"/>
    <x v="3"/>
    <x v="119"/>
    <s v="26160 Independence Alley"/>
    <x v="2"/>
    <s v="15-169-8058"/>
    <s v="14-009-8505"/>
    <d v="2024-06-12T00:00:00"/>
    <x v="198"/>
    <s v="No"/>
    <d v="2024-09-23T00:00:00"/>
    <d v="2024-06-12T00:00:00"/>
    <n v="103"/>
    <d v="2024-04-18T00:00:00"/>
    <n v="-158"/>
    <n v="1.2000000000000002"/>
    <n v="87"/>
    <n v="97"/>
    <n v="28"/>
    <n v="1.5"/>
    <n v="58"/>
    <n v="0.56310679611650483"/>
    <n v="5.1999899792654221"/>
    <n v="21"/>
    <n v="0.38"/>
    <n v="87"/>
    <n v="2.5270911432310518E-4"/>
    <n v="69.600000000000009"/>
  </r>
  <r>
    <x v="91"/>
    <x v="1"/>
    <x v="44"/>
    <s v="085 Reinke Pass"/>
    <x v="1"/>
    <s v="78-953-2073"/>
    <s v="28-465-9141"/>
    <d v="2024-06-12T00:00:00"/>
    <x v="199"/>
    <s v="No"/>
    <d v="2024-10-01T00:00:00"/>
    <d v="2024-06-12T00:00:00"/>
    <n v="111"/>
    <d v="2025-01-04T00:00:00"/>
    <n v="95"/>
    <n v="1.8399999999999999"/>
    <n v="53"/>
    <n v="20"/>
    <n v="75"/>
    <n v="2.2999999999999998"/>
    <n v="83"/>
    <n v="0.74774774774774777"/>
    <n v="5.1999899792654221"/>
    <n v="77"/>
    <n v="0.64"/>
    <n v="190.89999999999998"/>
    <n v="5.5450770027908936E-4"/>
    <n v="152.72"/>
  </r>
  <r>
    <x v="92"/>
    <x v="3"/>
    <x v="197"/>
    <s v="1959 Marcy Center"/>
    <x v="2"/>
    <s v="10-255-8579"/>
    <s v="29-112-1577"/>
    <d v="2024-07-12T00:00:00"/>
    <x v="200"/>
    <s v="No"/>
    <d v="2024-07-24T00:00:00"/>
    <d v="2024-07-12T00:00:00"/>
    <n v="12"/>
    <d v="2025-01-28T00:00:00"/>
    <n v="188"/>
    <n v="3.6"/>
    <n v="56"/>
    <n v="53"/>
    <n v="77"/>
    <n v="4.5"/>
    <n v="69"/>
    <n v="5.75"/>
    <n v="5.1999899792654221"/>
    <n v="69"/>
    <n v="7.0000000000000007E-2"/>
    <n v="310.5"/>
    <n v="9.0191011491177195E-4"/>
    <n v="248.4"/>
  </r>
  <r>
    <x v="86"/>
    <x v="0"/>
    <x v="79"/>
    <s v="555 Butternut Hill"/>
    <x v="0"/>
    <s v="82-948-2298"/>
    <s v="53-749-6148"/>
    <d v="2024-07-12T00:00:00"/>
    <x v="160"/>
    <s v="No"/>
    <d v="2025-02-17T00:00:00"/>
    <d v="2024-07-12T00:00:00"/>
    <n v="220"/>
    <d v="2024-11-21T00:00:00"/>
    <n v="-88"/>
    <n v="4.5600000000000005"/>
    <n v="38"/>
    <n v="91"/>
    <n v="94"/>
    <n v="5.7"/>
    <n v="53"/>
    <n v="0.24090909090909091"/>
    <n v="5.1999899792654221"/>
    <n v="87"/>
    <n v="0"/>
    <n v="302.10000000000002"/>
    <n v="8.7751061421850664E-4"/>
    <n v="241.68000000000004"/>
  </r>
  <r>
    <x v="114"/>
    <x v="0"/>
    <x v="55"/>
    <s v="561 Pennsylvania Way"/>
    <x v="2"/>
    <s v="60-747-8704"/>
    <s v="93-793-4398"/>
    <d v="2024-07-12T00:00:00"/>
    <x v="37"/>
    <s v="No"/>
    <d v="2024-09-29T00:00:00"/>
    <d v="2024-07-12T00:00:00"/>
    <n v="79"/>
    <d v="2024-08-22T00:00:00"/>
    <n v="-38"/>
    <n v="3.6"/>
    <n v="97"/>
    <n v="97"/>
    <n v="71"/>
    <n v="4.5"/>
    <n v="53"/>
    <n v="0.67088607594936711"/>
    <n v="5.1999899792654221"/>
    <n v="31"/>
    <n v="-0.64"/>
    <n v="238.5"/>
    <n v="6.9277153754092628E-4"/>
    <n v="190.8"/>
  </r>
  <r>
    <x v="47"/>
    <x v="4"/>
    <x v="198"/>
    <s v="0258 Shoshone Center"/>
    <x v="1"/>
    <s v="40-462-2952"/>
    <s v="57-323-8059"/>
    <d v="2024-08-12T00:00:00"/>
    <x v="43"/>
    <s v="No"/>
    <d v="2024-10-14T00:00:00"/>
    <d v="2024-08-12T00:00:00"/>
    <n v="63"/>
    <d v="2024-11-19T00:00:00"/>
    <n v="36"/>
    <n v="9.2000000000000011"/>
    <n v="91"/>
    <n v="68"/>
    <n v="80"/>
    <n v="11.5"/>
    <n v="81"/>
    <n v="1.2857142857142858"/>
    <n v="5.1999899792654221"/>
    <n v="85"/>
    <n v="0.42"/>
    <n v="931.5"/>
    <n v="2.7057303447353158E-3"/>
    <n v="745.2"/>
  </r>
  <r>
    <x v="68"/>
    <x v="0"/>
    <x v="199"/>
    <s v="5 Transport Pass"/>
    <x v="2"/>
    <s v="98-235-2711"/>
    <s v="23-052-4744"/>
    <d v="2024-09-12T00:00:00"/>
    <x v="201"/>
    <s v="No"/>
    <d v="2024-12-31T00:00:00"/>
    <d v="2024-09-12T00:00:00"/>
    <n v="110"/>
    <d v="2025-01-26T00:00:00"/>
    <n v="26"/>
    <n v="4"/>
    <n v="22"/>
    <n v="40"/>
    <n v="7"/>
    <n v="5"/>
    <n v="98"/>
    <n v="0.89090909090909087"/>
    <n v="5.1999899792654221"/>
    <n v="60"/>
    <n v="-0.05"/>
    <n v="490"/>
    <n v="1.4233042071071442E-3"/>
    <n v="392"/>
  </r>
  <r>
    <x v="111"/>
    <x v="5"/>
    <x v="199"/>
    <s v="3 Monument Street"/>
    <x v="1"/>
    <s v="83-108-1174"/>
    <s v="56-439-3559"/>
    <d v="2024-09-12T00:00:00"/>
    <x v="202"/>
    <s v="Yes"/>
    <d v="2024-09-12T00:00:00"/>
    <d v="2024-03-05T00:00:00"/>
    <n v="191"/>
    <d v="2024-12-25T00:00:00"/>
    <n v="104"/>
    <n v="2"/>
    <n v="78"/>
    <n v="68"/>
    <n v="68"/>
    <n v="2.5"/>
    <n v="89"/>
    <n v="0.46596858638743455"/>
    <n v="5.1999899792654221"/>
    <n v="24"/>
    <n v="0.39"/>
    <n v="222.5"/>
    <n v="6.4629629812518272E-4"/>
    <n v="178"/>
  </r>
  <r>
    <x v="112"/>
    <x v="0"/>
    <x v="1"/>
    <s v="848 Old Gate Parkway"/>
    <x v="1"/>
    <s v="28-505-8317"/>
    <s v="61-755-4469"/>
    <d v="2024-10-12T00:00:00"/>
    <x v="184"/>
    <s v="Yes"/>
    <d v="2024-10-12T00:00:00"/>
    <d v="2024-07-23T00:00:00"/>
    <n v="81"/>
    <d v="2025-01-28T00:00:00"/>
    <n v="108"/>
    <n v="2.4000000000000004"/>
    <n v="23"/>
    <n v="85"/>
    <n v="94"/>
    <n v="3"/>
    <n v="92"/>
    <n v="1.1358024691358024"/>
    <n v="5.1999899792654221"/>
    <n v="72"/>
    <n v="0.73"/>
    <n v="276"/>
    <n v="8.0169787992157503E-4"/>
    <n v="220.80000000000004"/>
  </r>
  <r>
    <x v="68"/>
    <x v="0"/>
    <x v="200"/>
    <s v="64 1st Plaza"/>
    <x v="1"/>
    <s v="31-803-5001"/>
    <s v="14-414-1945"/>
    <d v="2024-10-12T00:00:00"/>
    <x v="203"/>
    <s v="No"/>
    <d v="2024-12-04T00:00:00"/>
    <d v="2024-10-12T00:00:00"/>
    <n v="53"/>
    <d v="2024-06-01T00:00:00"/>
    <n v="-186"/>
    <n v="3.7600000000000002"/>
    <n v="78"/>
    <n v="16"/>
    <n v="37"/>
    <n v="4.7"/>
    <n v="25"/>
    <n v="0.47169811320754718"/>
    <n v="5.1999899792654221"/>
    <n v="96"/>
    <n v="0.22"/>
    <n v="117.5"/>
    <n v="3.4130253945936615E-4"/>
    <n v="94"/>
  </r>
  <r>
    <x v="21"/>
    <x v="0"/>
    <x v="179"/>
    <s v="803 5th Alley"/>
    <x v="1"/>
    <s v="17-236-0566"/>
    <s v="32-402-9679"/>
    <d v="2024-10-12T00:00:00"/>
    <x v="15"/>
    <s v="Yes"/>
    <d v="2024-10-12T00:00:00"/>
    <d v="2024-03-02T00:00:00"/>
    <n v="224"/>
    <d v="2024-08-04T00:00:00"/>
    <n v="-69"/>
    <n v="1.6"/>
    <n v="95"/>
    <n v="87"/>
    <n v="13"/>
    <n v="2"/>
    <n v="61"/>
    <n v="0.27232142857142855"/>
    <n v="5.1999899792654221"/>
    <n v="4"/>
    <n v="-2.84"/>
    <n v="122"/>
    <n v="3.5437370054504402E-4"/>
    <n v="97.600000000000009"/>
  </r>
  <r>
    <x v="17"/>
    <x v="2"/>
    <x v="201"/>
    <s v="15 Loomis Avenue"/>
    <x v="2"/>
    <s v="76-090-4411"/>
    <s v="82-552-6786"/>
    <d v="2024-12-12T00:00:00"/>
    <x v="173"/>
    <s v="Yes"/>
    <d v="2024-12-12T00:00:00"/>
    <d v="2024-08-10T00:00:00"/>
    <n v="124"/>
    <d v="2024-04-16T00:00:00"/>
    <n v="-240"/>
    <n v="4.8000000000000007"/>
    <n v="49"/>
    <n v="94"/>
    <n v="18"/>
    <n v="6"/>
    <n v="38"/>
    <n v="0.30645161290322581"/>
    <n v="5.1999899792654221"/>
    <n v="11"/>
    <n v="0.93"/>
    <n v="228"/>
    <n v="6.6227216167434458E-4"/>
    <n v="182.40000000000003"/>
  </r>
  <r>
    <x v="51"/>
    <x v="0"/>
    <x v="202"/>
    <s v="46758 Hallows Center"/>
    <x v="2"/>
    <s v="43-910-2342"/>
    <s v="06-569-4690"/>
    <d v="2024-12-12T00:00:00"/>
    <x v="158"/>
    <s v="Yes"/>
    <d v="2024-12-12T00:00:00"/>
    <d v="2024-06-08T00:00:00"/>
    <n v="187"/>
    <d v="2024-07-19T00:00:00"/>
    <n v="-146"/>
    <n v="3.2"/>
    <n v="26"/>
    <n v="69"/>
    <n v="90"/>
    <n v="4"/>
    <n v="47"/>
    <n v="0.25133689839572193"/>
    <n v="5.1999899792654221"/>
    <n v="35"/>
    <n v="0.71"/>
    <n v="188"/>
    <n v="5.4608406313498591E-4"/>
    <n v="150.4"/>
  </r>
  <r>
    <x v="48"/>
    <x v="0"/>
    <x v="203"/>
    <s v="49884 Brickson Park Plaza"/>
    <x v="0"/>
    <s v="05-425-0746"/>
    <s v="23-450-0301"/>
    <d v="2024-12-12T00:00:00"/>
    <x v="204"/>
    <s v="Yes"/>
    <d v="2024-12-12T00:00:00"/>
    <d v="2024-05-09T00:00:00"/>
    <n v="217"/>
    <d v="2024-06-05T00:00:00"/>
    <n v="-190"/>
    <n v="1.6"/>
    <n v="50"/>
    <n v="68"/>
    <n v="90"/>
    <n v="2"/>
    <n v="40"/>
    <n v="0.18433179723502305"/>
    <n v="5.1999899792654221"/>
    <n v="13"/>
    <n v="0.26"/>
    <n v="80"/>
    <n v="2.323761970787174E-4"/>
    <n v="64"/>
  </r>
  <r>
    <x v="39"/>
    <x v="1"/>
    <x v="147"/>
    <s v="8868 Armistice Place"/>
    <x v="1"/>
    <s v="93-815-0565"/>
    <s v="56-422-1480"/>
    <d v="2024-12-12T00:00:00"/>
    <x v="93"/>
    <s v="Yes"/>
    <d v="2024-12-12T00:00:00"/>
    <d v="2024-08-12T00:00:00"/>
    <n v="122"/>
    <d v="2024-07-01T00:00:00"/>
    <n v="-164"/>
    <n v="5.2"/>
    <n v="50"/>
    <n v="36"/>
    <n v="96"/>
    <n v="6.5"/>
    <n v="53"/>
    <n v="0.4344262295081967"/>
    <n v="5.1999899792654221"/>
    <n v="73"/>
    <n v="0.68"/>
    <n v="344.5"/>
    <n v="1.0006699986702268E-3"/>
    <n v="275.60000000000002"/>
  </r>
  <r>
    <x v="24"/>
    <x v="3"/>
    <x v="204"/>
    <s v="7242 Claremont Avenue"/>
    <x v="0"/>
    <s v="67-270-7464"/>
    <s v="83-960-5274"/>
    <d v="2025-02-01T00:00:00"/>
    <x v="38"/>
    <s v="Yes"/>
    <d v="2025-02-01T00:00:00"/>
    <d v="2024-08-24T00:00:00"/>
    <n v="161"/>
    <d v="2024-12-07T00:00:00"/>
    <n v="-56"/>
    <n v="3.8000000000000003"/>
    <n v="91"/>
    <n v="73"/>
    <n v="77"/>
    <n v="4.75"/>
    <n v="51"/>
    <n v="0.31677018633540371"/>
    <n v="5.1999899792654221"/>
    <n v="49"/>
    <n v="-0.38"/>
    <n v="242.25"/>
    <n v="7.036641717789911E-4"/>
    <n v="193.8"/>
  </r>
  <r>
    <x v="85"/>
    <x v="4"/>
    <x v="111"/>
    <s v="29992 Warrior Center"/>
    <x v="1"/>
    <s v="61-827-4098"/>
    <s v="34-850-0377"/>
    <d v="2025-02-01T00:00:00"/>
    <x v="107"/>
    <s v="Yes"/>
    <d v="2025-02-01T00:00:00"/>
    <d v="2024-07-15T00:00:00"/>
    <n v="201"/>
    <d v="2024-03-24T00:00:00"/>
    <n v="-314"/>
    <n v="6.4"/>
    <n v="23"/>
    <n v="42"/>
    <n v="87"/>
    <n v="8"/>
    <n v="63"/>
    <n v="0.31343283582089554"/>
    <n v="5.1999899792654221"/>
    <n v="5"/>
    <n v="0.04"/>
    <n v="504"/>
    <n v="1.4639700415959196E-3"/>
    <n v="403.20000000000005"/>
  </r>
  <r>
    <x v="8"/>
    <x v="2"/>
    <x v="170"/>
    <s v="9307 Kingsford Road"/>
    <x v="0"/>
    <s v="92-291-7089"/>
    <s v="08-523-5066"/>
    <d v="2025-02-01T00:00:00"/>
    <x v="19"/>
    <s v="Yes"/>
    <d v="2025-02-01T00:00:00"/>
    <d v="2024-07-26T00:00:00"/>
    <n v="190"/>
    <d v="2024-05-06T00:00:00"/>
    <n v="-271"/>
    <n v="7.6000000000000005"/>
    <n v="76"/>
    <n v="15"/>
    <n v="99"/>
    <n v="9.5"/>
    <n v="60"/>
    <n v="0.31578947368421051"/>
    <n v="5.1999899792654221"/>
    <n v="49"/>
    <n v="0.92"/>
    <n v="570"/>
    <n v="1.6556804041858615E-3"/>
    <n v="456.00000000000006"/>
  </r>
  <r>
    <x v="83"/>
    <x v="2"/>
    <x v="205"/>
    <s v="87578 Stoughton Parkway"/>
    <x v="0"/>
    <s v="76-070-1411"/>
    <s v="63-528-0643"/>
    <d v="2025-02-01T00:00:00"/>
    <x v="194"/>
    <s v="No"/>
    <d v="2025-02-12T00:00:00"/>
    <d v="2025-02-01T00:00:00"/>
    <n v="11"/>
    <d v="2025-02-14T00:00:00"/>
    <n v="2"/>
    <n v="1.52"/>
    <n v="15"/>
    <n v="75"/>
    <n v="78"/>
    <n v="1.9"/>
    <n v="71"/>
    <n v="6.4545454545454541"/>
    <n v="5.1999899792654221"/>
    <n v="21"/>
    <n v="0.18"/>
    <n v="134.9"/>
    <n v="3.9184436232398724E-4"/>
    <n v="107.92"/>
  </r>
  <r>
    <x v="101"/>
    <x v="4"/>
    <x v="206"/>
    <s v="21 Golden Leaf Hill"/>
    <x v="2"/>
    <s v="36-330-5036"/>
    <s v="52-359-1255"/>
    <d v="2025-02-01T00:00:00"/>
    <x v="205"/>
    <s v="Yes"/>
    <d v="2025-02-01T00:00:00"/>
    <d v="2024-09-20T00:00:00"/>
    <n v="134"/>
    <d v="2024-05-17T00:00:00"/>
    <n v="-260"/>
    <n v="12"/>
    <n v="79"/>
    <n v="28"/>
    <n v="4"/>
    <n v="15"/>
    <n v="42"/>
    <n v="0.31343283582089554"/>
    <n v="5.1999899792654221"/>
    <n v="46"/>
    <n v="0.7"/>
    <n v="630"/>
    <n v="1.8299625519948995E-3"/>
    <n v="504"/>
  </r>
  <r>
    <x v="34"/>
    <x v="2"/>
    <x v="207"/>
    <s v="96 Brown Drive"/>
    <x v="1"/>
    <s v="02-034-6209"/>
    <s v="34-724-1913"/>
    <d v="2025-02-01T00:00:00"/>
    <x v="19"/>
    <s v="Yes"/>
    <d v="2025-02-01T00:00:00"/>
    <d v="2024-07-26T00:00:00"/>
    <n v="190"/>
    <d v="2024-10-08T00:00:00"/>
    <n v="-116"/>
    <n v="3.28"/>
    <n v="22"/>
    <n v="43"/>
    <n v="3"/>
    <n v="4.0999999999999996"/>
    <n v="45"/>
    <n v="0.23684210526315788"/>
    <n v="5.1999899792654221"/>
    <n v="87"/>
    <n v="-0.1"/>
    <n v="184.49999999999997"/>
    <n v="5.3591760451279194E-4"/>
    <n v="147.6"/>
  </r>
  <r>
    <x v="97"/>
    <x v="2"/>
    <x v="91"/>
    <s v="46 Hoffman Trail"/>
    <x v="2"/>
    <s v="49-891-4927"/>
    <s v="89-155-3471"/>
    <d v="2025-01-02T00:00:00"/>
    <x v="151"/>
    <s v="Yes"/>
    <d v="2025-01-02T00:00:00"/>
    <d v="2024-02-26T00:00:00"/>
    <n v="311"/>
    <d v="2024-11-28T00:00:00"/>
    <n v="-35"/>
    <n v="4"/>
    <n v="37"/>
    <n v="5"/>
    <n v="1"/>
    <n v="5"/>
    <n v="68"/>
    <n v="0.21864951768488747"/>
    <n v="5.1999899792654221"/>
    <n v="99"/>
    <n v="-0.93"/>
    <n v="340"/>
    <n v="9.8759883758454893E-4"/>
    <n v="272"/>
  </r>
  <r>
    <x v="62"/>
    <x v="4"/>
    <x v="81"/>
    <s v="381 Rutledge Place"/>
    <x v="2"/>
    <s v="94-020-6982"/>
    <s v="72-649-3163"/>
    <d v="2025-01-02T00:00:00"/>
    <x v="206"/>
    <s v="Yes"/>
    <d v="2025-01-02T00:00:00"/>
    <d v="2024-10-05T00:00:00"/>
    <n v="89"/>
    <d v="2024-05-04T00:00:00"/>
    <n v="-243"/>
    <n v="14.4"/>
    <n v="25"/>
    <n v="75"/>
    <n v="27"/>
    <n v="18"/>
    <n v="31"/>
    <n v="0.34831460674157305"/>
    <n v="5.1999899792654221"/>
    <n v="36"/>
    <n v="-0.46"/>
    <n v="558"/>
    <n v="1.620823974624054E-3"/>
    <n v="446.40000000000003"/>
  </r>
  <r>
    <x v="87"/>
    <x v="4"/>
    <x v="208"/>
    <s v="2 Russell Alley"/>
    <x v="2"/>
    <s v="88-807-8431"/>
    <s v="66-563-9462"/>
    <d v="2025-01-02T00:00:00"/>
    <x v="149"/>
    <s v="Yes"/>
    <d v="2025-01-02T00:00:00"/>
    <d v="2024-06-06T00:00:00"/>
    <n v="210"/>
    <d v="2025-02-09T00:00:00"/>
    <n v="38"/>
    <n v="7.2"/>
    <n v="11"/>
    <n v="87"/>
    <n v="43"/>
    <n v="9"/>
    <n v="86"/>
    <n v="0.40952380952380951"/>
    <n v="5.1999899792654221"/>
    <n v="91"/>
    <n v="-0.16"/>
    <n v="774"/>
    <n v="2.2482397067365907E-3"/>
    <n v="619.20000000000005"/>
  </r>
  <r>
    <x v="115"/>
    <x v="2"/>
    <x v="209"/>
    <s v="285 East Plaza"/>
    <x v="0"/>
    <s v="19-672-8982"/>
    <s v="50-214-3802"/>
    <d v="2025-01-03T00:00:00"/>
    <x v="91"/>
    <s v="No"/>
    <d v="2025-01-23T00:00:00"/>
    <d v="2025-01-03T00:00:00"/>
    <n v="20"/>
    <d v="2024-03-31T00:00:00"/>
    <n v="-298"/>
    <n v="2.4800000000000004"/>
    <n v="21"/>
    <n v="87"/>
    <n v="67"/>
    <n v="3.1"/>
    <n v="64"/>
    <n v="3.2"/>
    <n v="5.1999899792654221"/>
    <n v="69"/>
    <n v="-0.06"/>
    <n v="198.4"/>
    <n v="5.7629296875521911E-4"/>
    <n v="158.72000000000003"/>
  </r>
  <r>
    <x v="79"/>
    <x v="2"/>
    <x v="17"/>
    <s v="59 Veith Center"/>
    <x v="1"/>
    <s v="07-389-5740"/>
    <s v="72-784-3292"/>
    <d v="2025-01-03T00:00:00"/>
    <x v="207"/>
    <s v="Yes"/>
    <d v="2025-01-03T00:00:00"/>
    <d v="2024-03-12T00:00:00"/>
    <n v="297"/>
    <d v="2024-07-17T00:00:00"/>
    <n v="-170"/>
    <n v="0.64000000000000012"/>
    <n v="34"/>
    <n v="94"/>
    <n v="69"/>
    <n v="0.8"/>
    <n v="96"/>
    <n v="0.32323232323232326"/>
    <n v="5.1999899792654221"/>
    <n v="30"/>
    <n v="-0.08"/>
    <n v="76.800000000000011"/>
    <n v="2.2308114919556874E-4"/>
    <n v="61.440000000000012"/>
  </r>
  <r>
    <x v="75"/>
    <x v="2"/>
    <x v="210"/>
    <s v="267 International Plaza"/>
    <x v="0"/>
    <s v="39-629-5554"/>
    <s v="67-679-4930"/>
    <d v="2025-02-03T00:00:00"/>
    <x v="135"/>
    <s v="Yes"/>
    <d v="2025-02-03T00:00:00"/>
    <d v="2024-04-09T00:00:00"/>
    <n v="300"/>
    <d v="2025-02-05T00:00:00"/>
    <n v="2"/>
    <n v="2"/>
    <n v="44"/>
    <n v="90"/>
    <n v="17"/>
    <n v="2.5"/>
    <n v="21"/>
    <n v="7.0000000000000007E-2"/>
    <n v="5.1999899792654221"/>
    <n v="91"/>
    <n v="0.69"/>
    <n v="52.5"/>
    <n v="1.5249687933290828E-4"/>
    <n v="42"/>
  </r>
  <r>
    <x v="12"/>
    <x v="0"/>
    <x v="55"/>
    <s v="812 Shelley Circle"/>
    <x v="0"/>
    <s v="27-635-8394"/>
    <s v="87-893-6089"/>
    <d v="2025-02-03T00:00:00"/>
    <x v="208"/>
    <s v="Yes"/>
    <d v="2025-02-03T00:00:00"/>
    <d v="2024-11-13T00:00:00"/>
    <n v="82"/>
    <d v="2024-03-19T00:00:00"/>
    <n v="-321"/>
    <n v="2.3199999999999998"/>
    <n v="88"/>
    <n v="37"/>
    <n v="61"/>
    <n v="2.9"/>
    <n v="63"/>
    <n v="0.76829268292682928"/>
    <n v="5.1999899792654221"/>
    <n v="35"/>
    <n v="-3.33"/>
    <n v="182.7"/>
    <n v="5.3068914007852082E-4"/>
    <n v="146.16"/>
  </r>
  <r>
    <x v="77"/>
    <x v="6"/>
    <x v="211"/>
    <s v="40643 Sullivan Lane"/>
    <x v="0"/>
    <s v="14-844-4138"/>
    <s v="90-534-2165"/>
    <d v="2025-02-03T00:00:00"/>
    <x v="209"/>
    <s v="Yes"/>
    <d v="2025-02-03T00:00:00"/>
    <d v="2024-10-25T00:00:00"/>
    <n v="101"/>
    <d v="2024-03-03T00:00:00"/>
    <n v="-337"/>
    <n v="12"/>
    <n v="61"/>
    <n v="43"/>
    <n v="29"/>
    <n v="15"/>
    <n v="67"/>
    <n v="0.6633663366336634"/>
    <n v="5.1999899792654221"/>
    <n v="6"/>
    <n v="0.44"/>
    <n v="1005"/>
    <n v="2.9192259758013873E-3"/>
    <n v="804"/>
  </r>
  <r>
    <x v="116"/>
    <x v="2"/>
    <x v="212"/>
    <s v="00 Luster Alley"/>
    <x v="0"/>
    <s v="65-464-5070"/>
    <s v="01-517-7793"/>
    <d v="2025-02-03T00:00:00"/>
    <x v="188"/>
    <s v="Yes"/>
    <d v="2025-02-03T00:00:00"/>
    <d v="2024-03-16T00:00:00"/>
    <n v="324"/>
    <d v="2024-09-01T00:00:00"/>
    <n v="-155"/>
    <n v="3.2"/>
    <n v="12"/>
    <n v="60"/>
    <n v="73"/>
    <n v="4"/>
    <n v="20"/>
    <n v="6.1728395061728392E-2"/>
    <n v="5.1999899792654221"/>
    <n v="35"/>
    <n v="0.91"/>
    <n v="80"/>
    <n v="2.323761970787174E-4"/>
    <n v="64"/>
  </r>
  <r>
    <x v="48"/>
    <x v="0"/>
    <x v="213"/>
    <s v="9171 Norway Maple Trail"/>
    <x v="2"/>
    <s v="46-911-1159"/>
    <s v="30-820-2883"/>
    <d v="2025-02-03T00:00:00"/>
    <x v="210"/>
    <s v="Yes"/>
    <d v="2025-02-03T00:00:00"/>
    <d v="2024-10-30T00:00:00"/>
    <n v="96"/>
    <d v="2024-12-19T00:00:00"/>
    <n v="-46"/>
    <n v="1.6"/>
    <n v="98"/>
    <n v="40"/>
    <n v="100"/>
    <n v="2"/>
    <n v="46"/>
    <n v="0.47916666666666669"/>
    <n v="5.1999899792654221"/>
    <n v="9"/>
    <n v="-0.75"/>
    <n v="92"/>
    <n v="2.6723262664052501E-4"/>
    <n v="73.600000000000009"/>
  </r>
  <r>
    <x v="20"/>
    <x v="6"/>
    <x v="214"/>
    <s v="292 Charing Cross Terrace"/>
    <x v="1"/>
    <s v="35-617-3857"/>
    <s v="90-718-2724"/>
    <d v="2025-01-04T00:00:00"/>
    <x v="40"/>
    <s v="Yes"/>
    <d v="2025-01-04T00:00:00"/>
    <d v="2024-03-21T00:00:00"/>
    <n v="289"/>
    <d v="2024-03-06T00:00:00"/>
    <n v="-304"/>
    <n v="16"/>
    <n v="46"/>
    <n v="31"/>
    <n v="89"/>
    <n v="20"/>
    <n v="59"/>
    <n v="0.20415224913494809"/>
    <n v="5.1999899792654221"/>
    <n v="65"/>
    <n v="0.8"/>
    <n v="1180"/>
    <n v="3.4275489069110817E-3"/>
    <n v="944"/>
  </r>
  <r>
    <x v="8"/>
    <x v="2"/>
    <x v="130"/>
    <s v="29817 Coleman Drive"/>
    <x v="0"/>
    <s v="41-237-5498"/>
    <s v="38-643-1626"/>
    <d v="2025-01-04T00:00:00"/>
    <x v="130"/>
    <s v="Yes"/>
    <d v="2025-01-04T00:00:00"/>
    <d v="2024-12-24T00:00:00"/>
    <n v="11"/>
    <d v="2025-02-06T00:00:00"/>
    <n v="33"/>
    <n v="7.2"/>
    <n v="88"/>
    <n v="53"/>
    <n v="44"/>
    <n v="9"/>
    <n v="56"/>
    <n v="5.0909090909090908"/>
    <n v="5.1999899792654221"/>
    <n v="14"/>
    <n v="-0.1"/>
    <n v="504"/>
    <n v="1.4639700415959196E-3"/>
    <n v="403.2"/>
  </r>
  <r>
    <x v="75"/>
    <x v="2"/>
    <x v="179"/>
    <s v="18 Troy Avenue"/>
    <x v="0"/>
    <s v="86-672-4191"/>
    <s v="79-219-8469"/>
    <d v="2025-01-04T00:00:00"/>
    <x v="37"/>
    <s v="Yes"/>
    <d v="2025-01-04T00:00:00"/>
    <d v="2024-09-29T00:00:00"/>
    <n v="97"/>
    <d v="2025-02-08T00:00:00"/>
    <n v="35"/>
    <n v="2"/>
    <n v="88"/>
    <n v="22"/>
    <n v="61"/>
    <n v="2.5"/>
    <n v="54"/>
    <n v="0.55670103092783507"/>
    <n v="5.1999899792654221"/>
    <n v="100"/>
    <n v="0.75"/>
    <n v="135"/>
    <n v="3.9213483257033563E-4"/>
    <n v="108"/>
  </r>
  <r>
    <x v="25"/>
    <x v="5"/>
    <x v="114"/>
    <s v="8425 New Castle Parkway"/>
    <x v="1"/>
    <s v="10-555-5971"/>
    <s v="30-410-3509"/>
    <d v="2025-01-04T00:00:00"/>
    <x v="211"/>
    <s v="Yes"/>
    <d v="2025-01-04T00:00:00"/>
    <d v="2024-12-02T00:00:00"/>
    <n v="33"/>
    <d v="2024-09-27T00:00:00"/>
    <n v="-99"/>
    <n v="3.2"/>
    <n v="94"/>
    <n v="56"/>
    <n v="80"/>
    <n v="4"/>
    <n v="47"/>
    <n v="1.4242424242424243"/>
    <n v="5.1999899792654221"/>
    <n v="96"/>
    <n v="-0.85"/>
    <n v="188"/>
    <n v="5.4608406313498591E-4"/>
    <n v="150.4"/>
  </r>
  <r>
    <x v="53"/>
    <x v="3"/>
    <x v="200"/>
    <s v="7 Ridge Oak Pass"/>
    <x v="2"/>
    <s v="45-050-4720"/>
    <s v="98-791-5014"/>
    <d v="2025-01-04T00:00:00"/>
    <x v="12"/>
    <s v="Yes"/>
    <d v="2025-01-04T00:00:00"/>
    <d v="2024-07-05T00:00:00"/>
    <n v="183"/>
    <d v="2024-03-13T00:00:00"/>
    <n v="-297"/>
    <n v="4.8000000000000007"/>
    <n v="18"/>
    <n v="78"/>
    <n v="43"/>
    <n v="6"/>
    <n v="85"/>
    <n v="0.46448087431693991"/>
    <n v="5.1999899792654221"/>
    <n v="97"/>
    <n v="-1.04"/>
    <n v="510"/>
    <n v="1.4813982563768235E-3"/>
    <n v="408.00000000000006"/>
  </r>
  <r>
    <x v="0"/>
    <x v="0"/>
    <x v="215"/>
    <s v="1666 Dayton Terrace"/>
    <x v="0"/>
    <s v="73-997-6251"/>
    <s v="17-167-4304"/>
    <d v="2025-01-04T00:00:00"/>
    <x v="172"/>
    <s v="Yes"/>
    <d v="2025-01-04T00:00:00"/>
    <d v="2024-10-15T00:00:00"/>
    <n v="81"/>
    <d v="2024-09-17T00:00:00"/>
    <n v="-109"/>
    <n v="3.6"/>
    <n v="94"/>
    <n v="18"/>
    <n v="84"/>
    <n v="4.5"/>
    <n v="44"/>
    <n v="0.54320987654320985"/>
    <n v="5.1999899792654221"/>
    <n v="49"/>
    <n v="-0.14000000000000001"/>
    <n v="198"/>
    <n v="5.7513108776982558E-4"/>
    <n v="158.4"/>
  </r>
  <r>
    <x v="12"/>
    <x v="0"/>
    <x v="216"/>
    <s v="757 Grasskamp Drive"/>
    <x v="0"/>
    <s v="53-446-8243"/>
    <s v="51-666-7174"/>
    <d v="2025-02-04T00:00:00"/>
    <x v="19"/>
    <s v="Yes"/>
    <d v="2025-02-04T00:00:00"/>
    <d v="2024-07-26T00:00:00"/>
    <n v="193"/>
    <d v="2024-04-23T00:00:00"/>
    <n v="-287"/>
    <n v="2.4000000000000004"/>
    <n v="41"/>
    <n v="94"/>
    <n v="4"/>
    <n v="3"/>
    <n v="88"/>
    <n v="0.45595854922279794"/>
    <n v="5.1999899792654221"/>
    <n v="92"/>
    <n v="-0.11"/>
    <n v="264"/>
    <n v="7.6684145035976737E-4"/>
    <n v="211.20000000000005"/>
  </r>
  <r>
    <x v="49"/>
    <x v="2"/>
    <x v="217"/>
    <s v="5 Forster Point"/>
    <x v="1"/>
    <s v="12-798-9401"/>
    <s v="96-609-6152"/>
    <d v="2025-01-05T00:00:00"/>
    <x v="212"/>
    <s v="Yes"/>
    <d v="2025-01-05T00:00:00"/>
    <d v="2024-05-12T00:00:00"/>
    <n v="238"/>
    <d v="2024-05-25T00:00:00"/>
    <n v="-225"/>
    <n v="2"/>
    <n v="18"/>
    <n v="14"/>
    <n v="77"/>
    <n v="2.5"/>
    <n v="78"/>
    <n v="0.32773109243697479"/>
    <n v="5.1999899792654221"/>
    <n v="4"/>
    <n v="-0.05"/>
    <n v="195"/>
    <n v="5.6641698037937364E-4"/>
    <n v="156"/>
  </r>
  <r>
    <x v="94"/>
    <x v="0"/>
    <x v="2"/>
    <s v="6 Bay Road"/>
    <x v="2"/>
    <s v="93-014-4256"/>
    <s v="37-599-8579"/>
    <d v="2025-01-05T00:00:00"/>
    <x v="97"/>
    <s v="No"/>
    <d v="2025-01-11T00:00:00"/>
    <d v="2025-01-05T00:00:00"/>
    <n v="6"/>
    <d v="2024-10-13T00:00:00"/>
    <n v="-90"/>
    <n v="1.6"/>
    <n v="19"/>
    <n v="92"/>
    <n v="41"/>
    <n v="2"/>
    <n v="51"/>
    <n v="8.5"/>
    <n v="5.1999899792654221"/>
    <n v="79"/>
    <n v="0.95"/>
    <n v="102"/>
    <n v="2.9627965127536468E-4"/>
    <n v="81.600000000000009"/>
  </r>
  <r>
    <x v="53"/>
    <x v="3"/>
    <x v="171"/>
    <s v="75054 Ramsey Parkway"/>
    <x v="1"/>
    <s v="60-911-3745"/>
    <s v="87-570-0273"/>
    <d v="2025-01-05T00:00:00"/>
    <x v="213"/>
    <s v="Yes"/>
    <d v="2025-01-05T00:00:00"/>
    <d v="2024-08-31T00:00:00"/>
    <n v="127"/>
    <d v="2025-01-18T00:00:00"/>
    <n v="13"/>
    <n v="5.08"/>
    <n v="98"/>
    <n v="41"/>
    <n v="98"/>
    <n v="6.35"/>
    <n v="70"/>
    <n v="0.55118110236220474"/>
    <n v="5.1999899792654221"/>
    <n v="75"/>
    <n v="-0.55000000000000004"/>
    <n v="444.5"/>
    <n v="1.2911402450186235E-3"/>
    <n v="355.6"/>
  </r>
  <r>
    <x v="84"/>
    <x v="3"/>
    <x v="152"/>
    <s v="42 Mandrake Alley"/>
    <x v="2"/>
    <s v="53-146-9979"/>
    <s v="44-388-2451"/>
    <d v="2025-02-05T00:00:00"/>
    <x v="57"/>
    <s v="Yes"/>
    <d v="2025-02-05T00:00:00"/>
    <d v="2024-10-11T00:00:00"/>
    <n v="117"/>
    <d v="2024-08-08T00:00:00"/>
    <n v="-181"/>
    <n v="2"/>
    <n v="21"/>
    <n v="15"/>
    <n v="27"/>
    <n v="2.5"/>
    <n v="37"/>
    <n v="0.31623931623931623"/>
    <n v="5.1999899792654221"/>
    <n v="41"/>
    <n v="-7.0000000000000007E-2"/>
    <n v="92.5"/>
    <n v="2.6868497787226698E-4"/>
    <n v="74"/>
  </r>
  <r>
    <x v="109"/>
    <x v="5"/>
    <x v="142"/>
    <s v="65 Forster Way"/>
    <x v="2"/>
    <s v="65-780-5622"/>
    <s v="69-460-9770"/>
    <d v="2025-02-05T00:00:00"/>
    <x v="214"/>
    <s v="Yes"/>
    <d v="2025-02-05T00:00:00"/>
    <d v="2024-05-02T00:00:00"/>
    <n v="279"/>
    <d v="2024-05-27T00:00:00"/>
    <n v="-254"/>
    <n v="4.8000000000000007"/>
    <n v="74"/>
    <n v="81"/>
    <n v="41"/>
    <n v="6"/>
    <n v="51"/>
    <n v="0.18279569892473119"/>
    <n v="5.1999899792654221"/>
    <n v="67"/>
    <n v="-0.11"/>
    <n v="306"/>
    <n v="8.8883895382609404E-4"/>
    <n v="244.80000000000004"/>
  </r>
  <r>
    <x v="72"/>
    <x v="3"/>
    <x v="218"/>
    <s v="80930 Briar Crest Point"/>
    <x v="1"/>
    <s v="29-896-7926"/>
    <s v="86-400-4155"/>
    <d v="2025-01-06T00:00:00"/>
    <x v="134"/>
    <s v="Yes"/>
    <d v="2025-01-06T00:00:00"/>
    <d v="2024-06-01T00:00:00"/>
    <n v="219"/>
    <d v="2024-05-06T00:00:00"/>
    <n v="-245"/>
    <n v="1.4400000000000002"/>
    <n v="20"/>
    <n v="20"/>
    <n v="56"/>
    <n v="1.8"/>
    <n v="62"/>
    <n v="0.28310502283105021"/>
    <n v="5.1999899792654221"/>
    <n v="69"/>
    <n v="-0.31"/>
    <n v="111.60000000000001"/>
    <n v="3.2416479492481081E-4"/>
    <n v="89.280000000000015"/>
  </r>
  <r>
    <x v="69"/>
    <x v="0"/>
    <x v="191"/>
    <s v="615 Mayer Drive"/>
    <x v="1"/>
    <s v="67-027-7269"/>
    <s v="50-050-5707"/>
    <d v="2025-01-06T00:00:00"/>
    <x v="215"/>
    <s v="Yes"/>
    <d v="2025-01-06T00:00:00"/>
    <d v="2024-11-30T00:00:00"/>
    <n v="37"/>
    <d v="2024-11-09T00:00:00"/>
    <n v="-58"/>
    <n v="5.2"/>
    <n v="35"/>
    <n v="19"/>
    <n v="30"/>
    <n v="6.5"/>
    <n v="88"/>
    <n v="2.3783783783783785"/>
    <n v="5.1999899792654221"/>
    <n v="6"/>
    <n v="-0.11"/>
    <n v="572"/>
    <n v="1.6614898091128294E-3"/>
    <n v="457.6"/>
  </r>
  <r>
    <x v="114"/>
    <x v="0"/>
    <x v="92"/>
    <s v="59449 Sherman Parkway"/>
    <x v="1"/>
    <s v="25-353-2067"/>
    <s v="01-210-3485"/>
    <d v="2025-01-06T00:00:00"/>
    <x v="216"/>
    <s v="Yes"/>
    <d v="2025-01-06T00:00:00"/>
    <d v="2024-08-04T00:00:00"/>
    <n v="155"/>
    <d v="2024-07-25T00:00:00"/>
    <n v="-165"/>
    <n v="3.44"/>
    <n v="81"/>
    <n v="16"/>
    <n v="69"/>
    <n v="4.3"/>
    <n v="23"/>
    <n v="0.14838709677419354"/>
    <n v="5.1999899792654221"/>
    <n v="96"/>
    <n v="0.93"/>
    <n v="98.899999999999991"/>
    <n v="2.8727507363856435E-4"/>
    <n v="79.12"/>
  </r>
  <r>
    <x v="116"/>
    <x v="2"/>
    <x v="38"/>
    <s v="8682 Golf Course Junction"/>
    <x v="0"/>
    <s v="72-341-1154"/>
    <s v="84-090-6472"/>
    <d v="2025-01-06T00:00:00"/>
    <x v="153"/>
    <s v="Yes"/>
    <d v="2025-01-06T00:00:00"/>
    <d v="2024-10-31T00:00:00"/>
    <n v="67"/>
    <d v="2024-09-09T00:00:00"/>
    <n v="-119"/>
    <n v="3.3600000000000003"/>
    <n v="85"/>
    <n v="66"/>
    <n v="85"/>
    <n v="4.2"/>
    <n v="65"/>
    <n v="0.97014925373134331"/>
    <n v="5.1999899792654221"/>
    <n v="58"/>
    <n v="-3.17"/>
    <n v="273"/>
    <n v="7.9298377253112309E-4"/>
    <n v="218.40000000000003"/>
  </r>
  <r>
    <x v="70"/>
    <x v="6"/>
    <x v="219"/>
    <s v="22555 Macpherson Plaza"/>
    <x v="2"/>
    <s v="16-187-5729"/>
    <s v="79-366-7207"/>
    <d v="2025-01-06T00:00:00"/>
    <x v="40"/>
    <s v="Yes"/>
    <d v="2025-01-06T00:00:00"/>
    <d v="2024-03-21T00:00:00"/>
    <n v="291"/>
    <d v="2024-03-30T00:00:00"/>
    <n v="-282"/>
    <n v="4"/>
    <n v="45"/>
    <n v="58"/>
    <n v="84"/>
    <n v="5"/>
    <n v="90"/>
    <n v="0.30927835051546393"/>
    <n v="5.1999899792654221"/>
    <n v="67"/>
    <n v="0.11"/>
    <n v="450"/>
    <n v="1.3071161085677853E-3"/>
    <n v="360"/>
  </r>
  <r>
    <x v="86"/>
    <x v="0"/>
    <x v="134"/>
    <s v="71 Bultman Drive"/>
    <x v="0"/>
    <s v="49-311-3063"/>
    <s v="15-947-9718"/>
    <d v="2025-02-06T00:00:00"/>
    <x v="33"/>
    <s v="Yes"/>
    <d v="2025-02-06T00:00:00"/>
    <d v="2024-10-03T00:00:00"/>
    <n v="126"/>
    <d v="2024-07-03T00:00:00"/>
    <n v="-218"/>
    <n v="4.8000000000000007"/>
    <n v="47"/>
    <n v="75"/>
    <n v="53"/>
    <n v="6"/>
    <n v="70"/>
    <n v="0.55555555555555558"/>
    <n v="5.1999899792654221"/>
    <n v="20"/>
    <n v="0.26"/>
    <n v="420"/>
    <n v="1.2199750346632663E-3"/>
    <n v="336.00000000000006"/>
  </r>
  <r>
    <x v="109"/>
    <x v="5"/>
    <x v="220"/>
    <s v="32 6th Lane"/>
    <x v="0"/>
    <s v="98-652-9569"/>
    <s v="65-160-1426"/>
    <d v="2025-02-06T00:00:00"/>
    <x v="160"/>
    <s v="No"/>
    <d v="2025-02-17T00:00:00"/>
    <d v="2025-02-06T00:00:00"/>
    <n v="11"/>
    <d v="2024-06-23T00:00:00"/>
    <n v="-239"/>
    <n v="4.8000000000000007"/>
    <n v="12"/>
    <n v="7"/>
    <n v="23"/>
    <n v="6"/>
    <n v="72"/>
    <n v="6.5454545454545459"/>
    <n v="5.1999899792654221"/>
    <n v="16"/>
    <n v="0.71"/>
    <n v="432"/>
    <n v="1.2548314642250741E-3"/>
    <n v="345.6"/>
  </r>
  <r>
    <x v="71"/>
    <x v="6"/>
    <x v="84"/>
    <s v="04 Mesta Parkway"/>
    <x v="2"/>
    <s v="78-689-8958"/>
    <s v="52-744-6162"/>
    <d v="2025-01-07T00:00:00"/>
    <x v="143"/>
    <s v="Yes"/>
    <d v="2025-01-07T00:00:00"/>
    <d v="2024-02-27T00:00:00"/>
    <n v="315"/>
    <d v="2024-03-29T00:00:00"/>
    <n v="-284"/>
    <n v="20"/>
    <n v="20"/>
    <n v="43"/>
    <n v="43"/>
    <n v="25"/>
    <n v="73"/>
    <n v="0.23174603174603176"/>
    <n v="5.1999899792654221"/>
    <n v="6"/>
    <n v="0.78"/>
    <n v="1825"/>
    <n v="5.3010819958582405E-3"/>
    <n v="1460"/>
  </r>
  <r>
    <x v="117"/>
    <x v="0"/>
    <x v="211"/>
    <s v="88678 Bayside Park"/>
    <x v="1"/>
    <s v="66-378-7532"/>
    <s v="15-365-5585"/>
    <d v="2025-01-07T00:00:00"/>
    <x v="217"/>
    <s v="Yes"/>
    <d v="2025-01-07T00:00:00"/>
    <d v="2024-06-05T00:00:00"/>
    <n v="216"/>
    <d v="2024-05-06T00:00:00"/>
    <n v="-246"/>
    <n v="8"/>
    <n v="87"/>
    <n v="51"/>
    <n v="67"/>
    <n v="10"/>
    <n v="55"/>
    <n v="0.25462962962962965"/>
    <n v="5.1999899792654221"/>
    <n v="100"/>
    <n v="0.92"/>
    <n v="550"/>
    <n v="1.5975863549161822E-3"/>
    <n v="440"/>
  </r>
  <r>
    <x v="37"/>
    <x v="5"/>
    <x v="67"/>
    <s v="40 Cody Pass"/>
    <x v="1"/>
    <s v="14-115-8371"/>
    <s v="80-833-3051"/>
    <d v="2025-01-07T00:00:00"/>
    <x v="218"/>
    <s v="Yes"/>
    <d v="2025-01-07T00:00:00"/>
    <d v="2024-09-19T00:00:00"/>
    <n v="110"/>
    <d v="2024-09-01T00:00:00"/>
    <n v="-128"/>
    <n v="4"/>
    <n v="23"/>
    <n v="76"/>
    <n v="70"/>
    <n v="5"/>
    <n v="97"/>
    <n v="0.88181818181818183"/>
    <n v="5.1999899792654221"/>
    <n v="38"/>
    <n v="-0.82"/>
    <n v="485"/>
    <n v="1.4087806947897243E-3"/>
    <n v="388"/>
  </r>
  <r>
    <x v="12"/>
    <x v="0"/>
    <x v="121"/>
    <s v="77 Prairie Rose Park"/>
    <x v="1"/>
    <s v="76-540-6407"/>
    <s v="78-644-5877"/>
    <d v="2025-02-07T00:00:00"/>
    <x v="128"/>
    <s v="Yes"/>
    <d v="2025-02-07T00:00:00"/>
    <d v="2025-01-17T00:00:00"/>
    <n v="21"/>
    <d v="2024-12-13T00:00:00"/>
    <n v="-56"/>
    <n v="2.4800000000000004"/>
    <n v="92"/>
    <n v="54"/>
    <n v="73"/>
    <n v="3.1"/>
    <n v="79"/>
    <n v="3.7619047619047619"/>
    <n v="5.1999899792654221"/>
    <n v="1"/>
    <n v="0.61"/>
    <n v="244.9"/>
    <n v="7.113616333072237E-4"/>
    <n v="195.92000000000004"/>
  </r>
  <r>
    <x v="110"/>
    <x v="2"/>
    <x v="221"/>
    <s v="20 Marcy Circle"/>
    <x v="2"/>
    <s v="81-573-0943"/>
    <s v="07-754-2313"/>
    <d v="2025-02-07T00:00:00"/>
    <x v="219"/>
    <s v="Yes"/>
    <d v="2025-02-07T00:00:00"/>
    <d v="2024-06-28T00:00:00"/>
    <n v="224"/>
    <d v="2024-11-14T00:00:00"/>
    <n v="-85"/>
    <n v="0.16000000000000003"/>
    <n v="22"/>
    <n v="58"/>
    <n v="2"/>
    <n v="0.2"/>
    <n v="33"/>
    <n v="0.14732142857142858"/>
    <n v="5.1999899792654221"/>
    <n v="68"/>
    <n v="0.99"/>
    <n v="6.6000000000000005"/>
    <n v="1.9171036258994186E-5"/>
    <n v="5.2800000000000011"/>
  </r>
  <r>
    <x v="24"/>
    <x v="3"/>
    <x v="0"/>
    <s v="56 Bonner Point"/>
    <x v="1"/>
    <s v="68-732-5919"/>
    <s v="07-500-2023"/>
    <d v="2025-02-07T00:00:00"/>
    <x v="220"/>
    <s v="Yes"/>
    <d v="2025-02-07T00:00:00"/>
    <d v="2024-10-29T00:00:00"/>
    <n v="101"/>
    <d v="2024-05-17T00:00:00"/>
    <n v="-266"/>
    <n v="3.8000000000000003"/>
    <n v="26"/>
    <n v="83"/>
    <n v="24"/>
    <n v="4.75"/>
    <n v="75"/>
    <n v="0.74257425742574257"/>
    <n v="5.1999899792654221"/>
    <n v="12"/>
    <n v="-1.06"/>
    <n v="356.25"/>
    <n v="1.0348002526161634E-3"/>
    <n v="285"/>
  </r>
  <r>
    <x v="66"/>
    <x v="0"/>
    <x v="59"/>
    <s v="3 Hagan Drive"/>
    <x v="0"/>
    <s v="68-734-1585"/>
    <s v="54-537-5633"/>
    <d v="2025-01-08T00:00:00"/>
    <x v="221"/>
    <s v="Yes"/>
    <d v="2025-01-08T00:00:00"/>
    <d v="2024-04-16T00:00:00"/>
    <n v="267"/>
    <d v="2024-07-13T00:00:00"/>
    <n v="-179"/>
    <n v="40.936000000000007"/>
    <n v="62"/>
    <n v="44"/>
    <n v="11"/>
    <n v="51.17"/>
    <n v="92"/>
    <n v="0.34456928838951312"/>
    <n v="5.1999899792654221"/>
    <n v="37"/>
    <n v="0.84"/>
    <n v="4707.6400000000003"/>
    <n v="1.3674293505195665E-2"/>
    <n v="3766.1120000000005"/>
  </r>
  <r>
    <x v="29"/>
    <x v="3"/>
    <x v="222"/>
    <s v="39102 Division Trail"/>
    <x v="1"/>
    <s v="93-342-8794"/>
    <s v="93-688-1260"/>
    <d v="2025-01-08T00:00:00"/>
    <x v="132"/>
    <s v="Yes"/>
    <d v="2025-01-08T00:00:00"/>
    <d v="2024-12-07T00:00:00"/>
    <n v="32"/>
    <d v="2024-11-22T00:00:00"/>
    <n v="-47"/>
    <n v="1.2000000000000002"/>
    <n v="84"/>
    <n v="91"/>
    <n v="86"/>
    <n v="1.5"/>
    <n v="83"/>
    <n v="2.59375"/>
    <n v="5.1999899792654221"/>
    <n v="95"/>
    <n v="0.6"/>
    <n v="124.5"/>
    <n v="3.6163545670375393E-4"/>
    <n v="99.600000000000009"/>
  </r>
  <r>
    <x v="55"/>
    <x v="0"/>
    <x v="101"/>
    <s v="72778 Loftsgordon Center"/>
    <x v="1"/>
    <s v="42-175-1648"/>
    <s v="67-272-8844"/>
    <d v="2025-01-08T00:00:00"/>
    <x v="34"/>
    <s v="No"/>
    <d v="2025-01-25T00:00:00"/>
    <d v="2025-01-08T00:00:00"/>
    <n v="17"/>
    <d v="2024-09-09T00:00:00"/>
    <n v="-138"/>
    <n v="4.8000000000000007"/>
    <n v="81"/>
    <n v="87"/>
    <n v="15"/>
    <n v="6"/>
    <n v="94"/>
    <n v="5.5294117647058822"/>
    <n v="5.1999899792654221"/>
    <n v="10"/>
    <n v="-0.14000000000000001"/>
    <n v="564"/>
    <n v="1.6382521894049576E-3"/>
    <n v="451.20000000000005"/>
  </r>
  <r>
    <x v="87"/>
    <x v="4"/>
    <x v="13"/>
    <s v="21530 Prentice Place"/>
    <x v="2"/>
    <s v="46-083-7058"/>
    <s v="26-730-0925"/>
    <d v="2025-01-08T00:00:00"/>
    <x v="222"/>
    <s v="Yes"/>
    <d v="2025-01-08T00:00:00"/>
    <d v="2024-08-27T00:00:00"/>
    <n v="134"/>
    <d v="2024-06-09T00:00:00"/>
    <n v="-213"/>
    <n v="7.2"/>
    <n v="61"/>
    <n v="91"/>
    <n v="40"/>
    <n v="9"/>
    <n v="34"/>
    <n v="0.2537313432835821"/>
    <n v="5.1999899792654221"/>
    <n v="76"/>
    <n v="0.89"/>
    <n v="306"/>
    <n v="8.8883895382609404E-4"/>
    <n v="244.8"/>
  </r>
  <r>
    <x v="10"/>
    <x v="2"/>
    <x v="223"/>
    <s v="54 Weeping Birch Lane"/>
    <x v="1"/>
    <s v="66-716-8221"/>
    <s v="67-024-9832"/>
    <d v="2025-02-08T00:00:00"/>
    <x v="71"/>
    <s v="Yes"/>
    <d v="2025-02-08T00:00:00"/>
    <d v="2024-06-24T00:00:00"/>
    <n v="229"/>
    <d v="2025-01-17T00:00:00"/>
    <n v="-22"/>
    <n v="7.2"/>
    <n v="70"/>
    <n v="96"/>
    <n v="35"/>
    <n v="9"/>
    <n v="63"/>
    <n v="0.27510917030567683"/>
    <n v="5.1999899792654221"/>
    <n v="84"/>
    <n v="-1.24"/>
    <n v="567"/>
    <n v="1.6469662967954096E-3"/>
    <n v="453.6"/>
  </r>
  <r>
    <x v="17"/>
    <x v="2"/>
    <x v="224"/>
    <s v="2003 Delladonna Pass"/>
    <x v="0"/>
    <s v="12-714-5135"/>
    <s v="97-055-2756"/>
    <d v="2025-01-09T00:00:00"/>
    <x v="120"/>
    <s v="No"/>
    <d v="2025-01-14T00:00:00"/>
    <d v="2025-01-09T00:00:00"/>
    <n v="5"/>
    <d v="2024-04-25T00:00:00"/>
    <n v="-264"/>
    <n v="4.8000000000000007"/>
    <n v="49"/>
    <n v="28"/>
    <n v="74"/>
    <n v="6"/>
    <n v="70"/>
    <n v="14"/>
    <n v="5.1999899792654221"/>
    <n v="38"/>
    <n v="-0.33"/>
    <n v="420"/>
    <n v="1.2199750346632663E-3"/>
    <n v="336.00000000000006"/>
  </r>
  <r>
    <x v="26"/>
    <x v="6"/>
    <x v="185"/>
    <s v="581 Oneill Crossing"/>
    <x v="2"/>
    <s v="35-031-1497"/>
    <s v="84-835-1656"/>
    <d v="2025-01-09T00:00:00"/>
    <x v="24"/>
    <s v="Yes"/>
    <d v="2025-01-09T00:00:00"/>
    <d v="2024-07-04T00:00:00"/>
    <n v="189"/>
    <d v="2024-11-02T00:00:00"/>
    <n v="-68"/>
    <n v="9.6000000000000014"/>
    <n v="20"/>
    <n v="68"/>
    <n v="20"/>
    <n v="12"/>
    <n v="38"/>
    <n v="0.20105820105820105"/>
    <n v="5.1999899792654221"/>
    <n v="51"/>
    <n v="0.46"/>
    <n v="456"/>
    <n v="1.3245443233486892E-3"/>
    <n v="364.80000000000007"/>
  </r>
  <r>
    <x v="24"/>
    <x v="3"/>
    <x v="168"/>
    <s v="8182 Hazelcrest Place"/>
    <x v="2"/>
    <s v="54-708-7327"/>
    <s v="46-316-6919"/>
    <d v="2025-01-09T00:00:00"/>
    <x v="50"/>
    <s v="Yes"/>
    <d v="2025-01-09T00:00:00"/>
    <d v="2024-03-28T00:00:00"/>
    <n v="287"/>
    <d v="2024-04-15T00:00:00"/>
    <n v="-269"/>
    <n v="3.8000000000000003"/>
    <n v="50"/>
    <n v="14"/>
    <n v="99"/>
    <n v="4.75"/>
    <n v="52"/>
    <n v="0.18118466898954705"/>
    <n v="5.1999899792654221"/>
    <n v="75"/>
    <n v="-0.34"/>
    <n v="247"/>
    <n v="7.1746150848053998E-4"/>
    <n v="197.60000000000002"/>
  </r>
  <r>
    <x v="108"/>
    <x v="0"/>
    <x v="150"/>
    <s v="7944 Elgar Alley"/>
    <x v="1"/>
    <s v="63-897-8088"/>
    <s v="82-313-4469"/>
    <d v="2025-01-09T00:00:00"/>
    <x v="223"/>
    <s v="Yes"/>
    <d v="2025-01-09T00:00:00"/>
    <d v="2024-06-07T00:00:00"/>
    <n v="216"/>
    <d v="2024-10-16T00:00:00"/>
    <n v="-85"/>
    <n v="2"/>
    <n v="63"/>
    <n v="56"/>
    <n v="33"/>
    <n v="2.5"/>
    <n v="35"/>
    <n v="0.16203703703703703"/>
    <n v="5.1999899792654221"/>
    <n v="16"/>
    <n v="-0.44"/>
    <n v="87.5"/>
    <n v="2.5416146555484715E-4"/>
    <n v="70"/>
  </r>
  <r>
    <x v="94"/>
    <x v="0"/>
    <x v="30"/>
    <s v="1615 Bellgrove Crossing"/>
    <x v="2"/>
    <s v="79-494-2472"/>
    <s v="04-391-8892"/>
    <d v="2025-01-09T00:00:00"/>
    <x v="224"/>
    <s v="Yes"/>
    <d v="2025-01-09T00:00:00"/>
    <d v="2024-04-19T00:00:00"/>
    <n v="265"/>
    <d v="2024-04-23T00:00:00"/>
    <n v="-261"/>
    <n v="1.6"/>
    <n v="42"/>
    <n v="48"/>
    <n v="18"/>
    <n v="2"/>
    <n v="39"/>
    <n v="0.14716981132075471"/>
    <n v="5.1999899792654221"/>
    <n v="57"/>
    <n v="0.54"/>
    <n v="78"/>
    <n v="2.2656679215174945E-4"/>
    <n v="62.400000000000006"/>
  </r>
  <r>
    <x v="59"/>
    <x v="0"/>
    <x v="138"/>
    <s v="95 Garrison Plaza"/>
    <x v="1"/>
    <s v="15-679-3935"/>
    <s v="35-906-1010"/>
    <d v="2025-02-09T00:00:00"/>
    <x v="68"/>
    <s v="Yes"/>
    <d v="2025-02-09T00:00:00"/>
    <d v="2024-06-15T00:00:00"/>
    <n v="239"/>
    <d v="2025-02-20T00:00:00"/>
    <n v="11"/>
    <n v="4.4000000000000004"/>
    <n v="22"/>
    <n v="69"/>
    <n v="87"/>
    <n v="5.5"/>
    <n v="34"/>
    <n v="0.14225941422594143"/>
    <n v="5.1999899792654221"/>
    <n v="26"/>
    <n v="-0.46"/>
    <n v="187"/>
    <n v="5.4317936067150197E-4"/>
    <n v="149.60000000000002"/>
  </r>
  <r>
    <x v="114"/>
    <x v="0"/>
    <x v="225"/>
    <s v="227 Tennyson Plaza"/>
    <x v="0"/>
    <s v="31-608-1445"/>
    <s v="75-286-4153"/>
    <d v="2025-02-09T00:00:00"/>
    <x v="225"/>
    <s v="No"/>
    <d v="2025-02-15T00:00:00"/>
    <d v="2025-02-09T00:00:00"/>
    <n v="6"/>
    <d v="2024-12-14T00:00:00"/>
    <n v="-63"/>
    <n v="3.5200000000000005"/>
    <n v="84"/>
    <n v="28"/>
    <n v="29"/>
    <n v="4.4000000000000004"/>
    <n v="54"/>
    <n v="9"/>
    <n v="5.1999899792654221"/>
    <n v="32"/>
    <n v="0.24"/>
    <n v="237.60000000000002"/>
    <n v="6.9015730532379072E-4"/>
    <n v="190.08"/>
  </r>
  <r>
    <x v="79"/>
    <x v="2"/>
    <x v="129"/>
    <s v="75 High Crossing Junction"/>
    <x v="0"/>
    <s v="70-206-4860"/>
    <s v="82-527-9395"/>
    <d v="2025-02-09T00:00:00"/>
    <x v="226"/>
    <s v="Yes"/>
    <d v="2025-02-09T00:00:00"/>
    <d v="2024-03-11T00:00:00"/>
    <n v="335"/>
    <d v="2024-09-17T00:00:00"/>
    <n v="-145"/>
    <n v="0.64000000000000012"/>
    <n v="93"/>
    <n v="68"/>
    <n v="71"/>
    <n v="0.8"/>
    <n v="30"/>
    <n v="8.9552238805970144E-2"/>
    <n v="5.1999899792654221"/>
    <n v="37"/>
    <n v="0.41"/>
    <n v="24"/>
    <n v="6.9712859123615225E-5"/>
    <n v="19.200000000000003"/>
  </r>
  <r>
    <x v="98"/>
    <x v="5"/>
    <x v="226"/>
    <s v="894 Kingsford Road"/>
    <x v="1"/>
    <s v="30-832-5429"/>
    <s v="41-800-2842"/>
    <d v="2025-01-10T00:00:00"/>
    <x v="206"/>
    <s v="Yes"/>
    <d v="2025-01-10T00:00:00"/>
    <d v="2024-10-05T00:00:00"/>
    <n v="97"/>
    <d v="2024-09-17T00:00:00"/>
    <n v="-115"/>
    <n v="2.8000000000000003"/>
    <n v="46"/>
    <n v="43"/>
    <n v="46"/>
    <n v="3.5"/>
    <n v="68"/>
    <n v="0.7010309278350515"/>
    <n v="5.1999899792654221"/>
    <n v="59"/>
    <n v="-0.23"/>
    <n v="238"/>
    <n v="6.9131918630918425E-4"/>
    <n v="190.4"/>
  </r>
  <r>
    <x v="117"/>
    <x v="0"/>
    <x v="227"/>
    <s v="8 Dakota Avenue"/>
    <x v="2"/>
    <s v="01-173-0029"/>
    <s v="18-880-7910"/>
    <d v="2025-01-10T00:00:00"/>
    <x v="12"/>
    <s v="Yes"/>
    <d v="2025-01-10T00:00:00"/>
    <d v="2024-07-05T00:00:00"/>
    <n v="189"/>
    <d v="2024-04-12T00:00:00"/>
    <n v="-273"/>
    <n v="8"/>
    <n v="42"/>
    <n v="4"/>
    <n v="53"/>
    <n v="10"/>
    <n v="37"/>
    <n v="0.19576719576719576"/>
    <n v="5.1999899792654221"/>
    <n v="53"/>
    <n v="0.13"/>
    <n v="370"/>
    <n v="1.0747399114890679E-3"/>
    <n v="296"/>
  </r>
  <r>
    <x v="35"/>
    <x v="5"/>
    <x v="123"/>
    <s v="31208 Westerfield Way"/>
    <x v="2"/>
    <s v="65-235-7676"/>
    <s v="22-083-3504"/>
    <d v="2025-01-10T00:00:00"/>
    <x v="167"/>
    <s v="Yes"/>
    <d v="2025-01-10T00:00:00"/>
    <d v="2024-08-01T00:00:00"/>
    <n v="162"/>
    <d v="2024-06-03T00:00:00"/>
    <n v="-221"/>
    <n v="2.8000000000000003"/>
    <n v="91"/>
    <n v="71"/>
    <n v="17"/>
    <n v="3.5"/>
    <n v="74"/>
    <n v="0.4567901234567901"/>
    <n v="5.1999899792654221"/>
    <n v="57"/>
    <n v="-0.43"/>
    <n v="259"/>
    <n v="7.5231793804234753E-4"/>
    <n v="207.20000000000002"/>
  </r>
  <r>
    <x v="118"/>
    <x v="2"/>
    <x v="199"/>
    <s v="4 Warbler Center"/>
    <x v="0"/>
    <s v="79-400-6216"/>
    <s v="83-361-7509"/>
    <d v="2025-02-10T00:00:00"/>
    <x v="137"/>
    <s v="Yes"/>
    <d v="2025-02-10T00:00:00"/>
    <d v="2024-03-10T00:00:00"/>
    <n v="337"/>
    <d v="2024-10-02T00:00:00"/>
    <n v="-131"/>
    <n v="5.7600000000000007"/>
    <n v="16"/>
    <n v="56"/>
    <n v="13"/>
    <n v="7.2"/>
    <n v="56"/>
    <n v="0.16617210682492581"/>
    <n v="5.1999899792654221"/>
    <n v="28"/>
    <n v="0.23"/>
    <n v="403.2"/>
    <n v="1.1711760332767357E-3"/>
    <n v="322.56000000000006"/>
  </r>
  <r>
    <x v="17"/>
    <x v="2"/>
    <x v="217"/>
    <s v="05 Canary Circle"/>
    <x v="1"/>
    <s v="35-836-6718"/>
    <s v="27-838-4345"/>
    <d v="2025-02-10T00:00:00"/>
    <x v="34"/>
    <s v="Yes"/>
    <d v="2025-02-10T00:00:00"/>
    <d v="2025-01-25T00:00:00"/>
    <n v="16"/>
    <d v="2025-01-22T00:00:00"/>
    <n v="-19"/>
    <n v="4.8000000000000007"/>
    <n v="91"/>
    <n v="14"/>
    <n v="99"/>
    <n v="6"/>
    <n v="50"/>
    <n v="3.125"/>
    <n v="5.1999899792654221"/>
    <n v="5"/>
    <n v="0.5"/>
    <n v="300"/>
    <n v="8.7141073904519026E-4"/>
    <n v="240.00000000000003"/>
  </r>
  <r>
    <x v="55"/>
    <x v="0"/>
    <x v="22"/>
    <s v="03 Little Fleur Pass"/>
    <x v="1"/>
    <s v="08-573-9997"/>
    <s v="95-734-4024"/>
    <d v="2025-02-10T00:00:00"/>
    <x v="42"/>
    <s v="Yes"/>
    <d v="2025-02-10T00:00:00"/>
    <d v="2024-04-05T00:00:00"/>
    <n v="311"/>
    <d v="2024-12-02T00:00:00"/>
    <n v="-70"/>
    <n v="4.8000000000000007"/>
    <n v="26"/>
    <n v="1"/>
    <n v="9"/>
    <n v="6"/>
    <n v="82"/>
    <n v="0.26366559485530544"/>
    <n v="5.1999899792654221"/>
    <n v="8"/>
    <n v="0.9"/>
    <n v="492"/>
    <n v="1.4291136120341121E-3"/>
    <n v="393.60000000000008"/>
  </r>
  <r>
    <x v="86"/>
    <x v="0"/>
    <x v="228"/>
    <s v="50880 Nobel Road"/>
    <x v="0"/>
    <s v="66-854-5736"/>
    <s v="98-591-1051"/>
    <d v="2025-01-11T00:00:00"/>
    <x v="21"/>
    <s v="Yes"/>
    <d v="2025-01-11T00:00:00"/>
    <d v="2024-12-23T00:00:00"/>
    <n v="19"/>
    <d v="2024-05-10T00:00:00"/>
    <n v="-246"/>
    <n v="4.6399999999999997"/>
    <n v="63"/>
    <n v="57"/>
    <n v="11"/>
    <n v="5.8"/>
    <n v="20"/>
    <n v="1.0526315789473684"/>
    <n v="5.1999899792654221"/>
    <n v="100"/>
    <n v="0.9"/>
    <n v="116"/>
    <n v="3.3694548576414024E-4"/>
    <n v="92.8"/>
  </r>
  <r>
    <x v="75"/>
    <x v="2"/>
    <x v="114"/>
    <s v="288 Fair Oaks Place"/>
    <x v="1"/>
    <s v="85-835-3445"/>
    <s v="13-433-4930"/>
    <d v="2025-01-11T00:00:00"/>
    <x v="15"/>
    <s v="Yes"/>
    <d v="2025-01-11T00:00:00"/>
    <d v="2024-03-02T00:00:00"/>
    <n v="315"/>
    <d v="2024-05-12T00:00:00"/>
    <n v="-244"/>
    <n v="1.9600000000000002"/>
    <n v="50"/>
    <n v="93"/>
    <n v="37"/>
    <n v="2.4500000000000002"/>
    <n v="78"/>
    <n v="0.24761904761904763"/>
    <n v="5.1999899792654221"/>
    <n v="79"/>
    <n v="-4"/>
    <n v="191.10000000000002"/>
    <n v="5.5508864077178624E-4"/>
    <n v="152.88000000000002"/>
  </r>
  <r>
    <x v="98"/>
    <x v="5"/>
    <x v="4"/>
    <s v="4 Orin Lane"/>
    <x v="1"/>
    <s v="10-768-2443"/>
    <s v="44-451-2764"/>
    <d v="2025-02-11T00:00:00"/>
    <x v="202"/>
    <s v="Yes"/>
    <d v="2025-02-11T00:00:00"/>
    <d v="2024-03-05T00:00:00"/>
    <n v="343"/>
    <d v="2024-12-19T00:00:00"/>
    <n v="-54"/>
    <n v="2.6"/>
    <n v="93"/>
    <n v="55"/>
    <n v="95"/>
    <n v="3.25"/>
    <n v="56"/>
    <n v="0.16326530612244897"/>
    <n v="5.1999899792654221"/>
    <n v="72"/>
    <n v="-0.01"/>
    <n v="182"/>
    <n v="5.2865584835408213E-4"/>
    <n v="145.6"/>
  </r>
  <r>
    <x v="40"/>
    <x v="0"/>
    <x v="229"/>
    <s v="7698 Logan Drive"/>
    <x v="2"/>
    <s v="19-112-1616"/>
    <s v="55-251-3001"/>
    <d v="2025-01-12T00:00:00"/>
    <x v="168"/>
    <s v="Yes"/>
    <d v="2025-01-12T00:00:00"/>
    <d v="2024-04-12T00:00:00"/>
    <n v="275"/>
    <d v="2024-06-28T00:00:00"/>
    <n v="-198"/>
    <n v="1.6"/>
    <n v="88"/>
    <n v="56"/>
    <n v="72"/>
    <n v="2"/>
    <n v="25"/>
    <n v="9.0909090909090912E-2"/>
    <n v="5.1999899792654221"/>
    <n v="36"/>
    <n v="-0.28999999999999998"/>
    <n v="50"/>
    <n v="1.4523512317419837E-4"/>
    <n v="40"/>
  </r>
  <r>
    <x v="59"/>
    <x v="0"/>
    <x v="230"/>
    <s v="4346 Columbus Way"/>
    <x v="1"/>
    <s v="89-388-3239"/>
    <s v="28-521-7083"/>
    <d v="2025-02-12T00:00:00"/>
    <x v="183"/>
    <s v="Yes"/>
    <d v="2025-02-12T00:00:00"/>
    <d v="2024-05-24T00:00:00"/>
    <n v="264"/>
    <d v="2024-04-19T00:00:00"/>
    <n v="-299"/>
    <n v="4.4000000000000004"/>
    <n v="54"/>
    <n v="88"/>
    <n v="43"/>
    <n v="5.5"/>
    <n v="81"/>
    <n v="0.30681818181818182"/>
    <n v="5.1999899792654221"/>
    <n v="77"/>
    <n v="-0.44"/>
    <n v="445.5"/>
    <n v="1.2940449474821076E-3"/>
    <n v="356.40000000000003"/>
  </r>
  <r>
    <x v="9"/>
    <x v="2"/>
    <x v="140"/>
    <s v="09264 Forest Dale Drive"/>
    <x v="0"/>
    <s v="22-760-4605"/>
    <s v="01-495-9336"/>
    <d v="2025-02-12T00:00:00"/>
    <x v="100"/>
    <s v="Yes"/>
    <d v="2025-02-12T00:00:00"/>
    <d v="2024-07-07T00:00:00"/>
    <n v="220"/>
    <d v="2024-08-03T00:00:00"/>
    <n v="-193"/>
    <n v="1.4000000000000001"/>
    <n v="86"/>
    <n v="20"/>
    <n v="67"/>
    <n v="1.75"/>
    <n v="83"/>
    <n v="0.37727272727272726"/>
    <n v="5.1999899792654221"/>
    <n v="82"/>
    <n v="0.05"/>
    <n v="145.25"/>
    <n v="4.2190803282104625E-4"/>
    <n v="116.20000000000002"/>
  </r>
  <r>
    <x v="14"/>
    <x v="0"/>
    <x v="104"/>
    <s v="843 Pepper Wood Hill"/>
    <x v="0"/>
    <s v="38-664-2155"/>
    <s v="10-540-5841"/>
    <d v="2025-01-13T00:00:00"/>
    <x v="168"/>
    <s v="Yes"/>
    <d v="2025-01-13T00:00:00"/>
    <d v="2024-04-12T00:00:00"/>
    <n v="276"/>
    <d v="2024-05-30T00:00:00"/>
    <n v="-228"/>
    <n v="2.04"/>
    <n v="48"/>
    <n v="27"/>
    <n v="73"/>
    <n v="2.5499999999999998"/>
    <n v="52"/>
    <n v="0.18840579710144928"/>
    <n v="5.1999899792654221"/>
    <n v="97"/>
    <n v="0.01"/>
    <n v="132.6"/>
    <n v="3.8516354665797409E-4"/>
    <n v="106.08"/>
  </r>
  <r>
    <x v="39"/>
    <x v="1"/>
    <x v="231"/>
    <s v="60 Dottie Hill"/>
    <x v="2"/>
    <s v="89-713-6071"/>
    <s v="84-123-7159"/>
    <d v="2025-01-13T00:00:00"/>
    <x v="44"/>
    <s v="Yes"/>
    <d v="2025-01-13T00:00:00"/>
    <d v="2024-11-19T00:00:00"/>
    <n v="55"/>
    <d v="2024-11-25T00:00:00"/>
    <n v="-49"/>
    <n v="5.2"/>
    <n v="89"/>
    <n v="66"/>
    <n v="28"/>
    <n v="6.5"/>
    <n v="39"/>
    <n v="0.70909090909090911"/>
    <n v="5.1999899792654221"/>
    <n v="25"/>
    <n v="-0.87"/>
    <n v="253.5"/>
    <n v="7.3634207449318578E-4"/>
    <n v="202.8"/>
  </r>
  <r>
    <x v="29"/>
    <x v="3"/>
    <x v="88"/>
    <s v="844 Schurz Point"/>
    <x v="0"/>
    <s v="56-191-6497"/>
    <s v="65-395-5947"/>
    <d v="2025-01-14T00:00:00"/>
    <x v="51"/>
    <s v="Yes"/>
    <d v="2025-01-14T00:00:00"/>
    <d v="2024-10-04T00:00:00"/>
    <n v="102"/>
    <d v="2025-01-07T00:00:00"/>
    <n v="-7"/>
    <n v="1.2000000000000002"/>
    <n v="97"/>
    <n v="41"/>
    <n v="68"/>
    <n v="1.5"/>
    <n v="35"/>
    <n v="0.34313725490196079"/>
    <n v="5.1999899792654221"/>
    <n v="16"/>
    <n v="0.36"/>
    <n v="52.5"/>
    <n v="1.5249687933290828E-4"/>
    <n v="42.000000000000007"/>
  </r>
  <r>
    <x v="87"/>
    <x v="4"/>
    <x v="232"/>
    <s v="234 Eagle Crest Avenue"/>
    <x v="2"/>
    <s v="27-389-3529"/>
    <s v="73-201-2803"/>
    <d v="2025-01-14T00:00:00"/>
    <x v="90"/>
    <s v="Yes"/>
    <d v="2025-01-14T00:00:00"/>
    <d v="2024-04-23T00:00:00"/>
    <n v="266"/>
    <d v="2024-03-09T00:00:00"/>
    <n v="-311"/>
    <n v="7.2"/>
    <n v="84"/>
    <n v="8"/>
    <n v="54"/>
    <n v="9"/>
    <n v="60"/>
    <n v="0.22556390977443608"/>
    <n v="5.1999899792654221"/>
    <n v="38"/>
    <n v="0.54"/>
    <n v="540"/>
    <n v="1.5685393302813425E-3"/>
    <n v="432"/>
  </r>
  <r>
    <x v="91"/>
    <x v="1"/>
    <x v="160"/>
    <s v="17640 Cottonwood Place"/>
    <x v="1"/>
    <s v="11-604-6002"/>
    <s v="50-862-4552"/>
    <d v="2025-01-14T00:00:00"/>
    <x v="227"/>
    <s v="Yes"/>
    <d v="2025-01-14T00:00:00"/>
    <d v="2024-06-18T00:00:00"/>
    <n v="210"/>
    <d v="2024-05-29T00:00:00"/>
    <n v="-230"/>
    <n v="1.8399999999999999"/>
    <n v="69"/>
    <n v="17"/>
    <n v="27"/>
    <n v="2.2999999999999998"/>
    <n v="79"/>
    <n v="0.37619047619047619"/>
    <n v="5.1999899792654221"/>
    <n v="75"/>
    <n v="0.37"/>
    <n v="181.7"/>
    <n v="5.2778443761503687E-4"/>
    <n v="145.35999999999999"/>
  </r>
  <r>
    <x v="68"/>
    <x v="0"/>
    <x v="233"/>
    <s v="49770 Hoffman Court"/>
    <x v="0"/>
    <s v="20-448-2972"/>
    <s v="26-920-6626"/>
    <d v="2025-01-14T00:00:00"/>
    <x v="185"/>
    <s v="No"/>
    <d v="2025-01-20T00:00:00"/>
    <d v="2025-01-14T00:00:00"/>
    <n v="6"/>
    <d v="2024-09-16T00:00:00"/>
    <n v="-126"/>
    <n v="4"/>
    <n v="80"/>
    <n v="6"/>
    <n v="92"/>
    <n v="5"/>
    <n v="26"/>
    <n v="4.333333333333333"/>
    <n v="5.1999899792654221"/>
    <n v="71"/>
    <n v="0.05"/>
    <n v="130"/>
    <n v="3.7761132025291579E-4"/>
    <n v="104"/>
  </r>
  <r>
    <x v="40"/>
    <x v="0"/>
    <x v="234"/>
    <s v="03 Ryan Circle"/>
    <x v="1"/>
    <s v="77-959-1018"/>
    <s v="00-912-3545"/>
    <d v="2025-01-15T00:00:00"/>
    <x v="228"/>
    <s v="Yes"/>
    <d v="2025-01-15T00:00:00"/>
    <d v="2024-04-30T00:00:00"/>
    <n v="260"/>
    <d v="2024-06-12T00:00:00"/>
    <n v="-217"/>
    <n v="1.6"/>
    <n v="22"/>
    <n v="22"/>
    <n v="65"/>
    <n v="2"/>
    <n v="62"/>
    <n v="0.23846153846153847"/>
    <n v="5.1999899792654221"/>
    <n v="78"/>
    <n v="-1.73"/>
    <n v="124"/>
    <n v="3.6018310547201196E-4"/>
    <n v="99.2"/>
  </r>
  <r>
    <x v="30"/>
    <x v="0"/>
    <x v="86"/>
    <s v="98 Melody Street"/>
    <x v="0"/>
    <s v="69-895-3397"/>
    <s v="02-575-2074"/>
    <d v="2025-01-16T00:00:00"/>
    <x v="54"/>
    <s v="Yes"/>
    <d v="2025-01-16T00:00:00"/>
    <d v="2025-01-16T00:00:00"/>
    <n v="0"/>
    <d v="2024-03-04T00:00:00"/>
    <n v="-318"/>
    <n v="1.4400000000000002"/>
    <n v="28"/>
    <n v="5"/>
    <n v="9"/>
    <n v="1.8"/>
    <n v="33"/>
    <n v="33"/>
    <n v="5.1999899792654221"/>
    <n v="9"/>
    <n v="-0.26"/>
    <n v="59.4"/>
    <n v="1.7253932633094765E-4"/>
    <n v="47.52"/>
  </r>
  <r>
    <x v="117"/>
    <x v="0"/>
    <x v="185"/>
    <s v="57150 Del Sol Alley"/>
    <x v="2"/>
    <s v="32-933-0329"/>
    <s v="86-760-5412"/>
    <d v="2025-01-17T00:00:00"/>
    <x v="23"/>
    <s v="Yes"/>
    <d v="2025-01-17T00:00:00"/>
    <d v="2024-07-14T00:00:00"/>
    <n v="187"/>
    <d v="2024-04-15T00:00:00"/>
    <n v="-277"/>
    <n v="8"/>
    <n v="23"/>
    <n v="38"/>
    <n v="54"/>
    <n v="10"/>
    <n v="40"/>
    <n v="0.21390374331550802"/>
    <n v="5.1999899792654221"/>
    <n v="15"/>
    <n v="0.73"/>
    <n v="400"/>
    <n v="1.1618809853935869E-3"/>
    <n v="320"/>
  </r>
  <r>
    <x v="0"/>
    <x v="0"/>
    <x v="235"/>
    <s v="4 6th Plaza"/>
    <x v="1"/>
    <s v="33-440-2588"/>
    <s v="68-596-5506"/>
    <d v="2025-01-17T00:00:00"/>
    <x v="85"/>
    <s v="Yes"/>
    <d v="2025-01-17T00:00:00"/>
    <d v="2024-09-16T00:00:00"/>
    <n v="123"/>
    <d v="2025-02-24T00:00:00"/>
    <n v="38"/>
    <n v="3.5200000000000005"/>
    <n v="26"/>
    <n v="12"/>
    <n v="43"/>
    <n v="4.4000000000000004"/>
    <n v="73"/>
    <n v="0.5934959349593496"/>
    <n v="5.1999899792654221"/>
    <n v="20"/>
    <n v="0.63"/>
    <n v="321.20000000000005"/>
    <n v="9.3299043127105053E-4"/>
    <n v="256.96000000000004"/>
  </r>
  <r>
    <x v="10"/>
    <x v="2"/>
    <x v="236"/>
    <s v="2835 Schlimgen Parkway"/>
    <x v="1"/>
    <s v="02-085-7218"/>
    <s v="41-978-3326"/>
    <d v="2025-01-17T00:00:00"/>
    <x v="197"/>
    <s v="Yes"/>
    <d v="2025-01-17T00:00:00"/>
    <d v="2024-06-25T00:00:00"/>
    <n v="206"/>
    <d v="2025-01-28T00:00:00"/>
    <n v="11"/>
    <n v="7.120000000000001"/>
    <n v="85"/>
    <n v="28"/>
    <n v="32"/>
    <n v="8.9"/>
    <n v="57"/>
    <n v="0.27669902912621358"/>
    <n v="5.1999899792654221"/>
    <n v="41"/>
    <n v="0.73"/>
    <n v="507.3"/>
    <n v="1.4735555597254167E-3"/>
    <n v="405.84000000000003"/>
  </r>
  <r>
    <x v="118"/>
    <x v="2"/>
    <x v="15"/>
    <s v="61 Transport Parkway"/>
    <x v="0"/>
    <s v="43-193-9915"/>
    <s v="23-931-2988"/>
    <d v="2025-01-17T00:00:00"/>
    <x v="67"/>
    <s v="Yes"/>
    <d v="2025-01-17T00:00:00"/>
    <d v="2024-07-12T00:00:00"/>
    <n v="189"/>
    <d v="2024-09-23T00:00:00"/>
    <n v="-116"/>
    <n v="5.7600000000000007"/>
    <n v="55"/>
    <n v="58"/>
    <n v="6"/>
    <n v="7.2"/>
    <n v="48"/>
    <n v="0.25396825396825395"/>
    <n v="5.1999899792654221"/>
    <n v="17"/>
    <n v="0.28000000000000003"/>
    <n v="345.6"/>
    <n v="1.0038651713800593E-3"/>
    <n v="276.48"/>
  </r>
  <r>
    <x v="83"/>
    <x v="2"/>
    <x v="135"/>
    <s v="9171 Redwing Street"/>
    <x v="1"/>
    <s v="62-998-7250"/>
    <s v="72-002-3904"/>
    <d v="2025-01-18T00:00:00"/>
    <x v="229"/>
    <s v="Yes"/>
    <d v="2025-01-18T00:00:00"/>
    <d v="2024-07-31T00:00:00"/>
    <n v="171"/>
    <d v="2024-10-05T00:00:00"/>
    <n v="-105"/>
    <n v="1.6"/>
    <n v="72"/>
    <n v="3"/>
    <n v="10"/>
    <n v="2"/>
    <n v="52"/>
    <n v="0.30409356725146197"/>
    <n v="5.1999899792654221"/>
    <n v="14"/>
    <n v="0.65"/>
    <n v="104"/>
    <n v="3.0208905620233262E-4"/>
    <n v="83.2"/>
  </r>
  <r>
    <x v="106"/>
    <x v="2"/>
    <x v="14"/>
    <s v="5 Waxwing Junction"/>
    <x v="2"/>
    <s v="70-871-4536"/>
    <s v="72-514-7323"/>
    <d v="2025-01-19T00:00:00"/>
    <x v="208"/>
    <s v="Yes"/>
    <d v="2025-01-19T00:00:00"/>
    <d v="2024-11-13T00:00:00"/>
    <n v="67"/>
    <d v="2024-06-17T00:00:00"/>
    <n v="-216"/>
    <n v="6.4"/>
    <n v="29"/>
    <n v="4"/>
    <n v="17"/>
    <n v="8"/>
    <n v="59"/>
    <n v="0.88059701492537312"/>
    <n v="5.1999899792654221"/>
    <n v="52"/>
    <n v="0.73"/>
    <n v="472"/>
    <n v="1.3710195627644327E-3"/>
    <n v="377.6"/>
  </r>
  <r>
    <x v="30"/>
    <x v="0"/>
    <x v="237"/>
    <s v="6 Stang Hill"/>
    <x v="1"/>
    <s v="38-822-8005"/>
    <s v="45-886-1540"/>
    <d v="2025-01-19T00:00:00"/>
    <x v="154"/>
    <s v="Yes"/>
    <d v="2025-01-19T00:00:00"/>
    <d v="2025-01-12T00:00:00"/>
    <n v="7"/>
    <d v="2024-03-31T00:00:00"/>
    <n v="-294"/>
    <n v="1.4000000000000001"/>
    <n v="47"/>
    <n v="20"/>
    <n v="65"/>
    <n v="1.75"/>
    <n v="49"/>
    <n v="7"/>
    <n v="5.1999899792654221"/>
    <n v="19"/>
    <n v="0.12"/>
    <n v="85.75"/>
    <n v="2.4907823624375022E-4"/>
    <n v="68.600000000000009"/>
  </r>
  <r>
    <x v="99"/>
    <x v="0"/>
    <x v="238"/>
    <s v="3 Del Mar Point"/>
    <x v="2"/>
    <s v="38-390-2115"/>
    <s v="12-433-6490"/>
    <d v="2025-01-19T00:00:00"/>
    <x v="58"/>
    <s v="Yes"/>
    <d v="2025-01-19T00:00:00"/>
    <d v="2024-03-06T00:00:00"/>
    <n v="319"/>
    <d v="2024-03-01T00:00:00"/>
    <n v="-324"/>
    <n v="0.96"/>
    <n v="42"/>
    <n v="69"/>
    <n v="54"/>
    <n v="1.2"/>
    <n v="43"/>
    <n v="0.13479623824451412"/>
    <n v="5.1999899792654221"/>
    <n v="96"/>
    <n v="0.61"/>
    <n v="51.6"/>
    <n v="1.4988264711577272E-4"/>
    <n v="41.28"/>
  </r>
  <r>
    <x v="18"/>
    <x v="0"/>
    <x v="49"/>
    <s v="5 Loftsgordon Trail"/>
    <x v="1"/>
    <s v="28-968-4195"/>
    <s v="17-562-1176"/>
    <d v="2025-01-19T00:00:00"/>
    <x v="48"/>
    <s v="Yes"/>
    <d v="2025-01-19T00:00:00"/>
    <d v="2024-07-17T00:00:00"/>
    <n v="186"/>
    <d v="2024-10-13T00:00:00"/>
    <n v="-98"/>
    <n v="2.4000000000000004"/>
    <n v="97"/>
    <n v="52"/>
    <n v="80"/>
    <n v="3"/>
    <n v="22"/>
    <n v="0.11827956989247312"/>
    <n v="5.1999899792654221"/>
    <n v="90"/>
    <n v="-1.23"/>
    <n v="66"/>
    <n v="1.9171036258994184E-4"/>
    <n v="52.800000000000011"/>
  </r>
  <r>
    <x v="66"/>
    <x v="2"/>
    <x v="25"/>
    <s v="75 Bunting Junction"/>
    <x v="0"/>
    <s v="09-286-8107"/>
    <s v="90-727-4816"/>
    <d v="2025-01-20T00:00:00"/>
    <x v="230"/>
    <s v="Yes"/>
    <d v="2025-01-20T00:00:00"/>
    <d v="2024-09-07T00:00:00"/>
    <n v="135"/>
    <d v="2024-12-15T00:00:00"/>
    <n v="-36"/>
    <n v="2.4000000000000004"/>
    <n v="90"/>
    <n v="62"/>
    <n v="54"/>
    <n v="3"/>
    <n v="70"/>
    <n v="0.51851851851851849"/>
    <n v="5.1999899792654221"/>
    <n v="83"/>
    <n v="-3.09"/>
    <n v="210"/>
    <n v="6.0998751733163314E-4"/>
    <n v="168.00000000000003"/>
  </r>
  <r>
    <x v="95"/>
    <x v="0"/>
    <x v="239"/>
    <s v="42 Mallory Court"/>
    <x v="0"/>
    <s v="00-405-7428"/>
    <s v="42-746-2717"/>
    <d v="2025-01-20T00:00:00"/>
    <x v="231"/>
    <s v="No"/>
    <d v="2025-01-27T00:00:00"/>
    <d v="2025-01-20T00:00:00"/>
    <n v="7"/>
    <d v="2025-01-12T00:00:00"/>
    <n v="-15"/>
    <n v="2.8000000000000003"/>
    <n v="81"/>
    <n v="74"/>
    <n v="45"/>
    <n v="3.5"/>
    <n v="42"/>
    <n v="6"/>
    <n v="5.1999899792654221"/>
    <n v="23"/>
    <n v="-0.19"/>
    <n v="147"/>
    <n v="4.2699126213214324E-4"/>
    <n v="117.60000000000001"/>
  </r>
  <r>
    <x v="61"/>
    <x v="3"/>
    <x v="240"/>
    <s v="6 Orin Place"/>
    <x v="0"/>
    <s v="43-893-5408"/>
    <s v="25-414-2945"/>
    <d v="2025-01-21T00:00:00"/>
    <x v="180"/>
    <s v="Yes"/>
    <d v="2025-01-21T00:00:00"/>
    <d v="2024-03-20T00:00:00"/>
    <n v="307"/>
    <d v="2024-08-24T00:00:00"/>
    <n v="-150"/>
    <n v="2.4000000000000004"/>
    <n v="60"/>
    <n v="90"/>
    <n v="85"/>
    <n v="3"/>
    <n v="47"/>
    <n v="0.15309446254071662"/>
    <n v="5.1999899792654221"/>
    <n v="9"/>
    <n v="0.45"/>
    <n v="141"/>
    <n v="4.0956304735123941E-4"/>
    <n v="112.80000000000001"/>
  </r>
  <r>
    <x v="86"/>
    <x v="0"/>
    <x v="241"/>
    <s v="80 Old Shore Plaza"/>
    <x v="1"/>
    <s v="52-481-5224"/>
    <s v="46-382-2024"/>
    <d v="2025-01-21T00:00:00"/>
    <x v="232"/>
    <s v="No"/>
    <d v="2025-02-07T00:00:00"/>
    <d v="2025-01-21T00:00:00"/>
    <n v="17"/>
    <d v="2025-02-15T00:00:00"/>
    <n v="8"/>
    <n v="4.8000000000000007"/>
    <n v="45"/>
    <n v="24"/>
    <n v="61"/>
    <n v="6"/>
    <n v="44"/>
    <n v="2.5882352941176472"/>
    <n v="5.1999899792654221"/>
    <n v="34"/>
    <n v="0.81"/>
    <n v="264"/>
    <n v="7.6684145035976737E-4"/>
    <n v="211.20000000000005"/>
  </r>
  <r>
    <x v="9"/>
    <x v="2"/>
    <x v="0"/>
    <s v="44249 Sutteridge Crossing"/>
    <x v="0"/>
    <s v="34-131-8805"/>
    <s v="84-472-8001"/>
    <d v="2025-01-21T00:00:00"/>
    <x v="233"/>
    <s v="Yes"/>
    <d v="2025-01-21T00:00:00"/>
    <d v="2024-09-10T00:00:00"/>
    <n v="133"/>
    <d v="2024-12-22T00:00:00"/>
    <n v="-30"/>
    <n v="1.4000000000000001"/>
    <n v="92"/>
    <n v="92"/>
    <n v="28"/>
    <n v="1.75"/>
    <n v="50"/>
    <n v="0.37593984962406013"/>
    <n v="5.1999899792654221"/>
    <n v="67"/>
    <n v="0.23"/>
    <n v="87.5"/>
    <n v="2.5416146555484715E-4"/>
    <n v="70"/>
  </r>
  <r>
    <x v="119"/>
    <x v="4"/>
    <x v="242"/>
    <s v="08545 Lillian Street"/>
    <x v="0"/>
    <s v="36-840-2728"/>
    <s v="26-454-7297"/>
    <d v="2025-01-21T00:00:00"/>
    <x v="173"/>
    <s v="Yes"/>
    <d v="2025-01-21T00:00:00"/>
    <d v="2024-08-10T00:00:00"/>
    <n v="164"/>
    <d v="2024-03-14T00:00:00"/>
    <n v="-313"/>
    <n v="6"/>
    <n v="76"/>
    <n v="21"/>
    <n v="3"/>
    <n v="7.5"/>
    <n v="31"/>
    <n v="0.18902439024390244"/>
    <n v="5.1999899792654221"/>
    <n v="47"/>
    <n v="-0.34"/>
    <n v="232.5"/>
    <n v="6.7534332276002239E-4"/>
    <n v="186"/>
  </r>
  <r>
    <x v="60"/>
    <x v="1"/>
    <x v="220"/>
    <s v="1 Green Hill"/>
    <x v="2"/>
    <s v="64-418-8356"/>
    <s v="91-451-2016"/>
    <d v="2025-01-21T00:00:00"/>
    <x v="208"/>
    <s v="Yes"/>
    <d v="2025-01-21T00:00:00"/>
    <d v="2024-11-13T00:00:00"/>
    <n v="69"/>
    <d v="2024-04-28T00:00:00"/>
    <n v="-268"/>
    <n v="2"/>
    <n v="80"/>
    <n v="24"/>
    <n v="60"/>
    <n v="2.5"/>
    <n v="98"/>
    <n v="1.4202898550724639"/>
    <n v="5.1999899792654221"/>
    <n v="38"/>
    <n v="-0.52"/>
    <n v="245"/>
    <n v="7.1165210355357209E-4"/>
    <n v="196"/>
  </r>
  <r>
    <x v="32"/>
    <x v="0"/>
    <x v="27"/>
    <s v="453 Dryden Park"/>
    <x v="1"/>
    <s v="51-462-0747"/>
    <s v="40-417-9838"/>
    <d v="2025-01-22T00:00:00"/>
    <x v="232"/>
    <s v="No"/>
    <d v="2025-02-07T00:00:00"/>
    <d v="2025-01-22T00:00:00"/>
    <n v="16"/>
    <d v="2024-03-10T00:00:00"/>
    <n v="-334"/>
    <n v="1.6"/>
    <n v="21"/>
    <n v="30"/>
    <n v="32"/>
    <n v="2"/>
    <n v="43"/>
    <n v="2.6875"/>
    <n v="5.1999899792654221"/>
    <n v="54"/>
    <n v="0.61"/>
    <n v="86"/>
    <n v="2.4980441185962118E-4"/>
    <n v="68.8"/>
  </r>
  <r>
    <x v="52"/>
    <x v="3"/>
    <x v="209"/>
    <s v="44296 Kropf Avenue"/>
    <x v="1"/>
    <s v="74-711-7160"/>
    <s v="40-662-8853"/>
    <d v="2025-01-22T00:00:00"/>
    <x v="111"/>
    <s v="Yes"/>
    <d v="2025-01-22T00:00:00"/>
    <d v="2024-12-28T00:00:00"/>
    <n v="25"/>
    <d v="2024-06-01T00:00:00"/>
    <n v="-235"/>
    <n v="3.6"/>
    <n v="84"/>
    <n v="69"/>
    <n v="77"/>
    <n v="4.5"/>
    <n v="39"/>
    <n v="1.56"/>
    <n v="5.1999899792654221"/>
    <n v="69"/>
    <n v="-0.26"/>
    <n v="175.5"/>
    <n v="5.0977528234143633E-4"/>
    <n v="140.4"/>
  </r>
  <r>
    <x v="112"/>
    <x v="0"/>
    <x v="170"/>
    <s v="00064 Mosinee Circle"/>
    <x v="2"/>
    <s v="44-637-5512"/>
    <s v="27-541-2645"/>
    <d v="2025-01-22T00:00:00"/>
    <x v="154"/>
    <s v="Yes"/>
    <d v="2025-01-22T00:00:00"/>
    <d v="2025-01-12T00:00:00"/>
    <n v="10"/>
    <d v="2024-05-26T00:00:00"/>
    <n v="-241"/>
    <n v="2.4000000000000004"/>
    <n v="58"/>
    <n v="12"/>
    <n v="99"/>
    <n v="3"/>
    <n v="71"/>
    <n v="7.1"/>
    <n v="5.1999899792654221"/>
    <n v="30"/>
    <n v="-0.77"/>
    <n v="213"/>
    <n v="6.1870162472208508E-4"/>
    <n v="170.40000000000003"/>
  </r>
  <r>
    <x v="105"/>
    <x v="6"/>
    <x v="108"/>
    <s v="1223 Monument Drive"/>
    <x v="1"/>
    <s v="27-881-1177"/>
    <s v="64-807-5250"/>
    <d v="2025-01-23T00:00:00"/>
    <x v="17"/>
    <s v="Yes"/>
    <d v="2025-01-23T00:00:00"/>
    <d v="2024-07-03T00:00:00"/>
    <n v="204"/>
    <d v="2024-11-23T00:00:00"/>
    <n v="-61"/>
    <n v="6.4"/>
    <n v="34"/>
    <n v="47"/>
    <n v="99"/>
    <n v="8"/>
    <n v="97"/>
    <n v="0.47549019607843135"/>
    <n v="5.1999899792654221"/>
    <n v="47"/>
    <n v="0.57999999999999996"/>
    <n v="776"/>
    <n v="2.2540491116635588E-3"/>
    <n v="620.80000000000007"/>
  </r>
  <r>
    <x v="65"/>
    <x v="3"/>
    <x v="105"/>
    <s v="879 Amoth Terrace"/>
    <x v="2"/>
    <s v="72-404-5581"/>
    <s v="18-065-8014"/>
    <d v="2025-01-23T00:00:00"/>
    <x v="5"/>
    <s v="Yes"/>
    <d v="2025-01-23T00:00:00"/>
    <d v="2024-08-07T00:00:00"/>
    <n v="169"/>
    <d v="2025-02-08T00:00:00"/>
    <n v="16"/>
    <n v="7.6000000000000005"/>
    <n v="54"/>
    <n v="17"/>
    <n v="90"/>
    <n v="9.5"/>
    <n v="60"/>
    <n v="0.35502958579881655"/>
    <n v="5.1999899792654221"/>
    <n v="20"/>
    <n v="0.52"/>
    <n v="570"/>
    <n v="1.6556804041858615E-3"/>
    <n v="456.00000000000006"/>
  </r>
  <r>
    <x v="103"/>
    <x v="1"/>
    <x v="139"/>
    <s v="931 Browning Center"/>
    <x v="1"/>
    <s v="12-046-2988"/>
    <s v="37-630-2250"/>
    <d v="2025-01-25T00:00:00"/>
    <x v="49"/>
    <s v="Yes"/>
    <d v="2025-01-25T00:00:00"/>
    <d v="2025-01-24T00:00:00"/>
    <n v="1"/>
    <d v="2024-11-21T00:00:00"/>
    <n v="-65"/>
    <n v="2"/>
    <n v="17"/>
    <n v="63"/>
    <n v="66"/>
    <n v="2.5"/>
    <n v="23"/>
    <n v="23"/>
    <n v="5.1999899792654221"/>
    <n v="46"/>
    <n v="0.67"/>
    <n v="57.5"/>
    <n v="1.6702039165032812E-4"/>
    <n v="46"/>
  </r>
  <r>
    <x v="77"/>
    <x v="6"/>
    <x v="104"/>
    <s v="564 Hazelcrest Crossing"/>
    <x v="1"/>
    <s v="21-816-1004"/>
    <s v="68-482-4786"/>
    <d v="2025-01-26T00:00:00"/>
    <x v="203"/>
    <s v="Yes"/>
    <d v="2025-01-26T00:00:00"/>
    <d v="2024-12-04T00:00:00"/>
    <n v="53"/>
    <d v="2024-07-22T00:00:00"/>
    <n v="-188"/>
    <n v="12"/>
    <n v="84"/>
    <n v="13"/>
    <n v="88"/>
    <n v="15"/>
    <n v="25"/>
    <n v="0.47169811320754718"/>
    <n v="5.1999899792654221"/>
    <n v="34"/>
    <n v="-1"/>
    <n v="375"/>
    <n v="1.0892634238064878E-3"/>
    <n v="300"/>
  </r>
  <r>
    <x v="50"/>
    <x v="4"/>
    <x v="201"/>
    <s v="65721 Caliangt Crossing"/>
    <x v="0"/>
    <s v="81-605-6246"/>
    <s v="62-086-0407"/>
    <d v="2025-01-26T00:00:00"/>
    <x v="15"/>
    <s v="Yes"/>
    <d v="2025-01-26T00:00:00"/>
    <d v="2024-03-02T00:00:00"/>
    <n v="330"/>
    <d v="2024-03-06T00:00:00"/>
    <n v="-326"/>
    <n v="4.8000000000000007"/>
    <n v="73"/>
    <n v="31"/>
    <n v="49"/>
    <n v="6"/>
    <n v="22"/>
    <n v="6.6666666666666666E-2"/>
    <n v="5.1999899792654221"/>
    <n v="47"/>
    <n v="-0.36"/>
    <n v="132"/>
    <n v="3.8342072517988368E-4"/>
    <n v="105.60000000000002"/>
  </r>
  <r>
    <x v="2"/>
    <x v="2"/>
    <x v="34"/>
    <s v="89 Springs Alley"/>
    <x v="2"/>
    <s v="11-815-7923"/>
    <s v="98-304-8407"/>
    <d v="2025-01-26T00:00:00"/>
    <x v="74"/>
    <s v="Yes"/>
    <d v="2025-01-26T00:00:00"/>
    <d v="2024-06-16T00:00:00"/>
    <n v="224"/>
    <d v="2024-08-06T00:00:00"/>
    <n v="-173"/>
    <n v="9.4400000000000013"/>
    <n v="96"/>
    <n v="9"/>
    <n v="57"/>
    <n v="11.8"/>
    <n v="78"/>
    <n v="0.3482142857142857"/>
    <n v="5.1999899792654221"/>
    <n v="67"/>
    <n v="-1.1399999999999999"/>
    <n v="920.40000000000009"/>
    <n v="2.6734881473906439E-3"/>
    <n v="736.32"/>
  </r>
  <r>
    <x v="27"/>
    <x v="4"/>
    <x v="28"/>
    <s v="1792 Crownhardt Street"/>
    <x v="2"/>
    <s v="26-456-1992"/>
    <s v="60-159-3514"/>
    <d v="2025-01-26T00:00:00"/>
    <x v="21"/>
    <s v="Yes"/>
    <d v="2025-01-26T00:00:00"/>
    <d v="2024-12-23T00:00:00"/>
    <n v="34"/>
    <d v="2024-07-29T00:00:00"/>
    <n v="-181"/>
    <n v="5.6000000000000005"/>
    <n v="56"/>
    <n v="59"/>
    <n v="87"/>
    <n v="7"/>
    <n v="65"/>
    <n v="1.911764705882353"/>
    <n v="5.1999899792654221"/>
    <n v="45"/>
    <n v="0.14000000000000001"/>
    <n v="455"/>
    <n v="1.3216396208852051E-3"/>
    <n v="364.00000000000006"/>
  </r>
  <r>
    <x v="30"/>
    <x v="0"/>
    <x v="140"/>
    <s v="0847 Artisan Hill"/>
    <x v="2"/>
    <s v="63-168-6018"/>
    <s v="01-853-2191"/>
    <d v="2025-01-26T00:00:00"/>
    <x v="33"/>
    <s v="Yes"/>
    <d v="2025-01-26T00:00:00"/>
    <d v="2024-10-03T00:00:00"/>
    <n v="115"/>
    <d v="2024-05-01T00:00:00"/>
    <n v="-270"/>
    <n v="1.4400000000000002"/>
    <n v="60"/>
    <n v="63"/>
    <n v="81"/>
    <n v="1.8"/>
    <n v="74"/>
    <n v="0.64347826086956517"/>
    <n v="5.1999899792654221"/>
    <n v="31"/>
    <n v="0.31"/>
    <n v="133.20000000000002"/>
    <n v="3.869063681360645E-4"/>
    <n v="106.56000000000002"/>
  </r>
  <r>
    <x v="25"/>
    <x v="5"/>
    <x v="95"/>
    <s v="24045 Bluestem Point"/>
    <x v="2"/>
    <s v="70-854-6891"/>
    <s v="79-575-9351"/>
    <d v="2025-01-28T00:00:00"/>
    <x v="234"/>
    <s v="Yes"/>
    <d v="2025-01-28T00:00:00"/>
    <d v="2024-11-28T00:00:00"/>
    <n v="61"/>
    <d v="2024-11-12T00:00:00"/>
    <n v="-77"/>
    <n v="3.2"/>
    <n v="41"/>
    <n v="84"/>
    <n v="90"/>
    <n v="4"/>
    <n v="42"/>
    <n v="0.68852459016393441"/>
    <n v="5.1999899792654221"/>
    <n v="65"/>
    <n v="0.57999999999999996"/>
    <n v="168"/>
    <n v="4.8799001386530652E-4"/>
    <n v="134.4"/>
  </r>
  <r>
    <x v="118"/>
    <x v="2"/>
    <x v="29"/>
    <s v="9305 Warrior Way"/>
    <x v="0"/>
    <s v="87-762-1317"/>
    <s v="58-474-3510"/>
    <d v="2025-01-28T00:00:00"/>
    <x v="176"/>
    <s v="Yes"/>
    <d v="2025-01-28T00:00:00"/>
    <d v="2024-11-20T00:00:00"/>
    <n v="69"/>
    <d v="2025-02-09T00:00:00"/>
    <n v="12"/>
    <n v="5.6000000000000005"/>
    <n v="45"/>
    <n v="63"/>
    <n v="75"/>
    <n v="7"/>
    <n v="83"/>
    <n v="1.2028985507246377"/>
    <n v="5.1999899792654221"/>
    <n v="5"/>
    <n v="-0.55000000000000004"/>
    <n v="581"/>
    <n v="1.687632131284185E-3"/>
    <n v="464.80000000000007"/>
  </r>
  <r>
    <x v="80"/>
    <x v="6"/>
    <x v="243"/>
    <s v="13 Bluejay Way"/>
    <x v="1"/>
    <s v="80-374-5711"/>
    <s v="77-566-9826"/>
    <d v="2025-01-28T00:00:00"/>
    <x v="206"/>
    <s v="Yes"/>
    <d v="2025-01-28T00:00:00"/>
    <d v="2024-10-05T00:00:00"/>
    <n v="115"/>
    <d v="2024-12-07T00:00:00"/>
    <n v="-52"/>
    <n v="24.8"/>
    <n v="48"/>
    <n v="77"/>
    <n v="81"/>
    <n v="31"/>
    <n v="70"/>
    <n v="0.60869565217391308"/>
    <n v="5.1999899792654221"/>
    <n v="74"/>
    <n v="0.94"/>
    <n v="2170"/>
    <n v="6.3032043457602093E-3"/>
    <n v="1736"/>
  </r>
  <r>
    <x v="10"/>
    <x v="2"/>
    <x v="244"/>
    <s v="710 Service Park"/>
    <x v="1"/>
    <s v="60-456-8169"/>
    <s v="54-529-4459"/>
    <d v="2025-01-28T00:00:00"/>
    <x v="235"/>
    <s v="Yes"/>
    <d v="2025-01-28T00:00:00"/>
    <d v="2024-02-28T00:00:00"/>
    <n v="335"/>
    <d v="2024-02-25T00:00:00"/>
    <n v="-338"/>
    <n v="7.2"/>
    <n v="21"/>
    <n v="28"/>
    <n v="72"/>
    <n v="9"/>
    <n v="69"/>
    <n v="0.20597014925373133"/>
    <n v="5.1999899792654221"/>
    <n v="51"/>
    <n v="-0.06"/>
    <n v="621"/>
    <n v="1.8038202298235439E-3"/>
    <n v="496.8"/>
  </r>
  <r>
    <x v="5"/>
    <x v="0"/>
    <x v="215"/>
    <s v="71796 Waubesa Terrace"/>
    <x v="1"/>
    <s v="99-543-5039"/>
    <s v="63-683-7396"/>
    <d v="2025-01-28T00:00:00"/>
    <x v="176"/>
    <s v="Yes"/>
    <d v="2025-01-28T00:00:00"/>
    <d v="2024-11-20T00:00:00"/>
    <n v="69"/>
    <d v="2024-07-29T00:00:00"/>
    <n v="-183"/>
    <n v="2"/>
    <n v="65"/>
    <n v="88"/>
    <n v="20"/>
    <n v="2.5"/>
    <n v="89"/>
    <n v="1.2898550724637681"/>
    <n v="5.1999899792654221"/>
    <n v="37"/>
    <n v="0.26"/>
    <n v="222.5"/>
    <n v="6.4629629812518272E-4"/>
    <n v="178"/>
  </r>
  <r>
    <x v="39"/>
    <x v="1"/>
    <x v="26"/>
    <s v="545 Farwell Lane"/>
    <x v="2"/>
    <s v="72-810-9753"/>
    <s v="17-359-2527"/>
    <d v="2025-01-28T00:00:00"/>
    <x v="232"/>
    <s v="No"/>
    <d v="2025-02-07T00:00:00"/>
    <d v="2025-01-28T00:00:00"/>
    <n v="10"/>
    <d v="2024-12-12T00:00:00"/>
    <n v="-57"/>
    <n v="5.2"/>
    <n v="14"/>
    <n v="84"/>
    <n v="15"/>
    <n v="6.5"/>
    <n v="51"/>
    <n v="5.0999999999999996"/>
    <n v="5.1999899792654221"/>
    <n v="73"/>
    <n v="0.57999999999999996"/>
    <n v="331.5"/>
    <n v="9.6290886664493524E-4"/>
    <n v="265.2"/>
  </r>
  <r>
    <x v="52"/>
    <x v="3"/>
    <x v="135"/>
    <s v="9 Burrows Junction"/>
    <x v="0"/>
    <s v="78-956-4737"/>
    <s v="76-712-0418"/>
    <d v="2025-01-29T00:00:00"/>
    <x v="1"/>
    <s v="Yes"/>
    <d v="2025-01-29T00:00:00"/>
    <d v="2024-05-19T00:00:00"/>
    <n v="255"/>
    <d v="2024-04-18T00:00:00"/>
    <n v="-286"/>
    <n v="3.3600000000000003"/>
    <n v="47"/>
    <n v="1"/>
    <n v="60"/>
    <n v="4.2"/>
    <n v="32"/>
    <n v="0.12549019607843137"/>
    <n v="5.1999899792654221"/>
    <n v="87"/>
    <n v="-0.43"/>
    <n v="134.4"/>
    <n v="3.9039201109224527E-4"/>
    <n v="107.52000000000001"/>
  </r>
  <r>
    <x v="95"/>
    <x v="0"/>
    <x v="130"/>
    <s v="5 Eggendart Parkway"/>
    <x v="1"/>
    <s v="46-415-8633"/>
    <s v="32-497-0478"/>
    <d v="2025-01-29T00:00:00"/>
    <x v="116"/>
    <s v="Yes"/>
    <d v="2025-01-29T00:00:00"/>
    <d v="2024-11-17T00:00:00"/>
    <n v="73"/>
    <d v="2025-01-02T00:00:00"/>
    <n v="-27"/>
    <n v="2.8000000000000003"/>
    <n v="71"/>
    <n v="36"/>
    <n v="45"/>
    <n v="3.5"/>
    <n v="87"/>
    <n v="1.1917808219178083"/>
    <n v="5.1999899792654221"/>
    <n v="2"/>
    <n v="-1.72"/>
    <n v="304.5"/>
    <n v="8.8448190013086807E-4"/>
    <n v="243.60000000000002"/>
  </r>
  <r>
    <x v="43"/>
    <x v="1"/>
    <x v="16"/>
    <s v="16 Autumn Leaf Way"/>
    <x v="1"/>
    <s v="06-611-5454"/>
    <s v="43-786-9229"/>
    <d v="2025-01-30T00:00:00"/>
    <x v="57"/>
    <s v="Yes"/>
    <d v="2025-01-30T00:00:00"/>
    <d v="2024-10-11T00:00:00"/>
    <n v="111"/>
    <d v="2024-11-16T00:00:00"/>
    <n v="-75"/>
    <n v="3.2"/>
    <n v="64"/>
    <n v="21"/>
    <n v="13"/>
    <n v="4"/>
    <n v="51"/>
    <n v="0.45945945945945948"/>
    <n v="5.1999899792654221"/>
    <n v="26"/>
    <n v="0.98"/>
    <n v="204"/>
    <n v="5.9255930255072936E-4"/>
    <n v="163.20000000000002"/>
  </r>
  <r>
    <x v="41"/>
    <x v="2"/>
    <x v="81"/>
    <s v="6 Tony Junction"/>
    <x v="0"/>
    <s v="27-783-5470"/>
    <s v="45-997-6429"/>
    <d v="2025-01-30T00:00:00"/>
    <x v="174"/>
    <s v="Yes"/>
    <d v="2025-01-30T00:00:00"/>
    <d v="2024-07-27T00:00:00"/>
    <n v="187"/>
    <d v="2024-03-16T00:00:00"/>
    <n v="-320"/>
    <n v="5.6000000000000005"/>
    <n v="74"/>
    <n v="65"/>
    <n v="5"/>
    <n v="7"/>
    <n v="21"/>
    <n v="0.11229946524064172"/>
    <n v="5.1999899792654221"/>
    <n v="42"/>
    <n v="0.49"/>
    <n v="147"/>
    <n v="4.2699126213214324E-4"/>
    <n v="117.60000000000001"/>
  </r>
  <r>
    <x v="17"/>
    <x v="2"/>
    <x v="245"/>
    <s v="19112 Little Fleur Road"/>
    <x v="0"/>
    <s v="55-697-5242"/>
    <s v="74-726-0855"/>
    <d v="2025-01-31T00:00:00"/>
    <x v="124"/>
    <s v="Yes"/>
    <d v="2025-01-31T00:00:00"/>
    <d v="2024-06-30T00:00:00"/>
    <n v="215"/>
    <d v="2024-09-24T00:00:00"/>
    <n v="-129"/>
    <n v="4.8000000000000007"/>
    <n v="51"/>
    <n v="53"/>
    <n v="88"/>
    <n v="6"/>
    <n v="54"/>
    <n v="0.25116279069767444"/>
    <n v="5.1999899792654221"/>
    <n v="59"/>
    <n v="-1"/>
    <n v="324"/>
    <n v="9.4112359816880548E-4"/>
    <n v="259.20000000000005"/>
  </r>
  <r>
    <x v="42"/>
    <x v="0"/>
    <x v="223"/>
    <s v="38 Dawn Street"/>
    <x v="0"/>
    <s v="15-082-9124"/>
    <s v="02-997-1489"/>
    <d v="2025-01-31T00:00:00"/>
    <x v="96"/>
    <s v="Yes"/>
    <d v="2025-01-31T00:00:00"/>
    <d v="2024-10-08T00:00:00"/>
    <n v="115"/>
    <d v="2024-05-07T00:00:00"/>
    <n v="-269"/>
    <n v="4"/>
    <n v="89"/>
    <n v="35"/>
    <n v="19"/>
    <n v="5"/>
    <n v="49"/>
    <n v="0.42608695652173911"/>
    <n v="5.1999899792654221"/>
    <n v="55"/>
    <n v="-0.09"/>
    <n v="245"/>
    <n v="7.1165210355357209E-4"/>
    <n v="196"/>
  </r>
  <r>
    <x v="83"/>
    <x v="2"/>
    <x v="246"/>
    <s v="579 Schlimgen Alley"/>
    <x v="0"/>
    <s v="06-996-3221"/>
    <s v="97-821-7402"/>
    <d v="2024-10-13T00:00:00"/>
    <x v="203"/>
    <s v="No"/>
    <d v="2024-12-04T00:00:00"/>
    <d v="2024-10-13T00:00:00"/>
    <n v="52"/>
    <d v="2024-06-10T00:00:00"/>
    <n v="-177"/>
    <n v="1.6"/>
    <n v="11"/>
    <n v="9"/>
    <n v="65"/>
    <n v="2"/>
    <n v="48"/>
    <n v="0.92307692307692313"/>
    <n v="5.1999899792654221"/>
    <n v="96"/>
    <n v="-0.12"/>
    <n v="96"/>
    <n v="2.788514364944609E-4"/>
    <n v="76.800000000000011"/>
  </r>
  <r>
    <x v="87"/>
    <x v="4"/>
    <x v="247"/>
    <s v="9 Anhalt Trail"/>
    <x v="2"/>
    <s v="45-634-0679"/>
    <s v="29-542-9338"/>
    <d v="2024-10-13T00:00:00"/>
    <x v="235"/>
    <s v="Yes"/>
    <d v="2024-10-13T00:00:00"/>
    <d v="2024-02-28T00:00:00"/>
    <n v="228"/>
    <d v="2024-08-27T00:00:00"/>
    <n v="-47"/>
    <n v="7.2"/>
    <n v="98"/>
    <n v="100"/>
    <n v="34"/>
    <n v="9"/>
    <n v="53"/>
    <n v="0.23245614035087719"/>
    <n v="5.1999899792654221"/>
    <n v="20"/>
    <n v="-1"/>
    <n v="477"/>
    <n v="1.3855430750818526E-3"/>
    <n v="381.6"/>
  </r>
  <r>
    <x v="74"/>
    <x v="5"/>
    <x v="248"/>
    <s v="85 Lunder Court"/>
    <x v="2"/>
    <s v="15-796-3130"/>
    <s v="45-912-2948"/>
    <d v="2024-10-14T00:00:00"/>
    <x v="190"/>
    <s v="Yes"/>
    <d v="2024-10-14T00:00:00"/>
    <d v="2024-04-17T00:00:00"/>
    <n v="180"/>
    <d v="2024-05-29T00:00:00"/>
    <n v="-138"/>
    <n v="2.4000000000000004"/>
    <n v="50"/>
    <n v="58"/>
    <n v="78"/>
    <n v="3"/>
    <n v="83"/>
    <n v="0.46111111111111114"/>
    <n v="5.1999899792654221"/>
    <n v="49"/>
    <n v="0.62"/>
    <n v="249"/>
    <n v="7.2327091340750787E-4"/>
    <n v="199.20000000000002"/>
  </r>
  <r>
    <x v="105"/>
    <x v="6"/>
    <x v="157"/>
    <s v="51369 Dawn Hill"/>
    <x v="2"/>
    <s v="51-000-8113"/>
    <s v="56-825-0880"/>
    <d v="2024-10-14T00:00:00"/>
    <x v="45"/>
    <s v="No"/>
    <d v="2025-01-31T00:00:00"/>
    <d v="2024-10-14T00:00:00"/>
    <n v="109"/>
    <d v="2024-11-20T00:00:00"/>
    <n v="-72"/>
    <n v="6.4"/>
    <n v="24"/>
    <n v="27"/>
    <n v="35"/>
    <n v="8"/>
    <n v="49"/>
    <n v="0.44954128440366975"/>
    <n v="5.1999899792654221"/>
    <n v="58"/>
    <n v="0.41"/>
    <n v="392"/>
    <n v="1.1386433656857152E-3"/>
    <n v="313.60000000000002"/>
  </r>
  <r>
    <x v="84"/>
    <x v="3"/>
    <x v="249"/>
    <s v="9050 Dorton Pass"/>
    <x v="2"/>
    <s v="20-387-7746"/>
    <s v="08-218-9429"/>
    <d v="2024-10-14T00:00:00"/>
    <x v="217"/>
    <s v="Yes"/>
    <d v="2024-10-14T00:00:00"/>
    <d v="2024-06-05T00:00:00"/>
    <n v="131"/>
    <d v="2024-10-27T00:00:00"/>
    <n v="13"/>
    <n v="2"/>
    <n v="64"/>
    <n v="10"/>
    <n v="100"/>
    <n v="2.5"/>
    <n v="97"/>
    <n v="0.74045801526717558"/>
    <n v="5.1999899792654221"/>
    <n v="52"/>
    <n v="-0.18"/>
    <n v="242.5"/>
    <n v="7.0439034739486217E-4"/>
    <n v="194"/>
  </r>
  <r>
    <x v="68"/>
    <x v="0"/>
    <x v="228"/>
    <s v="856 School Plaza"/>
    <x v="0"/>
    <s v="82-931-7126"/>
    <s v="67-596-1997"/>
    <d v="2024-10-14T00:00:00"/>
    <x v="66"/>
    <s v="No"/>
    <d v="2024-10-17T00:00:00"/>
    <d v="2024-10-14T00:00:00"/>
    <n v="3"/>
    <d v="2024-05-12T00:00:00"/>
    <n v="-158"/>
    <n v="4"/>
    <n v="34"/>
    <n v="95"/>
    <n v="18"/>
    <n v="5"/>
    <n v="41"/>
    <n v="13.666666666666666"/>
    <n v="5.1999899792654221"/>
    <n v="26"/>
    <n v="0.46"/>
    <n v="205"/>
    <n v="5.954640050142133E-4"/>
    <n v="164"/>
  </r>
  <r>
    <x v="66"/>
    <x v="2"/>
    <x v="53"/>
    <s v="82 Drewry Junction"/>
    <x v="2"/>
    <s v="55-631-7937"/>
    <s v="79-508-5241"/>
    <d v="2024-10-15T00:00:00"/>
    <x v="236"/>
    <s v="Yes"/>
    <d v="2024-10-15T00:00:00"/>
    <d v="2024-06-19T00:00:00"/>
    <n v="118"/>
    <d v="2025-01-21T00:00:00"/>
    <n v="98"/>
    <n v="2.4000000000000004"/>
    <n v="26"/>
    <n v="54"/>
    <n v="90"/>
    <n v="3"/>
    <n v="25"/>
    <n v="0.21186440677966101"/>
    <n v="5.1999899792654221"/>
    <n v="81"/>
    <n v="0.37"/>
    <n v="75"/>
    <n v="2.1785268476129756E-4"/>
    <n v="60.000000000000007"/>
  </r>
  <r>
    <x v="99"/>
    <x v="0"/>
    <x v="31"/>
    <s v="9067 Valley Edge Park"/>
    <x v="1"/>
    <s v="11-338-4598"/>
    <s v="72-360-6358"/>
    <d v="2024-10-16T00:00:00"/>
    <x v="237"/>
    <s v="No"/>
    <d v="2025-02-03T00:00:00"/>
    <d v="2024-10-16T00:00:00"/>
    <n v="110"/>
    <d v="2025-02-23T00:00:00"/>
    <n v="20"/>
    <n v="0.96"/>
    <n v="72"/>
    <n v="58"/>
    <n v="69"/>
    <n v="1.2"/>
    <n v="96"/>
    <n v="0.87272727272727268"/>
    <n v="5.1999899792654221"/>
    <n v="23"/>
    <n v="-2.2400000000000002"/>
    <n v="115.19999999999999"/>
    <n v="3.34621723793353E-4"/>
    <n v="92.16"/>
  </r>
  <r>
    <x v="102"/>
    <x v="0"/>
    <x v="24"/>
    <s v="185 Stone Corner Parkway"/>
    <x v="2"/>
    <s v="52-402-9245"/>
    <s v="37-519-7762"/>
    <d v="2024-10-16T00:00:00"/>
    <x v="194"/>
    <s v="No"/>
    <d v="2025-02-12T00:00:00"/>
    <d v="2024-10-16T00:00:00"/>
    <n v="119"/>
    <d v="2024-09-19T00:00:00"/>
    <n v="-146"/>
    <n v="3.2"/>
    <n v="89"/>
    <n v="40"/>
    <n v="64"/>
    <n v="4"/>
    <n v="93"/>
    <n v="0.78151260504201681"/>
    <n v="5.1999899792654221"/>
    <n v="48"/>
    <n v="0.76"/>
    <n v="372"/>
    <n v="1.0805493164160358E-3"/>
    <n v="297.60000000000002"/>
  </r>
  <r>
    <x v="44"/>
    <x v="1"/>
    <x v="250"/>
    <s v="205 Straubel Court"/>
    <x v="2"/>
    <s v="09-536-2626"/>
    <s v="14-483-5712"/>
    <d v="2024-10-17T00:00:00"/>
    <x v="238"/>
    <s v="Yes"/>
    <d v="2024-10-17T00:00:00"/>
    <d v="2024-08-26T00:00:00"/>
    <n v="52"/>
    <d v="2024-03-21T00:00:00"/>
    <n v="-210"/>
    <n v="4.8000000000000007"/>
    <n v="83"/>
    <n v="52"/>
    <n v="32"/>
    <n v="6"/>
    <n v="47"/>
    <n v="0.90384615384615385"/>
    <n v="5.1999899792654221"/>
    <n v="7"/>
    <n v="0.48"/>
    <n v="282"/>
    <n v="8.1912609470247881E-4"/>
    <n v="225.60000000000002"/>
  </r>
  <r>
    <x v="20"/>
    <x v="6"/>
    <x v="251"/>
    <s v="2 7th Center"/>
    <x v="1"/>
    <s v="48-427-0551"/>
    <s v="01-900-4509"/>
    <d v="2024-10-17T00:00:00"/>
    <x v="239"/>
    <s v="No"/>
    <d v="2024-12-16T00:00:00"/>
    <d v="2024-10-17T00:00:00"/>
    <n v="60"/>
    <d v="2024-11-03T00:00:00"/>
    <n v="-43"/>
    <n v="16"/>
    <n v="13"/>
    <n v="55"/>
    <n v="77"/>
    <n v="20"/>
    <n v="67"/>
    <n v="1.1166666666666667"/>
    <n v="5.1999899792654221"/>
    <n v="68"/>
    <n v="0.85"/>
    <n v="1340"/>
    <n v="3.8923013010685164E-3"/>
    <n v="1072"/>
  </r>
  <r>
    <x v="105"/>
    <x v="6"/>
    <x v="252"/>
    <s v="443 Browning Terrace"/>
    <x v="1"/>
    <s v="06-706-6490"/>
    <s v="85-670-6379"/>
    <d v="2024-10-18T00:00:00"/>
    <x v="17"/>
    <s v="Yes"/>
    <d v="2024-10-18T00:00:00"/>
    <d v="2024-07-03T00:00:00"/>
    <n v="107"/>
    <d v="2024-03-15T00:00:00"/>
    <n v="-217"/>
    <n v="6.4"/>
    <n v="15"/>
    <n v="66"/>
    <n v="85"/>
    <n v="8"/>
    <n v="60"/>
    <n v="0.56074766355140182"/>
    <n v="5.1999899792654221"/>
    <n v="40"/>
    <n v="-0.01"/>
    <n v="480"/>
    <n v="1.3942571824723045E-3"/>
    <n v="384"/>
  </r>
  <r>
    <x v="24"/>
    <x v="3"/>
    <x v="177"/>
    <s v="97 Utah Lane"/>
    <x v="1"/>
    <s v="29-135-0791"/>
    <s v="05-050-4384"/>
    <d v="2024-10-18T00:00:00"/>
    <x v="2"/>
    <s v="No"/>
    <d v="2024-12-21T00:00:00"/>
    <d v="2024-10-18T00:00:00"/>
    <n v="64"/>
    <d v="2025-01-11T00:00:00"/>
    <n v="21"/>
    <n v="3.8000000000000003"/>
    <n v="56"/>
    <n v="48"/>
    <n v="82"/>
    <n v="4.75"/>
    <n v="71"/>
    <n v="1.109375"/>
    <n v="5.1999899792654221"/>
    <n v="65"/>
    <n v="0.33"/>
    <n v="337.25"/>
    <n v="9.7961090580996795E-4"/>
    <n v="269.8"/>
  </r>
  <r>
    <x v="68"/>
    <x v="0"/>
    <x v="170"/>
    <s v="25 Drewry Alley"/>
    <x v="1"/>
    <s v="89-624-7462"/>
    <s v="39-506-2186"/>
    <d v="2024-10-18T00:00:00"/>
    <x v="131"/>
    <s v="No"/>
    <d v="2025-02-16T00:00:00"/>
    <d v="2024-10-18T00:00:00"/>
    <n v="121"/>
    <d v="2024-11-24T00:00:00"/>
    <n v="-84"/>
    <n v="4"/>
    <n v="18"/>
    <n v="3"/>
    <n v="39"/>
    <n v="5"/>
    <n v="58"/>
    <n v="0.47933884297520662"/>
    <n v="5.1999899792654221"/>
    <n v="61"/>
    <n v="0.08"/>
    <n v="290"/>
    <n v="8.4236371441035059E-4"/>
    <n v="232"/>
  </r>
  <r>
    <x v="54"/>
    <x v="3"/>
    <x v="58"/>
    <s v="77 Monument Court"/>
    <x v="0"/>
    <s v="82-231-4245"/>
    <s v="96-177-4040"/>
    <d v="2024-10-18T00:00:00"/>
    <x v="39"/>
    <s v="Yes"/>
    <d v="2024-10-18T00:00:00"/>
    <d v="2024-08-28T00:00:00"/>
    <n v="51"/>
    <d v="2025-01-16T00:00:00"/>
    <n v="90"/>
    <n v="8"/>
    <n v="32"/>
    <n v="91"/>
    <n v="80"/>
    <n v="10"/>
    <n v="69"/>
    <n v="1.3529411764705883"/>
    <n v="5.1999899792654221"/>
    <n v="80"/>
    <n v="-0.05"/>
    <n v="690"/>
    <n v="2.0042446998039375E-3"/>
    <n v="552"/>
  </r>
  <r>
    <x v="78"/>
    <x v="3"/>
    <x v="253"/>
    <s v="61932 Cascade Crossing"/>
    <x v="1"/>
    <s v="42-220-9305"/>
    <s v="56-092-7992"/>
    <d v="2024-10-19T00:00:00"/>
    <x v="165"/>
    <s v="No"/>
    <d v="2024-12-11T00:00:00"/>
    <d v="2024-10-19T00:00:00"/>
    <n v="53"/>
    <d v="2024-10-14T00:00:00"/>
    <n v="-58"/>
    <n v="1.6"/>
    <n v="91"/>
    <n v="98"/>
    <n v="6"/>
    <n v="2"/>
    <n v="100"/>
    <n v="1.8867924528301887"/>
    <n v="5.1999899792654221"/>
    <n v="20"/>
    <n v="-0.16"/>
    <n v="200"/>
    <n v="5.8094049269679347E-4"/>
    <n v="160"/>
  </r>
  <r>
    <x v="111"/>
    <x v="5"/>
    <x v="181"/>
    <s v="4 Judy Hill"/>
    <x v="1"/>
    <s v="02-920-4829"/>
    <s v="41-587-4864"/>
    <d v="2024-10-19T00:00:00"/>
    <x v="123"/>
    <s v="Yes"/>
    <d v="2024-10-19T00:00:00"/>
    <d v="2024-06-14T00:00:00"/>
    <n v="127"/>
    <d v="2024-05-22T00:00:00"/>
    <n v="-150"/>
    <n v="2"/>
    <n v="92"/>
    <n v="87"/>
    <n v="84"/>
    <n v="2.5"/>
    <n v="61"/>
    <n v="0.48031496062992124"/>
    <n v="5.1999899792654221"/>
    <n v="31"/>
    <n v="0.8"/>
    <n v="152.5"/>
    <n v="4.4296712568130505E-4"/>
    <n v="122"/>
  </r>
  <r>
    <x v="36"/>
    <x v="6"/>
    <x v="109"/>
    <s v="58 La Follette Park"/>
    <x v="0"/>
    <s v="61-801-8665"/>
    <s v="78-283-9751"/>
    <d v="2024-10-19T00:00:00"/>
    <x v="61"/>
    <s v="No"/>
    <d v="2024-12-06T00:00:00"/>
    <d v="2024-10-19T00:00:00"/>
    <n v="48"/>
    <d v="2024-06-24T00:00:00"/>
    <n v="-165"/>
    <n v="8.4"/>
    <n v="42"/>
    <n v="88"/>
    <n v="17"/>
    <n v="10.5"/>
    <n v="34"/>
    <n v="0.70833333333333337"/>
    <n v="5.1999899792654221"/>
    <n v="51"/>
    <n v="0.49"/>
    <n v="357"/>
    <n v="1.0369787794637763E-3"/>
    <n v="285.60000000000002"/>
  </r>
  <r>
    <x v="47"/>
    <x v="4"/>
    <x v="254"/>
    <s v="52105 Mandrake Place"/>
    <x v="2"/>
    <s v="01-144-5960"/>
    <s v="80-848-7493"/>
    <d v="2024-10-20T00:00:00"/>
    <x v="20"/>
    <s v="Yes"/>
    <d v="2024-10-20T00:00:00"/>
    <d v="2024-05-29T00:00:00"/>
    <n v="144"/>
    <d v="2024-07-13T00:00:00"/>
    <n v="-99"/>
    <n v="9.6000000000000014"/>
    <n v="75"/>
    <n v="25"/>
    <n v="99"/>
    <n v="12"/>
    <n v="89"/>
    <n v="0.61805555555555558"/>
    <n v="5.1999899792654221"/>
    <n v="42"/>
    <n v="-0.5"/>
    <n v="1068"/>
    <n v="3.1022222310008772E-3"/>
    <n v="854.40000000000009"/>
  </r>
  <r>
    <x v="30"/>
    <x v="0"/>
    <x v="255"/>
    <s v="83 Pleasure Street"/>
    <x v="2"/>
    <s v="98-575-4736"/>
    <s v="44-429-6199"/>
    <d v="2024-10-20T00:00:00"/>
    <x v="240"/>
    <s v="Yes"/>
    <d v="2024-10-20T00:00:00"/>
    <d v="2024-05-25T00:00:00"/>
    <n v="148"/>
    <d v="2024-09-17T00:00:00"/>
    <n v="-33"/>
    <n v="1.4400000000000002"/>
    <n v="76"/>
    <n v="11"/>
    <n v="15"/>
    <n v="1.8"/>
    <n v="22"/>
    <n v="0.14864864864864866"/>
    <n v="5.1999899792654221"/>
    <n v="91"/>
    <n v="0.53"/>
    <n v="39.6"/>
    <n v="1.1502621755396511E-4"/>
    <n v="31.680000000000003"/>
  </r>
  <r>
    <x v="94"/>
    <x v="0"/>
    <x v="196"/>
    <s v="77 Monterey Avenue"/>
    <x v="2"/>
    <s v="30-996-2526"/>
    <s v="30-942-0054"/>
    <d v="2024-10-20T00:00:00"/>
    <x v="235"/>
    <s v="Yes"/>
    <d v="2024-10-20T00:00:00"/>
    <d v="2024-02-28T00:00:00"/>
    <n v="235"/>
    <d v="2024-09-07T00:00:00"/>
    <n v="-43"/>
    <n v="1.6800000000000002"/>
    <n v="86"/>
    <n v="90"/>
    <n v="39"/>
    <n v="2.1"/>
    <n v="98"/>
    <n v="0.41702127659574467"/>
    <n v="5.1999899792654221"/>
    <n v="85"/>
    <n v="-3.14"/>
    <n v="205.8"/>
    <n v="5.9778776698500059E-4"/>
    <n v="164.64000000000001"/>
  </r>
  <r>
    <x v="56"/>
    <x v="0"/>
    <x v="107"/>
    <s v="0 Thackeray Point"/>
    <x v="0"/>
    <s v="45-380-4627"/>
    <s v="20-201-5639"/>
    <d v="2024-10-20T00:00:00"/>
    <x v="97"/>
    <s v="No"/>
    <d v="2025-01-11T00:00:00"/>
    <d v="2024-10-20T00:00:00"/>
    <n v="83"/>
    <d v="2025-02-16T00:00:00"/>
    <n v="36"/>
    <n v="0.72000000000000008"/>
    <n v="90"/>
    <n v="1"/>
    <n v="40"/>
    <n v="0.9"/>
    <n v="52"/>
    <n v="0.62650602409638556"/>
    <n v="5.1999899792654221"/>
    <n v="19"/>
    <n v="0.13"/>
    <n v="46.800000000000004"/>
    <n v="1.3594007529104968E-4"/>
    <n v="37.440000000000005"/>
  </r>
  <r>
    <x v="48"/>
    <x v="0"/>
    <x v="37"/>
    <s v="06 Shopko Pass"/>
    <x v="0"/>
    <s v="47-548-6500"/>
    <s v="27-061-4764"/>
    <d v="2024-10-20T00:00:00"/>
    <x v="156"/>
    <s v="Yes"/>
    <d v="2024-10-20T00:00:00"/>
    <d v="2024-03-07T00:00:00"/>
    <n v="227"/>
    <d v="2024-12-25T00:00:00"/>
    <n v="66"/>
    <n v="1.6"/>
    <n v="20"/>
    <n v="93"/>
    <n v="37"/>
    <n v="2"/>
    <n v="23"/>
    <n v="0.1013215859030837"/>
    <n v="5.1999899792654221"/>
    <n v="2"/>
    <n v="0.63"/>
    <n v="46"/>
    <n v="1.3361631332026251E-4"/>
    <n v="36.800000000000004"/>
  </r>
  <r>
    <x v="76"/>
    <x v="3"/>
    <x v="51"/>
    <s v="7020 Porter Trail"/>
    <x v="1"/>
    <s v="30-591-7275"/>
    <s v="12-431-9207"/>
    <d v="2024-10-21T00:00:00"/>
    <x v="122"/>
    <s v="No"/>
    <d v="2025-02-19T00:00:00"/>
    <d v="2024-10-21T00:00:00"/>
    <n v="121"/>
    <d v="2025-01-18T00:00:00"/>
    <n v="-32"/>
    <n v="2"/>
    <n v="17"/>
    <n v="88"/>
    <n v="41"/>
    <n v="2.5"/>
    <n v="45"/>
    <n v="0.37190082644628097"/>
    <n v="5.1999899792654221"/>
    <n v="29"/>
    <n v="0.91"/>
    <n v="112.5"/>
    <n v="3.2677902714194632E-4"/>
    <n v="90"/>
  </r>
  <r>
    <x v="96"/>
    <x v="0"/>
    <x v="216"/>
    <s v="160 Kings Street"/>
    <x v="0"/>
    <s v="38-296-6634"/>
    <s v="41-083-3955"/>
    <d v="2024-10-22T00:00:00"/>
    <x v="241"/>
    <s v="Yes"/>
    <d v="2024-10-22T00:00:00"/>
    <d v="2024-03-31T00:00:00"/>
    <n v="205"/>
    <d v="2024-12-10T00:00:00"/>
    <n v="49"/>
    <n v="2.4000000000000004"/>
    <n v="49"/>
    <n v="46"/>
    <n v="8"/>
    <n v="3"/>
    <n v="82"/>
    <n v="0.4"/>
    <n v="5.1999899792654221"/>
    <n v="21"/>
    <n v="0.36"/>
    <n v="246"/>
    <n v="7.1455680601705603E-4"/>
    <n v="196.80000000000004"/>
  </r>
  <r>
    <x v="106"/>
    <x v="2"/>
    <x v="224"/>
    <s v="80729 Homewood Plaza"/>
    <x v="2"/>
    <s v="98-858-6323"/>
    <s v="79-086-1717"/>
    <d v="2024-10-22T00:00:00"/>
    <x v="27"/>
    <s v="No"/>
    <d v="2025-01-07T00:00:00"/>
    <d v="2024-10-22T00:00:00"/>
    <n v="77"/>
    <d v="2024-11-16T00:00:00"/>
    <n v="-52"/>
    <n v="6.4"/>
    <n v="20"/>
    <n v="17"/>
    <n v="71"/>
    <n v="8"/>
    <n v="50"/>
    <n v="0.64935064935064934"/>
    <n v="5.1999899792654221"/>
    <n v="65"/>
    <n v="0.74"/>
    <n v="400"/>
    <n v="1.1618809853935869E-3"/>
    <n v="320"/>
  </r>
  <r>
    <x v="29"/>
    <x v="3"/>
    <x v="55"/>
    <s v="583 Loftsgordon Road"/>
    <x v="0"/>
    <s v="69-743-0161"/>
    <s v="29-774-6779"/>
    <d v="2024-10-22T00:00:00"/>
    <x v="242"/>
    <s v="Yes"/>
    <d v="2024-10-22T00:00:00"/>
    <d v="2024-08-14T00:00:00"/>
    <n v="69"/>
    <d v="2024-11-21T00:00:00"/>
    <n v="30"/>
    <n v="1.2000000000000002"/>
    <n v="99"/>
    <n v="54"/>
    <n v="71"/>
    <n v="1.5"/>
    <n v="80"/>
    <n v="1.1594202898550725"/>
    <n v="5.1999899792654221"/>
    <n v="10"/>
    <n v="-0.3"/>
    <n v="120"/>
    <n v="3.4856429561807613E-4"/>
    <n v="96.000000000000014"/>
  </r>
  <r>
    <x v="7"/>
    <x v="4"/>
    <x v="256"/>
    <s v="5521 Wayridge Center"/>
    <x v="1"/>
    <s v="71-067-3278"/>
    <s v="76-797-9430"/>
    <d v="2024-10-22T00:00:00"/>
    <x v="243"/>
    <s v="Yes"/>
    <d v="2024-10-22T00:00:00"/>
    <d v="2024-05-08T00:00:00"/>
    <n v="167"/>
    <d v="2024-08-16T00:00:00"/>
    <n v="-67"/>
    <n v="8"/>
    <n v="51"/>
    <n v="35"/>
    <n v="95"/>
    <n v="10"/>
    <n v="80"/>
    <n v="0.47904191616766467"/>
    <n v="5.1999899792654221"/>
    <n v="89"/>
    <n v="0.88"/>
    <n v="800"/>
    <n v="2.3237619707871739E-3"/>
    <n v="640"/>
  </r>
  <r>
    <x v="91"/>
    <x v="1"/>
    <x v="4"/>
    <s v="685 Independence Junction"/>
    <x v="0"/>
    <s v="24-143-4957"/>
    <s v="29-968-4976"/>
    <d v="2024-10-22T00:00:00"/>
    <x v="159"/>
    <s v="Yes"/>
    <d v="2024-10-22T00:00:00"/>
    <d v="2024-06-22T00:00:00"/>
    <n v="122"/>
    <d v="2024-08-15T00:00:00"/>
    <n v="-68"/>
    <n v="1.8399999999999999"/>
    <n v="25"/>
    <n v="97"/>
    <n v="63"/>
    <n v="2.2999999999999998"/>
    <n v="72"/>
    <n v="0.5901639344262295"/>
    <n v="5.1999899792654221"/>
    <n v="23"/>
    <n v="-0.11"/>
    <n v="165.6"/>
    <n v="4.8101872795294499E-4"/>
    <n v="132.47999999999999"/>
  </r>
  <r>
    <x v="2"/>
    <x v="2"/>
    <x v="233"/>
    <s v="854 Kipling Point"/>
    <x v="2"/>
    <s v="31-387-5020"/>
    <s v="02-811-7933"/>
    <d v="2024-10-22T00:00:00"/>
    <x v="244"/>
    <s v="No"/>
    <d v="2024-12-17T00:00:00"/>
    <d v="2024-10-22T00:00:00"/>
    <n v="56"/>
    <d v="2024-08-14T00:00:00"/>
    <n v="-125"/>
    <n v="9.5200000000000014"/>
    <n v="63"/>
    <n v="41"/>
    <n v="98"/>
    <n v="11.9"/>
    <n v="37"/>
    <n v="0.6607142857142857"/>
    <n v="5.1999899792654221"/>
    <n v="7"/>
    <n v="0.68"/>
    <n v="440.3"/>
    <n v="1.278940494671991E-3"/>
    <n v="352.24000000000007"/>
  </r>
  <r>
    <x v="75"/>
    <x v="2"/>
    <x v="257"/>
    <s v="23560 Talmadge Center"/>
    <x v="2"/>
    <s v="33-378-1365"/>
    <s v="31-483-9201"/>
    <d v="2024-10-22T00:00:00"/>
    <x v="132"/>
    <s v="No"/>
    <d v="2024-12-07T00:00:00"/>
    <d v="2024-10-22T00:00:00"/>
    <n v="46"/>
    <d v="2025-02-04T00:00:00"/>
    <n v="59"/>
    <n v="2"/>
    <n v="50"/>
    <n v="66"/>
    <n v="1"/>
    <n v="2.5"/>
    <n v="76"/>
    <n v="1.6521739130434783"/>
    <n v="5.1999899792654221"/>
    <n v="73"/>
    <n v="0.81"/>
    <n v="190"/>
    <n v="5.518934680619538E-4"/>
    <n v="152"/>
  </r>
  <r>
    <x v="50"/>
    <x v="4"/>
    <x v="225"/>
    <s v="7193 Crownhardt Drive"/>
    <x v="2"/>
    <s v="41-729-5410"/>
    <s v="71-727-8611"/>
    <d v="2024-10-23T00:00:00"/>
    <x v="42"/>
    <s v="Yes"/>
    <d v="2024-10-23T00:00:00"/>
    <d v="2024-04-05T00:00:00"/>
    <n v="201"/>
    <d v="2024-06-26T00:00:00"/>
    <n v="-119"/>
    <n v="4.8000000000000007"/>
    <n v="91"/>
    <n v="59"/>
    <n v="49"/>
    <n v="6"/>
    <n v="30"/>
    <n v="0.14925373134328357"/>
    <n v="5.1999899792654221"/>
    <n v="63"/>
    <n v="0.04"/>
    <n v="180"/>
    <n v="5.2284644342711413E-4"/>
    <n v="144.00000000000003"/>
  </r>
  <r>
    <x v="44"/>
    <x v="1"/>
    <x v="258"/>
    <s v="76928 Tennyson Parkway"/>
    <x v="2"/>
    <s v="33-335-9140"/>
    <s v="08-209-1598"/>
    <d v="2024-10-24T00:00:00"/>
    <x v="30"/>
    <s v="Yes"/>
    <d v="2024-10-24T00:00:00"/>
    <d v="2024-08-20T00:00:00"/>
    <n v="65"/>
    <d v="2024-08-27T00:00:00"/>
    <n v="-58"/>
    <n v="4.8000000000000007"/>
    <n v="28"/>
    <n v="17"/>
    <n v="28"/>
    <n v="6"/>
    <n v="38"/>
    <n v="0.58461538461538465"/>
    <n v="5.1999899792654221"/>
    <n v="25"/>
    <n v="-1.1000000000000001"/>
    <n v="228"/>
    <n v="6.6227216167434458E-4"/>
    <n v="182.40000000000003"/>
  </r>
  <r>
    <x v="108"/>
    <x v="0"/>
    <x v="4"/>
    <s v="265 Columbus Way"/>
    <x v="2"/>
    <s v="40-021-2400"/>
    <s v="62-648-2577"/>
    <d v="2024-10-24T00:00:00"/>
    <x v="245"/>
    <s v="No"/>
    <d v="2024-11-16T00:00:00"/>
    <d v="2024-10-24T00:00:00"/>
    <n v="23"/>
    <d v="2024-05-11T00:00:00"/>
    <n v="-189"/>
    <n v="2"/>
    <n v="29"/>
    <n v="18"/>
    <n v="86"/>
    <n v="2.5"/>
    <n v="53"/>
    <n v="2.3043478260869565"/>
    <n v="5.1999899792654221"/>
    <n v="69"/>
    <n v="0.34"/>
    <n v="132.5"/>
    <n v="3.8487307641162571E-4"/>
    <n v="106"/>
  </r>
  <r>
    <x v="119"/>
    <x v="4"/>
    <x v="259"/>
    <s v="85953 Clyde Gallagher Drive"/>
    <x v="2"/>
    <s v="81-268-5905"/>
    <s v="36-138-9045"/>
    <d v="2024-10-24T00:00:00"/>
    <x v="179"/>
    <s v="Yes"/>
    <d v="2024-10-24T00:00:00"/>
    <d v="2024-07-30T00:00:00"/>
    <n v="86"/>
    <d v="2024-06-14T00:00:00"/>
    <n v="-132"/>
    <n v="6"/>
    <n v="89"/>
    <n v="26"/>
    <n v="36"/>
    <n v="7.5"/>
    <n v="48"/>
    <n v="0.55813953488372092"/>
    <n v="5.1999899792654221"/>
    <n v="94"/>
    <n v="-0.3"/>
    <n v="360"/>
    <n v="1.0456928868542283E-3"/>
    <n v="288"/>
  </r>
  <r>
    <x v="69"/>
    <x v="0"/>
    <x v="16"/>
    <s v="33145 Butterfield Avenue"/>
    <x v="2"/>
    <s v="38-617-7226"/>
    <s v="91-215-9838"/>
    <d v="2024-10-24T00:00:00"/>
    <x v="236"/>
    <s v="Yes"/>
    <d v="2024-10-24T00:00:00"/>
    <d v="2024-06-19T00:00:00"/>
    <n v="127"/>
    <d v="2024-07-13T00:00:00"/>
    <n v="-103"/>
    <n v="5.04"/>
    <n v="65"/>
    <n v="42"/>
    <n v="62"/>
    <n v="6.3"/>
    <n v="54"/>
    <n v="0.42519685039370081"/>
    <n v="5.1999899792654221"/>
    <n v="2"/>
    <n v="-0.96"/>
    <n v="340.2"/>
    <n v="9.881797780772457E-4"/>
    <n v="272.16000000000003"/>
  </r>
  <r>
    <x v="14"/>
    <x v="3"/>
    <x v="201"/>
    <s v="64389 Arkansas Alley"/>
    <x v="1"/>
    <s v="54-822-9009"/>
    <s v="23-197-9965"/>
    <d v="2024-10-25T00:00:00"/>
    <x v="158"/>
    <s v="Yes"/>
    <d v="2024-10-25T00:00:00"/>
    <d v="2024-06-08T00:00:00"/>
    <n v="139"/>
    <d v="2025-01-03T00:00:00"/>
    <n v="70"/>
    <n v="2.5600000000000005"/>
    <n v="40"/>
    <n v="38"/>
    <n v="32"/>
    <n v="3.2"/>
    <n v="21"/>
    <n v="0.15107913669064749"/>
    <n v="5.1999899792654221"/>
    <n v="45"/>
    <n v="0.96"/>
    <n v="67.2"/>
    <n v="1.9519600554612264E-4"/>
    <n v="53.760000000000012"/>
  </r>
  <r>
    <x v="33"/>
    <x v="3"/>
    <x v="260"/>
    <s v="6738 Tennyson Road"/>
    <x v="0"/>
    <s v="02-655-3240"/>
    <s v="95-200-1972"/>
    <d v="2024-10-25T00:00:00"/>
    <x v="246"/>
    <s v="Yes"/>
    <d v="2024-10-25T00:00:00"/>
    <d v="2024-05-21T00:00:00"/>
    <n v="157"/>
    <d v="2024-06-20T00:00:00"/>
    <n v="-127"/>
    <n v="1.6"/>
    <n v="99"/>
    <n v="44"/>
    <n v="52"/>
    <n v="2"/>
    <n v="36"/>
    <n v="0.22929936305732485"/>
    <n v="5.1999899792654221"/>
    <n v="2"/>
    <n v="-1.1399999999999999"/>
    <n v="72"/>
    <n v="2.0913857737084565E-4"/>
    <n v="57.6"/>
  </r>
  <r>
    <x v="61"/>
    <x v="3"/>
    <x v="252"/>
    <s v="8 Hazelcrest Street"/>
    <x v="2"/>
    <s v="01-839-6534"/>
    <s v="51-519-4588"/>
    <d v="2024-10-25T00:00:00"/>
    <x v="247"/>
    <s v="No"/>
    <d v="2025-02-04T00:00:00"/>
    <d v="2024-10-25T00:00:00"/>
    <n v="102"/>
    <d v="2024-09-02T00:00:00"/>
    <n v="-155"/>
    <n v="2.4000000000000004"/>
    <n v="56"/>
    <n v="28"/>
    <n v="76"/>
    <n v="3"/>
    <n v="93"/>
    <n v="0.91176470588235292"/>
    <n v="5.1999899792654221"/>
    <n v="69"/>
    <n v="0.94"/>
    <n v="279"/>
    <n v="8.1041198731202698E-4"/>
    <n v="223.20000000000005"/>
  </r>
  <r>
    <x v="2"/>
    <x v="2"/>
    <x v="152"/>
    <s v="27 School Court"/>
    <x v="0"/>
    <s v="98-499-2220"/>
    <s v="69-666-2257"/>
    <d v="2024-10-25T00:00:00"/>
    <x v="118"/>
    <s v="Yes"/>
    <d v="2024-10-25T00:00:00"/>
    <d v="2024-04-22T00:00:00"/>
    <n v="186"/>
    <d v="2024-11-21T00:00:00"/>
    <n v="27"/>
    <n v="9.6000000000000014"/>
    <n v="37"/>
    <n v="3"/>
    <n v="45"/>
    <n v="12"/>
    <n v="39"/>
    <n v="0.20967741935483872"/>
    <n v="5.1999899792654221"/>
    <n v="28"/>
    <n v="0.26"/>
    <n v="468"/>
    <n v="1.3594007529104967E-3"/>
    <n v="374.40000000000003"/>
  </r>
  <r>
    <x v="76"/>
    <x v="3"/>
    <x v="215"/>
    <s v="9951 Petterle Alley"/>
    <x v="2"/>
    <s v="69-171-1305"/>
    <s v="33-733-7313"/>
    <d v="2024-10-26T00:00:00"/>
    <x v="227"/>
    <s v="Yes"/>
    <d v="2024-10-26T00:00:00"/>
    <d v="2024-06-18T00:00:00"/>
    <n v="130"/>
    <d v="2024-10-11T00:00:00"/>
    <n v="-15"/>
    <n v="2"/>
    <n v="31"/>
    <n v="29"/>
    <n v="57"/>
    <n v="2.5"/>
    <n v="25"/>
    <n v="0.19230769230769232"/>
    <n v="5.1999899792654221"/>
    <n v="22"/>
    <n v="0.28000000000000003"/>
    <n v="62.5"/>
    <n v="1.8154390396774798E-4"/>
    <n v="50"/>
  </r>
  <r>
    <x v="71"/>
    <x v="6"/>
    <x v="261"/>
    <s v="38 Banding Lane"/>
    <x v="1"/>
    <s v="57-394-4703"/>
    <s v="52-130-3457"/>
    <d v="2024-10-26T00:00:00"/>
    <x v="27"/>
    <s v="No"/>
    <d v="2025-01-07T00:00:00"/>
    <d v="2024-10-26T00:00:00"/>
    <n v="73"/>
    <d v="2024-10-16T00:00:00"/>
    <n v="-83"/>
    <n v="20"/>
    <n v="81"/>
    <n v="83"/>
    <n v="36"/>
    <n v="25"/>
    <n v="74"/>
    <n v="1.0136986301369864"/>
    <n v="5.1999899792654221"/>
    <n v="86"/>
    <n v="0.12"/>
    <n v="1850"/>
    <n v="5.3736995574453399E-3"/>
    <n v="1480"/>
  </r>
  <r>
    <x v="29"/>
    <x v="3"/>
    <x v="3"/>
    <s v="06 Lake View Trail"/>
    <x v="1"/>
    <s v="58-946-5152"/>
    <s v="42-201-4328"/>
    <d v="2024-10-26T00:00:00"/>
    <x v="32"/>
    <s v="No"/>
    <d v="2024-11-05T00:00:00"/>
    <d v="2024-10-26T00:00:00"/>
    <n v="10"/>
    <d v="2024-07-10T00:00:00"/>
    <n v="-118"/>
    <n v="1.2000000000000002"/>
    <n v="11"/>
    <n v="77"/>
    <n v="7"/>
    <n v="1.5"/>
    <n v="77"/>
    <n v="7.7"/>
    <n v="5.1999899792654221"/>
    <n v="46"/>
    <n v="-0.16"/>
    <n v="115.5"/>
    <n v="3.3549313453239826E-4"/>
    <n v="92.40000000000002"/>
  </r>
  <r>
    <x v="15"/>
    <x v="0"/>
    <x v="46"/>
    <s v="84642 Clarendon Point"/>
    <x v="2"/>
    <s v="74-587-2065"/>
    <s v="33-141-1402"/>
    <d v="2024-10-27T00:00:00"/>
    <x v="248"/>
    <s v="No"/>
    <d v="2025-02-20T00:00:00"/>
    <d v="2024-10-27T00:00:00"/>
    <n v="116"/>
    <d v="2024-03-02T00:00:00"/>
    <n v="-355"/>
    <n v="3.6"/>
    <n v="29"/>
    <n v="20"/>
    <n v="85"/>
    <n v="4.5"/>
    <n v="31"/>
    <n v="0.26724137931034481"/>
    <n v="5.1999899792654221"/>
    <n v="31"/>
    <n v="0.4"/>
    <n v="139.5"/>
    <n v="4.0520599365601349E-4"/>
    <n v="111.60000000000001"/>
  </r>
  <r>
    <x v="108"/>
    <x v="0"/>
    <x v="170"/>
    <s v="11 Golden Leaf Alley"/>
    <x v="2"/>
    <s v="69-287-9113"/>
    <s v="20-952-0731"/>
    <d v="2024-10-27T00:00:00"/>
    <x v="177"/>
    <s v="Yes"/>
    <d v="2024-10-27T00:00:00"/>
    <d v="2024-06-29T00:00:00"/>
    <n v="120"/>
    <d v="2024-12-16T00:00:00"/>
    <n v="50"/>
    <n v="2"/>
    <n v="59"/>
    <n v="91"/>
    <n v="24"/>
    <n v="2.5"/>
    <n v="54"/>
    <n v="0.45"/>
    <n v="5.1999899792654221"/>
    <n v="87"/>
    <n v="0"/>
    <n v="135"/>
    <n v="3.9213483257033563E-4"/>
    <n v="108"/>
  </r>
  <r>
    <x v="9"/>
    <x v="2"/>
    <x v="57"/>
    <s v="6 Bobwhite Alley"/>
    <x v="1"/>
    <s v="03-441-4252"/>
    <s v="11-430-6041"/>
    <d v="2024-10-27T00:00:00"/>
    <x v="219"/>
    <s v="Yes"/>
    <d v="2024-10-27T00:00:00"/>
    <d v="2024-06-28T00:00:00"/>
    <n v="121"/>
    <d v="2024-07-24T00:00:00"/>
    <n v="-95"/>
    <n v="1.4000000000000001"/>
    <n v="12"/>
    <n v="83"/>
    <n v="93"/>
    <n v="1.75"/>
    <n v="22"/>
    <n v="0.18181818181818182"/>
    <n v="5.1999899792654221"/>
    <n v="9"/>
    <n v="-0.61"/>
    <n v="38.5"/>
    <n v="1.1183104484413275E-4"/>
    <n v="30.800000000000004"/>
  </r>
  <r>
    <x v="32"/>
    <x v="0"/>
    <x v="5"/>
    <s v="7 Talmadge Street"/>
    <x v="0"/>
    <s v="29-344-3658"/>
    <s v="33-546-5056"/>
    <d v="2024-10-27T00:00:00"/>
    <x v="209"/>
    <s v="Yes"/>
    <d v="2024-10-27T00:00:00"/>
    <d v="2024-10-25T00:00:00"/>
    <n v="2"/>
    <d v="2024-09-19T00:00:00"/>
    <n v="-38"/>
    <n v="1.52"/>
    <n v="75"/>
    <n v="56"/>
    <n v="57"/>
    <n v="1.9"/>
    <n v="63"/>
    <n v="31.5"/>
    <n v="5.1999899792654221"/>
    <n v="64"/>
    <n v="0.59"/>
    <n v="119.69999999999999"/>
    <n v="3.4769288487903087E-4"/>
    <n v="95.76"/>
  </r>
  <r>
    <x v="47"/>
    <x v="4"/>
    <x v="158"/>
    <s v="374 Blue Bill Park Point"/>
    <x v="2"/>
    <s v="12-342-4482"/>
    <s v="71-300-8176"/>
    <d v="2024-10-27T00:00:00"/>
    <x v="249"/>
    <s v="Yes"/>
    <d v="2024-10-27T00:00:00"/>
    <d v="2024-09-30T00:00:00"/>
    <n v="27"/>
    <d v="2024-08-29T00:00:00"/>
    <n v="-59"/>
    <n v="9.2799999999999994"/>
    <n v="67"/>
    <n v="83"/>
    <n v="90"/>
    <n v="11.6"/>
    <n v="66"/>
    <n v="2.4444444444444446"/>
    <n v="5.1999899792654221"/>
    <n v="77"/>
    <n v="-0.02"/>
    <n v="765.6"/>
    <n v="2.2238402060433256E-3"/>
    <n v="612.4799999999999"/>
  </r>
  <r>
    <x v="78"/>
    <x v="3"/>
    <x v="199"/>
    <s v="185 Saint Paul Road"/>
    <x v="1"/>
    <s v="99-894-4351"/>
    <s v="45-602-6533"/>
    <d v="2024-10-27T00:00:00"/>
    <x v="250"/>
    <s v="No"/>
    <d v="2025-02-24T00:00:00"/>
    <d v="2024-10-27T00:00:00"/>
    <n v="120"/>
    <d v="2024-12-25T00:00:00"/>
    <n v="-61"/>
    <n v="1.6"/>
    <n v="29"/>
    <n v="54"/>
    <n v="54"/>
    <n v="2"/>
    <n v="58"/>
    <n v="0.48333333333333334"/>
    <n v="5.1999899792654221"/>
    <n v="63"/>
    <n v="-0.17"/>
    <n v="116"/>
    <n v="3.3694548576414024E-4"/>
    <n v="92.800000000000011"/>
  </r>
  <r>
    <x v="3"/>
    <x v="0"/>
    <x v="46"/>
    <s v="1509 Hoard Circle"/>
    <x v="0"/>
    <s v="34-709-9237"/>
    <s v="66-680-8738"/>
    <d v="2024-10-27T00:00:00"/>
    <x v="251"/>
    <s v="Yes"/>
    <d v="2024-10-27T00:00:00"/>
    <d v="2024-03-13T00:00:00"/>
    <n v="228"/>
    <d v="2024-04-24T00:00:00"/>
    <n v="-186"/>
    <n v="1.2000000000000002"/>
    <n v="61"/>
    <n v="81"/>
    <n v="99"/>
    <n v="1.5"/>
    <n v="26"/>
    <n v="0.11403508771929824"/>
    <n v="5.1999899792654221"/>
    <n v="76"/>
    <n v="-0.09"/>
    <n v="39"/>
    <n v="1.1328339607587473E-4"/>
    <n v="31.200000000000003"/>
  </r>
  <r>
    <x v="14"/>
    <x v="0"/>
    <x v="262"/>
    <s v="30408 5th Way"/>
    <x v="2"/>
    <s v="05-498-7751"/>
    <s v="17-963-6051"/>
    <d v="2024-10-28T00:00:00"/>
    <x v="78"/>
    <s v="Yes"/>
    <d v="2024-10-28T00:00:00"/>
    <d v="2024-07-10T00:00:00"/>
    <n v="110"/>
    <d v="2024-03-24T00:00:00"/>
    <n v="-218"/>
    <n v="2"/>
    <n v="52"/>
    <n v="22"/>
    <n v="37"/>
    <n v="2.5"/>
    <n v="56"/>
    <n v="0.50909090909090904"/>
    <n v="5.1999899792654221"/>
    <n v="44"/>
    <n v="-1.92"/>
    <n v="140"/>
    <n v="4.0665834488775546E-4"/>
    <n v="112"/>
  </r>
  <r>
    <x v="66"/>
    <x v="0"/>
    <x v="165"/>
    <s v="0500 Calypso Pass"/>
    <x v="1"/>
    <s v="32-270-1385"/>
    <s v="81-072-8266"/>
    <d v="2024-10-28T00:00:00"/>
    <x v="144"/>
    <s v="No"/>
    <d v="2024-12-15T00:00:00"/>
    <d v="2024-10-28T00:00:00"/>
    <n v="48"/>
    <d v="2024-08-08T00:00:00"/>
    <n v="-129"/>
    <n v="34.064"/>
    <n v="28"/>
    <n v="38"/>
    <n v="23"/>
    <n v="42.58"/>
    <n v="48"/>
    <n v="1"/>
    <n v="5.1999899792654221"/>
    <n v="56"/>
    <n v="0.21"/>
    <n v="2043.84"/>
    <n v="5.9367470829670716E-3"/>
    <n v="1635.0720000000001"/>
  </r>
  <r>
    <x v="29"/>
    <x v="3"/>
    <x v="263"/>
    <s v="978 Shasta Lane"/>
    <x v="2"/>
    <s v="67-710-5120"/>
    <s v="00-131-9278"/>
    <d v="2024-10-29T00:00:00"/>
    <x v="162"/>
    <s v="No"/>
    <d v="2024-12-29T00:00:00"/>
    <d v="2024-10-29T00:00:00"/>
    <n v="61"/>
    <d v="2024-02-25T00:00:00"/>
    <n v="-308"/>
    <n v="1.2000000000000002"/>
    <n v="84"/>
    <n v="92"/>
    <n v="18"/>
    <n v="1.5"/>
    <n v="92"/>
    <n v="1.5081967213114753"/>
    <n v="5.1999899792654221"/>
    <n v="69"/>
    <n v="-0.17"/>
    <n v="138"/>
    <n v="4.0084893996078752E-4"/>
    <n v="110.40000000000002"/>
  </r>
  <r>
    <x v="69"/>
    <x v="0"/>
    <x v="109"/>
    <s v="524 Saint Paul Park"/>
    <x v="1"/>
    <s v="37-709-3532"/>
    <s v="08-439-3820"/>
    <d v="2024-10-29T00:00:00"/>
    <x v="105"/>
    <s v="No"/>
    <d v="2024-11-07T00:00:00"/>
    <d v="2024-10-29T00:00:00"/>
    <n v="9"/>
    <d v="2024-05-11T00:00:00"/>
    <n v="-180"/>
    <n v="4.8000000000000007"/>
    <n v="79"/>
    <n v="45"/>
    <n v="39"/>
    <n v="6"/>
    <n v="55"/>
    <n v="6.1111111111111107"/>
    <n v="5.1999899792654221"/>
    <n v="20"/>
    <n v="0.25"/>
    <n v="330"/>
    <n v="9.5855181294970926E-4"/>
    <n v="264.00000000000006"/>
  </r>
  <r>
    <x v="39"/>
    <x v="1"/>
    <x v="35"/>
    <s v="9 Meadow Vale Drive"/>
    <x v="1"/>
    <s v="60-311-5701"/>
    <s v="07-578-7055"/>
    <d v="2024-10-29T00:00:00"/>
    <x v="252"/>
    <s v="Yes"/>
    <d v="2024-10-29T00:00:00"/>
    <d v="2024-10-19T00:00:00"/>
    <n v="10"/>
    <d v="2024-07-17T00:00:00"/>
    <n v="-104"/>
    <n v="5.2"/>
    <n v="39"/>
    <n v="78"/>
    <n v="97"/>
    <n v="6.5"/>
    <n v="54"/>
    <n v="5.4"/>
    <n v="5.1999899792654221"/>
    <n v="89"/>
    <n v="0.64"/>
    <n v="351"/>
    <n v="1.0195505646828727E-3"/>
    <n v="280.8"/>
  </r>
  <r>
    <x v="82"/>
    <x v="2"/>
    <x v="264"/>
    <s v="467 Dexter Pass"/>
    <x v="0"/>
    <s v="97-093-4278"/>
    <s v="38-200-4863"/>
    <d v="2024-10-29T00:00:00"/>
    <x v="135"/>
    <s v="Yes"/>
    <d v="2024-10-29T00:00:00"/>
    <d v="2024-04-09T00:00:00"/>
    <n v="203"/>
    <d v="2024-06-01T00:00:00"/>
    <n v="-150"/>
    <n v="2.04"/>
    <n v="69"/>
    <n v="98"/>
    <n v="89"/>
    <n v="2.5499999999999998"/>
    <n v="29"/>
    <n v="0.14285714285714285"/>
    <n v="5.1999899792654221"/>
    <n v="34"/>
    <n v="-0.65"/>
    <n v="73.949999999999989"/>
    <n v="2.1480274717463937E-4"/>
    <n v="59.160000000000004"/>
  </r>
  <r>
    <x v="65"/>
    <x v="3"/>
    <x v="40"/>
    <s v="16 Fair Oaks Pass"/>
    <x v="1"/>
    <s v="41-131-3841"/>
    <s v="55-269-1746"/>
    <d v="2024-10-29T00:00:00"/>
    <x v="91"/>
    <s v="No"/>
    <d v="2025-01-23T00:00:00"/>
    <d v="2024-10-29T00:00:00"/>
    <n v="86"/>
    <d v="2024-03-20T00:00:00"/>
    <n v="-309"/>
    <n v="7.6000000000000005"/>
    <n v="77"/>
    <n v="19"/>
    <n v="31"/>
    <n v="9.5"/>
    <n v="27"/>
    <n v="0.31395348837209303"/>
    <n v="5.1999899792654221"/>
    <n v="25"/>
    <n v="-0.17"/>
    <n v="256.5"/>
    <n v="7.4505618188363762E-4"/>
    <n v="205.20000000000002"/>
  </r>
  <r>
    <x v="107"/>
    <x v="0"/>
    <x v="83"/>
    <s v="8119 Homewood Drive"/>
    <x v="0"/>
    <s v="40-630-1431"/>
    <s v="61-040-9004"/>
    <d v="2024-10-29T00:00:00"/>
    <x v="55"/>
    <s v="Yes"/>
    <d v="2024-10-29T00:00:00"/>
    <d v="2024-07-11T00:00:00"/>
    <n v="110"/>
    <d v="2024-11-07T00:00:00"/>
    <n v="9"/>
    <n v="6.4"/>
    <n v="29"/>
    <n v="66"/>
    <n v="21"/>
    <n v="8"/>
    <n v="74"/>
    <n v="0.67272727272727273"/>
    <n v="5.1999899792654221"/>
    <n v="93"/>
    <n v="7.0000000000000007E-2"/>
    <n v="592"/>
    <n v="1.7195838583825087E-3"/>
    <n v="473.6"/>
  </r>
  <r>
    <x v="38"/>
    <x v="1"/>
    <x v="74"/>
    <s v="4571 Fremont Way"/>
    <x v="2"/>
    <s v="64-493-5270"/>
    <s v="36-964-9838"/>
    <d v="2024-10-30T00:00:00"/>
    <x v="253"/>
    <s v="Yes"/>
    <d v="2024-10-30T00:00:00"/>
    <d v="2024-05-23T00:00:00"/>
    <n v="160"/>
    <d v="2024-05-22T00:00:00"/>
    <n v="-161"/>
    <n v="1.4400000000000002"/>
    <n v="69"/>
    <n v="59"/>
    <n v="29"/>
    <n v="1.8"/>
    <n v="63"/>
    <n v="0.39374999999999999"/>
    <n v="5.1999899792654221"/>
    <n v="91"/>
    <n v="-0.26"/>
    <n v="113.4"/>
    <n v="3.2939325935908194E-4"/>
    <n v="90.720000000000013"/>
  </r>
  <r>
    <x v="38"/>
    <x v="1"/>
    <x v="150"/>
    <s v="357 High Crossing Parkway"/>
    <x v="2"/>
    <s v="07-219-8017"/>
    <s v="95-148-9287"/>
    <d v="2024-10-31T00:00:00"/>
    <x v="254"/>
    <s v="Yes"/>
    <d v="2024-10-31T00:00:00"/>
    <d v="2024-08-13T00:00:00"/>
    <n v="79"/>
    <d v="2024-11-08T00:00:00"/>
    <n v="8"/>
    <n v="1.4400000000000002"/>
    <n v="40"/>
    <n v="2"/>
    <n v="58"/>
    <n v="1.8"/>
    <n v="71"/>
    <n v="0.89873417721518989"/>
    <n v="5.1999899792654221"/>
    <n v="10"/>
    <n v="-0.44"/>
    <n v="127.8"/>
    <n v="3.7122097483325103E-4"/>
    <n v="102.24000000000001"/>
  </r>
  <r>
    <x v="48"/>
    <x v="0"/>
    <x v="25"/>
    <s v="03 Roth Court"/>
    <x v="0"/>
    <s v="73-751-4393"/>
    <s v="14-486-5626"/>
    <d v="2024-10-31T00:00:00"/>
    <x v="223"/>
    <s v="Yes"/>
    <d v="2024-10-31T00:00:00"/>
    <d v="2024-06-07T00:00:00"/>
    <n v="146"/>
    <d v="2024-03-23T00:00:00"/>
    <n v="-222"/>
    <n v="1.6"/>
    <n v="68"/>
    <n v="10"/>
    <n v="29"/>
    <n v="2"/>
    <n v="37"/>
    <n v="0.25342465753424659"/>
    <n v="5.1999899792654221"/>
    <n v="11"/>
    <n v="0.86"/>
    <n v="74"/>
    <n v="2.1494798229781359E-4"/>
    <n v="59.2"/>
  </r>
  <r>
    <x v="96"/>
    <x v="0"/>
    <x v="265"/>
    <s v="7182 Summit Court"/>
    <x v="1"/>
    <s v="50-942-2409"/>
    <s v="69-472-4067"/>
    <d v="2024-10-31T00:00:00"/>
    <x v="90"/>
    <s v="Yes"/>
    <d v="2024-10-31T00:00:00"/>
    <d v="2024-04-23T00:00:00"/>
    <n v="191"/>
    <d v="2024-12-10T00:00:00"/>
    <n v="40"/>
    <n v="2.4000000000000004"/>
    <n v="75"/>
    <n v="91"/>
    <n v="68"/>
    <n v="3"/>
    <n v="96"/>
    <n v="0.50261780104712039"/>
    <n v="5.1999899792654221"/>
    <n v="73"/>
    <n v="0.7"/>
    <n v="288"/>
    <n v="8.3655430948338259E-4"/>
    <n v="230.40000000000003"/>
  </r>
  <r>
    <x v="37"/>
    <x v="5"/>
    <x v="84"/>
    <s v="481 Mifflin Hill"/>
    <x v="1"/>
    <s v="01-018-6418"/>
    <s v="78-888-6073"/>
    <d v="2024-11-13T00:00:00"/>
    <x v="94"/>
    <s v="Yes"/>
    <d v="2024-11-13T00:00:00"/>
    <d v="2024-09-27T00:00:00"/>
    <n v="47"/>
    <d v="2024-07-16T00:00:00"/>
    <n v="-120"/>
    <n v="4"/>
    <n v="68"/>
    <n v="29"/>
    <n v="100"/>
    <n v="5"/>
    <n v="70"/>
    <n v="1.4893617021276595"/>
    <n v="5.1999899792654221"/>
    <n v="26"/>
    <n v="0.24"/>
    <n v="350"/>
    <n v="1.0166458622193886E-3"/>
    <n v="280"/>
  </r>
  <r>
    <x v="20"/>
    <x v="6"/>
    <x v="266"/>
    <s v="697 Hoepker Center"/>
    <x v="2"/>
    <s v="59-725-4038"/>
    <s v="39-055-1703"/>
    <d v="2024-11-13T00:00:00"/>
    <x v="238"/>
    <s v="Yes"/>
    <d v="2024-11-13T00:00:00"/>
    <d v="2024-08-26T00:00:00"/>
    <n v="79"/>
    <d v="2024-08-23T00:00:00"/>
    <n v="-82"/>
    <n v="16.400000000000002"/>
    <n v="78"/>
    <n v="34"/>
    <n v="39"/>
    <n v="20.5"/>
    <n v="62"/>
    <n v="0.78481012658227844"/>
    <n v="5.1999899792654221"/>
    <n v="2"/>
    <n v="0.63"/>
    <n v="1271"/>
    <n v="3.6918768310881226E-3"/>
    <n v="1016.8000000000002"/>
  </r>
  <r>
    <x v="9"/>
    <x v="2"/>
    <x v="243"/>
    <s v="5551 Mallory Lane"/>
    <x v="1"/>
    <s v="40-997-2786"/>
    <s v="18-743-4684"/>
    <d v="2024-11-14T00:00:00"/>
    <x v="253"/>
    <s v="Yes"/>
    <d v="2024-11-14T00:00:00"/>
    <d v="2024-05-23T00:00:00"/>
    <n v="175"/>
    <d v="2024-10-14T00:00:00"/>
    <n v="-31"/>
    <n v="1.4000000000000001"/>
    <n v="76"/>
    <n v="98"/>
    <n v="41"/>
    <n v="1.75"/>
    <n v="62"/>
    <n v="0.35428571428571426"/>
    <n v="5.1999899792654221"/>
    <n v="48"/>
    <n v="0.97"/>
    <n v="108.5"/>
    <n v="3.1516021728801049E-4"/>
    <n v="86.800000000000011"/>
  </r>
  <r>
    <x v="112"/>
    <x v="0"/>
    <x v="138"/>
    <s v="20 Nelson Way"/>
    <x v="0"/>
    <s v="11-766-8738"/>
    <s v="96-393-1428"/>
    <d v="2024-11-14T00:00:00"/>
    <x v="215"/>
    <s v="No"/>
    <d v="2024-11-30T00:00:00"/>
    <d v="2024-11-14T00:00:00"/>
    <n v="16"/>
    <d v="2024-03-22T00:00:00"/>
    <n v="-253"/>
    <n v="2.4000000000000004"/>
    <n v="27"/>
    <n v="64"/>
    <n v="43"/>
    <n v="3"/>
    <n v="70"/>
    <n v="4.375"/>
    <n v="5.1999899792654221"/>
    <n v="58"/>
    <n v="0.23"/>
    <n v="210"/>
    <n v="6.0998751733163314E-4"/>
    <n v="168.00000000000003"/>
  </r>
  <r>
    <x v="20"/>
    <x v="6"/>
    <x v="204"/>
    <s v="988 Southridge Way"/>
    <x v="2"/>
    <s v="40-860-4532"/>
    <s v="73-625-5112"/>
    <d v="2024-11-15T00:00:00"/>
    <x v="143"/>
    <s v="Yes"/>
    <d v="2024-11-15T00:00:00"/>
    <d v="2024-02-27T00:00:00"/>
    <n v="262"/>
    <d v="2025-02-05T00:00:00"/>
    <n v="82"/>
    <n v="16.8"/>
    <n v="74"/>
    <n v="72"/>
    <n v="18"/>
    <n v="21"/>
    <n v="83"/>
    <n v="0.31679389312977096"/>
    <n v="5.1999899792654221"/>
    <n v="54"/>
    <n v="0.17"/>
    <n v="1743"/>
    <n v="5.0628963938525555E-3"/>
    <n v="1394.4"/>
  </r>
  <r>
    <x v="29"/>
    <x v="3"/>
    <x v="267"/>
    <s v="52691 8th Drive"/>
    <x v="2"/>
    <s v="55-936-2406"/>
    <s v="29-689-5014"/>
    <d v="2024-11-16T00:00:00"/>
    <x v="76"/>
    <s v="Yes"/>
    <d v="2024-11-16T00:00:00"/>
    <d v="2024-03-09T00:00:00"/>
    <n v="252"/>
    <d v="2024-04-05T00:00:00"/>
    <n v="-225"/>
    <n v="1.2000000000000002"/>
    <n v="27"/>
    <n v="93"/>
    <n v="88"/>
    <n v="1.5"/>
    <n v="66"/>
    <n v="0.26190476190476192"/>
    <n v="5.1999899792654221"/>
    <n v="13"/>
    <n v="0.35"/>
    <n v="99"/>
    <n v="2.8756554388491279E-4"/>
    <n v="79.200000000000017"/>
  </r>
  <r>
    <x v="33"/>
    <x v="3"/>
    <x v="135"/>
    <s v="04 Blaine Lane"/>
    <x v="1"/>
    <s v="62-816-8794"/>
    <s v="56-110-5754"/>
    <d v="2024-11-16T00:00:00"/>
    <x v="255"/>
    <s v="Yes"/>
    <d v="2024-11-16T00:00:00"/>
    <d v="2024-06-17T00:00:00"/>
    <n v="152"/>
    <d v="2025-02-06T00:00:00"/>
    <n v="82"/>
    <n v="1.6"/>
    <n v="15"/>
    <n v="76"/>
    <n v="81"/>
    <n v="2"/>
    <n v="90"/>
    <n v="0.59210526315789469"/>
    <n v="5.1999899792654221"/>
    <n v="26"/>
    <n v="0.8"/>
    <n v="180"/>
    <n v="5.2284644342711413E-4"/>
    <n v="144"/>
  </r>
  <r>
    <x v="82"/>
    <x v="2"/>
    <x v="197"/>
    <s v="55095 Northview Drive"/>
    <x v="2"/>
    <s v="04-104-6993"/>
    <s v="06-776-1072"/>
    <d v="2024-11-16T00:00:00"/>
    <x v="222"/>
    <s v="Yes"/>
    <d v="2024-11-16T00:00:00"/>
    <d v="2024-08-27T00:00:00"/>
    <n v="81"/>
    <d v="2024-10-15T00:00:00"/>
    <n v="-32"/>
    <n v="1.9600000000000002"/>
    <n v="60"/>
    <n v="1"/>
    <n v="42"/>
    <n v="2.4500000000000002"/>
    <n v="42"/>
    <n v="0.51851851851851849"/>
    <n v="5.1999899792654221"/>
    <n v="91"/>
    <n v="0.71"/>
    <n v="102.9"/>
    <n v="2.988938834925003E-4"/>
    <n v="82.320000000000007"/>
  </r>
  <r>
    <x v="27"/>
    <x v="4"/>
    <x v="241"/>
    <s v="509 Carpenter Trail"/>
    <x v="1"/>
    <s v="35-835-5591"/>
    <s v="54-876-4296"/>
    <d v="2024-11-17T00:00:00"/>
    <x v="217"/>
    <s v="Yes"/>
    <d v="2024-11-17T00:00:00"/>
    <d v="2024-06-05T00:00:00"/>
    <n v="165"/>
    <d v="2024-03-08T00:00:00"/>
    <n v="-254"/>
    <n v="5.6000000000000005"/>
    <n v="95"/>
    <n v="63"/>
    <n v="73"/>
    <n v="7"/>
    <n v="61"/>
    <n v="0.36969696969696969"/>
    <n v="5.1999899792654221"/>
    <n v="38"/>
    <n v="-1.17"/>
    <n v="427"/>
    <n v="1.2403079519076542E-3"/>
    <n v="341.6"/>
  </r>
  <r>
    <x v="20"/>
    <x v="6"/>
    <x v="20"/>
    <s v="298 Corry Plaza"/>
    <x v="0"/>
    <s v="83-704-6367"/>
    <s v="41-628-8713"/>
    <d v="2024-11-17T00:00:00"/>
    <x v="256"/>
    <s v="Yes"/>
    <d v="2024-11-17T00:00:00"/>
    <d v="2024-09-02T00:00:00"/>
    <n v="76"/>
    <d v="2024-09-07T00:00:00"/>
    <n v="-71"/>
    <n v="16.8"/>
    <n v="21"/>
    <n v="87"/>
    <n v="12"/>
    <n v="21"/>
    <n v="20"/>
    <n v="0.26315789473684209"/>
    <n v="5.1999899792654221"/>
    <n v="38"/>
    <n v="0.38"/>
    <n v="420"/>
    <n v="1.2199750346632663E-3"/>
    <n v="336"/>
  </r>
  <r>
    <x v="117"/>
    <x v="0"/>
    <x v="58"/>
    <s v="9 Karstens Center"/>
    <x v="0"/>
    <s v="60-771-0879"/>
    <s v="90-554-0576"/>
    <d v="2024-11-17T00:00:00"/>
    <x v="257"/>
    <s v="No"/>
    <d v="2025-02-11T00:00:00"/>
    <d v="2024-11-17T00:00:00"/>
    <n v="86"/>
    <d v="2024-05-03T00:00:00"/>
    <n v="-284"/>
    <n v="8"/>
    <n v="89"/>
    <n v="15"/>
    <n v="22"/>
    <n v="10"/>
    <n v="79"/>
    <n v="0.91860465116279066"/>
    <n v="5.1999899792654221"/>
    <n v="42"/>
    <n v="-0.9"/>
    <n v="790"/>
    <n v="2.2947149461523342E-3"/>
    <n v="632"/>
  </r>
  <r>
    <x v="46"/>
    <x v="0"/>
    <x v="34"/>
    <s v="1661 Springview Terrace"/>
    <x v="2"/>
    <s v="27-269-5260"/>
    <s v="54-724-8610"/>
    <d v="2024-11-17T00:00:00"/>
    <x v="258"/>
    <s v="Yes"/>
    <d v="2024-11-17T00:00:00"/>
    <d v="2024-03-15T00:00:00"/>
    <n v="247"/>
    <d v="2024-10-22T00:00:00"/>
    <n v="-26"/>
    <n v="2.8000000000000003"/>
    <n v="14"/>
    <n v="81"/>
    <n v="65"/>
    <n v="3.5"/>
    <n v="74"/>
    <n v="0.29959514170040485"/>
    <n v="5.1999899792654221"/>
    <n v="84"/>
    <n v="0.47"/>
    <n v="259"/>
    <n v="7.5231793804234753E-4"/>
    <n v="207.20000000000002"/>
  </r>
  <r>
    <x v="22"/>
    <x v="0"/>
    <x v="182"/>
    <s v="8239 Laurel Way"/>
    <x v="0"/>
    <s v="20-031-0532"/>
    <s v="35-835-8848"/>
    <d v="2024-11-17T00:00:00"/>
    <x v="259"/>
    <s v="Yes"/>
    <d v="2024-11-17T00:00:00"/>
    <d v="2024-07-25T00:00:00"/>
    <n v="115"/>
    <d v="2024-11-09T00:00:00"/>
    <n v="-8"/>
    <n v="3.9200000000000004"/>
    <n v="32"/>
    <n v="63"/>
    <n v="92"/>
    <n v="4.9000000000000004"/>
    <n v="84"/>
    <n v="0.73043478260869565"/>
    <n v="5.1999899792654221"/>
    <n v="34"/>
    <n v="-0.14000000000000001"/>
    <n v="411.6"/>
    <n v="1.1955755339700012E-3"/>
    <n v="329.28000000000003"/>
  </r>
  <r>
    <x v="100"/>
    <x v="4"/>
    <x v="152"/>
    <s v="5 Ohio Lane"/>
    <x v="1"/>
    <s v="19-323-0506"/>
    <s v="28-977-3789"/>
    <d v="2024-11-17T00:00:00"/>
    <x v="166"/>
    <s v="Yes"/>
    <d v="2024-11-17T00:00:00"/>
    <d v="2024-04-28T00:00:00"/>
    <n v="203"/>
    <d v="2024-10-15T00:00:00"/>
    <n v="-33"/>
    <n v="16"/>
    <n v="68"/>
    <n v="43"/>
    <n v="96"/>
    <n v="20"/>
    <n v="75"/>
    <n v="0.36945812807881773"/>
    <n v="5.1999899792654221"/>
    <n v="35"/>
    <n v="0.6"/>
    <n v="1500"/>
    <n v="4.3570536952259511E-3"/>
    <n v="1200"/>
  </r>
  <r>
    <x v="45"/>
    <x v="2"/>
    <x v="65"/>
    <s v="55782 Welch Hill"/>
    <x v="2"/>
    <s v="46-452-9419"/>
    <s v="67-137-4215"/>
    <d v="2024-11-18T00:00:00"/>
    <x v="260"/>
    <s v="Yes"/>
    <d v="2024-11-18T00:00:00"/>
    <d v="2024-11-14T00:00:00"/>
    <n v="4"/>
    <d v="2024-07-08T00:00:00"/>
    <n v="-133"/>
    <n v="0.8"/>
    <n v="43"/>
    <n v="10"/>
    <n v="15"/>
    <n v="1"/>
    <n v="27"/>
    <n v="6.75"/>
    <n v="5.1999899792654221"/>
    <n v="69"/>
    <n v="0.53"/>
    <n v="27"/>
    <n v="7.8426966514067128E-5"/>
    <n v="21.6"/>
  </r>
  <r>
    <x v="55"/>
    <x v="0"/>
    <x v="35"/>
    <s v="54 Pawling Crossing"/>
    <x v="0"/>
    <s v="90-492-0564"/>
    <s v="18-085-1667"/>
    <d v="2024-11-18T00:00:00"/>
    <x v="197"/>
    <s v="Yes"/>
    <d v="2024-11-18T00:00:00"/>
    <d v="2024-06-25T00:00:00"/>
    <n v="146"/>
    <d v="2024-07-20T00:00:00"/>
    <n v="-121"/>
    <n v="4.8000000000000007"/>
    <n v="92"/>
    <n v="96"/>
    <n v="56"/>
    <n v="6"/>
    <n v="32"/>
    <n v="0.21917808219178081"/>
    <n v="5.1999899792654221"/>
    <n v="22"/>
    <n v="-1.56"/>
    <n v="192"/>
    <n v="5.577028729889218E-4"/>
    <n v="153.60000000000002"/>
  </r>
  <r>
    <x v="51"/>
    <x v="0"/>
    <x v="62"/>
    <s v="8 Oriole Terrace"/>
    <x v="1"/>
    <s v="17-395-1121"/>
    <s v="67-252-3923"/>
    <d v="2024-11-18T00:00:00"/>
    <x v="96"/>
    <s v="Yes"/>
    <d v="2024-11-18T00:00:00"/>
    <d v="2024-10-08T00:00:00"/>
    <n v="41"/>
    <d v="2024-12-03T00:00:00"/>
    <n v="15"/>
    <n v="3.08"/>
    <n v="85"/>
    <n v="16"/>
    <n v="74"/>
    <n v="3.85"/>
    <n v="58"/>
    <n v="1.4146341463414633"/>
    <n v="5.1999899792654221"/>
    <n v="36"/>
    <n v="0.31"/>
    <n v="223.3"/>
    <n v="6.4862006009597001E-4"/>
    <n v="178.64000000000001"/>
  </r>
  <r>
    <x v="118"/>
    <x v="2"/>
    <x v="161"/>
    <s v="40 Merchant Terrace"/>
    <x v="2"/>
    <s v="83-400-9746"/>
    <s v="02-510-0629"/>
    <d v="2024-11-18T00:00:00"/>
    <x v="67"/>
    <s v="Yes"/>
    <d v="2024-11-18T00:00:00"/>
    <d v="2024-07-12T00:00:00"/>
    <n v="129"/>
    <d v="2024-02-29T00:00:00"/>
    <n v="-263"/>
    <n v="5.6000000000000005"/>
    <n v="24"/>
    <n v="1"/>
    <n v="65"/>
    <n v="7"/>
    <n v="58"/>
    <n v="0.44961240310077522"/>
    <n v="5.1999899792654221"/>
    <n v="61"/>
    <n v="0.38"/>
    <n v="406"/>
    <n v="1.1793092001744908E-3"/>
    <n v="324.8"/>
  </r>
  <r>
    <x v="112"/>
    <x v="0"/>
    <x v="19"/>
    <s v="4 Dakota Avenue"/>
    <x v="1"/>
    <s v="19-854-3663"/>
    <s v="72-509-7548"/>
    <d v="2024-11-19T00:00:00"/>
    <x v="261"/>
    <s v="Yes"/>
    <d v="2024-11-19T00:00:00"/>
    <d v="2024-05-05T00:00:00"/>
    <n v="198"/>
    <d v="2024-12-14T00:00:00"/>
    <n v="25"/>
    <n v="2.4000000000000004"/>
    <n v="13"/>
    <n v="88"/>
    <n v="11"/>
    <n v="3"/>
    <n v="100"/>
    <n v="0.50505050505050508"/>
    <n v="5.1999899792654221"/>
    <n v="52"/>
    <n v="-0.05"/>
    <n v="300"/>
    <n v="8.7141073904519026E-4"/>
    <n v="240.00000000000003"/>
  </r>
  <r>
    <x v="87"/>
    <x v="4"/>
    <x v="247"/>
    <s v="1005 Lyons Junction"/>
    <x v="0"/>
    <s v="57-167-0669"/>
    <s v="30-934-3251"/>
    <d v="2024-11-21T00:00:00"/>
    <x v="160"/>
    <s v="No"/>
    <d v="2025-02-17T00:00:00"/>
    <d v="2024-11-21T00:00:00"/>
    <n v="88"/>
    <d v="2024-12-30T00:00:00"/>
    <n v="-49"/>
    <n v="7.2"/>
    <n v="19"/>
    <n v="99"/>
    <n v="78"/>
    <n v="9"/>
    <n v="29"/>
    <n v="0.32954545454545453"/>
    <n v="5.1999899792654221"/>
    <n v="54"/>
    <n v="0.48"/>
    <n v="261"/>
    <n v="7.5812734296931553E-4"/>
    <n v="208.8"/>
  </r>
  <r>
    <x v="20"/>
    <x v="6"/>
    <x v="267"/>
    <s v="43024 Elka Avenue"/>
    <x v="1"/>
    <s v="76-954-1442"/>
    <s v="68-200-8955"/>
    <d v="2024-11-22T00:00:00"/>
    <x v="79"/>
    <s v="Yes"/>
    <d v="2024-11-22T00:00:00"/>
    <d v="2024-04-24T00:00:00"/>
    <n v="212"/>
    <d v="2024-03-18T00:00:00"/>
    <n v="-249"/>
    <n v="16"/>
    <n v="97"/>
    <n v="77"/>
    <n v="99"/>
    <n v="20"/>
    <n v="74"/>
    <n v="0.34905660377358488"/>
    <n v="5.1999899792654221"/>
    <n v="98"/>
    <n v="-0.86"/>
    <n v="1480"/>
    <n v="4.2989596459562717E-3"/>
    <n v="1184"/>
  </r>
  <r>
    <x v="82"/>
    <x v="2"/>
    <x v="89"/>
    <s v="5 Armistice Parkway"/>
    <x v="1"/>
    <s v="83-763-5038"/>
    <s v="26-438-8349"/>
    <d v="2024-11-22T00:00:00"/>
    <x v="262"/>
    <s v="Yes"/>
    <d v="2024-11-22T00:00:00"/>
    <d v="2024-09-09T00:00:00"/>
    <n v="74"/>
    <d v="2024-10-23T00:00:00"/>
    <n v="-30"/>
    <n v="1.92"/>
    <n v="52"/>
    <n v="64"/>
    <n v="54"/>
    <n v="2.4"/>
    <n v="21"/>
    <n v="0.28378378378378377"/>
    <n v="5.1999899792654221"/>
    <n v="55"/>
    <n v="-0.32"/>
    <n v="50.4"/>
    <n v="1.4639700415959196E-4"/>
    <n v="40.32"/>
  </r>
  <r>
    <x v="106"/>
    <x v="2"/>
    <x v="218"/>
    <s v="3831 Goodland Road"/>
    <x v="0"/>
    <s v="80-375-9075"/>
    <s v="86-487-3354"/>
    <d v="2024-11-23T00:00:00"/>
    <x v="263"/>
    <s v="Yes"/>
    <d v="2024-11-23T00:00:00"/>
    <d v="2024-10-20T00:00:00"/>
    <n v="34"/>
    <d v="2024-06-19T00:00:00"/>
    <n v="-157"/>
    <n v="6.4"/>
    <n v="96"/>
    <n v="34"/>
    <n v="57"/>
    <n v="8"/>
    <n v="71"/>
    <n v="2.0882352941176472"/>
    <n v="5.1999899792654221"/>
    <n v="17"/>
    <n v="-1.62"/>
    <n v="568"/>
    <n v="1.6498709992588936E-3"/>
    <n v="454.40000000000003"/>
  </r>
  <r>
    <x v="103"/>
    <x v="1"/>
    <x v="230"/>
    <s v="92486 Laurel Alley"/>
    <x v="0"/>
    <s v="87-391-9658"/>
    <s v="51-054-1226"/>
    <d v="2024-11-23T00:00:00"/>
    <x v="264"/>
    <s v="Yes"/>
    <d v="2024-11-23T00:00:00"/>
    <d v="2024-09-18T00:00:00"/>
    <n v="66"/>
    <d v="2025-01-07T00:00:00"/>
    <n v="45"/>
    <n v="2"/>
    <n v="26"/>
    <n v="100"/>
    <n v="13"/>
    <n v="2.5"/>
    <n v="45"/>
    <n v="0.68181818181818177"/>
    <n v="5.1999899792654221"/>
    <n v="45"/>
    <n v="0.76"/>
    <n v="112.5"/>
    <n v="3.2677902714194632E-4"/>
    <n v="90"/>
  </r>
  <r>
    <x v="76"/>
    <x v="3"/>
    <x v="68"/>
    <s v="9 Victoria Point"/>
    <x v="1"/>
    <s v="67-725-6830"/>
    <s v="05-727-0033"/>
    <d v="2024-11-23T00:00:00"/>
    <x v="195"/>
    <s v="Yes"/>
    <d v="2024-11-23T00:00:00"/>
    <d v="2024-08-11T00:00:00"/>
    <n v="104"/>
    <d v="2024-06-18T00:00:00"/>
    <n v="-158"/>
    <n v="2"/>
    <n v="51"/>
    <n v="47"/>
    <n v="6"/>
    <n v="2.5"/>
    <n v="53"/>
    <n v="0.50961538461538458"/>
    <n v="5.1999899792654221"/>
    <n v="4"/>
    <n v="0"/>
    <n v="132.5"/>
    <n v="3.8487307641162571E-4"/>
    <n v="106"/>
  </r>
  <r>
    <x v="28"/>
    <x v="3"/>
    <x v="268"/>
    <s v="6748 Mitchell Road"/>
    <x v="2"/>
    <s v="12-093-9863"/>
    <s v="21-416-3796"/>
    <d v="2024-11-23T00:00:00"/>
    <x v="265"/>
    <s v="No"/>
    <d v="2025-02-09T00:00:00"/>
    <d v="2024-11-23T00:00:00"/>
    <n v="78"/>
    <d v="2024-06-26T00:00:00"/>
    <n v="-228"/>
    <n v="3.6"/>
    <n v="51"/>
    <n v="19"/>
    <n v="96"/>
    <n v="4.5"/>
    <n v="73"/>
    <n v="0.9358974358974359"/>
    <n v="5.1999899792654221"/>
    <n v="42"/>
    <n v="0.92"/>
    <n v="328.5"/>
    <n v="9.5419475925448329E-4"/>
    <n v="262.8"/>
  </r>
  <r>
    <x v="18"/>
    <x v="0"/>
    <x v="208"/>
    <s v="81 Oneill Circle"/>
    <x v="1"/>
    <s v="44-408-7594"/>
    <s v="08-828-3804"/>
    <d v="2024-11-24T00:00:00"/>
    <x v="110"/>
    <s v="Yes"/>
    <d v="2024-11-24T00:00:00"/>
    <d v="2024-05-01T00:00:00"/>
    <n v="207"/>
    <d v="2025-01-08T00:00:00"/>
    <n v="45"/>
    <n v="2.4000000000000004"/>
    <n v="39"/>
    <n v="21"/>
    <n v="5"/>
    <n v="3"/>
    <n v="51"/>
    <n v="0.24637681159420291"/>
    <n v="5.1999899792654221"/>
    <n v="98"/>
    <n v="0.42"/>
    <n v="153"/>
    <n v="4.4441947691304702E-4"/>
    <n v="122.40000000000002"/>
  </r>
  <r>
    <x v="42"/>
    <x v="0"/>
    <x v="7"/>
    <s v="537 Maple Alley"/>
    <x v="2"/>
    <s v="04-637-8815"/>
    <s v="60-959-6355"/>
    <d v="2024-11-24T00:00:00"/>
    <x v="266"/>
    <s v="No"/>
    <d v="2024-11-27T00:00:00"/>
    <d v="2024-11-24T00:00:00"/>
    <n v="3"/>
    <d v="2024-11-24T00:00:00"/>
    <n v="-3"/>
    <n v="4"/>
    <n v="90"/>
    <n v="91"/>
    <n v="62"/>
    <n v="5"/>
    <n v="34"/>
    <n v="11.333333333333334"/>
    <n v="5.1999899792654221"/>
    <n v="72"/>
    <n v="-0.92"/>
    <n v="170"/>
    <n v="4.9379941879227447E-4"/>
    <n v="136"/>
  </r>
  <r>
    <x v="48"/>
    <x v="0"/>
    <x v="269"/>
    <s v="82737 Ryan Place"/>
    <x v="2"/>
    <s v="88-746-9468"/>
    <s v="06-159-1957"/>
    <d v="2024-11-25T00:00:00"/>
    <x v="237"/>
    <s v="No"/>
    <d v="2025-02-03T00:00:00"/>
    <d v="2024-11-25T00:00:00"/>
    <n v="70"/>
    <d v="2024-11-14T00:00:00"/>
    <n v="-81"/>
    <n v="1.6"/>
    <n v="35"/>
    <n v="92"/>
    <n v="74"/>
    <n v="2"/>
    <n v="76"/>
    <n v="1.0857142857142856"/>
    <n v="5.1999899792654221"/>
    <n v="32"/>
    <n v="-1.1200000000000001"/>
    <n v="152"/>
    <n v="4.4151477444956307E-4"/>
    <n v="121.60000000000001"/>
  </r>
  <r>
    <x v="105"/>
    <x v="6"/>
    <x v="270"/>
    <s v="7 Hallows Alley"/>
    <x v="1"/>
    <s v="32-987-5559"/>
    <s v="01-665-0053"/>
    <d v="2024-11-25T00:00:00"/>
    <x v="267"/>
    <s v="No"/>
    <d v="2025-01-30T00:00:00"/>
    <d v="2024-11-25T00:00:00"/>
    <n v="66"/>
    <d v="2024-05-15T00:00:00"/>
    <n v="-260"/>
    <n v="6.4"/>
    <n v="39"/>
    <n v="88"/>
    <n v="100"/>
    <n v="8"/>
    <n v="28"/>
    <n v="0.42424242424242425"/>
    <n v="5.1999899792654221"/>
    <n v="18"/>
    <n v="0.57999999999999996"/>
    <n v="224"/>
    <n v="6.506533518204087E-4"/>
    <n v="179.20000000000002"/>
  </r>
  <r>
    <x v="61"/>
    <x v="3"/>
    <x v="33"/>
    <s v="60 Main Pass"/>
    <x v="2"/>
    <s v="02-484-0206"/>
    <s v="62-011-9357"/>
    <d v="2024-11-25T00:00:00"/>
    <x v="30"/>
    <s v="Yes"/>
    <d v="2024-11-25T00:00:00"/>
    <d v="2024-08-20T00:00:00"/>
    <n v="97"/>
    <d v="2024-08-02T00:00:00"/>
    <n v="-115"/>
    <n v="2.4000000000000004"/>
    <n v="64"/>
    <n v="97"/>
    <n v="91"/>
    <n v="3"/>
    <n v="48"/>
    <n v="0.49484536082474229"/>
    <n v="5.1999899792654221"/>
    <n v="100"/>
    <n v="0.36"/>
    <n v="144"/>
    <n v="4.182771547416913E-4"/>
    <n v="115.20000000000002"/>
  </r>
  <r>
    <x v="54"/>
    <x v="3"/>
    <x v="271"/>
    <s v="652 High Crossing Lane"/>
    <x v="2"/>
    <s v="80-441-7249"/>
    <s v="35-979-6839"/>
    <d v="2024-11-25T00:00:00"/>
    <x v="268"/>
    <s v="Yes"/>
    <d v="2024-11-25T00:00:00"/>
    <d v="2024-04-14T00:00:00"/>
    <n v="225"/>
    <d v="2024-08-10T00:00:00"/>
    <n v="-107"/>
    <n v="8"/>
    <n v="98"/>
    <n v="30"/>
    <n v="39"/>
    <n v="10"/>
    <n v="31"/>
    <n v="0.13777777777777778"/>
    <n v="5.1999899792654221"/>
    <n v="26"/>
    <n v="-1.08"/>
    <n v="310"/>
    <n v="9.0045776368002993E-4"/>
    <n v="248"/>
  </r>
  <r>
    <x v="28"/>
    <x v="3"/>
    <x v="205"/>
    <s v="03416 Valley Edge Circle"/>
    <x v="2"/>
    <s v="41-316-8427"/>
    <s v="75-867-3635"/>
    <d v="2024-11-26T00:00:00"/>
    <x v="269"/>
    <s v="Yes"/>
    <d v="2024-11-26T00:00:00"/>
    <d v="2024-09-06T00:00:00"/>
    <n v="81"/>
    <d v="2024-09-21T00:00:00"/>
    <n v="-66"/>
    <n v="3.6"/>
    <n v="95"/>
    <n v="93"/>
    <n v="16"/>
    <n v="4.5"/>
    <n v="60"/>
    <n v="0.7407407407407407"/>
    <n v="5.1999899792654221"/>
    <n v="19"/>
    <n v="0.16"/>
    <n v="270"/>
    <n v="7.8426966514067126E-4"/>
    <n v="216"/>
  </r>
  <r>
    <x v="1"/>
    <x v="1"/>
    <x v="118"/>
    <s v="05686 Golden Leaf Point"/>
    <x v="0"/>
    <s v="56-668-5370"/>
    <s v="13-526-1392"/>
    <d v="2024-11-26T00:00:00"/>
    <x v="233"/>
    <s v="Yes"/>
    <d v="2024-11-26T00:00:00"/>
    <d v="2024-09-10T00:00:00"/>
    <n v="77"/>
    <d v="2024-08-03T00:00:00"/>
    <n v="-115"/>
    <n v="1.6"/>
    <n v="70"/>
    <n v="96"/>
    <n v="21"/>
    <n v="2"/>
    <n v="100"/>
    <n v="1.2987012987012987"/>
    <n v="5.1999899792654221"/>
    <n v="15"/>
    <n v="0.68"/>
    <n v="200"/>
    <n v="5.8094049269679347E-4"/>
    <n v="160"/>
  </r>
  <r>
    <x v="114"/>
    <x v="0"/>
    <x v="92"/>
    <s v="11 Kedzie Avenue"/>
    <x v="2"/>
    <s v="45-172-7012"/>
    <s v="95-721-9228"/>
    <d v="2024-11-26T00:00:00"/>
    <x v="152"/>
    <s v="No"/>
    <d v="2024-12-13T00:00:00"/>
    <d v="2024-11-26T00:00:00"/>
    <n v="17"/>
    <d v="2024-12-01T00:00:00"/>
    <n v="-12"/>
    <n v="3.6"/>
    <n v="20"/>
    <n v="91"/>
    <n v="12"/>
    <n v="4.5"/>
    <n v="35"/>
    <n v="2.0588235294117645"/>
    <n v="5.1999899792654221"/>
    <n v="50"/>
    <n v="0.85"/>
    <n v="157.5"/>
    <n v="4.5749063799872488E-4"/>
    <n v="126"/>
  </r>
  <r>
    <x v="46"/>
    <x v="0"/>
    <x v="114"/>
    <s v="1 Pleasure Hill"/>
    <x v="0"/>
    <s v="93-015-0811"/>
    <s v="07-055-5188"/>
    <d v="2024-11-26T00:00:00"/>
    <x v="270"/>
    <s v="Yes"/>
    <d v="2024-11-26T00:00:00"/>
    <d v="2024-08-05T00:00:00"/>
    <n v="113"/>
    <d v="2024-06-26T00:00:00"/>
    <n v="-153"/>
    <n v="2.8000000000000003"/>
    <n v="18"/>
    <n v="7"/>
    <n v="58"/>
    <n v="3.5"/>
    <n v="88"/>
    <n v="0.77876106194690264"/>
    <n v="5.1999899792654221"/>
    <n v="96"/>
    <n v="-0.43"/>
    <n v="308"/>
    <n v="8.9464835875306204E-4"/>
    <n v="246.40000000000003"/>
  </r>
  <r>
    <x v="81"/>
    <x v="1"/>
    <x v="180"/>
    <s v="08896 Evergreen Avenue"/>
    <x v="0"/>
    <s v="52-029-2382"/>
    <s v="16-474-4516"/>
    <d v="2024-11-26T00:00:00"/>
    <x v="271"/>
    <s v="Yes"/>
    <d v="2024-11-26T00:00:00"/>
    <d v="2024-08-15T00:00:00"/>
    <n v="103"/>
    <d v="2024-04-08T00:00:00"/>
    <n v="-232"/>
    <n v="4"/>
    <n v="54"/>
    <n v="86"/>
    <n v="69"/>
    <n v="5"/>
    <n v="29"/>
    <n v="0.28155339805825241"/>
    <n v="5.1999899792654221"/>
    <n v="8"/>
    <n v="-0.09"/>
    <n v="145"/>
    <n v="4.211818572051753E-4"/>
    <n v="116"/>
  </r>
  <r>
    <x v="114"/>
    <x v="0"/>
    <x v="87"/>
    <s v="309 Burning Wood Center"/>
    <x v="0"/>
    <s v="28-044-4102"/>
    <s v="93-358-1118"/>
    <d v="2024-11-26T00:00:00"/>
    <x v="272"/>
    <s v="Yes"/>
    <d v="2024-11-26T00:00:00"/>
    <d v="2024-03-01T00:00:00"/>
    <n v="270"/>
    <d v="2024-08-27T00:00:00"/>
    <n v="-91"/>
    <n v="3.6"/>
    <n v="19"/>
    <n v="28"/>
    <n v="83"/>
    <n v="4.5"/>
    <n v="91"/>
    <n v="0.33703703703703702"/>
    <n v="5.1999899792654221"/>
    <n v="73"/>
    <n v="0.72"/>
    <n v="409.5"/>
    <n v="1.1894756587966847E-3"/>
    <n v="327.60000000000002"/>
  </r>
  <r>
    <x v="17"/>
    <x v="2"/>
    <x v="135"/>
    <s v="113 Donald Court"/>
    <x v="2"/>
    <s v="34-861-4446"/>
    <s v="40-696-4237"/>
    <d v="2024-11-27T00:00:00"/>
    <x v="189"/>
    <s v="No"/>
    <d v="2025-01-18T00:00:00"/>
    <d v="2024-11-27T00:00:00"/>
    <n v="52"/>
    <d v="2025-01-06T00:00:00"/>
    <n v="-12"/>
    <n v="4.8000000000000007"/>
    <n v="66"/>
    <n v="40"/>
    <n v="8"/>
    <n v="6"/>
    <n v="43"/>
    <n v="0.82692307692307687"/>
    <n v="5.1999899792654221"/>
    <n v="49"/>
    <n v="0.2"/>
    <n v="258"/>
    <n v="7.4941323557886359E-4"/>
    <n v="206.40000000000003"/>
  </r>
  <r>
    <x v="59"/>
    <x v="0"/>
    <x v="272"/>
    <s v="611 Waubesa Circle"/>
    <x v="0"/>
    <s v="80-334-0215"/>
    <s v="19-156-3869"/>
    <d v="2024-11-27T00:00:00"/>
    <x v="228"/>
    <s v="Yes"/>
    <d v="2024-11-27T00:00:00"/>
    <d v="2024-04-30T00:00:00"/>
    <n v="211"/>
    <d v="2024-06-22T00:00:00"/>
    <n v="-158"/>
    <n v="4.4000000000000004"/>
    <n v="88"/>
    <n v="27"/>
    <n v="92"/>
    <n v="5.5"/>
    <n v="57"/>
    <n v="0.27014218009478674"/>
    <n v="5.1999899792654221"/>
    <n v="37"/>
    <n v="-0.14000000000000001"/>
    <n v="313.5"/>
    <n v="9.1062422230222379E-4"/>
    <n v="250.8"/>
  </r>
  <r>
    <x v="25"/>
    <x v="5"/>
    <x v="273"/>
    <s v="44 Thompson Terrace"/>
    <x v="0"/>
    <s v="94-697-2396"/>
    <s v="34-161-7429"/>
    <d v="2024-11-27T00:00:00"/>
    <x v="151"/>
    <s v="Yes"/>
    <d v="2024-11-27T00:00:00"/>
    <d v="2024-02-26T00:00:00"/>
    <n v="275"/>
    <d v="2024-07-07T00:00:00"/>
    <n v="-143"/>
    <n v="3.2"/>
    <n v="71"/>
    <n v="97"/>
    <n v="44"/>
    <n v="4"/>
    <n v="58"/>
    <n v="0.21090909090909091"/>
    <n v="5.1999899792654221"/>
    <n v="14"/>
    <n v="0.35"/>
    <n v="232"/>
    <n v="6.7389097152828047E-4"/>
    <n v="185.60000000000002"/>
  </r>
  <r>
    <x v="48"/>
    <x v="0"/>
    <x v="274"/>
    <s v="425 Shasta Terrace"/>
    <x v="2"/>
    <s v="76-027-4850"/>
    <s v="75-256-5638"/>
    <d v="2024-11-27T00:00:00"/>
    <x v="238"/>
    <s v="Yes"/>
    <d v="2024-11-27T00:00:00"/>
    <d v="2024-08-26T00:00:00"/>
    <n v="93"/>
    <d v="2024-06-24T00:00:00"/>
    <n v="-156"/>
    <n v="1.6"/>
    <n v="39"/>
    <n v="37"/>
    <n v="48"/>
    <n v="2"/>
    <n v="25"/>
    <n v="0.26881720430107525"/>
    <n v="5.1999899792654221"/>
    <n v="19"/>
    <n v="0.76"/>
    <n v="50"/>
    <n v="1.4523512317419837E-4"/>
    <n v="40"/>
  </r>
  <r>
    <x v="51"/>
    <x v="0"/>
    <x v="275"/>
    <s v="21633 Sycamore Center"/>
    <x v="0"/>
    <s v="15-907-3681"/>
    <s v="72-931-9828"/>
    <d v="2024-11-28T00:00:00"/>
    <x v="231"/>
    <s v="No"/>
    <d v="2025-01-27T00:00:00"/>
    <d v="2024-11-28T00:00:00"/>
    <n v="60"/>
    <d v="2025-02-20T00:00:00"/>
    <n v="24"/>
    <n v="3.08"/>
    <n v="20"/>
    <n v="42"/>
    <n v="21"/>
    <n v="3.85"/>
    <n v="61"/>
    <n v="1.0166666666666666"/>
    <n v="5.1999899792654221"/>
    <n v="25"/>
    <n v="0.24"/>
    <n v="234.85"/>
    <n v="6.8216937354920973E-4"/>
    <n v="187.88"/>
  </r>
  <r>
    <x v="77"/>
    <x v="6"/>
    <x v="47"/>
    <s v="797 Mcbride Lane"/>
    <x v="0"/>
    <s v="00-641-8691"/>
    <s v="34-824-0575"/>
    <d v="2024-11-28T00:00:00"/>
    <x v="273"/>
    <s v="Yes"/>
    <d v="2024-11-28T00:00:00"/>
    <d v="2024-09-24T00:00:00"/>
    <n v="65"/>
    <d v="2024-08-30T00:00:00"/>
    <n v="-90"/>
    <n v="12"/>
    <n v="33"/>
    <n v="22"/>
    <n v="94"/>
    <n v="15"/>
    <n v="96"/>
    <n v="1.476923076923077"/>
    <n v="5.1999899792654221"/>
    <n v="56"/>
    <n v="0.59"/>
    <n v="1440"/>
    <n v="4.1827715474169131E-3"/>
    <n v="1152"/>
  </r>
  <r>
    <x v="32"/>
    <x v="0"/>
    <x v="231"/>
    <s v="083 Mccormick Park"/>
    <x v="1"/>
    <s v="15-762-1058"/>
    <s v="32-914-1424"/>
    <d v="2024-11-29T00:00:00"/>
    <x v="232"/>
    <s v="No"/>
    <d v="2025-02-07T00:00:00"/>
    <d v="2024-11-29T00:00:00"/>
    <n v="70"/>
    <d v="2025-01-04T00:00:00"/>
    <n v="-34"/>
    <n v="1.6"/>
    <n v="29"/>
    <n v="83"/>
    <n v="91"/>
    <n v="2"/>
    <n v="81"/>
    <n v="1.1571428571428573"/>
    <n v="5.1999899792654221"/>
    <n v="53"/>
    <n v="0.42"/>
    <n v="162"/>
    <n v="4.7056179908440274E-4"/>
    <n v="129.6"/>
  </r>
  <r>
    <x v="53"/>
    <x v="3"/>
    <x v="254"/>
    <s v="38436 Anthes Way"/>
    <x v="1"/>
    <s v="57-779-4955"/>
    <s v="84-869-9980"/>
    <d v="2024-11-29T00:00:00"/>
    <x v="18"/>
    <s v="No"/>
    <d v="2024-12-01T00:00:00"/>
    <d v="2024-11-29T00:00:00"/>
    <n v="2"/>
    <d v="2025-01-20T00:00:00"/>
    <n v="50"/>
    <n v="5"/>
    <n v="92"/>
    <n v="48"/>
    <n v="22"/>
    <n v="6.25"/>
    <n v="38"/>
    <n v="19"/>
    <n v="5.1999899792654221"/>
    <n v="61"/>
    <n v="0.35"/>
    <n v="237.5"/>
    <n v="6.8986683507744223E-4"/>
    <n v="190"/>
  </r>
  <r>
    <x v="45"/>
    <x v="2"/>
    <x v="249"/>
    <s v="1 Mockingbird Parkway"/>
    <x v="1"/>
    <s v="68-436-1268"/>
    <s v="10-694-6636"/>
    <d v="2024-11-30T00:00:00"/>
    <x v="16"/>
    <s v="Yes"/>
    <d v="2024-11-30T00:00:00"/>
    <d v="2024-08-17T00:00:00"/>
    <n v="105"/>
    <d v="2024-07-11T00:00:00"/>
    <n v="-142"/>
    <n v="0.8"/>
    <n v="70"/>
    <n v="92"/>
    <n v="74"/>
    <n v="1"/>
    <n v="95"/>
    <n v="0.90476190476190477"/>
    <n v="5.1999899792654221"/>
    <n v="26"/>
    <n v="-0.61"/>
    <n v="95"/>
    <n v="2.759467340309769E-4"/>
    <n v="76"/>
  </r>
  <r>
    <x v="2"/>
    <x v="2"/>
    <x v="33"/>
    <s v="3 Bayside Point"/>
    <x v="1"/>
    <s v="26-000-1012"/>
    <s v="60-284-1974"/>
    <d v="2024-11-30T00:00:00"/>
    <x v="70"/>
    <s v="Yes"/>
    <d v="2024-11-30T00:00:00"/>
    <d v="2024-11-29T00:00:00"/>
    <n v="1"/>
    <d v="2024-04-12T00:00:00"/>
    <n v="-232"/>
    <n v="9.6000000000000014"/>
    <n v="65"/>
    <n v="54"/>
    <n v="29"/>
    <n v="12"/>
    <n v="69"/>
    <n v="69"/>
    <n v="5.1999899792654221"/>
    <n v="79"/>
    <n v="0.73"/>
    <n v="828"/>
    <n v="2.4050936397647252E-3"/>
    <n v="662.40000000000009"/>
  </r>
  <r>
    <x v="74"/>
    <x v="5"/>
    <x v="228"/>
    <s v="13 Forest Run Place"/>
    <x v="0"/>
    <s v="75-094-1179"/>
    <s v="57-615-0729"/>
    <d v="2024-12-13T00:00:00"/>
    <x v="265"/>
    <s v="No"/>
    <d v="2025-02-09T00:00:00"/>
    <d v="2024-12-13T00:00:00"/>
    <n v="58"/>
    <d v="2024-07-18T00:00:00"/>
    <n v="-206"/>
    <n v="2.4000000000000004"/>
    <n v="26"/>
    <n v="79"/>
    <n v="31"/>
    <n v="3"/>
    <n v="47"/>
    <n v="0.81034482758620685"/>
    <n v="5.1999899792654221"/>
    <n v="41"/>
    <n v="-0.14000000000000001"/>
    <n v="141"/>
    <n v="4.0956304735123941E-4"/>
    <n v="112.80000000000001"/>
  </r>
  <r>
    <x v="96"/>
    <x v="0"/>
    <x v="276"/>
    <s v="553 Mayfield Crossing"/>
    <x v="1"/>
    <s v="11-032-9778"/>
    <s v="42-380-8881"/>
    <d v="2024-12-13T00:00:00"/>
    <x v="231"/>
    <s v="No"/>
    <d v="2025-01-27T00:00:00"/>
    <d v="2024-12-13T00:00:00"/>
    <n v="45"/>
    <d v="2024-08-19T00:00:00"/>
    <n v="-161"/>
    <n v="2.4000000000000004"/>
    <n v="99"/>
    <n v="1"/>
    <n v="4"/>
    <n v="3"/>
    <n v="50"/>
    <n v="1.1111111111111112"/>
    <n v="5.1999899792654221"/>
    <n v="53"/>
    <n v="0.13"/>
    <n v="150"/>
    <n v="4.3570536952259513E-4"/>
    <n v="120.00000000000001"/>
  </r>
  <r>
    <x v="98"/>
    <x v="5"/>
    <x v="88"/>
    <s v="55276 Golf Hill"/>
    <x v="2"/>
    <s v="24-478-8277"/>
    <s v="64-070-7611"/>
    <d v="2024-12-13T00:00:00"/>
    <x v="154"/>
    <s v="No"/>
    <d v="2025-01-12T00:00:00"/>
    <d v="2024-12-13T00:00:00"/>
    <n v="30"/>
    <d v="2024-11-26T00:00:00"/>
    <n v="-47"/>
    <n v="2.6"/>
    <n v="47"/>
    <n v="26"/>
    <n v="40"/>
    <n v="3.25"/>
    <n v="30"/>
    <n v="1"/>
    <n v="5.1999899792654221"/>
    <n v="72"/>
    <n v="-0.06"/>
    <n v="97.5"/>
    <n v="2.8320849018968682E-4"/>
    <n v="78"/>
  </r>
  <r>
    <x v="99"/>
    <x v="0"/>
    <x v="166"/>
    <s v="924 La Follette Alley"/>
    <x v="2"/>
    <s v="12-239-9399"/>
    <s v="53-584-1853"/>
    <d v="2024-12-14T00:00:00"/>
    <x v="274"/>
    <s v="Yes"/>
    <d v="2024-12-14T00:00:00"/>
    <d v="2024-07-29T00:00:00"/>
    <n v="138"/>
    <d v="2024-10-27T00:00:00"/>
    <n v="-48"/>
    <n v="0.96"/>
    <n v="28"/>
    <n v="40"/>
    <n v="27"/>
    <n v="1.2"/>
    <n v="30"/>
    <n v="0.21739130434782608"/>
    <n v="5.1999899792654221"/>
    <n v="56"/>
    <n v="-1.4"/>
    <n v="36"/>
    <n v="1.0456928868542282E-4"/>
    <n v="28.799999999999997"/>
  </r>
  <r>
    <x v="45"/>
    <x v="2"/>
    <x v="277"/>
    <s v="35598 Fuller Terrace"/>
    <x v="0"/>
    <s v="83-321-7887"/>
    <s v="70-444-9176"/>
    <d v="2024-12-14T00:00:00"/>
    <x v="70"/>
    <s v="Yes"/>
    <d v="2024-12-14T00:00:00"/>
    <d v="2024-11-29T00:00:00"/>
    <n v="15"/>
    <d v="2024-08-02T00:00:00"/>
    <n v="-134"/>
    <n v="0.8"/>
    <n v="44"/>
    <n v="75"/>
    <n v="72"/>
    <n v="1"/>
    <n v="96"/>
    <n v="6.4"/>
    <n v="5.1999899792654221"/>
    <n v="38"/>
    <n v="-0.87"/>
    <n v="96"/>
    <n v="2.788514364944609E-4"/>
    <n v="76.800000000000011"/>
  </r>
  <r>
    <x v="97"/>
    <x v="2"/>
    <x v="278"/>
    <s v="163 Esch Pass"/>
    <x v="1"/>
    <s v="80-371-3695"/>
    <s v="42-254-7371"/>
    <d v="2024-12-15T00:00:00"/>
    <x v="215"/>
    <s v="Yes"/>
    <d v="2024-12-15T00:00:00"/>
    <d v="2024-11-30T00:00:00"/>
    <n v="15"/>
    <d v="2024-12-10T00:00:00"/>
    <n v="-5"/>
    <n v="4"/>
    <n v="89"/>
    <n v="42"/>
    <n v="76"/>
    <n v="5"/>
    <n v="94"/>
    <n v="6.2666666666666666"/>
    <n v="5.1999899792654221"/>
    <n v="81"/>
    <n v="0.6"/>
    <n v="470"/>
    <n v="1.3652101578374646E-3"/>
    <n v="376"/>
  </r>
  <r>
    <x v="88"/>
    <x v="0"/>
    <x v="154"/>
    <s v="77 Brown Circle"/>
    <x v="0"/>
    <s v="49-199-6836"/>
    <s v="81-999-7392"/>
    <d v="2024-12-15T00:00:00"/>
    <x v="275"/>
    <s v="No"/>
    <d v="2024-12-30T00:00:00"/>
    <d v="2024-12-15T00:00:00"/>
    <n v="15"/>
    <d v="2024-08-24T00:00:00"/>
    <n v="-128"/>
    <n v="2"/>
    <n v="100"/>
    <n v="64"/>
    <n v="62"/>
    <n v="2.5"/>
    <n v="84"/>
    <n v="5.6"/>
    <n v="5.1999899792654221"/>
    <n v="44"/>
    <n v="0.14000000000000001"/>
    <n v="210"/>
    <n v="6.0998751733163314E-4"/>
    <n v="168"/>
  </r>
  <r>
    <x v="111"/>
    <x v="5"/>
    <x v="54"/>
    <s v="8 Merrick Lane"/>
    <x v="0"/>
    <s v="85-510-2915"/>
    <s v="55-134-2668"/>
    <d v="2024-12-16T00:00:00"/>
    <x v="20"/>
    <s v="Yes"/>
    <d v="2024-12-16T00:00:00"/>
    <d v="2024-05-29T00:00:00"/>
    <n v="201"/>
    <d v="2024-10-09T00:00:00"/>
    <n v="-68"/>
    <n v="2"/>
    <n v="62"/>
    <n v="49"/>
    <n v="38"/>
    <n v="2.5"/>
    <n v="42"/>
    <n v="0.20895522388059701"/>
    <n v="5.1999899792654221"/>
    <n v="44"/>
    <n v="0.48"/>
    <n v="105"/>
    <n v="3.0499375866581657E-4"/>
    <n v="84"/>
  </r>
  <r>
    <x v="40"/>
    <x v="0"/>
    <x v="73"/>
    <s v="9 Cardinal Alley"/>
    <x v="1"/>
    <s v="08-637-9335"/>
    <s v="99-178-0951"/>
    <d v="2024-12-16T00:00:00"/>
    <x v="58"/>
    <s v="Yes"/>
    <d v="2024-12-16T00:00:00"/>
    <d v="2024-03-06T00:00:00"/>
    <n v="285"/>
    <d v="2024-07-25T00:00:00"/>
    <n v="-144"/>
    <n v="1.6"/>
    <n v="100"/>
    <n v="7"/>
    <n v="14"/>
    <n v="2"/>
    <n v="26"/>
    <n v="9.1228070175438603E-2"/>
    <n v="5.1999899792654221"/>
    <n v="33"/>
    <n v="-0.05"/>
    <n v="52"/>
    <n v="1.5104452810116631E-4"/>
    <n v="41.6"/>
  </r>
  <r>
    <x v="16"/>
    <x v="2"/>
    <x v="243"/>
    <s v="93 Longview Junction"/>
    <x v="1"/>
    <s v="85-212-2729"/>
    <s v="58-226-6435"/>
    <d v="2024-12-17T00:00:00"/>
    <x v="2"/>
    <s v="No"/>
    <d v="2024-12-21T00:00:00"/>
    <d v="2024-12-17T00:00:00"/>
    <n v="4"/>
    <d v="2024-05-16T00:00:00"/>
    <n v="-219"/>
    <n v="2"/>
    <n v="42"/>
    <n v="94"/>
    <n v="79"/>
    <n v="2.5"/>
    <n v="61"/>
    <n v="15.25"/>
    <n v="5.1999899792654221"/>
    <n v="92"/>
    <n v="-0.27"/>
    <n v="152.5"/>
    <n v="4.4296712568130505E-4"/>
    <n v="122"/>
  </r>
  <r>
    <x v="73"/>
    <x v="3"/>
    <x v="102"/>
    <s v="04776 Saint Paul Park"/>
    <x v="0"/>
    <s v="51-469-4611"/>
    <s v="62-029-0827"/>
    <d v="2024-12-18T00:00:00"/>
    <x v="183"/>
    <s v="Yes"/>
    <d v="2024-12-18T00:00:00"/>
    <d v="2024-05-24T00:00:00"/>
    <n v="208"/>
    <d v="2025-01-07T00:00:00"/>
    <n v="20"/>
    <n v="1.2800000000000002"/>
    <n v="62"/>
    <n v="81"/>
    <n v="91"/>
    <n v="1.6"/>
    <n v="100"/>
    <n v="0.48076923076923078"/>
    <n v="5.1999899792654221"/>
    <n v="42"/>
    <n v="-0.51"/>
    <n v="160"/>
    <n v="4.647523941574348E-4"/>
    <n v="128.00000000000003"/>
  </r>
  <r>
    <x v="64"/>
    <x v="0"/>
    <x v="93"/>
    <s v="7945 Mayer Center"/>
    <x v="0"/>
    <s v="34-928-2775"/>
    <s v="07-959-3210"/>
    <d v="2024-12-18T00:00:00"/>
    <x v="250"/>
    <s v="No"/>
    <d v="2025-02-24T00:00:00"/>
    <d v="2024-12-18T00:00:00"/>
    <n v="68"/>
    <d v="2025-01-28T00:00:00"/>
    <n v="-27"/>
    <n v="4"/>
    <n v="19"/>
    <n v="47"/>
    <n v="25"/>
    <n v="5"/>
    <n v="96"/>
    <n v="1.411764705882353"/>
    <n v="5.1999899792654221"/>
    <n v="37"/>
    <n v="0.57999999999999996"/>
    <n v="480"/>
    <n v="1.3942571824723045E-3"/>
    <n v="384"/>
  </r>
  <r>
    <x v="101"/>
    <x v="4"/>
    <x v="246"/>
    <s v="9433 Jenna Lane"/>
    <x v="1"/>
    <s v="32-676-1026"/>
    <s v="98-155-9583"/>
    <d v="2024-12-18T00:00:00"/>
    <x v="276"/>
    <s v="Yes"/>
    <d v="2024-12-18T00:00:00"/>
    <d v="2024-06-04T00:00:00"/>
    <n v="197"/>
    <d v="2024-04-16T00:00:00"/>
    <n v="-246"/>
    <n v="12"/>
    <n v="52"/>
    <n v="46"/>
    <n v="12"/>
    <n v="15"/>
    <n v="43"/>
    <n v="0.21827411167512689"/>
    <n v="5.1999899792654221"/>
    <n v="34"/>
    <n v="0.61"/>
    <n v="645"/>
    <n v="1.873533088947159E-3"/>
    <n v="516"/>
  </r>
  <r>
    <x v="25"/>
    <x v="5"/>
    <x v="81"/>
    <s v="2 Grayhawk Junction"/>
    <x v="0"/>
    <s v="53-080-8252"/>
    <s v="73-744-7022"/>
    <d v="2024-12-19T00:00:00"/>
    <x v="273"/>
    <s v="Yes"/>
    <d v="2024-12-19T00:00:00"/>
    <d v="2024-09-24T00:00:00"/>
    <n v="86"/>
    <d v="2024-11-20T00:00:00"/>
    <n v="-29"/>
    <n v="3.6"/>
    <n v="30"/>
    <n v="85"/>
    <n v="21"/>
    <n v="4.5"/>
    <n v="32"/>
    <n v="0.37209302325581395"/>
    <n v="5.1999899792654221"/>
    <n v="83"/>
    <n v="0.21"/>
    <n v="144"/>
    <n v="4.182771547416913E-4"/>
    <n v="115.2"/>
  </r>
  <r>
    <x v="23"/>
    <x v="0"/>
    <x v="133"/>
    <s v="6744 Helena Pass"/>
    <x v="2"/>
    <s v="49-526-7806"/>
    <s v="66-973-4855"/>
    <d v="2024-12-19T00:00:00"/>
    <x v="44"/>
    <s v="Yes"/>
    <d v="2024-12-19T00:00:00"/>
    <d v="2024-11-19T00:00:00"/>
    <n v="30"/>
    <d v="2024-05-01T00:00:00"/>
    <n v="-232"/>
    <n v="3.2"/>
    <n v="77"/>
    <n v="52"/>
    <n v="28"/>
    <n v="4"/>
    <n v="48"/>
    <n v="1.6"/>
    <n v="5.1999899792654221"/>
    <n v="43"/>
    <n v="-1.59"/>
    <n v="192"/>
    <n v="5.577028729889218E-4"/>
    <n v="153.60000000000002"/>
  </r>
  <r>
    <x v="17"/>
    <x v="2"/>
    <x v="279"/>
    <s v="803 Cottonwood Crossing"/>
    <x v="0"/>
    <s v="31-157-1822"/>
    <s v="53-998-1422"/>
    <d v="2024-12-19T00:00:00"/>
    <x v="179"/>
    <s v="Yes"/>
    <d v="2024-12-19T00:00:00"/>
    <d v="2024-07-30T00:00:00"/>
    <n v="142"/>
    <d v="2025-01-28T00:00:00"/>
    <n v="40"/>
    <n v="4.88"/>
    <n v="96"/>
    <n v="80"/>
    <n v="20"/>
    <n v="6.1"/>
    <n v="94"/>
    <n v="0.6619718309859155"/>
    <n v="5.1999899792654221"/>
    <n v="49"/>
    <n v="0.1"/>
    <n v="573.4"/>
    <n v="1.665556392561707E-3"/>
    <n v="458.71999999999997"/>
  </r>
  <r>
    <x v="87"/>
    <x v="4"/>
    <x v="28"/>
    <s v="269 Dakota Trail"/>
    <x v="1"/>
    <s v="91-426-3204"/>
    <s v="86-184-4829"/>
    <d v="2024-12-19T00:00:00"/>
    <x v="268"/>
    <s v="Yes"/>
    <d v="2024-12-19T00:00:00"/>
    <d v="2024-04-14T00:00:00"/>
    <n v="249"/>
    <d v="2024-07-08T00:00:00"/>
    <n v="-164"/>
    <n v="7.2"/>
    <n v="67"/>
    <n v="71"/>
    <n v="4"/>
    <n v="9"/>
    <n v="76"/>
    <n v="0.30522088353413657"/>
    <n v="5.1999899792654221"/>
    <n v="34"/>
    <n v="0.48"/>
    <n v="684"/>
    <n v="1.9868164850230336E-3"/>
    <n v="547.20000000000005"/>
  </r>
  <r>
    <x v="7"/>
    <x v="4"/>
    <x v="213"/>
    <s v="7 Harper Drive"/>
    <x v="1"/>
    <s v="64-109-7362"/>
    <s v="38-603-6412"/>
    <d v="2024-12-19T00:00:00"/>
    <x v="60"/>
    <s v="Yes"/>
    <d v="2024-12-19T00:00:00"/>
    <d v="2024-07-09T00:00:00"/>
    <n v="163"/>
    <d v="2024-09-29T00:00:00"/>
    <n v="-81"/>
    <n v="8"/>
    <n v="86"/>
    <n v="55"/>
    <n v="96"/>
    <n v="10"/>
    <n v="37"/>
    <n v="0.22699386503067484"/>
    <n v="5.1999899792654221"/>
    <n v="53"/>
    <n v="0.55000000000000004"/>
    <n v="370"/>
    <n v="1.0747399114890679E-3"/>
    <n v="296"/>
  </r>
  <r>
    <x v="2"/>
    <x v="2"/>
    <x v="202"/>
    <s v="49869 Bunker Hill Terrace"/>
    <x v="2"/>
    <s v="68-418-6724"/>
    <s v="75-465-6257"/>
    <d v="2024-12-21T00:00:00"/>
    <x v="277"/>
    <s v="No"/>
    <d v="2025-01-13T00:00:00"/>
    <d v="2024-12-21T00:00:00"/>
    <n v="23"/>
    <d v="2024-09-30T00:00:00"/>
    <n v="-105"/>
    <n v="9.6000000000000014"/>
    <n v="63"/>
    <n v="4"/>
    <n v="85"/>
    <n v="12"/>
    <n v="59"/>
    <n v="2.5652173913043477"/>
    <n v="5.1999899792654221"/>
    <n v="71"/>
    <n v="-0.43"/>
    <n v="708"/>
    <n v="2.0565293441466492E-3"/>
    <n v="566.40000000000009"/>
  </r>
  <r>
    <x v="13"/>
    <x v="5"/>
    <x v="74"/>
    <s v="7407 Farragut Pass"/>
    <x v="2"/>
    <s v="93-813-2419"/>
    <s v="12-264-4503"/>
    <d v="2024-12-21T00:00:00"/>
    <x v="135"/>
    <s v="Yes"/>
    <d v="2024-12-21T00:00:00"/>
    <d v="2024-04-09T00:00:00"/>
    <n v="256"/>
    <d v="2024-06-22T00:00:00"/>
    <n v="-182"/>
    <n v="3.2"/>
    <n v="39"/>
    <n v="16"/>
    <n v="57"/>
    <n v="4"/>
    <n v="98"/>
    <n v="0.3828125"/>
    <n v="5.1999899792654221"/>
    <n v="12"/>
    <n v="-0.2"/>
    <n v="392"/>
    <n v="1.1386433656857152E-3"/>
    <n v="313.60000000000002"/>
  </r>
  <r>
    <x v="55"/>
    <x v="0"/>
    <x v="280"/>
    <s v="7 Schiller Court"/>
    <x v="1"/>
    <s v="52-123-8039"/>
    <s v="24-087-5935"/>
    <d v="2024-12-21T00:00:00"/>
    <x v="95"/>
    <s v="Yes"/>
    <d v="2024-12-21T00:00:00"/>
    <d v="2024-09-03T00:00:00"/>
    <n v="109"/>
    <d v="2025-01-16T00:00:00"/>
    <n v="26"/>
    <n v="4.8000000000000007"/>
    <n v="43"/>
    <n v="65"/>
    <n v="66"/>
    <n v="6"/>
    <n v="78"/>
    <n v="0.7155963302752294"/>
    <n v="5.1999899792654221"/>
    <n v="73"/>
    <n v="0.88"/>
    <n v="468"/>
    <n v="1.3594007529104967E-3"/>
    <n v="374.40000000000003"/>
  </r>
  <r>
    <x v="62"/>
    <x v="4"/>
    <x v="214"/>
    <s v="11263 Kipling Hill"/>
    <x v="1"/>
    <s v="74-666-5671"/>
    <s v="58-657-7257"/>
    <d v="2024-12-21T00:00:00"/>
    <x v="278"/>
    <s v="Yes"/>
    <d v="2024-12-21T00:00:00"/>
    <d v="2024-05-10T00:00:00"/>
    <n v="225"/>
    <d v="2024-05-04T00:00:00"/>
    <n v="-231"/>
    <n v="14.4"/>
    <n v="37"/>
    <n v="33"/>
    <n v="80"/>
    <n v="18"/>
    <n v="27"/>
    <n v="0.12"/>
    <n v="5.1999899792654221"/>
    <n v="73"/>
    <n v="0.06"/>
    <n v="486"/>
    <n v="1.4116853972532082E-3"/>
    <n v="388.8"/>
  </r>
  <r>
    <x v="108"/>
    <x v="0"/>
    <x v="90"/>
    <s v="70001 Vahlen Lane"/>
    <x v="0"/>
    <s v="26-161-6692"/>
    <s v="61-796-7912"/>
    <d v="2024-12-22T00:00:00"/>
    <x v="230"/>
    <s v="Yes"/>
    <d v="2024-12-22T00:00:00"/>
    <d v="2024-09-07T00:00:00"/>
    <n v="106"/>
    <d v="2024-09-19T00:00:00"/>
    <n v="-94"/>
    <n v="2"/>
    <n v="61"/>
    <n v="90"/>
    <n v="26"/>
    <n v="2.5"/>
    <n v="79"/>
    <n v="0.74528301886792447"/>
    <n v="5.1999899792654221"/>
    <n v="84"/>
    <n v="-1.7"/>
    <n v="197.5"/>
    <n v="5.7367873653808355E-4"/>
    <n v="158"/>
  </r>
  <r>
    <x v="103"/>
    <x v="1"/>
    <x v="111"/>
    <s v="82 Hintze Court"/>
    <x v="0"/>
    <s v="44-368-7112"/>
    <s v="85-978-7855"/>
    <d v="2024-12-22T00:00:00"/>
    <x v="214"/>
    <s v="Yes"/>
    <d v="2024-12-22T00:00:00"/>
    <d v="2024-05-02T00:00:00"/>
    <n v="234"/>
    <d v="2024-12-06T00:00:00"/>
    <n v="-16"/>
    <n v="2"/>
    <n v="28"/>
    <n v="32"/>
    <n v="71"/>
    <n v="2.5"/>
    <n v="32"/>
    <n v="0.13675213675213677"/>
    <n v="5.1999899792654221"/>
    <n v="49"/>
    <n v="-0.06"/>
    <n v="80"/>
    <n v="2.323761970787174E-4"/>
    <n v="64"/>
  </r>
  <r>
    <x v="45"/>
    <x v="2"/>
    <x v="216"/>
    <s v="6982 Crownhardt Circle"/>
    <x v="2"/>
    <s v="01-820-5784"/>
    <s v="80-567-5598"/>
    <d v="2024-12-23T00:00:00"/>
    <x v="194"/>
    <s v="No"/>
    <d v="2025-02-12T00:00:00"/>
    <d v="2024-12-23T00:00:00"/>
    <n v="51"/>
    <d v="2024-04-26T00:00:00"/>
    <n v="-292"/>
    <n v="0.8"/>
    <n v="63"/>
    <n v="38"/>
    <n v="77"/>
    <n v="1"/>
    <n v="23"/>
    <n v="0.45098039215686275"/>
    <n v="5.1999899792654221"/>
    <n v="18"/>
    <n v="-0.53"/>
    <n v="23"/>
    <n v="6.6808156660131253E-5"/>
    <n v="18.400000000000002"/>
  </r>
  <r>
    <x v="56"/>
    <x v="0"/>
    <x v="281"/>
    <s v="2 Butterfield Pass"/>
    <x v="0"/>
    <s v="10-378-9729"/>
    <s v="83-941-9620"/>
    <d v="2024-12-23T00:00:00"/>
    <x v="26"/>
    <s v="Yes"/>
    <d v="2024-12-23T00:00:00"/>
    <d v="2024-11-26T00:00:00"/>
    <n v="27"/>
    <d v="2024-09-21T00:00:00"/>
    <n v="-93"/>
    <n v="53.24"/>
    <n v="69"/>
    <n v="21"/>
    <n v="68"/>
    <n v="66.55"/>
    <n v="36"/>
    <n v="1.3333333333333333"/>
    <n v="5.1999899792654221"/>
    <n v="35"/>
    <n v="0.22"/>
    <n v="2395.7999999999997"/>
    <n v="6.9590861620148882E-3"/>
    <n v="1916.64"/>
  </r>
  <r>
    <x v="62"/>
    <x v="4"/>
    <x v="265"/>
    <s v="14 Talmadge Park"/>
    <x v="0"/>
    <s v="39-479-5147"/>
    <s v="02-156-7270"/>
    <d v="2024-12-24T00:00:00"/>
    <x v="279"/>
    <s v="Yes"/>
    <d v="2024-12-24T00:00:00"/>
    <d v="2024-08-18T00:00:00"/>
    <n v="128"/>
    <d v="2024-04-04T00:00:00"/>
    <n v="-264"/>
    <n v="14.4"/>
    <n v="92"/>
    <n v="68"/>
    <n v="79"/>
    <n v="18"/>
    <n v="40"/>
    <n v="0.3125"/>
    <n v="5.1999899792654221"/>
    <n v="57"/>
    <n v="0.03"/>
    <n v="720"/>
    <n v="2.0913857737084565E-3"/>
    <n v="576"/>
  </r>
  <r>
    <x v="70"/>
    <x v="6"/>
    <x v="13"/>
    <s v="44662 American Plaza"/>
    <x v="0"/>
    <s v="95-262-6208"/>
    <s v="66-227-1125"/>
    <d v="2024-12-24T00:00:00"/>
    <x v="280"/>
    <s v="Yes"/>
    <d v="2024-12-24T00:00:00"/>
    <d v="2024-04-15T00:00:00"/>
    <n v="253"/>
    <d v="2024-07-29T00:00:00"/>
    <n v="-148"/>
    <n v="4"/>
    <n v="19"/>
    <n v="78"/>
    <n v="90"/>
    <n v="5"/>
    <n v="72"/>
    <n v="0.28458498023715417"/>
    <n v="5.1999899792654221"/>
    <n v="84"/>
    <n v="-0.43"/>
    <n v="360"/>
    <n v="1.0456928868542283E-3"/>
    <n v="288"/>
  </r>
  <r>
    <x v="15"/>
    <x v="0"/>
    <x v="214"/>
    <s v="7051 Calypso Place"/>
    <x v="1"/>
    <s v="37-248-6266"/>
    <s v="75-553-7424"/>
    <d v="2024-12-24T00:00:00"/>
    <x v="66"/>
    <s v="Yes"/>
    <d v="2024-12-24T00:00:00"/>
    <d v="2024-10-17T00:00:00"/>
    <n v="68"/>
    <d v="2024-05-24T00:00:00"/>
    <n v="-214"/>
    <n v="3.6"/>
    <n v="84"/>
    <n v="74"/>
    <n v="48"/>
    <n v="4.5"/>
    <n v="64"/>
    <n v="0.94117647058823528"/>
    <n v="5.1999899792654221"/>
    <n v="32"/>
    <n v="-0.17"/>
    <n v="288"/>
    <n v="8.3655430948338259E-4"/>
    <n v="230.4"/>
  </r>
  <r>
    <x v="32"/>
    <x v="0"/>
    <x v="40"/>
    <s v="4033 Sloan Hill"/>
    <x v="1"/>
    <s v="43-851-9440"/>
    <s v="67-674-0287"/>
    <d v="2024-12-24T00:00:00"/>
    <x v="281"/>
    <s v="Yes"/>
    <d v="2024-12-24T00:00:00"/>
    <d v="2024-05-11T00:00:00"/>
    <n v="227"/>
    <d v="2024-03-04T00:00:00"/>
    <n v="-295"/>
    <n v="1.52"/>
    <n v="14"/>
    <n v="75"/>
    <n v="19"/>
    <n v="1.9"/>
    <n v="100"/>
    <n v="0.44052863436123346"/>
    <n v="5.1999899792654221"/>
    <n v="84"/>
    <n v="0.5"/>
    <n v="190"/>
    <n v="5.518934680619538E-4"/>
    <n v="152"/>
  </r>
  <r>
    <x v="107"/>
    <x v="0"/>
    <x v="281"/>
    <s v="734 Thackeray Avenue"/>
    <x v="2"/>
    <s v="11-053-0107"/>
    <s v="07-410-2867"/>
    <d v="2024-12-25T00:00:00"/>
    <x v="67"/>
    <s v="Yes"/>
    <d v="2024-12-25T00:00:00"/>
    <d v="2024-07-12T00:00:00"/>
    <n v="166"/>
    <d v="2024-06-28T00:00:00"/>
    <n v="-180"/>
    <n v="6.4"/>
    <n v="30"/>
    <n v="25"/>
    <n v="11"/>
    <n v="8"/>
    <n v="42"/>
    <n v="0.25301204819277107"/>
    <n v="5.1999899792654221"/>
    <n v="76"/>
    <n v="0.16"/>
    <n v="336"/>
    <n v="9.7598002773061304E-4"/>
    <n v="268.8"/>
  </r>
  <r>
    <x v="5"/>
    <x v="0"/>
    <x v="282"/>
    <s v="31057 Roth Place"/>
    <x v="1"/>
    <s v="28-608-0039"/>
    <s v="26-796-0872"/>
    <d v="2024-12-26T00:00:00"/>
    <x v="246"/>
    <s v="Yes"/>
    <d v="2024-12-26T00:00:00"/>
    <d v="2024-05-21T00:00:00"/>
    <n v="219"/>
    <d v="2024-04-15T00:00:00"/>
    <n v="-255"/>
    <n v="2"/>
    <n v="63"/>
    <n v="60"/>
    <n v="54"/>
    <n v="2.5"/>
    <n v="33"/>
    <n v="0.15068493150684931"/>
    <n v="5.1999899792654221"/>
    <n v="31"/>
    <n v="-0.81"/>
    <n v="82.5"/>
    <n v="2.3963795323742732E-4"/>
    <n v="66"/>
  </r>
  <r>
    <x v="71"/>
    <x v="6"/>
    <x v="283"/>
    <s v="9559 Muir Trail"/>
    <x v="2"/>
    <s v="96-334-2593"/>
    <s v="64-831-3071"/>
    <d v="2024-12-26T00:00:00"/>
    <x v="88"/>
    <s v="Yes"/>
    <d v="2024-12-26T00:00:00"/>
    <d v="2024-06-27T00:00:00"/>
    <n v="182"/>
    <d v="2024-11-19T00:00:00"/>
    <n v="-37"/>
    <n v="20.240000000000002"/>
    <n v="60"/>
    <n v="27"/>
    <n v="58"/>
    <n v="25.3"/>
    <n v="43"/>
    <n v="0.23626373626373626"/>
    <n v="5.1999899792654221"/>
    <n v="91"/>
    <n v="0.06"/>
    <n v="1087.9000000000001"/>
    <n v="3.1600258100242086E-3"/>
    <n v="870.32"/>
  </r>
  <r>
    <x v="62"/>
    <x v="4"/>
    <x v="94"/>
    <s v="811 Dapin Center"/>
    <x v="1"/>
    <s v="73-010-8323"/>
    <s v="80-622-6587"/>
    <d v="2024-12-26T00:00:00"/>
    <x v="143"/>
    <s v="Yes"/>
    <d v="2024-12-26T00:00:00"/>
    <d v="2024-02-27T00:00:00"/>
    <n v="303"/>
    <d v="2024-04-29T00:00:00"/>
    <n v="-241"/>
    <n v="14.4"/>
    <n v="16"/>
    <n v="34"/>
    <n v="89"/>
    <n v="18"/>
    <n v="35"/>
    <n v="0.11551155115511551"/>
    <n v="5.1999899792654221"/>
    <n v="52"/>
    <n v="-1.1200000000000001"/>
    <n v="630"/>
    <n v="1.8299625519948995E-3"/>
    <n v="504"/>
  </r>
  <r>
    <x v="72"/>
    <x v="3"/>
    <x v="0"/>
    <s v="1 Hollow Ridge Park"/>
    <x v="0"/>
    <s v="86-273-9377"/>
    <s v="38-330-5543"/>
    <d v="2024-12-26T00:00:00"/>
    <x v="203"/>
    <s v="Yes"/>
    <d v="2024-12-26T00:00:00"/>
    <d v="2024-12-04T00:00:00"/>
    <n v="22"/>
    <d v="2024-11-29T00:00:00"/>
    <n v="-27"/>
    <n v="1.4400000000000002"/>
    <n v="18"/>
    <n v="86"/>
    <n v="20"/>
    <n v="1.8"/>
    <n v="64"/>
    <n v="2.9090909090909092"/>
    <n v="5.1999899792654221"/>
    <n v="34"/>
    <n v="-0.49"/>
    <n v="115.2"/>
    <n v="3.3462172379335306E-4"/>
    <n v="92.160000000000011"/>
  </r>
  <r>
    <x v="29"/>
    <x v="3"/>
    <x v="251"/>
    <s v="8583 Northwestern Terrace"/>
    <x v="0"/>
    <s v="35-353-4068"/>
    <s v="44-199-6832"/>
    <d v="2024-12-26T00:00:00"/>
    <x v="146"/>
    <s v="Yes"/>
    <d v="2024-12-26T00:00:00"/>
    <d v="2024-12-18T00:00:00"/>
    <n v="8"/>
    <d v="2024-07-05T00:00:00"/>
    <n v="-174"/>
    <n v="1.2000000000000002"/>
    <n v="64"/>
    <n v="11"/>
    <n v="97"/>
    <n v="1.5"/>
    <n v="33"/>
    <n v="4.125"/>
    <n v="5.1999899792654221"/>
    <n v="83"/>
    <n v="0.47"/>
    <n v="49.5"/>
    <n v="1.437827719424564E-4"/>
    <n v="39.600000000000009"/>
  </r>
  <r>
    <x v="48"/>
    <x v="0"/>
    <x v="284"/>
    <s v="42 Green Ridge Terrace"/>
    <x v="1"/>
    <s v="02-974-8526"/>
    <s v="09-387-1119"/>
    <d v="2024-12-26T00:00:00"/>
    <x v="42"/>
    <s v="Yes"/>
    <d v="2024-12-26T00:00:00"/>
    <d v="2024-04-05T00:00:00"/>
    <n v="265"/>
    <d v="2024-08-07T00:00:00"/>
    <n v="-141"/>
    <n v="1.6"/>
    <n v="74"/>
    <n v="4"/>
    <n v="39"/>
    <n v="2"/>
    <n v="97"/>
    <n v="0.36603773584905658"/>
    <n v="5.1999899792654221"/>
    <n v="24"/>
    <n v="-1.52"/>
    <n v="194"/>
    <n v="5.6351227791588969E-4"/>
    <n v="155.20000000000002"/>
  </r>
  <r>
    <x v="3"/>
    <x v="0"/>
    <x v="263"/>
    <s v="57453 Northwestern Alley"/>
    <x v="1"/>
    <s v="95-252-9619"/>
    <s v="38-819-2922"/>
    <d v="2024-12-27T00:00:00"/>
    <x v="132"/>
    <s v="Yes"/>
    <d v="2024-12-27T00:00:00"/>
    <d v="2024-12-07T00:00:00"/>
    <n v="20"/>
    <d v="2024-11-09T00:00:00"/>
    <n v="-48"/>
    <n v="1.2800000000000002"/>
    <n v="92"/>
    <n v="39"/>
    <n v="50"/>
    <n v="1.6"/>
    <n v="30"/>
    <n v="1.5"/>
    <n v="5.1999899792654221"/>
    <n v="41"/>
    <n v="0.75"/>
    <n v="48"/>
    <n v="1.3942571824723045E-4"/>
    <n v="38.400000000000006"/>
  </r>
  <r>
    <x v="20"/>
    <x v="6"/>
    <x v="283"/>
    <s v="760 Butternut Plaza"/>
    <x v="2"/>
    <s v="43-469-7551"/>
    <s v="64-361-4238"/>
    <d v="2024-12-27T00:00:00"/>
    <x v="65"/>
    <s v="Yes"/>
    <d v="2024-12-27T00:00:00"/>
    <d v="2024-05-26T00:00:00"/>
    <n v="215"/>
    <d v="2025-01-25T00:00:00"/>
    <n v="29"/>
    <n v="16"/>
    <n v="45"/>
    <n v="36"/>
    <n v="97"/>
    <n v="20"/>
    <n v="36"/>
    <n v="0.16744186046511628"/>
    <n v="5.1999899792654221"/>
    <n v="6"/>
    <n v="-0.37"/>
    <n v="720"/>
    <n v="2.0913857737084565E-3"/>
    <n v="576"/>
  </r>
  <r>
    <x v="116"/>
    <x v="2"/>
    <x v="204"/>
    <s v="7943 Amoth Parkway"/>
    <x v="2"/>
    <s v="08-495-6853"/>
    <s v="07-432-0137"/>
    <d v="2024-12-27T00:00:00"/>
    <x v="277"/>
    <s v="No"/>
    <d v="2025-01-13T00:00:00"/>
    <d v="2024-12-27T00:00:00"/>
    <n v="17"/>
    <d v="2024-08-14T00:00:00"/>
    <n v="-152"/>
    <n v="3.2"/>
    <n v="74"/>
    <n v="62"/>
    <n v="6"/>
    <n v="4"/>
    <n v="65"/>
    <n v="3.8235294117647061"/>
    <n v="5.1999899792654221"/>
    <n v="96"/>
    <n v="0.83"/>
    <n v="260"/>
    <n v="7.5522264050583159E-4"/>
    <n v="208"/>
  </r>
  <r>
    <x v="84"/>
    <x v="3"/>
    <x v="260"/>
    <s v="53 Forest Run Plaza"/>
    <x v="2"/>
    <s v="83-556-0996"/>
    <s v="81-234-0741"/>
    <d v="2024-12-27T00:00:00"/>
    <x v="248"/>
    <s v="No"/>
    <d v="2025-02-20T00:00:00"/>
    <d v="2024-12-27T00:00:00"/>
    <n v="55"/>
    <d v="2024-10-30T00:00:00"/>
    <n v="-113"/>
    <n v="1.92"/>
    <n v="88"/>
    <n v="34"/>
    <n v="94"/>
    <n v="2.4"/>
    <n v="95"/>
    <n v="1.7272727272727273"/>
    <n v="5.1999899792654221"/>
    <n v="63"/>
    <n v="-0.48"/>
    <n v="228"/>
    <n v="6.6227216167434458E-4"/>
    <n v="182.4"/>
  </r>
  <r>
    <x v="71"/>
    <x v="6"/>
    <x v="148"/>
    <s v="509 Waywood Center"/>
    <x v="2"/>
    <s v="65-282-0419"/>
    <s v="85-932-1011"/>
    <d v="2024-12-28T00:00:00"/>
    <x v="48"/>
    <s v="Yes"/>
    <d v="2024-12-28T00:00:00"/>
    <d v="2024-07-17T00:00:00"/>
    <n v="164"/>
    <d v="2024-12-05T00:00:00"/>
    <n v="-23"/>
    <n v="20.400000000000002"/>
    <n v="50"/>
    <n v="100"/>
    <n v="91"/>
    <n v="25.5"/>
    <n v="29"/>
    <n v="0.17682926829268292"/>
    <n v="5.1999899792654221"/>
    <n v="31"/>
    <n v="0.34"/>
    <n v="739.5"/>
    <n v="2.148027471746394E-3"/>
    <n v="591.6"/>
  </r>
  <r>
    <x v="110"/>
    <x v="2"/>
    <x v="285"/>
    <s v="1 Jackson Pass"/>
    <x v="1"/>
    <s v="95-449-1286"/>
    <s v="18-260-7354"/>
    <d v="2024-12-29T00:00:00"/>
    <x v="21"/>
    <s v="Yes"/>
    <d v="2024-12-29T00:00:00"/>
    <d v="2024-12-23T00:00:00"/>
    <n v="6"/>
    <d v="2024-09-08T00:00:00"/>
    <n v="-112"/>
    <n v="0.16000000000000003"/>
    <n v="10"/>
    <n v="17"/>
    <n v="70"/>
    <n v="0.2"/>
    <n v="100"/>
    <n v="16.666666666666668"/>
    <n v="5.1999899792654221"/>
    <n v="63"/>
    <n v="-7.0000000000000007E-2"/>
    <n v="20"/>
    <n v="5.809404926967935E-5"/>
    <n v="16.000000000000004"/>
  </r>
  <r>
    <x v="77"/>
    <x v="6"/>
    <x v="235"/>
    <s v="68 Dakota Center"/>
    <x v="1"/>
    <s v="00-534-9775"/>
    <s v="79-955-6260"/>
    <d v="2024-12-29T00:00:00"/>
    <x v="253"/>
    <s v="Yes"/>
    <d v="2024-12-29T00:00:00"/>
    <d v="2024-05-23T00:00:00"/>
    <n v="220"/>
    <d v="2024-08-17T00:00:00"/>
    <n v="-134"/>
    <n v="11.920000000000002"/>
    <n v="87"/>
    <n v="91"/>
    <n v="23"/>
    <n v="14.9"/>
    <n v="90"/>
    <n v="0.40909090909090912"/>
    <n v="5.1999899792654221"/>
    <n v="75"/>
    <n v="0.37"/>
    <n v="1341"/>
    <n v="3.8952060035320002E-3"/>
    <n v="1072.8000000000002"/>
  </r>
  <r>
    <x v="78"/>
    <x v="3"/>
    <x v="286"/>
    <s v="642 Arizona Point"/>
    <x v="0"/>
    <s v="09-618-2842"/>
    <s v="68-415-1025"/>
    <d v="2024-12-29T00:00:00"/>
    <x v="40"/>
    <s v="Yes"/>
    <d v="2024-12-29T00:00:00"/>
    <d v="2024-03-21T00:00:00"/>
    <n v="283"/>
    <d v="2024-08-06T00:00:00"/>
    <n v="-145"/>
    <n v="1.6"/>
    <n v="38"/>
    <n v="82"/>
    <n v="17"/>
    <n v="2"/>
    <n v="52"/>
    <n v="0.18374558303886926"/>
    <n v="5.1999899792654221"/>
    <n v="47"/>
    <n v="0.17"/>
    <n v="104"/>
    <n v="3.0208905620233262E-4"/>
    <n v="83.2"/>
  </r>
  <r>
    <x v="26"/>
    <x v="6"/>
    <x v="62"/>
    <s v="87 Bluestem Parkway"/>
    <x v="2"/>
    <s v="74-610-2295"/>
    <s v="22-959-6357"/>
    <d v="2024-12-30T00:00:00"/>
    <x v="188"/>
    <s v="Yes"/>
    <d v="2024-12-30T00:00:00"/>
    <d v="2024-03-16T00:00:00"/>
    <n v="289"/>
    <d v="2024-09-26T00:00:00"/>
    <n v="-95"/>
    <n v="10"/>
    <n v="61"/>
    <n v="31"/>
    <n v="100"/>
    <n v="12.5"/>
    <n v="95"/>
    <n v="0.32871972318339099"/>
    <n v="5.1999899792654221"/>
    <n v="61"/>
    <n v="0.1"/>
    <n v="1187.5"/>
    <n v="3.4493341753872113E-3"/>
    <n v="950"/>
  </r>
  <r>
    <x v="12"/>
    <x v="0"/>
    <x v="121"/>
    <s v="4826 Drewry Center"/>
    <x v="1"/>
    <s v="17-265-1899"/>
    <s v="61-793-0279"/>
    <d v="2024-12-30T00:00:00"/>
    <x v="72"/>
    <s v="Yes"/>
    <d v="2024-12-30T00:00:00"/>
    <d v="2024-03-25T00:00:00"/>
    <n v="280"/>
    <d v="2025-02-10T00:00:00"/>
    <n v="42"/>
    <n v="2.4000000000000004"/>
    <n v="81"/>
    <n v="35"/>
    <n v="82"/>
    <n v="3"/>
    <n v="86"/>
    <n v="0.30714285714285716"/>
    <n v="5.1999899792654221"/>
    <n v="71"/>
    <n v="0.36"/>
    <n v="258"/>
    <n v="7.4941323557886359E-4"/>
    <n v="206.40000000000003"/>
  </r>
  <r>
    <x v="50"/>
    <x v="4"/>
    <x v="213"/>
    <s v="7 Mockingbird Hill"/>
    <x v="0"/>
    <s v="06-336-5482"/>
    <s v="99-784-4391"/>
    <d v="2024-12-31T00:00:00"/>
    <x v="282"/>
    <s v="Yes"/>
    <d v="2024-12-31T00:00:00"/>
    <d v="2024-03-08T00:00:00"/>
    <n v="298"/>
    <d v="2024-08-24T00:00:00"/>
    <n v="-129"/>
    <n v="4.8000000000000007"/>
    <n v="89"/>
    <n v="34"/>
    <n v="15"/>
    <n v="6"/>
    <n v="60"/>
    <n v="0.20134228187919462"/>
    <n v="5.1999899792654221"/>
    <n v="2"/>
    <n v="0.17"/>
    <n v="360"/>
    <n v="1.0456928868542283E-3"/>
    <n v="288.00000000000006"/>
  </r>
  <r>
    <x v="15"/>
    <x v="0"/>
    <x v="287"/>
    <s v="0 Ruskin Way"/>
    <x v="2"/>
    <s v="20-283-0111"/>
    <s v="60-394-8955"/>
    <d v="2024-12-31T00:00:00"/>
    <x v="190"/>
    <s v="Yes"/>
    <d v="2024-12-31T00:00:00"/>
    <d v="2024-04-17T00:00:00"/>
    <n v="258"/>
    <d v="2025-01-06T00:00:00"/>
    <n v="6"/>
    <n v="3.5600000000000005"/>
    <n v="58"/>
    <n v="55"/>
    <n v="5"/>
    <n v="4.45"/>
    <n v="62"/>
    <n v="0.24031007751937986"/>
    <n v="5.1999899792654221"/>
    <n v="89"/>
    <n v="0.97"/>
    <n v="275.90000000000003"/>
    <n v="8.0140740967522676E-4"/>
    <n v="220.72000000000003"/>
  </r>
  <r>
    <x v="78"/>
    <x v="3"/>
    <x v="288"/>
    <s v="01 Hansons Crossing"/>
    <x v="2"/>
    <s v="77-937-1108"/>
    <s v="41-007-0132"/>
    <d v="2024-12-31T00:00:00"/>
    <x v="90"/>
    <s v="Yes"/>
    <d v="2024-12-31T00:00:00"/>
    <d v="2024-04-23T00:00:00"/>
    <n v="252"/>
    <d v="2024-04-12T00:00:00"/>
    <n v="-263"/>
    <n v="1.6"/>
    <n v="39"/>
    <n v="83"/>
    <n v="21"/>
    <n v="2"/>
    <n v="73"/>
    <n v="0.28968253968253971"/>
    <n v="5.1999899792654221"/>
    <n v="88"/>
    <n v="-0.44"/>
    <n v="146"/>
    <n v="4.2408655966865924E-4"/>
    <n v="116.80000000000001"/>
  </r>
  <r>
    <x v="14"/>
    <x v="0"/>
    <x v="55"/>
    <s v="4 Loomis Way"/>
    <x v="2"/>
    <s v="07-337-9889"/>
    <s v="84-949-8378"/>
    <d v="2024-12-31T00:00:00"/>
    <x v="271"/>
    <s v="Yes"/>
    <d v="2024-12-31T00:00:00"/>
    <d v="2024-08-15T00:00:00"/>
    <n v="138"/>
    <d v="2024-09-29T00:00:00"/>
    <n v="-93"/>
    <n v="2"/>
    <n v="95"/>
    <n v="6"/>
    <n v="59"/>
    <n v="2.5"/>
    <n v="49"/>
    <n v="0.35507246376811596"/>
    <n v="5.1999899792654221"/>
    <n v="77"/>
    <n v="-0.21"/>
    <n v="122.5"/>
    <n v="3.5582605177678604E-4"/>
    <n v="98"/>
  </r>
  <r>
    <x v="89"/>
    <x v="2"/>
    <x v="34"/>
    <s v="5989 Longview Drive"/>
    <x v="2"/>
    <s v="81-578-7404"/>
    <s v="90-177-6733"/>
    <d v="2025-02-13T00:00:00"/>
    <x v="195"/>
    <s v="Yes"/>
    <d v="2025-02-13T00:00:00"/>
    <d v="2024-08-11T00:00:00"/>
    <n v="186"/>
    <d v="2024-04-06T00:00:00"/>
    <n v="-313"/>
    <n v="5.6000000000000005"/>
    <n v="67"/>
    <n v="79"/>
    <n v="98"/>
    <n v="7"/>
    <n v="73"/>
    <n v="0.39247311827956988"/>
    <n v="5.1999899792654221"/>
    <n v="36"/>
    <n v="-0.56999999999999995"/>
    <n v="511"/>
    <n v="1.4843029588403073E-3"/>
    <n v="408.8"/>
  </r>
  <r>
    <x v="48"/>
    <x v="0"/>
    <x v="289"/>
    <s v="6435 Burning Wood Drive"/>
    <x v="1"/>
    <s v="90-303-1821"/>
    <s v="96-786-0667"/>
    <d v="2025-02-13T00:00:00"/>
    <x v="139"/>
    <s v="Yes"/>
    <d v="2025-02-13T00:00:00"/>
    <d v="2024-08-03T00:00:00"/>
    <n v="194"/>
    <d v="2024-10-05T00:00:00"/>
    <n v="-131"/>
    <n v="1.6"/>
    <n v="50"/>
    <n v="20"/>
    <n v="74"/>
    <n v="2"/>
    <n v="30"/>
    <n v="0.15463917525773196"/>
    <n v="5.1999899792654221"/>
    <n v="57"/>
    <n v="0.51"/>
    <n v="60"/>
    <n v="1.7428214780903806E-4"/>
    <n v="48"/>
  </r>
  <r>
    <x v="52"/>
    <x v="3"/>
    <x v="190"/>
    <s v="91 Gateway Pass"/>
    <x v="1"/>
    <s v="42-495-7698"/>
    <s v="93-625-4768"/>
    <d v="2025-02-13T00:00:00"/>
    <x v="96"/>
    <s v="Yes"/>
    <d v="2025-02-13T00:00:00"/>
    <d v="2024-10-08T00:00:00"/>
    <n v="128"/>
    <d v="2024-07-22T00:00:00"/>
    <n v="-206"/>
    <n v="3.44"/>
    <n v="10"/>
    <n v="11"/>
    <n v="29"/>
    <n v="4.3"/>
    <n v="29"/>
    <n v="0.2265625"/>
    <n v="5.1999899792654221"/>
    <n v="72"/>
    <n v="-0.9"/>
    <n v="124.69999999999999"/>
    <n v="3.622163971964507E-4"/>
    <n v="99.76"/>
  </r>
  <r>
    <x v="19"/>
    <x v="3"/>
    <x v="56"/>
    <s v="78919 East Crossing"/>
    <x v="1"/>
    <s v="57-101-0060"/>
    <s v="40-070-5881"/>
    <d v="2025-02-13T00:00:00"/>
    <x v="117"/>
    <s v="Yes"/>
    <d v="2025-02-13T00:00:00"/>
    <d v="2025-01-01T00:00:00"/>
    <n v="43"/>
    <d v="2024-09-11T00:00:00"/>
    <n v="-155"/>
    <n v="2.2000000000000002"/>
    <n v="59"/>
    <n v="73"/>
    <n v="86"/>
    <n v="2.75"/>
    <n v="32"/>
    <n v="0.7441860465116279"/>
    <n v="5.1999899792654221"/>
    <n v="56"/>
    <n v="-1.48"/>
    <n v="88"/>
    <n v="2.5561381678658912E-4"/>
    <n v="70.400000000000006"/>
  </r>
  <r>
    <x v="87"/>
    <x v="4"/>
    <x v="290"/>
    <s v="952 Rowland Junction"/>
    <x v="2"/>
    <s v="99-561-4871"/>
    <s v="04-786-5408"/>
    <d v="2025-02-14T00:00:00"/>
    <x v="30"/>
    <s v="Yes"/>
    <d v="2025-02-14T00:00:00"/>
    <d v="2024-08-20T00:00:00"/>
    <n v="178"/>
    <d v="2024-07-28T00:00:00"/>
    <n v="-201"/>
    <n v="7.2"/>
    <n v="17"/>
    <n v="38"/>
    <n v="93"/>
    <n v="9"/>
    <n v="100"/>
    <n v="0.5617977528089888"/>
    <n v="5.1999899792654221"/>
    <n v="63"/>
    <n v="-0.75"/>
    <n v="900"/>
    <n v="2.6142322171355706E-3"/>
    <n v="720"/>
  </r>
  <r>
    <x v="3"/>
    <x v="0"/>
    <x v="114"/>
    <s v="28351 Cascade Plaza"/>
    <x v="2"/>
    <s v="40-126-0515"/>
    <s v="78-379-0369"/>
    <d v="2025-02-14T00:00:00"/>
    <x v="283"/>
    <s v="Yes"/>
    <d v="2025-02-14T00:00:00"/>
    <d v="2024-03-04T00:00:00"/>
    <n v="347"/>
    <d v="2024-12-18T00:00:00"/>
    <n v="-58"/>
    <n v="1.2000000000000002"/>
    <n v="74"/>
    <n v="37"/>
    <n v="57"/>
    <n v="1.5"/>
    <n v="91"/>
    <n v="0.26224783861671469"/>
    <n v="5.1999899792654221"/>
    <n v="18"/>
    <n v="0.37"/>
    <n v="136.5"/>
    <n v="3.9649188626556155E-4"/>
    <n v="109.20000000000002"/>
  </r>
  <r>
    <x v="119"/>
    <x v="4"/>
    <x v="263"/>
    <s v="884 Sloan Drive"/>
    <x v="1"/>
    <s v="19-377-5021"/>
    <s v="34-014-5873"/>
    <d v="2025-02-14T00:00:00"/>
    <x v="195"/>
    <s v="Yes"/>
    <d v="2025-02-14T00:00:00"/>
    <d v="2024-08-11T00:00:00"/>
    <n v="187"/>
    <d v="2024-12-24T00:00:00"/>
    <n v="-52"/>
    <n v="6"/>
    <n v="91"/>
    <n v="96"/>
    <n v="90"/>
    <n v="7.5"/>
    <n v="90"/>
    <n v="0.48128342245989303"/>
    <n v="5.1999899792654221"/>
    <n v="75"/>
    <n v="0.8"/>
    <n v="675"/>
    <n v="1.9606741628516782E-3"/>
    <n v="540"/>
  </r>
  <r>
    <x v="47"/>
    <x v="4"/>
    <x v="291"/>
    <s v="22 Hudson Pass"/>
    <x v="0"/>
    <s v="60-644-6596"/>
    <s v="32-745-8366"/>
    <d v="2025-02-14T00:00:00"/>
    <x v="284"/>
    <s v="Yes"/>
    <d v="2025-02-14T00:00:00"/>
    <d v="2025-01-05T00:00:00"/>
    <n v="40"/>
    <d v="2024-11-10T00:00:00"/>
    <n v="-96"/>
    <n v="9.6000000000000014"/>
    <n v="89"/>
    <n v="67"/>
    <n v="89"/>
    <n v="12"/>
    <n v="96"/>
    <n v="2.4"/>
    <n v="5.1999899792654221"/>
    <n v="42"/>
    <n v="0.17"/>
    <n v="1152"/>
    <n v="3.3462172379335304E-3"/>
    <n v="921.60000000000014"/>
  </r>
  <r>
    <x v="75"/>
    <x v="2"/>
    <x v="181"/>
    <s v="463 Oxford Crossing"/>
    <x v="2"/>
    <s v="82-711-0772"/>
    <s v="78-877-1866"/>
    <d v="2025-02-15T00:00:00"/>
    <x v="138"/>
    <s v="Yes"/>
    <d v="2025-02-15T00:00:00"/>
    <d v="2024-05-16T00:00:00"/>
    <n v="275"/>
    <d v="2024-10-23T00:00:00"/>
    <n v="-115"/>
    <n v="1.92"/>
    <n v="72"/>
    <n v="58"/>
    <n v="52"/>
    <n v="2.4"/>
    <n v="36"/>
    <n v="0.13090909090909092"/>
    <n v="5.1999899792654221"/>
    <n v="14"/>
    <n v="0.56000000000000005"/>
    <n v="86.399999999999991"/>
    <n v="2.5096629284501477E-4"/>
    <n v="69.12"/>
  </r>
  <r>
    <x v="29"/>
    <x v="3"/>
    <x v="292"/>
    <s v="149 Valley Edge Point"/>
    <x v="1"/>
    <s v="55-803-3964"/>
    <s v="75-906-1086"/>
    <d v="2025-02-16T00:00:00"/>
    <x v="238"/>
    <s v="Yes"/>
    <d v="2025-02-16T00:00:00"/>
    <d v="2024-08-26T00:00:00"/>
    <n v="174"/>
    <d v="2024-10-30T00:00:00"/>
    <n v="-109"/>
    <n v="1.2000000000000002"/>
    <n v="25"/>
    <n v="60"/>
    <n v="36"/>
    <n v="1.5"/>
    <n v="31"/>
    <n v="0.17816091954022989"/>
    <n v="5.1999899792654221"/>
    <n v="41"/>
    <n v="0.61"/>
    <n v="46.5"/>
    <n v="1.3506866455200448E-4"/>
    <n v="37.200000000000003"/>
  </r>
  <r>
    <x v="100"/>
    <x v="4"/>
    <x v="170"/>
    <s v="21 Sunbrook Court"/>
    <x v="1"/>
    <s v="00-119-8780"/>
    <s v="14-703-2550"/>
    <d v="2025-02-17T00:00:00"/>
    <x v="191"/>
    <s v="Yes"/>
    <d v="2025-02-17T00:00:00"/>
    <d v="2024-07-16T00:00:00"/>
    <n v="216"/>
    <d v="2024-03-04T00:00:00"/>
    <n v="-350"/>
    <n v="16"/>
    <n v="40"/>
    <n v="81"/>
    <n v="78"/>
    <n v="20"/>
    <n v="39"/>
    <n v="0.18055555555555555"/>
    <n v="5.1999899792654221"/>
    <n v="65"/>
    <n v="-0.32"/>
    <n v="780"/>
    <n v="2.2656679215174945E-3"/>
    <n v="624"/>
  </r>
  <r>
    <x v="32"/>
    <x v="0"/>
    <x v="245"/>
    <s v="1 Logan Road"/>
    <x v="2"/>
    <s v="13-888-0149"/>
    <s v="09-902-6272"/>
    <d v="2025-02-17T00:00:00"/>
    <x v="275"/>
    <s v="Yes"/>
    <d v="2025-02-17T00:00:00"/>
    <d v="2024-12-30T00:00:00"/>
    <n v="49"/>
    <d v="2024-03-15T00:00:00"/>
    <n v="-339"/>
    <n v="1.6"/>
    <n v="75"/>
    <n v="18"/>
    <n v="65"/>
    <n v="2"/>
    <n v="32"/>
    <n v="0.65306122448979587"/>
    <n v="5.1999899792654221"/>
    <n v="92"/>
    <n v="-0.67"/>
    <n v="64"/>
    <n v="1.8590095766297392E-4"/>
    <n v="51.2"/>
  </r>
  <r>
    <x v="98"/>
    <x v="5"/>
    <x v="37"/>
    <s v="7 Prairieview Place"/>
    <x v="0"/>
    <s v="51-273-4240"/>
    <s v="32-506-0556"/>
    <d v="2025-02-18T00:00:00"/>
    <x v="53"/>
    <s v="Yes"/>
    <d v="2025-02-18T00:00:00"/>
    <d v="2024-09-26T00:00:00"/>
    <n v="145"/>
    <d v="2024-06-20T00:00:00"/>
    <n v="-243"/>
    <n v="2.8000000000000003"/>
    <n v="85"/>
    <n v="57"/>
    <n v="25"/>
    <n v="3.5"/>
    <n v="30"/>
    <n v="0.20689655172413793"/>
    <n v="5.1999899792654221"/>
    <n v="42"/>
    <n v="-1.88"/>
    <n v="105"/>
    <n v="3.0499375866581657E-4"/>
    <n v="84.000000000000014"/>
  </r>
  <r>
    <x v="1"/>
    <x v="1"/>
    <x v="166"/>
    <s v="74 Sugar Plaza"/>
    <x v="1"/>
    <s v="23-395-3157"/>
    <s v="48-538-8538"/>
    <d v="2025-02-18T00:00:00"/>
    <x v="179"/>
    <s v="Yes"/>
    <d v="2025-02-18T00:00:00"/>
    <d v="2024-07-30T00:00:00"/>
    <n v="203"/>
    <d v="2024-03-16T00:00:00"/>
    <n v="-339"/>
    <n v="1.6"/>
    <n v="41"/>
    <n v="66"/>
    <n v="50"/>
    <n v="2"/>
    <n v="55"/>
    <n v="0.27093596059113301"/>
    <n v="5.1999899792654221"/>
    <n v="74"/>
    <n v="-0.4"/>
    <n v="110"/>
    <n v="3.195172709832364E-4"/>
    <n v="88"/>
  </r>
  <r>
    <x v="58"/>
    <x v="2"/>
    <x v="26"/>
    <s v="554 Eliot Point"/>
    <x v="0"/>
    <s v="03-149-9760"/>
    <s v="08-141-2402"/>
    <d v="2025-02-19T00:00:00"/>
    <x v="285"/>
    <s v="Yes"/>
    <d v="2025-02-19T00:00:00"/>
    <d v="2024-07-13T00:00:00"/>
    <n v="221"/>
    <d v="2024-03-26T00:00:00"/>
    <n v="-330"/>
    <n v="3.2"/>
    <n v="92"/>
    <n v="99"/>
    <n v="93"/>
    <n v="4"/>
    <n v="43"/>
    <n v="0.19457013574660634"/>
    <n v="5.1999899792654221"/>
    <n v="90"/>
    <n v="-0.35"/>
    <n v="172"/>
    <n v="4.9960882371924236E-4"/>
    <n v="137.6"/>
  </r>
  <r>
    <x v="6"/>
    <x v="3"/>
    <x v="257"/>
    <s v="2582 Autumn Leaf Park"/>
    <x v="0"/>
    <s v="02-895-7781"/>
    <s v="23-109-2205"/>
    <d v="2025-02-19T00:00:00"/>
    <x v="53"/>
    <s v="Yes"/>
    <d v="2025-02-19T00:00:00"/>
    <d v="2024-09-26T00:00:00"/>
    <n v="146"/>
    <d v="2025-01-24T00:00:00"/>
    <n v="-26"/>
    <n v="4"/>
    <n v="51"/>
    <n v="55"/>
    <n v="76"/>
    <n v="5"/>
    <n v="21"/>
    <n v="0.14383561643835616"/>
    <n v="5.1999899792654221"/>
    <n v="13"/>
    <n v="-1.0900000000000001"/>
    <n v="105"/>
    <n v="3.0499375866581657E-4"/>
    <n v="84"/>
  </r>
  <r>
    <x v="73"/>
    <x v="3"/>
    <x v="22"/>
    <s v="848 Mariners Cove Junction"/>
    <x v="2"/>
    <s v="95-354-8583"/>
    <s v="02-057-9401"/>
    <d v="2025-02-19T00:00:00"/>
    <x v="257"/>
    <s v="Yes"/>
    <d v="2025-02-19T00:00:00"/>
    <d v="2025-02-11T00:00:00"/>
    <n v="8"/>
    <d v="2024-10-20T00:00:00"/>
    <n v="-122"/>
    <n v="1.2000000000000002"/>
    <n v="98"/>
    <n v="40"/>
    <n v="93"/>
    <n v="1.5"/>
    <n v="30"/>
    <n v="3.75"/>
    <n v="5.1999899792654221"/>
    <n v="53"/>
    <n v="0.38"/>
    <n v="45"/>
    <n v="1.3071161085677853E-4"/>
    <n v="36.000000000000007"/>
  </r>
  <r>
    <x v="7"/>
    <x v="4"/>
    <x v="151"/>
    <s v="498 Delladonna Drive"/>
    <x v="0"/>
    <s v="27-681-5588"/>
    <s v="89-959-2254"/>
    <d v="2025-02-19T00:00:00"/>
    <x v="148"/>
    <s v="Yes"/>
    <d v="2025-02-19T00:00:00"/>
    <d v="2024-10-26T00:00:00"/>
    <n v="116"/>
    <d v="2024-12-07T00:00:00"/>
    <n v="-74"/>
    <n v="8"/>
    <n v="100"/>
    <n v="99"/>
    <n v="8"/>
    <n v="10"/>
    <n v="54"/>
    <n v="0.46551724137931033"/>
    <n v="5.1999899792654221"/>
    <n v="92"/>
    <n v="-0.77"/>
    <n v="540"/>
    <n v="1.5685393302813425E-3"/>
    <n v="432"/>
  </r>
  <r>
    <x v="108"/>
    <x v="0"/>
    <x v="177"/>
    <s v="76106 Anthes Junction"/>
    <x v="1"/>
    <s v="70-534-7796"/>
    <s v="62-044-8874"/>
    <d v="2025-02-19T00:00:00"/>
    <x v="197"/>
    <s v="Yes"/>
    <d v="2025-02-19T00:00:00"/>
    <d v="2024-06-25T00:00:00"/>
    <n v="239"/>
    <d v="2025-01-17T00:00:00"/>
    <n v="-33"/>
    <n v="2"/>
    <n v="43"/>
    <n v="21"/>
    <n v="31"/>
    <n v="2.5"/>
    <n v="22"/>
    <n v="9.2050209205020925E-2"/>
    <n v="5.1999899792654221"/>
    <n v="25"/>
    <n v="-0.7"/>
    <n v="55"/>
    <n v="1.597586354916182E-4"/>
    <n v="44"/>
  </r>
  <r>
    <x v="102"/>
    <x v="0"/>
    <x v="270"/>
    <s v="03 Fisk Alley"/>
    <x v="2"/>
    <s v="72-066-4597"/>
    <s v="97-994-0773"/>
    <d v="2025-02-20T00:00:00"/>
    <x v="83"/>
    <s v="Yes"/>
    <d v="2025-02-20T00:00:00"/>
    <d v="2024-12-08T00:00:00"/>
    <n v="74"/>
    <d v="2024-12-13T00:00:00"/>
    <n v="-69"/>
    <n v="3.2"/>
    <n v="31"/>
    <n v="54"/>
    <n v="52"/>
    <n v="4"/>
    <n v="69"/>
    <n v="0.93243243243243246"/>
    <n v="5.1999899792654221"/>
    <n v="77"/>
    <n v="-0.14000000000000001"/>
    <n v="276"/>
    <n v="8.0169787992157503E-4"/>
    <n v="220.8"/>
  </r>
  <r>
    <x v="30"/>
    <x v="0"/>
    <x v="11"/>
    <s v="546 Declaration Place"/>
    <x v="1"/>
    <s v="79-884-8810"/>
    <s v="14-108-0409"/>
    <d v="2025-02-20T00:00:00"/>
    <x v="61"/>
    <s v="Yes"/>
    <d v="2025-02-20T00:00:00"/>
    <d v="2024-12-06T00:00:00"/>
    <n v="76"/>
    <d v="2024-08-15T00:00:00"/>
    <n v="-189"/>
    <n v="1.4000000000000001"/>
    <n v="12"/>
    <n v="93"/>
    <n v="29"/>
    <n v="1.75"/>
    <n v="45"/>
    <n v="0.59210526315789469"/>
    <n v="5.1999899792654221"/>
    <n v="12"/>
    <n v="-0.12"/>
    <n v="78.75"/>
    <n v="2.2874531899936244E-4"/>
    <n v="63.000000000000007"/>
  </r>
  <r>
    <x v="67"/>
    <x v="0"/>
    <x v="75"/>
    <s v="082 Clove Plaza"/>
    <x v="1"/>
    <s v="08-703-1382"/>
    <s v="29-975-3449"/>
    <d v="2025-02-21T00:00:00"/>
    <x v="58"/>
    <s v="Yes"/>
    <d v="2025-02-21T00:00:00"/>
    <d v="2024-03-06T00:00:00"/>
    <n v="352"/>
    <d v="2024-06-21T00:00:00"/>
    <n v="-245"/>
    <n v="3.2"/>
    <n v="40"/>
    <n v="53"/>
    <n v="7"/>
    <n v="4"/>
    <n v="70"/>
    <n v="0.19886363636363635"/>
    <n v="5.1999899792654221"/>
    <n v="20"/>
    <n v="0.73"/>
    <n v="280"/>
    <n v="8.1331668977551092E-4"/>
    <n v="224"/>
  </r>
  <r>
    <x v="116"/>
    <x v="2"/>
    <x v="5"/>
    <s v="850 Glacier Hill Drive"/>
    <x v="1"/>
    <s v="39-315-3936"/>
    <s v="99-034-7010"/>
    <d v="2025-02-21T00:00:00"/>
    <x v="77"/>
    <s v="Yes"/>
    <d v="2025-02-21T00:00:00"/>
    <d v="2024-09-25T00:00:00"/>
    <n v="149"/>
    <d v="2024-08-10T00:00:00"/>
    <n v="-195"/>
    <n v="3.2"/>
    <n v="57"/>
    <n v="62"/>
    <n v="72"/>
    <n v="4"/>
    <n v="23"/>
    <n v="0.15436241610738255"/>
    <n v="5.1999899792654221"/>
    <n v="4"/>
    <n v="0.71"/>
    <n v="92"/>
    <n v="2.6723262664052501E-4"/>
    <n v="73.600000000000009"/>
  </r>
  <r>
    <x v="24"/>
    <x v="3"/>
    <x v="293"/>
    <s v="5 Linden Terrace"/>
    <x v="0"/>
    <s v="06-690-2335"/>
    <s v="66-317-4895"/>
    <d v="2025-02-22T00:00:00"/>
    <x v="74"/>
    <s v="Yes"/>
    <d v="2025-02-22T00:00:00"/>
    <d v="2024-06-16T00:00:00"/>
    <n v="251"/>
    <d v="2024-05-07T00:00:00"/>
    <n v="-291"/>
    <n v="3.8000000000000003"/>
    <n v="24"/>
    <n v="15"/>
    <n v="6"/>
    <n v="4.75"/>
    <n v="35"/>
    <n v="0.1394422310756972"/>
    <n v="5.1999899792654221"/>
    <n v="4"/>
    <n v="0.83"/>
    <n v="166.25"/>
    <n v="4.8290678455420959E-4"/>
    <n v="133"/>
  </r>
  <r>
    <x v="1"/>
    <x v="1"/>
    <x v="262"/>
    <s v="29815 Bonner Trail"/>
    <x v="1"/>
    <s v="43-153-8268"/>
    <s v="19-809-5654"/>
    <d v="2025-02-23T00:00:00"/>
    <x v="6"/>
    <s v="Yes"/>
    <d v="2025-02-23T00:00:00"/>
    <d v="2025-01-29T00:00:00"/>
    <n v="25"/>
    <d v="2024-10-02T00:00:00"/>
    <n v="-144"/>
    <n v="1.6"/>
    <n v="75"/>
    <n v="61"/>
    <n v="19"/>
    <n v="2"/>
    <n v="79"/>
    <n v="3.16"/>
    <n v="5.1999899792654221"/>
    <n v="69"/>
    <n v="0.89"/>
    <n v="158"/>
    <n v="4.5894298923046685E-4"/>
    <n v="126.4"/>
  </r>
  <r>
    <x v="19"/>
    <x v="3"/>
    <x v="33"/>
    <s v="46 Orin Drive"/>
    <x v="2"/>
    <s v="44-634-8292"/>
    <s v="48-557-5036"/>
    <d v="2025-02-23T00:00:00"/>
    <x v="76"/>
    <s v="Yes"/>
    <d v="2025-02-23T00:00:00"/>
    <d v="2024-03-09T00:00:00"/>
    <n v="351"/>
    <d v="2025-01-02T00:00:00"/>
    <n v="-52"/>
    <n v="2.2000000000000002"/>
    <n v="60"/>
    <n v="69"/>
    <n v="64"/>
    <n v="2.75"/>
    <n v="51"/>
    <n v="0.14529914529914531"/>
    <n v="5.1999899792654221"/>
    <n v="6"/>
    <n v="0.13"/>
    <n v="140.25"/>
    <n v="4.0738452050362642E-4"/>
    <n v="112.2"/>
  </r>
  <r>
    <x v="85"/>
    <x v="4"/>
    <x v="196"/>
    <s v="7369 Thackeray Drive"/>
    <x v="0"/>
    <s v="96-774-0457"/>
    <s v="71-991-5737"/>
    <d v="2025-02-24T00:00:00"/>
    <x v="207"/>
    <s v="Yes"/>
    <d v="2025-02-24T00:00:00"/>
    <d v="2024-03-12T00:00:00"/>
    <n v="349"/>
    <d v="2024-10-22T00:00:00"/>
    <n v="-125"/>
    <n v="6.4"/>
    <n v="56"/>
    <n v="50"/>
    <n v="80"/>
    <n v="8"/>
    <n v="99"/>
    <n v="0.28366762177650429"/>
    <n v="5.1999899792654221"/>
    <n v="5"/>
    <n v="0.88"/>
    <n v="792"/>
    <n v="2.3005243510793023E-3"/>
    <n v="633.6"/>
  </r>
  <r>
    <x v="101"/>
    <x v="4"/>
    <x v="262"/>
    <s v="80380 Valley Edge Road"/>
    <x v="0"/>
    <s v="50-930-4751"/>
    <s v="40-260-8547"/>
    <d v="2025-02-24T00:00:00"/>
    <x v="71"/>
    <s v="Yes"/>
    <d v="2025-02-24T00:00:00"/>
    <d v="2024-06-24T00:00:00"/>
    <n v="245"/>
    <d v="2024-02-25T00:00:00"/>
    <n v="-365"/>
    <n v="12"/>
    <n v="88"/>
    <n v="40"/>
    <n v="29"/>
    <n v="15"/>
    <n v="96"/>
    <n v="0.39183673469387753"/>
    <n v="5.1999899792654221"/>
    <n v="87"/>
    <n v="0.95"/>
    <n v="1440"/>
    <n v="4.1827715474169131E-3"/>
    <n v="1152"/>
  </r>
  <r>
    <x v="22"/>
    <x v="0"/>
    <x v="37"/>
    <s v="917 Westerfield Terrace"/>
    <x v="1"/>
    <s v="63-918-8253"/>
    <s v="94-157-1762"/>
    <d v="2025-02-24T00:00:00"/>
    <x v="24"/>
    <s v="Yes"/>
    <d v="2025-02-24T00:00:00"/>
    <d v="2024-07-04T00:00:00"/>
    <n v="235"/>
    <d v="2024-09-29T00:00:00"/>
    <n v="-148"/>
    <n v="4"/>
    <n v="53"/>
    <n v="98"/>
    <n v="23"/>
    <n v="5"/>
    <n v="41"/>
    <n v="0.17446808510638298"/>
    <n v="5.1999899792654221"/>
    <n v="84"/>
    <n v="0.09"/>
    <n v="205"/>
    <n v="5.954640050142133E-4"/>
    <n v="164"/>
  </r>
  <r>
    <x v="20"/>
    <x v="6"/>
    <x v="149"/>
    <s v="7 Sloan Park"/>
    <x v="0"/>
    <s v="84-629-1532"/>
    <s v="50-378-4320"/>
    <d v="2024-02-25T00:00:00"/>
    <x v="266"/>
    <s v="No"/>
    <d v="2024-11-27T00:00:00"/>
    <d v="2024-02-25T00:00:00"/>
    <n v="276"/>
    <d v="2024-07-20T00:00:00"/>
    <n v="-130"/>
    <n v="16.8"/>
    <n v="22"/>
    <n v="89"/>
    <n v="25"/>
    <n v="21"/>
    <n v="30"/>
    <n v="0.10869565217391304"/>
    <n v="5.1999899792654221"/>
    <n v="62"/>
    <n v="-1.05"/>
    <n v="630"/>
    <n v="1.8299625519948995E-3"/>
    <n v="504"/>
  </r>
  <r>
    <x v="90"/>
    <x v="0"/>
    <x v="159"/>
    <s v="3616 Carey Pass"/>
    <x v="0"/>
    <s v="77-312-6317"/>
    <s v="12-950-4397"/>
    <d v="2024-02-26T00:00:00"/>
    <x v="286"/>
    <s v="No"/>
    <d v="2024-09-13T00:00:00"/>
    <d v="2024-02-26T00:00:00"/>
    <n v="200"/>
    <d v="2024-10-01T00:00:00"/>
    <n v="18"/>
    <n v="1.92"/>
    <n v="41"/>
    <n v="29"/>
    <n v="76"/>
    <n v="2.4"/>
    <n v="59"/>
    <n v="0.29499999999999998"/>
    <n v="5.1999899792654221"/>
    <n v="4"/>
    <n v="-1.07"/>
    <n v="141.6"/>
    <n v="4.1130586882932976E-4"/>
    <n v="113.28"/>
  </r>
  <r>
    <x v="103"/>
    <x v="1"/>
    <x v="294"/>
    <s v="32468 Utah Pass"/>
    <x v="2"/>
    <s v="21-693-8216"/>
    <s v="62-599-8388"/>
    <d v="2024-02-26T00:00:00"/>
    <x v="95"/>
    <s v="No"/>
    <d v="2024-09-03T00:00:00"/>
    <d v="2024-02-26T00:00:00"/>
    <n v="190"/>
    <d v="2024-10-27T00:00:00"/>
    <n v="54"/>
    <n v="2"/>
    <n v="70"/>
    <n v="96"/>
    <n v="85"/>
    <n v="2.5"/>
    <n v="34"/>
    <n v="0.17894736842105263"/>
    <n v="5.1999899792654221"/>
    <n v="3"/>
    <n v="0.93"/>
    <n v="85"/>
    <n v="2.4689970939613723E-4"/>
    <n v="68"/>
  </r>
  <r>
    <x v="67"/>
    <x v="0"/>
    <x v="295"/>
    <s v="7 Roxbury Circle"/>
    <x v="1"/>
    <s v="74-430-8245"/>
    <s v="51-213-5660"/>
    <d v="2024-02-26T00:00:00"/>
    <x v="271"/>
    <s v="No"/>
    <d v="2024-08-15T00:00:00"/>
    <d v="2024-02-26T00:00:00"/>
    <n v="171"/>
    <d v="2024-03-06T00:00:00"/>
    <n v="-162"/>
    <n v="3.2"/>
    <n v="73"/>
    <n v="90"/>
    <n v="77"/>
    <n v="4"/>
    <n v="75"/>
    <n v="0.43859649122807015"/>
    <n v="5.1999899792654221"/>
    <n v="19"/>
    <n v="0.91"/>
    <n v="300"/>
    <n v="8.7141073904519026E-4"/>
    <n v="240"/>
  </r>
  <r>
    <x v="41"/>
    <x v="2"/>
    <x v="76"/>
    <s v="195 Portage Junction"/>
    <x v="1"/>
    <s v="39-449-0772"/>
    <s v="84-504-7617"/>
    <d v="2024-02-27T00:00:00"/>
    <x v="287"/>
    <s v="No"/>
    <d v="2024-04-02T00:00:00"/>
    <d v="2024-02-27T00:00:00"/>
    <n v="35"/>
    <d v="2024-10-05T00:00:00"/>
    <n v="186"/>
    <n v="5.6000000000000005"/>
    <n v="94"/>
    <n v="13"/>
    <n v="15"/>
    <n v="7"/>
    <n v="20"/>
    <n v="0.5714285714285714"/>
    <n v="5.1999899792654221"/>
    <n v="24"/>
    <n v="0.75"/>
    <n v="140"/>
    <n v="4.0665834488775546E-4"/>
    <n v="112.00000000000001"/>
  </r>
  <r>
    <x v="10"/>
    <x v="2"/>
    <x v="138"/>
    <s v="406 Westridge Alley"/>
    <x v="2"/>
    <s v="51-312-8608"/>
    <s v="06-315-0552"/>
    <d v="2024-02-27T00:00:00"/>
    <x v="127"/>
    <s v="No"/>
    <d v="2024-10-02T00:00:00"/>
    <d v="2024-02-27T00:00:00"/>
    <n v="218"/>
    <d v="2024-04-29T00:00:00"/>
    <n v="-156"/>
    <n v="7.120000000000001"/>
    <n v="68"/>
    <n v="60"/>
    <n v="21"/>
    <n v="8.9"/>
    <n v="79"/>
    <n v="0.36238532110091742"/>
    <n v="5.1999899792654221"/>
    <n v="46"/>
    <n v="-0.2"/>
    <n v="703.1"/>
    <n v="2.0422963020755775E-3"/>
    <n v="562.48000000000013"/>
  </r>
  <r>
    <x v="117"/>
    <x v="0"/>
    <x v="195"/>
    <s v="22782 Oriole Way"/>
    <x v="2"/>
    <s v="89-543-3456"/>
    <s v="23-178-8962"/>
    <d v="2024-02-28T00:00:00"/>
    <x v="159"/>
    <s v="No"/>
    <d v="2024-06-22T00:00:00"/>
    <d v="2024-02-28T00:00:00"/>
    <n v="115"/>
    <d v="2025-02-06T00:00:00"/>
    <n v="229"/>
    <n v="8"/>
    <n v="66"/>
    <n v="40"/>
    <n v="96"/>
    <n v="10"/>
    <n v="24"/>
    <n v="0.20869565217391303"/>
    <n v="5.1999899792654221"/>
    <n v="61"/>
    <n v="0.42"/>
    <n v="240"/>
    <n v="6.9712859123615225E-4"/>
    <n v="192"/>
  </r>
  <r>
    <x v="106"/>
    <x v="2"/>
    <x v="20"/>
    <s v="64407 Marcy Plaza"/>
    <x v="1"/>
    <s v="57-861-4379"/>
    <s v="73-383-4390"/>
    <d v="2024-02-28T00:00:00"/>
    <x v="288"/>
    <s v="No"/>
    <d v="2024-05-15T00:00:00"/>
    <d v="2024-02-28T00:00:00"/>
    <n v="77"/>
    <d v="2025-02-04T00:00:00"/>
    <n v="265"/>
    <n v="6.4"/>
    <n v="93"/>
    <n v="8"/>
    <n v="51"/>
    <n v="8"/>
    <n v="93"/>
    <n v="1.2077922077922079"/>
    <n v="5.1999899792654221"/>
    <n v="85"/>
    <n v="-1.54"/>
    <n v="744"/>
    <n v="2.1610986328320717E-3"/>
    <n v="595.20000000000005"/>
  </r>
  <r>
    <x v="16"/>
    <x v="2"/>
    <x v="234"/>
    <s v="32 Rigney Terrace"/>
    <x v="1"/>
    <s v="39-768-8205"/>
    <s v="07-987-4536"/>
    <d v="2024-02-28T00:00:00"/>
    <x v="48"/>
    <s v="No"/>
    <d v="2024-07-17T00:00:00"/>
    <d v="2024-02-28T00:00:00"/>
    <n v="140"/>
    <d v="2024-11-29T00:00:00"/>
    <n v="135"/>
    <n v="2"/>
    <n v="56"/>
    <n v="97"/>
    <n v="29"/>
    <n v="2.5"/>
    <n v="82"/>
    <n v="0.58571428571428574"/>
    <n v="5.1999899792654221"/>
    <n v="100"/>
    <n v="0.09"/>
    <n v="205"/>
    <n v="5.954640050142133E-4"/>
    <n v="164"/>
  </r>
  <r>
    <x v="116"/>
    <x v="2"/>
    <x v="139"/>
    <s v="2 Canary Street"/>
    <x v="2"/>
    <s v="95-130-9020"/>
    <s v="75-985-6744"/>
    <d v="2024-02-28T00:00:00"/>
    <x v="289"/>
    <s v="No"/>
    <d v="2024-06-20T00:00:00"/>
    <d v="2024-02-28T00:00:00"/>
    <n v="113"/>
    <d v="2025-01-21T00:00:00"/>
    <n v="215"/>
    <n v="3.28"/>
    <n v="82"/>
    <n v="12"/>
    <n v="94"/>
    <n v="4.0999999999999996"/>
    <n v="69"/>
    <n v="0.61061946902654862"/>
    <n v="5.1999899792654221"/>
    <n v="93"/>
    <n v="-0.22"/>
    <n v="282.89999999999998"/>
    <n v="8.2174032691961438E-4"/>
    <n v="226.32"/>
  </r>
  <r>
    <x v="51"/>
    <x v="0"/>
    <x v="286"/>
    <s v="34832 Autumn Leaf Terrace"/>
    <x v="2"/>
    <s v="02-575-1980"/>
    <s v="61-100-8296"/>
    <d v="2024-02-28T00:00:00"/>
    <x v="60"/>
    <s v="No"/>
    <d v="2024-07-09T00:00:00"/>
    <d v="2024-02-28T00:00:00"/>
    <n v="132"/>
    <d v="2024-11-24T00:00:00"/>
    <n v="138"/>
    <n v="3.2"/>
    <n v="11"/>
    <n v="58"/>
    <n v="32"/>
    <n v="4"/>
    <n v="99"/>
    <n v="0.75"/>
    <n v="5.1999899792654221"/>
    <n v="94"/>
    <n v="-0.35"/>
    <n v="396"/>
    <n v="1.1502621755396512E-3"/>
    <n v="316.8"/>
  </r>
  <r>
    <x v="33"/>
    <x v="3"/>
    <x v="158"/>
    <s v="34642 Carpenter Place"/>
    <x v="2"/>
    <s v="22-895-6595"/>
    <s v="18-445-5057"/>
    <d v="2024-02-29T00:00:00"/>
    <x v="276"/>
    <s v="No"/>
    <d v="2024-06-04T00:00:00"/>
    <d v="2024-02-29T00:00:00"/>
    <n v="96"/>
    <d v="2024-11-21T00:00:00"/>
    <n v="170"/>
    <n v="1.6"/>
    <n v="31"/>
    <n v="32"/>
    <n v="69"/>
    <n v="2"/>
    <n v="38"/>
    <n v="0.39583333333333331"/>
    <n v="5.1999899792654221"/>
    <n v="23"/>
    <n v="0.05"/>
    <n v="76"/>
    <n v="2.2075738722478154E-4"/>
    <n v="60.800000000000004"/>
  </r>
  <r>
    <x v="18"/>
    <x v="0"/>
    <x v="252"/>
    <s v="41 Comanche Park"/>
    <x v="1"/>
    <s v="85-207-4164"/>
    <s v="07-067-3439"/>
    <d v="2024-02-29T00:00:00"/>
    <x v="290"/>
    <s v="No"/>
    <d v="2025-02-06T00:00:00"/>
    <d v="2024-02-29T00:00:00"/>
    <n v="343"/>
    <d v="2024-12-10T00:00:00"/>
    <n v="-58"/>
    <n v="2.4000000000000004"/>
    <n v="97"/>
    <n v="20"/>
    <n v="72"/>
    <n v="3"/>
    <n v="29"/>
    <n v="8.4548104956268216E-2"/>
    <n v="5.1999899792654221"/>
    <n v="59"/>
    <n v="0.39"/>
    <n v="87"/>
    <n v="2.5270911432310518E-4"/>
    <n v="69.600000000000009"/>
  </r>
  <r>
    <x v="36"/>
    <x v="6"/>
    <x v="296"/>
    <s v="49225 Homewood Place"/>
    <x v="2"/>
    <s v="26-799-3714"/>
    <s v="50-877-0990"/>
    <d v="2024-02-29T00:00:00"/>
    <x v="237"/>
    <s v="No"/>
    <d v="2025-02-03T00:00:00"/>
    <d v="2024-02-29T00:00:00"/>
    <n v="340"/>
    <d v="2024-04-06T00:00:00"/>
    <n v="-303"/>
    <n v="8"/>
    <n v="74"/>
    <n v="2"/>
    <n v="45"/>
    <n v="10"/>
    <n v="37"/>
    <n v="0.10882352941176471"/>
    <n v="5.1999899792654221"/>
    <n v="99"/>
    <n v="-1.03"/>
    <n v="370"/>
    <n v="1.0747399114890679E-3"/>
    <n v="296"/>
  </r>
  <r>
    <x v="88"/>
    <x v="0"/>
    <x v="35"/>
    <s v="34 Linden Court"/>
    <x v="2"/>
    <s v="57-903-6434"/>
    <s v="30-460-3122"/>
    <d v="2024-03-13T00:00:00"/>
    <x v="137"/>
    <s v="Yes"/>
    <d v="2024-03-13T00:00:00"/>
    <d v="2024-03-10T00:00:00"/>
    <n v="3"/>
    <d v="2024-03-23T00:00:00"/>
    <n v="10"/>
    <n v="2"/>
    <n v="44"/>
    <n v="67"/>
    <n v="15"/>
    <n v="2.5"/>
    <n v="82"/>
    <n v="27.333333333333332"/>
    <n v="5.1999899792654221"/>
    <n v="51"/>
    <n v="-1.68"/>
    <n v="205"/>
    <n v="5.954640050142133E-4"/>
    <n v="164"/>
  </r>
  <r>
    <x v="4"/>
    <x v="0"/>
    <x v="173"/>
    <s v="4374 Corry Terrace"/>
    <x v="2"/>
    <s v="80-227-6886"/>
    <s v="91-632-7343"/>
    <d v="2024-03-13T00:00:00"/>
    <x v="154"/>
    <s v="No"/>
    <d v="2025-01-12T00:00:00"/>
    <d v="2024-03-13T00:00:00"/>
    <n v="305"/>
    <d v="2024-06-14T00:00:00"/>
    <n v="-212"/>
    <n v="5.6000000000000005"/>
    <n v="33"/>
    <n v="4"/>
    <n v="31"/>
    <n v="7"/>
    <n v="46"/>
    <n v="0.15081967213114755"/>
    <n v="5.1999899792654221"/>
    <n v="92"/>
    <n v="0.38"/>
    <n v="322"/>
    <n v="9.3531419324183749E-4"/>
    <n v="257.60000000000002"/>
  </r>
  <r>
    <x v="62"/>
    <x v="4"/>
    <x v="31"/>
    <s v="9440 Coleman Drive"/>
    <x v="1"/>
    <s v="31-255-9616"/>
    <s v="11-031-9939"/>
    <d v="2024-03-14T00:00:00"/>
    <x v="111"/>
    <s v="No"/>
    <d v="2024-12-28T00:00:00"/>
    <d v="2024-03-14T00:00:00"/>
    <n v="289"/>
    <d v="2024-03-16T00:00:00"/>
    <n v="-287"/>
    <n v="14.4"/>
    <n v="88"/>
    <n v="71"/>
    <n v="9"/>
    <n v="18"/>
    <n v="28"/>
    <n v="9.6885813148788927E-2"/>
    <n v="5.1999899792654221"/>
    <n v="14"/>
    <n v="-1"/>
    <n v="504"/>
    <n v="1.4639700415959196E-3"/>
    <n v="403.2"/>
  </r>
  <r>
    <x v="100"/>
    <x v="4"/>
    <x v="75"/>
    <s v="3 John Wall Point"/>
    <x v="0"/>
    <s v="37-610-1999"/>
    <s v="19-985-9694"/>
    <d v="2024-03-14T00:00:00"/>
    <x v="252"/>
    <s v="No"/>
    <d v="2024-10-19T00:00:00"/>
    <d v="2024-03-14T00:00:00"/>
    <n v="219"/>
    <d v="2024-10-19T00:00:00"/>
    <n v="0"/>
    <n v="16"/>
    <n v="14"/>
    <n v="67"/>
    <n v="65"/>
    <n v="20"/>
    <n v="71"/>
    <n v="0.32420091324200911"/>
    <n v="5.1999899792654221"/>
    <n v="94"/>
    <n v="0.5"/>
    <n v="1420"/>
    <n v="4.1246774981472337E-3"/>
    <n v="1136"/>
  </r>
  <r>
    <x v="20"/>
    <x v="6"/>
    <x v="162"/>
    <s v="5818 Twin Pines Place"/>
    <x v="1"/>
    <s v="86-330-0214"/>
    <s v="87-840-7803"/>
    <d v="2024-03-15T00:00:00"/>
    <x v="175"/>
    <s v="No"/>
    <d v="2025-02-18T00:00:00"/>
    <d v="2024-03-15T00:00:00"/>
    <n v="340"/>
    <d v="2024-03-30T00:00:00"/>
    <n v="-325"/>
    <n v="16"/>
    <n v="36"/>
    <n v="64"/>
    <n v="63"/>
    <n v="20"/>
    <n v="91"/>
    <n v="0.2676470588235294"/>
    <n v="5.1999899792654221"/>
    <n v="35"/>
    <n v="-0.32"/>
    <n v="1820"/>
    <n v="5.2865584835408205E-3"/>
    <n v="1456"/>
  </r>
  <r>
    <x v="28"/>
    <x v="3"/>
    <x v="11"/>
    <s v="21625 Schlimgen Park"/>
    <x v="2"/>
    <s v="29-592-7315"/>
    <s v="61-867-3019"/>
    <d v="2024-03-15T00:00:00"/>
    <x v="24"/>
    <s v="No"/>
    <d v="2024-07-04T00:00:00"/>
    <d v="2024-03-15T00:00:00"/>
    <n v="111"/>
    <d v="2024-09-22T00:00:00"/>
    <n v="80"/>
    <n v="3.6"/>
    <n v="56"/>
    <n v="4"/>
    <n v="74"/>
    <n v="4.5"/>
    <n v="61"/>
    <n v="0.5495495495495496"/>
    <n v="5.1999899792654221"/>
    <n v="73"/>
    <n v="0.62"/>
    <n v="274.5"/>
    <n v="7.9734082622634906E-4"/>
    <n v="219.6"/>
  </r>
  <r>
    <x v="24"/>
    <x v="3"/>
    <x v="248"/>
    <s v="5 Prentice Pass"/>
    <x v="0"/>
    <s v="86-257-4613"/>
    <s v="70-402-4816"/>
    <d v="2024-03-15T00:00:00"/>
    <x v="196"/>
    <s v="No"/>
    <d v="2024-08-23T00:00:00"/>
    <d v="2024-03-15T00:00:00"/>
    <n v="161"/>
    <d v="2024-08-05T00:00:00"/>
    <n v="-18"/>
    <n v="3.8000000000000003"/>
    <n v="44"/>
    <n v="26"/>
    <n v="60"/>
    <n v="4.75"/>
    <n v="63"/>
    <n v="0.39130434782608697"/>
    <n v="5.1999899792654221"/>
    <n v="59"/>
    <n v="-0.2"/>
    <n v="299.25"/>
    <n v="8.6923221219757727E-4"/>
    <n v="239.4"/>
  </r>
  <r>
    <x v="24"/>
    <x v="3"/>
    <x v="99"/>
    <s v="75 Cascade Avenue"/>
    <x v="0"/>
    <s v="79-350-5841"/>
    <s v="81-676-3345"/>
    <d v="2024-03-15T00:00:00"/>
    <x v="291"/>
    <s v="No"/>
    <d v="2024-09-05T00:00:00"/>
    <d v="2024-03-15T00:00:00"/>
    <n v="174"/>
    <d v="2024-04-17T00:00:00"/>
    <n v="-141"/>
    <n v="3.8000000000000003"/>
    <n v="33"/>
    <n v="44"/>
    <n v="89"/>
    <n v="4.75"/>
    <n v="93"/>
    <n v="0.53448275862068961"/>
    <n v="5.1999899792654221"/>
    <n v="19"/>
    <n v="0.06"/>
    <n v="441.75"/>
    <n v="1.2831523132440425E-3"/>
    <n v="353.40000000000003"/>
  </r>
  <r>
    <x v="112"/>
    <x v="0"/>
    <x v="161"/>
    <s v="50687 Porter Park"/>
    <x v="0"/>
    <s v="22-329-7791"/>
    <s v="72-013-2438"/>
    <d v="2024-03-16T00:00:00"/>
    <x v="277"/>
    <s v="No"/>
    <d v="2025-01-13T00:00:00"/>
    <d v="2024-03-16T00:00:00"/>
    <n v="303"/>
    <d v="2024-09-19T00:00:00"/>
    <n v="-116"/>
    <n v="2.4000000000000004"/>
    <n v="53"/>
    <n v="41"/>
    <n v="30"/>
    <n v="3"/>
    <n v="24"/>
    <n v="7.9207920792079209E-2"/>
    <n v="5.1999899792654221"/>
    <n v="77"/>
    <n v="0.8"/>
    <n v="72"/>
    <n v="2.0913857737084565E-4"/>
    <n v="57.600000000000009"/>
  </r>
  <r>
    <x v="91"/>
    <x v="1"/>
    <x v="205"/>
    <s v="3 Oakridge Parkway"/>
    <x v="0"/>
    <s v="10-854-5467"/>
    <s v="40-443-3362"/>
    <d v="2024-03-16T00:00:00"/>
    <x v="292"/>
    <s v="No"/>
    <d v="2024-05-04T00:00:00"/>
    <d v="2024-03-16T00:00:00"/>
    <n v="49"/>
    <d v="2024-11-26T00:00:00"/>
    <n v="206"/>
    <n v="1.8399999999999999"/>
    <n v="96"/>
    <n v="51"/>
    <n v="40"/>
    <n v="2.2999999999999998"/>
    <n v="61"/>
    <n v="1.2448979591836735"/>
    <n v="5.1999899792654221"/>
    <n v="4"/>
    <n v="-2.21"/>
    <n v="140.29999999999998"/>
    <n v="4.0752975562680061E-4"/>
    <n v="112.24"/>
  </r>
  <r>
    <x v="46"/>
    <x v="0"/>
    <x v="211"/>
    <s v="4 Raven Drive"/>
    <x v="0"/>
    <s v="70-612-2531"/>
    <s v="94-217-4781"/>
    <d v="2024-03-17T00:00:00"/>
    <x v="34"/>
    <s v="No"/>
    <d v="2025-01-25T00:00:00"/>
    <d v="2024-03-17T00:00:00"/>
    <n v="314"/>
    <d v="2024-10-30T00:00:00"/>
    <n v="-87"/>
    <n v="2.7600000000000002"/>
    <n v="48"/>
    <n v="48"/>
    <n v="39"/>
    <n v="3.45"/>
    <n v="51"/>
    <n v="0.16242038216560509"/>
    <n v="5.1999899792654221"/>
    <n v="50"/>
    <n v="0.93"/>
    <n v="175.95000000000002"/>
    <n v="5.1108239845000416E-4"/>
    <n v="140.76000000000002"/>
  </r>
  <r>
    <x v="103"/>
    <x v="1"/>
    <x v="186"/>
    <s v="12 Truax Court"/>
    <x v="2"/>
    <s v="71-516-1996"/>
    <s v="04-391-7610"/>
    <d v="2024-03-18T00:00:00"/>
    <x v="293"/>
    <s v="No"/>
    <d v="2024-05-07T00:00:00"/>
    <d v="2024-03-18T00:00:00"/>
    <n v="50"/>
    <d v="2024-06-20T00:00:00"/>
    <n v="44"/>
    <n v="2"/>
    <n v="96"/>
    <n v="52"/>
    <n v="16"/>
    <n v="2.5"/>
    <n v="67"/>
    <n v="1.34"/>
    <n v="5.1999899792654221"/>
    <n v="13"/>
    <n v="0.02"/>
    <n v="167.5"/>
    <n v="4.8653766263356455E-4"/>
    <n v="134"/>
  </r>
  <r>
    <x v="22"/>
    <x v="0"/>
    <x v="297"/>
    <s v="18 Warrior Circle"/>
    <x v="2"/>
    <s v="71-999-2404"/>
    <s v="01-285-0018"/>
    <d v="2024-03-18T00:00:00"/>
    <x v="270"/>
    <s v="No"/>
    <d v="2024-08-05T00:00:00"/>
    <d v="2024-03-18T00:00:00"/>
    <n v="140"/>
    <d v="2025-01-29T00:00:00"/>
    <n v="177"/>
    <n v="3.7600000000000002"/>
    <n v="58"/>
    <n v="58"/>
    <n v="28"/>
    <n v="4.7"/>
    <n v="85"/>
    <n v="0.6071428571428571"/>
    <n v="5.1999899792654221"/>
    <n v="63"/>
    <n v="0.81"/>
    <n v="399.5"/>
    <n v="1.160428634161845E-3"/>
    <n v="319.60000000000002"/>
  </r>
  <r>
    <x v="114"/>
    <x v="0"/>
    <x v="3"/>
    <s v="2 Sachtjen Park"/>
    <x v="0"/>
    <s v="29-875-6900"/>
    <s v="78-098-4468"/>
    <d v="2024-03-18T00:00:00"/>
    <x v="91"/>
    <s v="No"/>
    <d v="2025-01-23T00:00:00"/>
    <d v="2024-03-18T00:00:00"/>
    <n v="311"/>
    <d v="2024-08-22T00:00:00"/>
    <n v="-154"/>
    <n v="3.6"/>
    <n v="45"/>
    <n v="28"/>
    <n v="6"/>
    <n v="4.5"/>
    <n v="35"/>
    <n v="0.11254019292604502"/>
    <n v="5.1999899792654221"/>
    <n v="16"/>
    <n v="0.26"/>
    <n v="157.5"/>
    <n v="4.5749063799872488E-4"/>
    <n v="126"/>
  </r>
  <r>
    <x v="77"/>
    <x v="6"/>
    <x v="203"/>
    <s v="094 Carberry Lane"/>
    <x v="0"/>
    <s v="11-922-3342"/>
    <s v="33-523-9077"/>
    <d v="2024-03-18T00:00:00"/>
    <x v="25"/>
    <s v="No"/>
    <d v="2024-06-10T00:00:00"/>
    <d v="2024-03-18T00:00:00"/>
    <n v="84"/>
    <d v="2024-03-04T00:00:00"/>
    <n v="-98"/>
    <n v="12.4"/>
    <n v="24"/>
    <n v="77"/>
    <n v="32"/>
    <n v="15.5"/>
    <n v="80"/>
    <n v="0.95238095238095233"/>
    <n v="5.1999899792654221"/>
    <n v="42"/>
    <n v="0.54"/>
    <n v="1240"/>
    <n v="3.6018310547201197E-3"/>
    <n v="992"/>
  </r>
  <r>
    <x v="113"/>
    <x v="5"/>
    <x v="298"/>
    <s v="79 Ronald Regan Avenue"/>
    <x v="1"/>
    <s v="74-562-7431"/>
    <s v="66-174-9633"/>
    <d v="2024-03-18T00:00:00"/>
    <x v="180"/>
    <s v="No"/>
    <d v="2024-03-20T00:00:00"/>
    <d v="2024-03-18T00:00:00"/>
    <n v="2"/>
    <d v="2024-11-01T00:00:00"/>
    <n v="226"/>
    <n v="4.4000000000000004"/>
    <n v="94"/>
    <n v="34"/>
    <n v="21"/>
    <n v="5.5"/>
    <n v="74"/>
    <n v="37"/>
    <n v="5.1999899792654221"/>
    <n v="70"/>
    <n v="0.48"/>
    <n v="407"/>
    <n v="1.1822139026379747E-3"/>
    <n v="325.60000000000002"/>
  </r>
  <r>
    <x v="28"/>
    <x v="3"/>
    <x v="134"/>
    <s v="87 Corben Street"/>
    <x v="0"/>
    <s v="95-357-2870"/>
    <s v="75-365-7696"/>
    <d v="2024-03-18T00:00:00"/>
    <x v="294"/>
    <s v="No"/>
    <d v="2024-05-13T00:00:00"/>
    <d v="2024-03-18T00:00:00"/>
    <n v="56"/>
    <d v="2024-05-20T00:00:00"/>
    <n v="7"/>
    <n v="3.6"/>
    <n v="86"/>
    <n v="80"/>
    <n v="80"/>
    <n v="4.5"/>
    <n v="22"/>
    <n v="0.39285714285714285"/>
    <n v="5.1999899792654221"/>
    <n v="67"/>
    <n v="0.05"/>
    <n v="99"/>
    <n v="2.8756554388491279E-4"/>
    <n v="79.2"/>
  </r>
  <r>
    <x v="6"/>
    <x v="3"/>
    <x v="88"/>
    <s v="911 Ridgeway Way"/>
    <x v="1"/>
    <s v="04-277-5245"/>
    <s v="90-175-7764"/>
    <d v="2024-03-19T00:00:00"/>
    <x v="4"/>
    <s v="No"/>
    <d v="2024-07-28T00:00:00"/>
    <d v="2024-03-19T00:00:00"/>
    <n v="131"/>
    <d v="2024-06-18T00:00:00"/>
    <n v="-40"/>
    <n v="4"/>
    <n v="20"/>
    <n v="51"/>
    <n v="21"/>
    <n v="5"/>
    <n v="71"/>
    <n v="0.5419847328244275"/>
    <n v="5.1999899792654221"/>
    <n v="26"/>
    <n v="-2.0499999999999998"/>
    <n v="355"/>
    <n v="1.0311693745368084E-3"/>
    <n v="284"/>
  </r>
  <r>
    <x v="12"/>
    <x v="0"/>
    <x v="13"/>
    <s v="44022 Barnett Way"/>
    <x v="0"/>
    <s v="91-105-7317"/>
    <s v="84-047-0017"/>
    <d v="2024-03-20T00:00:00"/>
    <x v="111"/>
    <s v="No"/>
    <d v="2024-12-28T00:00:00"/>
    <d v="2024-03-20T00:00:00"/>
    <n v="283"/>
    <d v="2025-02-02T00:00:00"/>
    <n v="36"/>
    <n v="2.4000000000000004"/>
    <n v="85"/>
    <n v="45"/>
    <n v="71"/>
    <n v="3"/>
    <n v="95"/>
    <n v="0.33568904593639576"/>
    <n v="5.1999899792654221"/>
    <n v="72"/>
    <n v="0.63"/>
    <n v="285"/>
    <n v="8.2784020209293076E-4"/>
    <n v="228.00000000000003"/>
  </r>
  <r>
    <x v="102"/>
    <x v="0"/>
    <x v="188"/>
    <s v="52 Alpine Crossing"/>
    <x v="0"/>
    <s v="37-246-0018"/>
    <s v="61-907-0994"/>
    <d v="2024-03-20T00:00:00"/>
    <x v="120"/>
    <s v="No"/>
    <d v="2025-01-14T00:00:00"/>
    <d v="2024-03-20T00:00:00"/>
    <n v="300"/>
    <d v="2024-04-11T00:00:00"/>
    <n v="-278"/>
    <n v="3.2"/>
    <n v="30"/>
    <n v="59"/>
    <n v="76"/>
    <n v="4"/>
    <n v="61"/>
    <n v="0.20333333333333334"/>
    <n v="5.1999899792654221"/>
    <n v="3"/>
    <n v="0.24"/>
    <n v="244"/>
    <n v="7.0874740109008803E-4"/>
    <n v="195.20000000000002"/>
  </r>
  <r>
    <x v="90"/>
    <x v="0"/>
    <x v="232"/>
    <s v="538 Bayside Parkway"/>
    <x v="1"/>
    <s v="27-474-0056"/>
    <s v="56-969-3705"/>
    <d v="2024-03-20T00:00:00"/>
    <x v="31"/>
    <s v="No"/>
    <d v="2024-12-19T00:00:00"/>
    <d v="2024-03-20T00:00:00"/>
    <n v="274"/>
    <d v="2024-06-19T00:00:00"/>
    <n v="-183"/>
    <n v="2"/>
    <n v="23"/>
    <n v="6"/>
    <n v="40"/>
    <n v="2.5"/>
    <n v="95"/>
    <n v="0.34671532846715331"/>
    <n v="5.1999899792654221"/>
    <n v="24"/>
    <n v="0.95"/>
    <n v="237.5"/>
    <n v="6.8986683507744223E-4"/>
    <n v="190"/>
  </r>
  <r>
    <x v="18"/>
    <x v="0"/>
    <x v="295"/>
    <s v="6 Rusk Pass"/>
    <x v="1"/>
    <s v="12-439-8428"/>
    <s v="43-542-6868"/>
    <d v="2024-03-21T00:00:00"/>
    <x v="295"/>
    <s v="No"/>
    <d v="2024-09-14T00:00:00"/>
    <d v="2024-03-21T00:00:00"/>
    <n v="177"/>
    <d v="2024-05-31T00:00:00"/>
    <n v="-106"/>
    <n v="2.4000000000000004"/>
    <n v="17"/>
    <n v="3"/>
    <n v="33"/>
    <n v="3"/>
    <n v="49"/>
    <n v="0.2768361581920904"/>
    <n v="5.1999899792654221"/>
    <n v="17"/>
    <n v="0.75"/>
    <n v="147"/>
    <n v="4.2699126213214324E-4"/>
    <n v="117.60000000000002"/>
  </r>
  <r>
    <x v="111"/>
    <x v="5"/>
    <x v="22"/>
    <s v="5 Lyons Street"/>
    <x v="1"/>
    <s v="56-657-4387"/>
    <s v="78-629-7560"/>
    <d v="2024-03-21T00:00:00"/>
    <x v="108"/>
    <s v="Yes"/>
    <d v="2024-03-21T00:00:00"/>
    <d v="2024-02-29T00:00:00"/>
    <n v="21"/>
    <d v="2024-06-22T00:00:00"/>
    <n v="93"/>
    <n v="2"/>
    <n v="61"/>
    <n v="77"/>
    <n v="45"/>
    <n v="2.5"/>
    <n v="51"/>
    <n v="2.4285714285714284"/>
    <n v="5.1999899792654221"/>
    <n v="48"/>
    <n v="0.65"/>
    <n v="127.5"/>
    <n v="3.7034956409420588E-4"/>
    <n v="102"/>
  </r>
  <r>
    <x v="13"/>
    <x v="5"/>
    <x v="7"/>
    <s v="9821 Novick Hill"/>
    <x v="1"/>
    <s v="91-290-9062"/>
    <s v="95-609-1485"/>
    <d v="2024-03-21T00:00:00"/>
    <x v="224"/>
    <s v="No"/>
    <d v="2024-04-19T00:00:00"/>
    <d v="2024-03-21T00:00:00"/>
    <n v="29"/>
    <d v="2024-09-25T00:00:00"/>
    <n v="159"/>
    <n v="3.2"/>
    <n v="29"/>
    <n v="2"/>
    <n v="84"/>
    <n v="4"/>
    <n v="80"/>
    <n v="2.7586206896551726"/>
    <n v="5.1999899792654221"/>
    <n v="85"/>
    <n v="0.06"/>
    <n v="320"/>
    <n v="9.295047883148696E-4"/>
    <n v="256"/>
  </r>
  <r>
    <x v="75"/>
    <x v="2"/>
    <x v="177"/>
    <s v="49646 Derek Lane"/>
    <x v="1"/>
    <s v="06-503-5891"/>
    <s v="19-098-2529"/>
    <d v="2024-03-22T00:00:00"/>
    <x v="198"/>
    <s v="No"/>
    <d v="2024-09-23T00:00:00"/>
    <d v="2024-03-22T00:00:00"/>
    <n v="185"/>
    <d v="2024-03-16T00:00:00"/>
    <n v="-191"/>
    <n v="1.9600000000000002"/>
    <n v="40"/>
    <n v="22"/>
    <n v="74"/>
    <n v="2.4500000000000002"/>
    <n v="76"/>
    <n v="0.41081081081081083"/>
    <n v="5.1999899792654221"/>
    <n v="70"/>
    <n v="-0.06"/>
    <n v="186.20000000000002"/>
    <n v="5.4085559870071479E-4"/>
    <n v="148.96"/>
  </r>
  <r>
    <x v="36"/>
    <x v="6"/>
    <x v="299"/>
    <s v="149 Lawn Way"/>
    <x v="0"/>
    <s v="37-064-7275"/>
    <s v="63-522-2633"/>
    <d v="2024-03-22T00:00:00"/>
    <x v="197"/>
    <s v="No"/>
    <d v="2024-06-25T00:00:00"/>
    <d v="2024-03-22T00:00:00"/>
    <n v="95"/>
    <d v="2024-09-22T00:00:00"/>
    <n v="89"/>
    <n v="8"/>
    <n v="20"/>
    <n v="42"/>
    <n v="45"/>
    <n v="10"/>
    <n v="72"/>
    <n v="0.75789473684210529"/>
    <n v="5.1999899792654221"/>
    <n v="28"/>
    <n v="0.08"/>
    <n v="720"/>
    <n v="2.0913857737084565E-3"/>
    <n v="576"/>
  </r>
  <r>
    <x v="112"/>
    <x v="0"/>
    <x v="300"/>
    <s v="16730 Luster Alley"/>
    <x v="2"/>
    <s v="21-993-5632"/>
    <s v="26-860-4618"/>
    <d v="2024-03-23T00:00:00"/>
    <x v="268"/>
    <s v="No"/>
    <d v="2024-04-14T00:00:00"/>
    <d v="2024-03-23T00:00:00"/>
    <n v="22"/>
    <d v="2024-10-23T00:00:00"/>
    <n v="192"/>
    <n v="2.4000000000000004"/>
    <n v="51"/>
    <n v="72"/>
    <n v="85"/>
    <n v="3"/>
    <n v="23"/>
    <n v="1.0454545454545454"/>
    <n v="5.1999899792654221"/>
    <n v="17"/>
    <n v="0.61"/>
    <n v="69"/>
    <n v="2.0042446998039376E-4"/>
    <n v="55.20000000000001"/>
  </r>
  <r>
    <x v="3"/>
    <x v="0"/>
    <x v="298"/>
    <s v="2 Northview Avenue"/>
    <x v="2"/>
    <s v="05-720-8792"/>
    <s v="33-265-4588"/>
    <d v="2024-03-24T00:00:00"/>
    <x v="22"/>
    <s v="No"/>
    <d v="2024-07-08T00:00:00"/>
    <d v="2024-03-24T00:00:00"/>
    <n v="106"/>
    <d v="2024-10-26T00:00:00"/>
    <n v="110"/>
    <n v="1.2000000000000002"/>
    <n v="80"/>
    <n v="91"/>
    <n v="36"/>
    <n v="1.5"/>
    <n v="81"/>
    <n v="0.76415094339622647"/>
    <n v="5.1999899792654221"/>
    <n v="74"/>
    <n v="0.26"/>
    <n v="121.5"/>
    <n v="3.5292134931330204E-4"/>
    <n v="97.200000000000017"/>
  </r>
  <r>
    <x v="65"/>
    <x v="3"/>
    <x v="301"/>
    <s v="2 Columbus Drive"/>
    <x v="0"/>
    <s v="36-531-4087"/>
    <s v="83-172-5527"/>
    <d v="2024-03-24T00:00:00"/>
    <x v="209"/>
    <s v="No"/>
    <d v="2024-10-25T00:00:00"/>
    <d v="2024-03-24T00:00:00"/>
    <n v="215"/>
    <d v="2024-03-14T00:00:00"/>
    <n v="-225"/>
    <n v="7.6000000000000005"/>
    <n v="85"/>
    <n v="12"/>
    <n v="94"/>
    <n v="9.5"/>
    <n v="26"/>
    <n v="0.12093023255813953"/>
    <n v="5.1999899792654221"/>
    <n v="32"/>
    <n v="0.09"/>
    <n v="247"/>
    <n v="7.1746150848053998E-4"/>
    <n v="197.60000000000002"/>
  </r>
  <r>
    <x v="95"/>
    <x v="0"/>
    <x v="127"/>
    <s v="2 Northridge Street"/>
    <x v="0"/>
    <s v="61-680-9496"/>
    <s v="75-448-1356"/>
    <d v="2024-03-24T00:00:00"/>
    <x v="206"/>
    <s v="No"/>
    <d v="2024-10-05T00:00:00"/>
    <d v="2024-03-24T00:00:00"/>
    <n v="195"/>
    <d v="2024-04-14T00:00:00"/>
    <n v="-174"/>
    <n v="2.8000000000000003"/>
    <n v="17"/>
    <n v="14"/>
    <n v="17"/>
    <n v="3.5"/>
    <n v="36"/>
    <n v="0.18461538461538463"/>
    <n v="5.1999899792654221"/>
    <n v="64"/>
    <n v="-0.23"/>
    <n v="126"/>
    <n v="3.659925103989799E-4"/>
    <n v="100.80000000000001"/>
  </r>
  <r>
    <x v="53"/>
    <x v="3"/>
    <x v="302"/>
    <s v="451 Grim Hill"/>
    <x v="2"/>
    <s v="36-636-4873"/>
    <s v="11-098-3982"/>
    <d v="2024-03-25T00:00:00"/>
    <x v="128"/>
    <s v="No"/>
    <d v="2025-01-17T00:00:00"/>
    <d v="2024-03-25T00:00:00"/>
    <n v="298"/>
    <d v="2024-05-30T00:00:00"/>
    <n v="-232"/>
    <n v="4.88"/>
    <n v="86"/>
    <n v="100"/>
    <n v="74"/>
    <n v="6.1"/>
    <n v="80"/>
    <n v="0.26845637583892618"/>
    <n v="5.1999899792654221"/>
    <n v="94"/>
    <n v="-0.78"/>
    <n v="488"/>
    <n v="1.4174948021801761E-3"/>
    <n v="390.4"/>
  </r>
  <r>
    <x v="19"/>
    <x v="3"/>
    <x v="147"/>
    <s v="5 Fisk Point"/>
    <x v="1"/>
    <s v="45-992-5653"/>
    <s v="22-050-5775"/>
    <d v="2024-03-25T00:00:00"/>
    <x v="100"/>
    <s v="No"/>
    <d v="2024-07-07T00:00:00"/>
    <d v="2024-03-25T00:00:00"/>
    <n v="104"/>
    <d v="2024-10-19T00:00:00"/>
    <n v="104"/>
    <n v="2.2000000000000002"/>
    <n v="82"/>
    <n v="67"/>
    <n v="67"/>
    <n v="2.75"/>
    <n v="26"/>
    <n v="0.25"/>
    <n v="5.1999899792654221"/>
    <n v="1"/>
    <n v="-0.18"/>
    <n v="71.5"/>
    <n v="2.0768622613910368E-4"/>
    <n v="57.2"/>
  </r>
  <r>
    <x v="101"/>
    <x v="4"/>
    <x v="282"/>
    <s v="10577 Thierer Plaza"/>
    <x v="0"/>
    <s v="85-781-5386"/>
    <s v="89-439-6947"/>
    <d v="2024-03-25T00:00:00"/>
    <x v="180"/>
    <s v="Yes"/>
    <d v="2024-03-25T00:00:00"/>
    <d v="2024-03-20T00:00:00"/>
    <n v="5"/>
    <d v="2024-12-28T00:00:00"/>
    <n v="278"/>
    <n v="12"/>
    <n v="78"/>
    <n v="68"/>
    <n v="86"/>
    <n v="15"/>
    <n v="47"/>
    <n v="9.4"/>
    <n v="5.1999899792654221"/>
    <n v="95"/>
    <n v="0.96"/>
    <n v="705"/>
    <n v="2.0478152367561973E-3"/>
    <n v="564"/>
  </r>
  <r>
    <x v="38"/>
    <x v="1"/>
    <x v="102"/>
    <s v="2005 Mccormick Road"/>
    <x v="1"/>
    <s v="76-459-2392"/>
    <s v="91-030-6609"/>
    <d v="2024-03-26T00:00:00"/>
    <x v="99"/>
    <s v="No"/>
    <d v="2024-04-13T00:00:00"/>
    <d v="2024-03-26T00:00:00"/>
    <n v="18"/>
    <d v="2024-05-24T00:00:00"/>
    <n v="41"/>
    <n v="1.4400000000000002"/>
    <n v="74"/>
    <n v="4"/>
    <n v="67"/>
    <n v="1.8"/>
    <n v="31"/>
    <n v="1.7222222222222223"/>
    <n v="5.1999899792654221"/>
    <n v="34"/>
    <n v="-1.02"/>
    <n v="55.800000000000004"/>
    <n v="1.6208239746240541E-4"/>
    <n v="44.640000000000008"/>
  </r>
  <r>
    <x v="61"/>
    <x v="3"/>
    <x v="103"/>
    <s v="739 Grayhawk Trail"/>
    <x v="0"/>
    <s v="92-791-0606"/>
    <s v="56-050-1773"/>
    <d v="2024-03-26T00:00:00"/>
    <x v="166"/>
    <s v="No"/>
    <d v="2024-04-28T00:00:00"/>
    <d v="2024-03-26T00:00:00"/>
    <n v="33"/>
    <d v="2024-09-06T00:00:00"/>
    <n v="131"/>
    <n v="2.4000000000000004"/>
    <n v="18"/>
    <n v="62"/>
    <n v="2"/>
    <n v="3"/>
    <n v="61"/>
    <n v="1.8484848484848484"/>
    <n v="5.1999899792654221"/>
    <n v="78"/>
    <n v="-0.1"/>
    <n v="183"/>
    <n v="5.3156055081756608E-4"/>
    <n v="146.40000000000003"/>
  </r>
  <r>
    <x v="114"/>
    <x v="0"/>
    <x v="109"/>
    <s v="38695 Kenwood Circle"/>
    <x v="2"/>
    <s v="87-199-2743"/>
    <s v="54-907-6531"/>
    <d v="2024-03-26T00:00:00"/>
    <x v="192"/>
    <s v="No"/>
    <d v="2024-09-15T00:00:00"/>
    <d v="2024-03-26T00:00:00"/>
    <n v="173"/>
    <d v="2024-11-12T00:00:00"/>
    <n v="58"/>
    <n v="3.6"/>
    <n v="59"/>
    <n v="74"/>
    <n v="100"/>
    <n v="4.5"/>
    <n v="63"/>
    <n v="0.36416184971098264"/>
    <n v="5.1999899792654221"/>
    <n v="69"/>
    <n v="-0.28000000000000003"/>
    <n v="283.5"/>
    <n v="8.2348314839770479E-4"/>
    <n v="226.8"/>
  </r>
  <r>
    <x v="74"/>
    <x v="5"/>
    <x v="222"/>
    <s v="76 Shelley Pass"/>
    <x v="0"/>
    <s v="04-038-1547"/>
    <s v="61-912-9541"/>
    <d v="2024-03-26T00:00:00"/>
    <x v="157"/>
    <s v="No"/>
    <d v="2024-11-24T00:00:00"/>
    <d v="2024-03-26T00:00:00"/>
    <n v="243"/>
    <d v="2024-06-08T00:00:00"/>
    <n v="-169"/>
    <n v="2.2399999999999998"/>
    <n v="48"/>
    <n v="2"/>
    <n v="16"/>
    <n v="2.8"/>
    <n v="27"/>
    <n v="0.1111111111111111"/>
    <n v="5.1999899792654221"/>
    <n v="1"/>
    <n v="-0.1"/>
    <n v="75.599999999999994"/>
    <n v="2.1959550623938792E-4"/>
    <n v="60.48"/>
  </r>
  <r>
    <x v="4"/>
    <x v="0"/>
    <x v="274"/>
    <s v="3 Ilene Terrace"/>
    <x v="0"/>
    <s v="83-917-7384"/>
    <s v="84-923-5086"/>
    <d v="2024-03-27T00:00:00"/>
    <x v="38"/>
    <s v="No"/>
    <d v="2024-08-24T00:00:00"/>
    <d v="2024-03-27T00:00:00"/>
    <n v="150"/>
    <d v="2024-05-11T00:00:00"/>
    <n v="-105"/>
    <n v="5.6000000000000005"/>
    <n v="76"/>
    <n v="97"/>
    <n v="20"/>
    <n v="7"/>
    <n v="52"/>
    <n v="0.34666666666666668"/>
    <n v="5.1999899792654221"/>
    <n v="82"/>
    <n v="0.96"/>
    <n v="364"/>
    <n v="1.0573116967081643E-3"/>
    <n v="291.20000000000005"/>
  </r>
  <r>
    <x v="74"/>
    <x v="5"/>
    <x v="248"/>
    <s v="667 Arkansas Circle"/>
    <x v="0"/>
    <s v="94-525-6925"/>
    <s v="31-892-6816"/>
    <d v="2024-03-27T00:00:00"/>
    <x v="138"/>
    <s v="No"/>
    <d v="2024-05-16T00:00:00"/>
    <d v="2024-03-27T00:00:00"/>
    <n v="50"/>
    <d v="2024-09-17T00:00:00"/>
    <n v="124"/>
    <n v="2.4000000000000004"/>
    <n v="50"/>
    <n v="56"/>
    <n v="63"/>
    <n v="3"/>
    <n v="70"/>
    <n v="1.4"/>
    <n v="5.1999899792654221"/>
    <n v="100"/>
    <n v="-0.57999999999999996"/>
    <n v="210"/>
    <n v="6.0998751733163314E-4"/>
    <n v="168.00000000000003"/>
  </r>
  <r>
    <x v="20"/>
    <x v="6"/>
    <x v="113"/>
    <s v="60094 Goodland Junction"/>
    <x v="1"/>
    <s v="16-632-1308"/>
    <s v="45-903-0036"/>
    <d v="2024-03-27T00:00:00"/>
    <x v="246"/>
    <s v="No"/>
    <d v="2024-05-21T00:00:00"/>
    <d v="2024-03-27T00:00:00"/>
    <n v="55"/>
    <d v="2024-11-21T00:00:00"/>
    <n v="184"/>
    <n v="16"/>
    <n v="23"/>
    <n v="13"/>
    <n v="15"/>
    <n v="20"/>
    <n v="31"/>
    <n v="0.5636363636363636"/>
    <n v="5.1999899792654221"/>
    <n v="28"/>
    <n v="-0.43"/>
    <n v="620"/>
    <n v="1.8009155273600599E-3"/>
    <n v="496"/>
  </r>
  <r>
    <x v="16"/>
    <x v="2"/>
    <x v="288"/>
    <s v="93321 Kennedy Point"/>
    <x v="2"/>
    <s v="13-798-3397"/>
    <s v="89-992-6472"/>
    <d v="2024-03-27T00:00:00"/>
    <x v="204"/>
    <s v="No"/>
    <d v="2024-05-09T00:00:00"/>
    <d v="2024-03-27T00:00:00"/>
    <n v="43"/>
    <d v="2024-12-20T00:00:00"/>
    <n v="225"/>
    <n v="2"/>
    <n v="86"/>
    <n v="16"/>
    <n v="37"/>
    <n v="2.5"/>
    <n v="34"/>
    <n v="0.79069767441860461"/>
    <n v="5.1999899792654221"/>
    <n v="66"/>
    <n v="0.1"/>
    <n v="85"/>
    <n v="2.4689970939613723E-4"/>
    <n v="68"/>
  </r>
  <r>
    <x v="93"/>
    <x v="5"/>
    <x v="303"/>
    <s v="39 Oxford Drive"/>
    <x v="0"/>
    <s v="69-834-2874"/>
    <s v="51-600-6076"/>
    <d v="2024-03-27T00:00:00"/>
    <x v="197"/>
    <s v="No"/>
    <d v="2024-06-25T00:00:00"/>
    <d v="2024-03-27T00:00:00"/>
    <n v="90"/>
    <d v="2024-10-07T00:00:00"/>
    <n v="104"/>
    <n v="4"/>
    <n v="28"/>
    <n v="62"/>
    <n v="81"/>
    <n v="5"/>
    <n v="28"/>
    <n v="0.31111111111111112"/>
    <n v="5.1999899792654221"/>
    <n v="30"/>
    <n v="-0.94"/>
    <n v="140"/>
    <n v="4.0665834488775546E-4"/>
    <n v="112"/>
  </r>
  <r>
    <x v="27"/>
    <x v="4"/>
    <x v="304"/>
    <s v="6 Hanover Terrace"/>
    <x v="1"/>
    <s v="60-343-3288"/>
    <s v="22-940-6543"/>
    <d v="2024-03-28T00:00:00"/>
    <x v="117"/>
    <s v="No"/>
    <d v="2025-01-01T00:00:00"/>
    <d v="2024-03-28T00:00:00"/>
    <n v="279"/>
    <d v="2024-05-03T00:00:00"/>
    <n v="-243"/>
    <n v="5.36"/>
    <n v="85"/>
    <n v="92"/>
    <n v="66"/>
    <n v="6.7"/>
    <n v="54"/>
    <n v="0.19354838709677419"/>
    <n v="5.1999899792654221"/>
    <n v="85"/>
    <n v="-7.0000000000000007E-2"/>
    <n v="361.8"/>
    <n v="1.0509213512884994E-3"/>
    <n v="289.44"/>
  </r>
  <r>
    <x v="111"/>
    <x v="5"/>
    <x v="305"/>
    <s v="4 Hagan Court"/>
    <x v="1"/>
    <s v="21-650-9319"/>
    <s v="73-445-3017"/>
    <d v="2024-03-28T00:00:00"/>
    <x v="296"/>
    <s v="No"/>
    <d v="2025-01-28T00:00:00"/>
    <d v="2024-03-28T00:00:00"/>
    <n v="306"/>
    <d v="2024-04-24T00:00:00"/>
    <n v="-279"/>
    <n v="2"/>
    <n v="42"/>
    <n v="88"/>
    <n v="95"/>
    <n v="2.5"/>
    <n v="67"/>
    <n v="0.21895424836601307"/>
    <n v="5.1999899792654221"/>
    <n v="94"/>
    <n v="-0.56999999999999995"/>
    <n v="167.5"/>
    <n v="4.8653766263356455E-4"/>
    <n v="134"/>
  </r>
  <r>
    <x v="105"/>
    <x v="6"/>
    <x v="97"/>
    <s v="3 Forster Point"/>
    <x v="2"/>
    <s v="14-550-2152"/>
    <s v="60-003-2919"/>
    <d v="2024-03-29T00:00:00"/>
    <x v="227"/>
    <s v="No"/>
    <d v="2024-06-18T00:00:00"/>
    <d v="2024-03-29T00:00:00"/>
    <n v="81"/>
    <d v="2024-11-17T00:00:00"/>
    <n v="152"/>
    <n v="6.08"/>
    <n v="51"/>
    <n v="1"/>
    <n v="61"/>
    <n v="7.6"/>
    <n v="96"/>
    <n v="1.1851851851851851"/>
    <n v="5.1999899792654221"/>
    <n v="26"/>
    <n v="-0.4"/>
    <n v="729.59999999999991"/>
    <n v="2.1192709173579022E-3"/>
    <n v="583.68000000000006"/>
  </r>
  <r>
    <x v="42"/>
    <x v="0"/>
    <x v="306"/>
    <s v="8 Hanover Center"/>
    <x v="0"/>
    <s v="61-582-7399"/>
    <s v="15-062-6342"/>
    <d v="2024-03-29T00:00:00"/>
    <x v="101"/>
    <s v="No"/>
    <d v="2025-02-05T00:00:00"/>
    <d v="2024-03-29T00:00:00"/>
    <n v="313"/>
    <d v="2024-07-22T00:00:00"/>
    <n v="-198"/>
    <n v="4"/>
    <n v="73"/>
    <n v="83"/>
    <n v="74"/>
    <n v="5"/>
    <n v="87"/>
    <n v="0.27795527156549521"/>
    <n v="5.1999899792654221"/>
    <n v="10"/>
    <n v="0.73"/>
    <n v="435"/>
    <n v="1.2635455716155258E-3"/>
    <n v="348"/>
  </r>
  <r>
    <x v="37"/>
    <x v="5"/>
    <x v="307"/>
    <s v="29755 Daystar Street"/>
    <x v="0"/>
    <s v="28-107-4953"/>
    <s v="01-165-8830"/>
    <d v="2024-03-29T00:00:00"/>
    <x v="181"/>
    <s v="No"/>
    <d v="2024-11-12T00:00:00"/>
    <d v="2024-03-29T00:00:00"/>
    <n v="228"/>
    <d v="2024-10-18T00:00:00"/>
    <n v="-25"/>
    <n v="4"/>
    <n v="53"/>
    <n v="19"/>
    <n v="94"/>
    <n v="5"/>
    <n v="82"/>
    <n v="0.35964912280701755"/>
    <n v="5.1999899792654221"/>
    <n v="56"/>
    <n v="0.89"/>
    <n v="410"/>
    <n v="1.1909280100284266E-3"/>
    <n v="328"/>
  </r>
  <r>
    <x v="119"/>
    <x v="4"/>
    <x v="133"/>
    <s v="9 Cordelia Trail"/>
    <x v="1"/>
    <s v="53-050-8242"/>
    <s v="31-163-5871"/>
    <d v="2024-03-30T00:00:00"/>
    <x v="188"/>
    <s v="Yes"/>
    <d v="2024-03-30T00:00:00"/>
    <d v="2024-03-16T00:00:00"/>
    <n v="14"/>
    <d v="2025-02-15T00:00:00"/>
    <n v="322"/>
    <n v="6"/>
    <n v="82"/>
    <n v="25"/>
    <n v="94"/>
    <n v="7.5"/>
    <n v="66"/>
    <n v="4.7142857142857144"/>
    <n v="5.1999899792654221"/>
    <n v="14"/>
    <n v="0.32"/>
    <n v="495"/>
    <n v="1.437827719424564E-3"/>
    <n v="396"/>
  </r>
  <r>
    <x v="59"/>
    <x v="0"/>
    <x v="289"/>
    <s v="9469 Bayside Plaza"/>
    <x v="2"/>
    <s v="88-586-8797"/>
    <s v="02-530-5932"/>
    <d v="2024-03-30T00:00:00"/>
    <x v="297"/>
    <s v="No"/>
    <d v="2024-08-25T00:00:00"/>
    <d v="2024-03-30T00:00:00"/>
    <n v="148"/>
    <d v="2025-02-09T00:00:00"/>
    <n v="168"/>
    <n v="4.4000000000000004"/>
    <n v="98"/>
    <n v="62"/>
    <n v="97"/>
    <n v="5.5"/>
    <n v="59"/>
    <n v="0.39864864864864863"/>
    <n v="5.1999899792654221"/>
    <n v="19"/>
    <n v="0.79"/>
    <n v="324.5"/>
    <n v="9.425759494005474E-4"/>
    <n v="259.60000000000002"/>
  </r>
  <r>
    <x v="63"/>
    <x v="0"/>
    <x v="308"/>
    <s v="07359 Porter Park"/>
    <x v="2"/>
    <s v="93-772-3085"/>
    <s v="61-807-0746"/>
    <d v="2024-03-30T00:00:00"/>
    <x v="298"/>
    <s v="No"/>
    <d v="2024-07-18T00:00:00"/>
    <d v="2024-03-30T00:00:00"/>
    <n v="110"/>
    <d v="2025-01-20T00:00:00"/>
    <n v="186"/>
    <n v="11.192"/>
    <n v="39"/>
    <n v="19"/>
    <n v="18"/>
    <n v="13.99"/>
    <n v="58"/>
    <n v="0.52727272727272723"/>
    <n v="5.1999899792654221"/>
    <n v="90"/>
    <n v="0.68"/>
    <n v="811.42"/>
    <n v="2.3569336729201609E-3"/>
    <n v="649.13599999999997"/>
  </r>
  <r>
    <x v="26"/>
    <x v="6"/>
    <x v="8"/>
    <s v="0 Stoughton Terrace"/>
    <x v="1"/>
    <s v="04-001-1793"/>
    <s v="29-359-0109"/>
    <d v="2024-03-31T00:00:00"/>
    <x v="299"/>
    <s v="No"/>
    <d v="2025-02-02T00:00:00"/>
    <d v="2024-03-31T00:00:00"/>
    <n v="308"/>
    <d v="2024-04-09T00:00:00"/>
    <n v="-299"/>
    <n v="9.6000000000000014"/>
    <n v="43"/>
    <n v="38"/>
    <n v="63"/>
    <n v="12"/>
    <n v="88"/>
    <n v="0.2857142857142857"/>
    <n v="5.1999899792654221"/>
    <n v="65"/>
    <n v="-0.55000000000000004"/>
    <n v="1056"/>
    <n v="3.0673658014390695E-3"/>
    <n v="844.80000000000018"/>
  </r>
  <r>
    <x v="112"/>
    <x v="0"/>
    <x v="21"/>
    <s v="402 Kings Road"/>
    <x v="1"/>
    <s v="10-137-9759"/>
    <s v="23-688-6256"/>
    <d v="2024-03-31T00:00:00"/>
    <x v="95"/>
    <s v="No"/>
    <d v="2024-09-03T00:00:00"/>
    <d v="2024-03-31T00:00:00"/>
    <n v="156"/>
    <d v="2024-03-10T00:00:00"/>
    <n v="-177"/>
    <n v="2.4000000000000004"/>
    <n v="90"/>
    <n v="17"/>
    <n v="17"/>
    <n v="3"/>
    <n v="82"/>
    <n v="0.52564102564102566"/>
    <n v="5.1999899792654221"/>
    <n v="84"/>
    <n v="0.26"/>
    <n v="246"/>
    <n v="7.1455680601705603E-4"/>
    <n v="196.80000000000004"/>
  </r>
  <r>
    <x v="110"/>
    <x v="2"/>
    <x v="309"/>
    <s v="97 Walton Avenue"/>
    <x v="1"/>
    <s v="96-682-8546"/>
    <s v="03-882-3517"/>
    <d v="2024-03-31T00:00:00"/>
    <x v="148"/>
    <s v="No"/>
    <d v="2024-10-26T00:00:00"/>
    <d v="2024-03-31T00:00:00"/>
    <n v="209"/>
    <d v="2024-09-17T00:00:00"/>
    <n v="-39"/>
    <n v="0.16000000000000003"/>
    <n v="70"/>
    <n v="29"/>
    <n v="24"/>
    <n v="0.2"/>
    <n v="62"/>
    <n v="0.29665071770334928"/>
    <n v="5.1999899792654221"/>
    <n v="55"/>
    <n v="-0.02"/>
    <n v="12.4"/>
    <n v="3.6018310547201195E-5"/>
    <n v="9.9200000000000017"/>
  </r>
  <r>
    <x v="6"/>
    <x v="3"/>
    <x v="119"/>
    <s v="9262 Sullivan Crossing"/>
    <x v="2"/>
    <s v="07-617-6934"/>
    <s v="48-700-8059"/>
    <d v="2024-03-31T00:00:00"/>
    <x v="2"/>
    <s v="No"/>
    <d v="2024-12-21T00:00:00"/>
    <d v="2024-03-31T00:00:00"/>
    <n v="265"/>
    <d v="2024-11-16T00:00:00"/>
    <n v="-35"/>
    <n v="4"/>
    <n v="91"/>
    <n v="39"/>
    <n v="48"/>
    <n v="5"/>
    <n v="48"/>
    <n v="0.1811320754716981"/>
    <n v="5.1999899792654221"/>
    <n v="18"/>
    <n v="0.11"/>
    <n v="240"/>
    <n v="6.9712859123615225E-4"/>
    <n v="192"/>
  </r>
  <r>
    <x v="115"/>
    <x v="2"/>
    <x v="310"/>
    <s v="70862 Lighthouse Bay Junction"/>
    <x v="0"/>
    <s v="43-164-5984"/>
    <s v="10-008-6747"/>
    <d v="2024-04-13T00:00:00"/>
    <x v="255"/>
    <s v="No"/>
    <d v="2024-06-17T00:00:00"/>
    <d v="2024-04-13T00:00:00"/>
    <n v="65"/>
    <d v="2024-11-23T00:00:00"/>
    <n v="159"/>
    <n v="2.3199999999999998"/>
    <n v="36"/>
    <n v="75"/>
    <n v="35"/>
    <n v="2.9"/>
    <n v="26"/>
    <n v="0.4"/>
    <n v="5.1999899792654221"/>
    <n v="41"/>
    <n v="0.63"/>
    <n v="75.399999999999991"/>
    <n v="2.1901456574669113E-4"/>
    <n v="60.319999999999993"/>
  </r>
  <r>
    <x v="51"/>
    <x v="0"/>
    <x v="303"/>
    <s v="27 New Castle Avenue"/>
    <x v="1"/>
    <s v="07-074-1196"/>
    <s v="69-112-6969"/>
    <d v="2024-04-14T00:00:00"/>
    <x v="141"/>
    <s v="No"/>
    <d v="2025-01-10T00:00:00"/>
    <d v="2024-04-14T00:00:00"/>
    <n v="271"/>
    <d v="2024-10-10T00:00:00"/>
    <n v="-92"/>
    <n v="3.12"/>
    <n v="11"/>
    <n v="56"/>
    <n v="62"/>
    <n v="3.9"/>
    <n v="40"/>
    <n v="0.14760147601476015"/>
    <n v="5.1999899792654221"/>
    <n v="5"/>
    <n v="-0.57999999999999996"/>
    <n v="156"/>
    <n v="4.5313358430349891E-4"/>
    <n v="124.80000000000001"/>
  </r>
  <r>
    <x v="59"/>
    <x v="0"/>
    <x v="291"/>
    <s v="38 Rutledge Plaza"/>
    <x v="1"/>
    <s v="05-193-8096"/>
    <s v="86-709-5618"/>
    <d v="2024-04-14T00:00:00"/>
    <x v="35"/>
    <s v="Yes"/>
    <d v="2024-04-14T00:00:00"/>
    <d v="2024-03-19T00:00:00"/>
    <n v="26"/>
    <d v="2024-07-08T00:00:00"/>
    <n v="85"/>
    <n v="4.4000000000000004"/>
    <n v="82"/>
    <n v="21"/>
    <n v="85"/>
    <n v="5.5"/>
    <n v="39"/>
    <n v="1.5"/>
    <n v="5.1999899792654221"/>
    <n v="18"/>
    <n v="0.88"/>
    <n v="214.5"/>
    <n v="6.2305867841731105E-4"/>
    <n v="171.60000000000002"/>
  </r>
  <r>
    <x v="1"/>
    <x v="1"/>
    <x v="271"/>
    <s v="95 Lerdahl Park"/>
    <x v="0"/>
    <s v="92-837-8839"/>
    <s v="95-484-3134"/>
    <d v="2024-04-14T00:00:00"/>
    <x v="54"/>
    <s v="No"/>
    <d v="2025-01-16T00:00:00"/>
    <d v="2024-04-14T00:00:00"/>
    <n v="277"/>
    <d v="2024-08-18T00:00:00"/>
    <n v="-151"/>
    <n v="1.6"/>
    <n v="23"/>
    <n v="71"/>
    <n v="32"/>
    <n v="2"/>
    <n v="63"/>
    <n v="0.22743682310469315"/>
    <n v="5.1999899792654221"/>
    <n v="23"/>
    <n v="0.54"/>
    <n v="126"/>
    <n v="3.659925103989799E-4"/>
    <n v="100.80000000000001"/>
  </r>
  <r>
    <x v="98"/>
    <x v="5"/>
    <x v="107"/>
    <s v="85408 Toban Crossing"/>
    <x v="1"/>
    <s v="60-343-7973"/>
    <s v="06-303-4127"/>
    <d v="2024-04-15T00:00:00"/>
    <x v="133"/>
    <s v="No"/>
    <d v="2024-04-29T00:00:00"/>
    <d v="2024-04-15T00:00:00"/>
    <n v="14"/>
    <d v="2024-04-09T00:00:00"/>
    <n v="-20"/>
    <n v="2.5600000000000005"/>
    <n v="56"/>
    <n v="86"/>
    <n v="23"/>
    <n v="3.2"/>
    <n v="67"/>
    <n v="4.7857142857142856"/>
    <n v="5.1999899792654221"/>
    <n v="56"/>
    <n v="0.63"/>
    <n v="214.4"/>
    <n v="6.2276820817096267E-4"/>
    <n v="171.52000000000004"/>
  </r>
  <r>
    <x v="18"/>
    <x v="0"/>
    <x v="194"/>
    <s v="55 Morning Terrace"/>
    <x v="2"/>
    <s v="76-264-0748"/>
    <s v="27-557-2375"/>
    <d v="2024-04-15T00:00:00"/>
    <x v="134"/>
    <s v="No"/>
    <d v="2024-06-01T00:00:00"/>
    <d v="2024-04-15T00:00:00"/>
    <n v="47"/>
    <d v="2025-01-09T00:00:00"/>
    <n v="222"/>
    <n v="2.4000000000000004"/>
    <n v="47"/>
    <n v="41"/>
    <n v="63"/>
    <n v="3"/>
    <n v="39"/>
    <n v="0.82978723404255317"/>
    <n v="5.1999899792654221"/>
    <n v="54"/>
    <n v="0.16"/>
    <n v="117"/>
    <n v="3.3985018822762418E-4"/>
    <n v="93.600000000000009"/>
  </r>
  <r>
    <x v="0"/>
    <x v="0"/>
    <x v="96"/>
    <s v="9327 Hanover Way"/>
    <x v="1"/>
    <s v="67-130-4114"/>
    <s v="53-718-1768"/>
    <d v="2024-04-15T00:00:00"/>
    <x v="143"/>
    <s v="Yes"/>
    <d v="2024-04-15T00:00:00"/>
    <d v="2024-02-27T00:00:00"/>
    <n v="48"/>
    <d v="2025-01-24T00:00:00"/>
    <n v="284"/>
    <n v="3.6"/>
    <n v="84"/>
    <n v="26"/>
    <n v="37"/>
    <n v="4.5"/>
    <n v="46"/>
    <n v="0.95833333333333337"/>
    <n v="5.1999899792654221"/>
    <n v="67"/>
    <n v="-0.38"/>
    <n v="207"/>
    <n v="6.012734099411813E-4"/>
    <n v="165.6"/>
  </r>
  <r>
    <x v="116"/>
    <x v="2"/>
    <x v="311"/>
    <s v="40113 Blaine Place"/>
    <x v="2"/>
    <s v="99-961-0767"/>
    <s v="78-954-5649"/>
    <d v="2024-04-16T00:00:00"/>
    <x v="209"/>
    <s v="No"/>
    <d v="2024-10-25T00:00:00"/>
    <d v="2024-04-16T00:00:00"/>
    <n v="192"/>
    <d v="2024-12-06T00:00:00"/>
    <n v="42"/>
    <n v="3.2"/>
    <n v="85"/>
    <n v="15"/>
    <n v="30"/>
    <n v="4"/>
    <n v="95"/>
    <n v="0.49479166666666669"/>
    <n v="5.1999899792654221"/>
    <n v="63"/>
    <n v="-0.46"/>
    <n v="380"/>
    <n v="1.1037869361239076E-3"/>
    <n v="304"/>
  </r>
  <r>
    <x v="80"/>
    <x v="6"/>
    <x v="312"/>
    <s v="68241 Hanson Circle"/>
    <x v="1"/>
    <s v="24-228-6840"/>
    <s v="26-280-5472"/>
    <d v="2024-04-16T00:00:00"/>
    <x v="300"/>
    <s v="No"/>
    <d v="2024-08-09T00:00:00"/>
    <d v="2024-04-16T00:00:00"/>
    <n v="115"/>
    <d v="2024-11-28T00:00:00"/>
    <n v="111"/>
    <n v="24"/>
    <n v="27"/>
    <n v="1"/>
    <n v="3"/>
    <n v="30"/>
    <n v="34"/>
    <n v="0.29565217391304349"/>
    <n v="5.1999899792654221"/>
    <n v="63"/>
    <n v="0.34"/>
    <n v="1020"/>
    <n v="2.962796512753647E-3"/>
    <n v="816"/>
  </r>
  <r>
    <x v="39"/>
    <x v="1"/>
    <x v="154"/>
    <s v="84575 Randy Point"/>
    <x v="1"/>
    <s v="83-573-4586"/>
    <s v="91-191-2324"/>
    <d v="2024-04-17T00:00:00"/>
    <x v="252"/>
    <s v="No"/>
    <d v="2024-10-19T00:00:00"/>
    <d v="2024-04-17T00:00:00"/>
    <n v="185"/>
    <d v="2024-07-18T00:00:00"/>
    <n v="-93"/>
    <n v="5.2"/>
    <n v="77"/>
    <n v="95"/>
    <n v="82"/>
    <n v="6.5"/>
    <n v="29"/>
    <n v="0.15675675675675677"/>
    <n v="5.1999899792654221"/>
    <n v="46"/>
    <n v="-0.85"/>
    <n v="188.5"/>
    <n v="5.4753641436672783E-4"/>
    <n v="150.80000000000001"/>
  </r>
  <r>
    <x v="109"/>
    <x v="5"/>
    <x v="120"/>
    <s v="7 Duke Parkway"/>
    <x v="2"/>
    <s v="80-698-0324"/>
    <s v="98-587-7923"/>
    <d v="2024-04-17T00:00:00"/>
    <x v="247"/>
    <s v="No"/>
    <d v="2025-02-04T00:00:00"/>
    <d v="2024-04-17T00:00:00"/>
    <n v="293"/>
    <d v="2024-05-25T00:00:00"/>
    <n v="-255"/>
    <n v="4.8000000000000007"/>
    <n v="84"/>
    <n v="58"/>
    <n v="28"/>
    <n v="6"/>
    <n v="51"/>
    <n v="0.17406143344709898"/>
    <n v="5.1999899792654221"/>
    <n v="12"/>
    <n v="-0.59"/>
    <n v="306"/>
    <n v="8.8883895382609404E-4"/>
    <n v="244.80000000000004"/>
  </r>
  <r>
    <x v="100"/>
    <x v="4"/>
    <x v="272"/>
    <s v="29150 Farmco Crossing"/>
    <x v="1"/>
    <s v="83-568-3475"/>
    <s v="10-950-0546"/>
    <d v="2024-04-17T00:00:00"/>
    <x v="80"/>
    <s v="Yes"/>
    <d v="2024-04-17T00:00:00"/>
    <d v="2024-04-04T00:00:00"/>
    <n v="13"/>
    <d v="2025-02-10T00:00:00"/>
    <n v="299"/>
    <n v="16"/>
    <n v="35"/>
    <n v="72"/>
    <n v="70"/>
    <n v="20"/>
    <n v="74"/>
    <n v="5.6923076923076925"/>
    <n v="5.1999899792654221"/>
    <n v="15"/>
    <n v="0.76"/>
    <n v="1480"/>
    <n v="4.2989596459562717E-3"/>
    <n v="1184"/>
  </r>
  <r>
    <x v="108"/>
    <x v="0"/>
    <x v="157"/>
    <s v="6251 Eliot Hill"/>
    <x v="0"/>
    <s v="15-846-7959"/>
    <s v="47-026-0505"/>
    <d v="2024-04-17T00:00:00"/>
    <x v="18"/>
    <s v="No"/>
    <d v="2024-12-01T00:00:00"/>
    <d v="2024-04-17T00:00:00"/>
    <n v="228"/>
    <d v="2024-03-20T00:00:00"/>
    <n v="-256"/>
    <n v="2"/>
    <n v="98"/>
    <n v="14"/>
    <n v="11"/>
    <n v="2.5"/>
    <n v="48"/>
    <n v="0.21052631578947367"/>
    <n v="5.1999899792654221"/>
    <n v="38"/>
    <n v="0.8"/>
    <n v="120"/>
    <n v="3.4856429561807613E-4"/>
    <n v="96"/>
  </r>
  <r>
    <x v="110"/>
    <x v="2"/>
    <x v="177"/>
    <s v="588 Waywood Trail"/>
    <x v="2"/>
    <s v="98-148-0940"/>
    <s v="06-175-9657"/>
    <d v="2024-04-17T00:00:00"/>
    <x v="287"/>
    <s v="Yes"/>
    <d v="2024-04-17T00:00:00"/>
    <d v="2024-04-02T00:00:00"/>
    <n v="15"/>
    <d v="2024-11-05T00:00:00"/>
    <n v="202"/>
    <n v="0.16000000000000003"/>
    <n v="63"/>
    <n v="62"/>
    <n v="18"/>
    <n v="0.2"/>
    <n v="67"/>
    <n v="4.4666666666666668"/>
    <n v="5.1999899792654221"/>
    <n v="17"/>
    <n v="0.21"/>
    <n v="13.4"/>
    <n v="3.8923013010685167E-5"/>
    <n v="10.720000000000002"/>
  </r>
  <r>
    <x v="39"/>
    <x v="1"/>
    <x v="148"/>
    <s v="01471 Burrows Lane"/>
    <x v="0"/>
    <s v="76-325-9093"/>
    <s v="67-922-3399"/>
    <d v="2024-04-18T00:00:00"/>
    <x v="252"/>
    <s v="No"/>
    <d v="2024-10-19T00:00:00"/>
    <d v="2024-04-18T00:00:00"/>
    <n v="184"/>
    <d v="2024-12-18T00:00:00"/>
    <n v="60"/>
    <n v="5.2"/>
    <n v="27"/>
    <n v="92"/>
    <n v="56"/>
    <n v="6.5"/>
    <n v="29"/>
    <n v="0.15760869565217392"/>
    <n v="5.1999899792654221"/>
    <n v="32"/>
    <n v="0.75"/>
    <n v="188.5"/>
    <n v="5.4753641436672783E-4"/>
    <n v="150.80000000000001"/>
  </r>
  <r>
    <x v="29"/>
    <x v="3"/>
    <x v="239"/>
    <s v="21 Esker Way"/>
    <x v="1"/>
    <s v="10-034-7654"/>
    <s v="27-292-4656"/>
    <d v="2024-04-18T00:00:00"/>
    <x v="209"/>
    <s v="No"/>
    <d v="2024-10-25T00:00:00"/>
    <d v="2024-04-18T00:00:00"/>
    <n v="190"/>
    <d v="2024-05-28T00:00:00"/>
    <n v="-150"/>
    <n v="1.2000000000000002"/>
    <n v="70"/>
    <n v="96"/>
    <n v="92"/>
    <n v="1.5"/>
    <n v="27"/>
    <n v="0.14210526315789473"/>
    <n v="5.1999899792654221"/>
    <n v="58"/>
    <n v="-0.1"/>
    <n v="40.5"/>
    <n v="1.1764044977110069E-4"/>
    <n v="32.400000000000006"/>
  </r>
  <r>
    <x v="6"/>
    <x v="3"/>
    <x v="221"/>
    <s v="08492 Gateway Terrace"/>
    <x v="0"/>
    <s v="21-633-8696"/>
    <s v="89-468-2696"/>
    <d v="2024-04-18T00:00:00"/>
    <x v="11"/>
    <s v="Yes"/>
    <d v="2024-04-18T00:00:00"/>
    <d v="2024-04-06T00:00:00"/>
    <n v="12"/>
    <d v="2024-05-26T00:00:00"/>
    <n v="38"/>
    <n v="4"/>
    <n v="49"/>
    <n v="59"/>
    <n v="73"/>
    <n v="5"/>
    <n v="93"/>
    <n v="7.75"/>
    <n v="5.1999899792654221"/>
    <n v="45"/>
    <n v="-1.1499999999999999"/>
    <n v="465"/>
    <n v="1.3506866455200448E-3"/>
    <n v="372"/>
  </r>
  <r>
    <x v="110"/>
    <x v="2"/>
    <x v="209"/>
    <s v="79878 Katie Trail"/>
    <x v="0"/>
    <s v="74-181-4135"/>
    <s v="00-487-2428"/>
    <d v="2024-04-18T00:00:00"/>
    <x v="13"/>
    <s v="Yes"/>
    <d v="2024-04-18T00:00:00"/>
    <d v="2024-03-17T00:00:00"/>
    <n v="32"/>
    <d v="2024-09-17T00:00:00"/>
    <n v="152"/>
    <n v="0.16000000000000003"/>
    <n v="22"/>
    <n v="19"/>
    <n v="4"/>
    <n v="0.2"/>
    <n v="88"/>
    <n v="2.75"/>
    <n v="5.1999899792654221"/>
    <n v="24"/>
    <n v="0.52"/>
    <n v="17.600000000000001"/>
    <n v="5.112276335731783E-5"/>
    <n v="14.080000000000002"/>
  </r>
  <r>
    <x v="118"/>
    <x v="2"/>
    <x v="119"/>
    <s v="109 Twin Pines Avenue"/>
    <x v="2"/>
    <s v="98-064-4465"/>
    <s v="93-719-9817"/>
    <d v="2024-04-19T00:00:00"/>
    <x v="199"/>
    <s v="No"/>
    <d v="2024-10-01T00:00:00"/>
    <d v="2024-04-19T00:00:00"/>
    <n v="165"/>
    <d v="2024-11-11T00:00:00"/>
    <n v="41"/>
    <n v="5.6000000000000005"/>
    <n v="96"/>
    <n v="38"/>
    <n v="17"/>
    <n v="7"/>
    <n v="72"/>
    <n v="0.43636363636363634"/>
    <n v="5.1999899792654221"/>
    <n v="84"/>
    <n v="0.73"/>
    <n v="504"/>
    <n v="1.4639700415959196E-3"/>
    <n v="403.20000000000005"/>
  </r>
  <r>
    <x v="74"/>
    <x v="5"/>
    <x v="279"/>
    <s v="88 Hooker Parkway"/>
    <x v="1"/>
    <s v="41-475-5305"/>
    <s v="93-900-1170"/>
    <d v="2024-04-19T00:00:00"/>
    <x v="251"/>
    <s v="Yes"/>
    <d v="2024-04-19T00:00:00"/>
    <d v="2024-03-13T00:00:00"/>
    <n v="37"/>
    <d v="2024-09-12T00:00:00"/>
    <n v="146"/>
    <n v="2.4000000000000004"/>
    <n v="61"/>
    <n v="20"/>
    <n v="29"/>
    <n v="3"/>
    <n v="71"/>
    <n v="1.9189189189189189"/>
    <n v="5.1999899792654221"/>
    <n v="97"/>
    <n v="-0.17"/>
    <n v="213"/>
    <n v="6.1870162472208508E-4"/>
    <n v="170.40000000000003"/>
  </r>
  <r>
    <x v="108"/>
    <x v="0"/>
    <x v="215"/>
    <s v="8 Russell Pass"/>
    <x v="0"/>
    <s v="80-988-4653"/>
    <s v="02-272-0535"/>
    <d v="2024-04-20T00:00:00"/>
    <x v="295"/>
    <s v="No"/>
    <d v="2024-09-14T00:00:00"/>
    <d v="2024-04-20T00:00:00"/>
    <n v="147"/>
    <d v="2024-04-19T00:00:00"/>
    <n v="-148"/>
    <n v="2"/>
    <n v="43"/>
    <n v="66"/>
    <n v="85"/>
    <n v="2.5"/>
    <n v="66"/>
    <n v="0.44897959183673469"/>
    <n v="5.1999899792654221"/>
    <n v="65"/>
    <n v="-0.37"/>
    <n v="165"/>
    <n v="4.7927590647485463E-4"/>
    <n v="132"/>
  </r>
  <r>
    <x v="13"/>
    <x v="5"/>
    <x v="30"/>
    <s v="83894 Delaware Plaza"/>
    <x v="2"/>
    <s v="51-583-6029"/>
    <s v="78-024-3286"/>
    <d v="2024-04-20T00:00:00"/>
    <x v="279"/>
    <s v="No"/>
    <d v="2024-08-18T00:00:00"/>
    <d v="2024-04-20T00:00:00"/>
    <n v="120"/>
    <d v="2025-02-18T00:00:00"/>
    <n v="184"/>
    <n v="3.2"/>
    <n v="38"/>
    <n v="43"/>
    <n v="91"/>
    <n v="4"/>
    <n v="72"/>
    <n v="0.6"/>
    <n v="5.1999899792654221"/>
    <n v="64"/>
    <n v="0.02"/>
    <n v="288"/>
    <n v="8.3655430948338259E-4"/>
    <n v="230.4"/>
  </r>
  <r>
    <x v="98"/>
    <x v="5"/>
    <x v="194"/>
    <s v="6 Lunder Parkway"/>
    <x v="1"/>
    <s v="63-270-7076"/>
    <s v="85-532-0172"/>
    <d v="2024-04-21T00:00:00"/>
    <x v="301"/>
    <s v="No"/>
    <d v="2024-06-12T00:00:00"/>
    <d v="2024-04-21T00:00:00"/>
    <n v="52"/>
    <d v="2025-01-24T00:00:00"/>
    <n v="226"/>
    <n v="2.8000000000000003"/>
    <n v="65"/>
    <n v="36"/>
    <n v="37"/>
    <n v="3.5"/>
    <n v="32"/>
    <n v="0.61538461538461542"/>
    <n v="5.1999899792654221"/>
    <n v="70"/>
    <n v="0.11"/>
    <n v="112"/>
    <n v="3.2532667591020435E-4"/>
    <n v="89.600000000000009"/>
  </r>
  <r>
    <x v="116"/>
    <x v="2"/>
    <x v="263"/>
    <s v="6 Messerschmidt Place"/>
    <x v="0"/>
    <s v="70-149-6756"/>
    <s v="97-150-9199"/>
    <d v="2024-04-21T00:00:00"/>
    <x v="0"/>
    <s v="No"/>
    <d v="2025-01-06T00:00:00"/>
    <d v="2024-04-21T00:00:00"/>
    <n v="260"/>
    <d v="2024-06-26T00:00:00"/>
    <n v="-194"/>
    <n v="3.3600000000000003"/>
    <n v="14"/>
    <n v="99"/>
    <n v="97"/>
    <n v="4.2"/>
    <n v="28"/>
    <n v="0.1076923076923077"/>
    <n v="5.1999899792654221"/>
    <n v="45"/>
    <n v="-1.19"/>
    <n v="117.60000000000001"/>
    <n v="3.4159300970571459E-4"/>
    <n v="94.080000000000013"/>
  </r>
  <r>
    <x v="97"/>
    <x v="2"/>
    <x v="119"/>
    <s v="43 Heath Street"/>
    <x v="1"/>
    <s v="98-909-9395"/>
    <s v="74-119-5491"/>
    <d v="2024-04-22T00:00:00"/>
    <x v="213"/>
    <s v="No"/>
    <d v="2024-08-31T00:00:00"/>
    <d v="2024-04-22T00:00:00"/>
    <n v="131"/>
    <d v="2024-12-07T00:00:00"/>
    <n v="98"/>
    <n v="4"/>
    <n v="67"/>
    <n v="98"/>
    <n v="92"/>
    <n v="5"/>
    <n v="35"/>
    <n v="0.26717557251908397"/>
    <n v="5.1999899792654221"/>
    <n v="98"/>
    <n v="-0.61"/>
    <n v="175"/>
    <n v="5.083229311096943E-4"/>
    <n v="140"/>
  </r>
  <r>
    <x v="106"/>
    <x v="2"/>
    <x v="299"/>
    <s v="3 Fairfield Center"/>
    <x v="0"/>
    <s v="35-621-2546"/>
    <s v="14-190-2260"/>
    <d v="2024-04-22T00:00:00"/>
    <x v="109"/>
    <s v="Yes"/>
    <d v="2024-04-22T00:00:00"/>
    <d v="2024-04-07T00:00:00"/>
    <n v="15"/>
    <d v="2025-02-15T00:00:00"/>
    <n v="299"/>
    <n v="6.4"/>
    <n v="85"/>
    <n v="89"/>
    <n v="41"/>
    <n v="8"/>
    <n v="68"/>
    <n v="4.5333333333333332"/>
    <n v="5.1999899792654221"/>
    <n v="93"/>
    <n v="-1.8"/>
    <n v="544"/>
    <n v="1.5801581401352783E-3"/>
    <n v="435.20000000000005"/>
  </r>
  <r>
    <x v="7"/>
    <x v="4"/>
    <x v="270"/>
    <s v="4 Stang Place"/>
    <x v="2"/>
    <s v="24-579-6500"/>
    <s v="60-309-5783"/>
    <d v="2024-04-22T00:00:00"/>
    <x v="301"/>
    <s v="No"/>
    <d v="2024-06-12T00:00:00"/>
    <d v="2024-04-22T00:00:00"/>
    <n v="51"/>
    <d v="2024-09-04T00:00:00"/>
    <n v="84"/>
    <n v="8"/>
    <n v="93"/>
    <n v="51"/>
    <n v="70"/>
    <n v="10"/>
    <n v="81"/>
    <n v="1.588235294117647"/>
    <n v="5.1999899792654221"/>
    <n v="18"/>
    <n v="-0.37"/>
    <n v="810"/>
    <n v="2.3528089954220135E-3"/>
    <n v="648"/>
  </r>
  <r>
    <x v="120"/>
    <x v="3"/>
    <x v="14"/>
    <s v="4029 Lotheville Pass"/>
    <x v="1"/>
    <s v="01-703-8441"/>
    <s v="91-216-7668"/>
    <d v="2024-04-23T00:00:00"/>
    <x v="117"/>
    <s v="No"/>
    <d v="2025-01-01T00:00:00"/>
    <d v="2024-04-23T00:00:00"/>
    <n v="253"/>
    <d v="2024-06-21T00:00:00"/>
    <n v="-194"/>
    <n v="1.2000000000000002"/>
    <n v="100"/>
    <n v="10"/>
    <n v="89"/>
    <n v="1.5"/>
    <n v="76"/>
    <n v="0.30039525691699603"/>
    <n v="5.1999899792654221"/>
    <n v="38"/>
    <n v="0.78"/>
    <n v="114"/>
    <n v="3.3113608083717229E-4"/>
    <n v="91.200000000000017"/>
  </r>
  <r>
    <x v="17"/>
    <x v="2"/>
    <x v="250"/>
    <s v="126 Spohn Plaza"/>
    <x v="0"/>
    <s v="61-796-6540"/>
    <s v="40-002-8400"/>
    <d v="2024-04-24T00:00:00"/>
    <x v="10"/>
    <s v="No"/>
    <d v="2024-06-02T00:00:00"/>
    <d v="2024-04-24T00:00:00"/>
    <n v="39"/>
    <d v="2024-08-14T00:00:00"/>
    <n v="73"/>
    <n v="4.8000000000000007"/>
    <n v="88"/>
    <n v="4"/>
    <n v="79"/>
    <n v="6"/>
    <n v="23"/>
    <n v="0.58974358974358976"/>
    <n v="5.1999899792654221"/>
    <n v="39"/>
    <n v="0.5"/>
    <n v="138"/>
    <n v="4.0084893996078752E-4"/>
    <n v="110.40000000000002"/>
  </r>
  <r>
    <x v="13"/>
    <x v="5"/>
    <x v="2"/>
    <s v="66 Raven Pass"/>
    <x v="1"/>
    <s v="16-354-8122"/>
    <s v="61-604-8116"/>
    <d v="2024-04-25T00:00:00"/>
    <x v="302"/>
    <s v="No"/>
    <d v="2025-01-22T00:00:00"/>
    <d v="2024-04-25T00:00:00"/>
    <n v="272"/>
    <d v="2024-11-27T00:00:00"/>
    <n v="-56"/>
    <n v="3.2"/>
    <n v="97"/>
    <n v="99"/>
    <n v="96"/>
    <n v="4"/>
    <n v="57"/>
    <n v="0.20955882352941177"/>
    <n v="5.1999899792654221"/>
    <n v="42"/>
    <n v="-0.7"/>
    <n v="228"/>
    <n v="6.6227216167434458E-4"/>
    <n v="182.4"/>
  </r>
  <r>
    <x v="16"/>
    <x v="2"/>
    <x v="227"/>
    <s v="69 Orin Plaza"/>
    <x v="0"/>
    <s v="67-512-9754"/>
    <s v="35-941-2585"/>
    <d v="2024-04-25T00:00:00"/>
    <x v="303"/>
    <s v="No"/>
    <d v="2024-07-21T00:00:00"/>
    <d v="2024-04-25T00:00:00"/>
    <n v="87"/>
    <d v="2024-03-22T00:00:00"/>
    <n v="-121"/>
    <n v="2"/>
    <n v="19"/>
    <n v="100"/>
    <n v="83"/>
    <n v="2.5"/>
    <n v="66"/>
    <n v="0.75862068965517238"/>
    <n v="5.1999899792654221"/>
    <n v="28"/>
    <n v="0.26"/>
    <n v="165"/>
    <n v="4.7927590647485463E-4"/>
    <n v="132"/>
  </r>
  <r>
    <x v="22"/>
    <x v="0"/>
    <x v="313"/>
    <s v="108 Morning Center"/>
    <x v="0"/>
    <s v="11-316-8405"/>
    <s v="50-918-1373"/>
    <d v="2024-04-26T00:00:00"/>
    <x v="250"/>
    <s v="No"/>
    <d v="2025-02-24T00:00:00"/>
    <d v="2024-04-26T00:00:00"/>
    <n v="304"/>
    <d v="2024-11-25T00:00:00"/>
    <n v="-91"/>
    <n v="4"/>
    <n v="24"/>
    <n v="55"/>
    <n v="51"/>
    <n v="5"/>
    <n v="39"/>
    <n v="0.12828947368421054"/>
    <n v="5.1999899792654221"/>
    <n v="15"/>
    <n v="0.57999999999999996"/>
    <n v="195"/>
    <n v="5.6641698037937364E-4"/>
    <n v="156"/>
  </r>
  <r>
    <x v="92"/>
    <x v="3"/>
    <x v="17"/>
    <s v="98 Bartillon Trail"/>
    <x v="1"/>
    <s v="36-372-2295"/>
    <s v="85-823-7428"/>
    <d v="2024-04-26T00:00:00"/>
    <x v="52"/>
    <s v="No"/>
    <d v="2024-10-22T00:00:00"/>
    <d v="2024-04-26T00:00:00"/>
    <n v="179"/>
    <d v="2024-04-14T00:00:00"/>
    <n v="-191"/>
    <n v="3.5600000000000005"/>
    <n v="55"/>
    <n v="13"/>
    <n v="71"/>
    <n v="4.45"/>
    <n v="37"/>
    <n v="0.20670391061452514"/>
    <n v="5.1999899792654221"/>
    <n v="4"/>
    <n v="0.62"/>
    <n v="164.65"/>
    <n v="4.7825926061263529E-4"/>
    <n v="131.72000000000003"/>
  </r>
  <r>
    <x v="91"/>
    <x v="1"/>
    <x v="145"/>
    <s v="51 7th Court"/>
    <x v="0"/>
    <s v="84-075-7647"/>
    <s v="95-889-8592"/>
    <d v="2024-04-27T00:00:00"/>
    <x v="304"/>
    <s v="No"/>
    <d v="2024-10-21T00:00:00"/>
    <d v="2024-04-27T00:00:00"/>
    <n v="177"/>
    <d v="2025-02-22T00:00:00"/>
    <n v="124"/>
    <n v="1.8399999999999999"/>
    <n v="91"/>
    <n v="82"/>
    <n v="58"/>
    <n v="2.2999999999999998"/>
    <n v="43"/>
    <n v="0.24293785310734464"/>
    <n v="5.1999899792654221"/>
    <n v="45"/>
    <n v="0.89"/>
    <n v="98.899999999999991"/>
    <n v="2.8727507363856435E-4"/>
    <n v="79.11999999999999"/>
  </r>
  <r>
    <x v="0"/>
    <x v="0"/>
    <x v="239"/>
    <s v="81503 Graedel Plaza"/>
    <x v="1"/>
    <s v="08-226-5155"/>
    <s v="64-584-7898"/>
    <d v="2024-04-27T00:00:00"/>
    <x v="110"/>
    <s v="No"/>
    <d v="2024-05-01T00:00:00"/>
    <d v="2024-04-27T00:00:00"/>
    <n v="4"/>
    <d v="2024-04-27T00:00:00"/>
    <n v="-4"/>
    <n v="3.6"/>
    <n v="49"/>
    <n v="93"/>
    <n v="15"/>
    <n v="4.5"/>
    <n v="52"/>
    <n v="13"/>
    <n v="5.1999899792654221"/>
    <n v="31"/>
    <n v="-0.05"/>
    <n v="234"/>
    <n v="6.7970037645524836E-4"/>
    <n v="187.20000000000002"/>
  </r>
  <r>
    <x v="55"/>
    <x v="0"/>
    <x v="314"/>
    <s v="156 Golf Course Alley"/>
    <x v="1"/>
    <s v="46-496-2930"/>
    <s v="29-295-9755"/>
    <d v="2024-04-27T00:00:00"/>
    <x v="148"/>
    <s v="No"/>
    <d v="2024-10-26T00:00:00"/>
    <d v="2024-04-27T00:00:00"/>
    <n v="182"/>
    <d v="2024-08-14T00:00:00"/>
    <n v="-73"/>
    <n v="4.8000000000000007"/>
    <n v="66"/>
    <n v="28"/>
    <n v="7"/>
    <n v="6"/>
    <n v="85"/>
    <n v="0.46703296703296704"/>
    <n v="5.1999899792654221"/>
    <n v="6"/>
    <n v="0.4"/>
    <n v="510"/>
    <n v="1.4813982563768235E-3"/>
    <n v="408.00000000000006"/>
  </r>
  <r>
    <x v="75"/>
    <x v="2"/>
    <x v="33"/>
    <s v="389 Ridgeway Park"/>
    <x v="1"/>
    <s v="00-215-7434"/>
    <s v="85-272-3969"/>
    <d v="2024-04-28T00:00:00"/>
    <x v="122"/>
    <s v="No"/>
    <d v="2025-02-19T00:00:00"/>
    <d v="2024-04-28T00:00:00"/>
    <n v="297"/>
    <d v="2024-11-28T00:00:00"/>
    <n v="-83"/>
    <n v="2"/>
    <n v="14"/>
    <n v="63"/>
    <n v="74"/>
    <n v="2.5"/>
    <n v="59"/>
    <n v="0.19865319865319866"/>
    <n v="5.1999899792654221"/>
    <n v="63"/>
    <n v="0.93"/>
    <n v="147.5"/>
    <n v="4.2844361336388521E-4"/>
    <n v="118"/>
  </r>
  <r>
    <x v="118"/>
    <x v="2"/>
    <x v="290"/>
    <s v="018 Oxford Crossing"/>
    <x v="0"/>
    <s v="12-828-1063"/>
    <s v="48-707-5857"/>
    <d v="2024-04-28T00:00:00"/>
    <x v="305"/>
    <s v="Yes"/>
    <d v="2024-04-28T00:00:00"/>
    <d v="2024-03-29T00:00:00"/>
    <n v="30"/>
    <d v="2024-08-05T00:00:00"/>
    <n v="99"/>
    <n v="5.68"/>
    <n v="36"/>
    <n v="82"/>
    <n v="85"/>
    <n v="7.1"/>
    <n v="27"/>
    <n v="0.9"/>
    <n v="5.1999899792654221"/>
    <n v="67"/>
    <n v="-7.0000000000000007E-2"/>
    <n v="191.7"/>
    <n v="5.5683146224987654E-4"/>
    <n v="153.35999999999999"/>
  </r>
  <r>
    <x v="45"/>
    <x v="2"/>
    <x v="102"/>
    <s v="34 Fremont Point"/>
    <x v="1"/>
    <s v="48-770-6319"/>
    <s v="64-452-2395"/>
    <d v="2024-04-28T00:00:00"/>
    <x v="306"/>
    <s v="No"/>
    <d v="2024-11-21T00:00:00"/>
    <d v="2024-04-28T00:00:00"/>
    <n v="207"/>
    <d v="2025-02-02T00:00:00"/>
    <n v="73"/>
    <n v="0.8"/>
    <n v="52"/>
    <n v="31"/>
    <n v="18"/>
    <n v="1"/>
    <n v="77"/>
    <n v="0.3719806763285024"/>
    <n v="5.1999899792654221"/>
    <n v="16"/>
    <n v="-1.48"/>
    <n v="77"/>
    <n v="2.2366208968826551E-4"/>
    <n v="61.6"/>
  </r>
  <r>
    <x v="115"/>
    <x v="2"/>
    <x v="162"/>
    <s v="51205 Rieder Junction"/>
    <x v="0"/>
    <s v="44-305-1866"/>
    <s v="25-190-3172"/>
    <d v="2024-04-29T00:00:00"/>
    <x v="103"/>
    <s v="No"/>
    <d v="2024-07-02T00:00:00"/>
    <d v="2024-04-29T00:00:00"/>
    <n v="64"/>
    <d v="2024-08-29T00:00:00"/>
    <n v="58"/>
    <n v="2.4000000000000004"/>
    <n v="48"/>
    <n v="71"/>
    <n v="86"/>
    <n v="3"/>
    <n v="95"/>
    <n v="1.484375"/>
    <n v="5.1999899792654221"/>
    <n v="3"/>
    <n v="0.79"/>
    <n v="285"/>
    <n v="8.2784020209293076E-4"/>
    <n v="228.00000000000003"/>
  </r>
  <r>
    <x v="38"/>
    <x v="1"/>
    <x v="101"/>
    <s v="7232 Ridgeway Center"/>
    <x v="1"/>
    <s v="97-283-4840"/>
    <s v="64-604-1679"/>
    <d v="2024-04-29T00:00:00"/>
    <x v="212"/>
    <s v="No"/>
    <d v="2024-05-12T00:00:00"/>
    <d v="2024-04-29T00:00:00"/>
    <n v="13"/>
    <d v="2025-02-24T00:00:00"/>
    <n v="288"/>
    <n v="1.4400000000000002"/>
    <n v="58"/>
    <n v="23"/>
    <n v="66"/>
    <n v="1.8"/>
    <n v="82"/>
    <n v="6.3076923076923075"/>
    <n v="5.1999899792654221"/>
    <n v="61"/>
    <n v="0.97"/>
    <n v="147.6"/>
    <n v="4.287340836102336E-4"/>
    <n v="118.08000000000001"/>
  </r>
  <r>
    <x v="73"/>
    <x v="3"/>
    <x v="295"/>
    <s v="09 Londonderry Hill"/>
    <x v="1"/>
    <s v="35-328-8392"/>
    <s v="52-340-4509"/>
    <d v="2024-04-29T00:00:00"/>
    <x v="147"/>
    <s v="Yes"/>
    <d v="2024-04-29T00:00:00"/>
    <d v="2024-03-18T00:00:00"/>
    <n v="42"/>
    <d v="2024-04-21T00:00:00"/>
    <n v="-8"/>
    <n v="1.1599999999999999"/>
    <n v="39"/>
    <n v="2"/>
    <n v="71"/>
    <n v="1.45"/>
    <n v="20"/>
    <n v="0.47619047619047616"/>
    <n v="5.1999899792654221"/>
    <n v="70"/>
    <n v="0.26"/>
    <n v="29"/>
    <n v="8.4236371441035059E-5"/>
    <n v="23.2"/>
  </r>
  <r>
    <x v="115"/>
    <x v="2"/>
    <x v="58"/>
    <s v="76 Toban Plaza"/>
    <x v="0"/>
    <s v="43-693-2092"/>
    <s v="19-469-9841"/>
    <d v="2024-04-30T00:00:00"/>
    <x v="304"/>
    <s v="No"/>
    <d v="2024-10-21T00:00:00"/>
    <d v="2024-04-30T00:00:00"/>
    <n v="174"/>
    <d v="2024-09-22T00:00:00"/>
    <n v="-29"/>
    <n v="2.4000000000000004"/>
    <n v="51"/>
    <n v="100"/>
    <n v="70"/>
    <n v="3"/>
    <n v="40"/>
    <n v="0.22988505747126436"/>
    <n v="5.1999899792654221"/>
    <n v="21"/>
    <n v="-2.5"/>
    <n v="120"/>
    <n v="3.4856429561807613E-4"/>
    <n v="96.000000000000014"/>
  </r>
  <r>
    <x v="85"/>
    <x v="4"/>
    <x v="315"/>
    <s v="7096 Mcguire Park"/>
    <x v="2"/>
    <s v="47-802-5023"/>
    <s v="51-010-8144"/>
    <d v="2024-04-30T00:00:00"/>
    <x v="307"/>
    <s v="No"/>
    <d v="2024-10-18T00:00:00"/>
    <d v="2024-04-30T00:00:00"/>
    <n v="171"/>
    <d v="2024-06-07T00:00:00"/>
    <n v="-133"/>
    <n v="6.4"/>
    <n v="16"/>
    <n v="20"/>
    <n v="45"/>
    <n v="8"/>
    <n v="81"/>
    <n v="0.47368421052631576"/>
    <n v="5.1999899792654221"/>
    <n v="62"/>
    <n v="0.48"/>
    <n v="648"/>
    <n v="1.882247196337611E-3"/>
    <n v="518.4"/>
  </r>
  <r>
    <x v="71"/>
    <x v="6"/>
    <x v="249"/>
    <s v="99 Duke Lane"/>
    <x v="1"/>
    <s v="24-009-1208"/>
    <s v="96-405-4286"/>
    <d v="2024-04-30T00:00:00"/>
    <x v="25"/>
    <s v="No"/>
    <d v="2024-06-10T00:00:00"/>
    <d v="2024-04-30T00:00:00"/>
    <n v="41"/>
    <d v="2025-02-06T00:00:00"/>
    <n v="241"/>
    <n v="20"/>
    <n v="62"/>
    <n v="31"/>
    <n v="24"/>
    <n v="25"/>
    <n v="89"/>
    <n v="2.1707317073170733"/>
    <n v="5.1999899792654221"/>
    <n v="100"/>
    <n v="0.23"/>
    <n v="2225"/>
    <n v="6.4629629812518272E-3"/>
    <n v="1780"/>
  </r>
  <r>
    <x v="55"/>
    <x v="0"/>
    <x v="74"/>
    <s v="005 Tomscot Hill"/>
    <x v="2"/>
    <s v="98-556-5323"/>
    <s v="21-490-8051"/>
    <d v="2024-05-13T00:00:00"/>
    <x v="93"/>
    <s v="No"/>
    <d v="2024-08-12T00:00:00"/>
    <d v="2024-05-13T00:00:00"/>
    <n v="91"/>
    <d v="2024-08-27T00:00:00"/>
    <n v="15"/>
    <n v="4.8000000000000007"/>
    <n v="60"/>
    <n v="61"/>
    <n v="2"/>
    <n v="6"/>
    <n v="96"/>
    <n v="1.054945054945055"/>
    <n v="5.1999899792654221"/>
    <n v="50"/>
    <n v="-0.12"/>
    <n v="576"/>
    <n v="1.6731086189667652E-3"/>
    <n v="460.80000000000007"/>
  </r>
  <r>
    <x v="82"/>
    <x v="2"/>
    <x v="27"/>
    <s v="00847 Reindahl Place"/>
    <x v="0"/>
    <s v="14-521-4167"/>
    <s v="68-609-1972"/>
    <d v="2024-05-13T00:00:00"/>
    <x v="177"/>
    <s v="No"/>
    <d v="2024-06-29T00:00:00"/>
    <d v="2024-05-13T00:00:00"/>
    <n v="47"/>
    <d v="2024-03-06T00:00:00"/>
    <n v="-115"/>
    <n v="2"/>
    <n v="47"/>
    <n v="2"/>
    <n v="76"/>
    <n v="2.5"/>
    <n v="48"/>
    <n v="1.0212765957446808"/>
    <n v="5.1999899792654221"/>
    <n v="36"/>
    <n v="0.48"/>
    <n v="120"/>
    <n v="3.4856429561807613E-4"/>
    <n v="96"/>
  </r>
  <r>
    <x v="45"/>
    <x v="2"/>
    <x v="316"/>
    <s v="329 Helena Park"/>
    <x v="0"/>
    <s v="61-607-7622"/>
    <s v="77-175-2969"/>
    <d v="2024-05-13T00:00:00"/>
    <x v="106"/>
    <s v="No"/>
    <d v="2025-02-21T00:00:00"/>
    <d v="2024-05-13T00:00:00"/>
    <n v="284"/>
    <d v="2025-01-15T00:00:00"/>
    <n v="-37"/>
    <n v="0.8"/>
    <n v="23"/>
    <n v="38"/>
    <n v="25"/>
    <n v="1"/>
    <n v="84"/>
    <n v="0.29577464788732394"/>
    <n v="5.1999899792654221"/>
    <n v="78"/>
    <n v="0.25"/>
    <n v="84"/>
    <n v="2.4399500693265326E-4"/>
    <n v="67.2"/>
  </r>
  <r>
    <x v="39"/>
    <x v="1"/>
    <x v="283"/>
    <s v="041 Paget Alley"/>
    <x v="0"/>
    <s v="06-849-4869"/>
    <s v="39-464-7300"/>
    <d v="2024-05-13T00:00:00"/>
    <x v="122"/>
    <s v="No"/>
    <d v="2025-02-19T00:00:00"/>
    <d v="2024-05-13T00:00:00"/>
    <n v="282"/>
    <d v="2024-07-15T00:00:00"/>
    <n v="-219"/>
    <n v="5.2"/>
    <n v="85"/>
    <n v="15"/>
    <n v="16"/>
    <n v="6.5"/>
    <n v="46"/>
    <n v="0.16312056737588654"/>
    <n v="5.1999899792654221"/>
    <n v="24"/>
    <n v="7.0000000000000007E-2"/>
    <n v="299"/>
    <n v="8.6850603658170631E-4"/>
    <n v="239.20000000000002"/>
  </r>
  <r>
    <x v="58"/>
    <x v="2"/>
    <x v="255"/>
    <s v="38726 Gina Pass"/>
    <x v="1"/>
    <s v="41-526-4036"/>
    <s v="45-923-7206"/>
    <d v="2024-05-13T00:00:00"/>
    <x v="15"/>
    <s v="Yes"/>
    <d v="2024-05-13T00:00:00"/>
    <d v="2024-03-02T00:00:00"/>
    <n v="72"/>
    <d v="2025-01-29T00:00:00"/>
    <n v="261"/>
    <n v="3.2"/>
    <n v="55"/>
    <n v="25"/>
    <n v="87"/>
    <n v="4"/>
    <n v="69"/>
    <n v="0.95833333333333337"/>
    <n v="5.1999899792654221"/>
    <n v="48"/>
    <n v="0.48"/>
    <n v="276"/>
    <n v="8.0169787992157503E-4"/>
    <n v="220.8"/>
  </r>
  <r>
    <x v="34"/>
    <x v="2"/>
    <x v="222"/>
    <s v="1823 Elgar Park"/>
    <x v="1"/>
    <s v="49-570-8214"/>
    <s v="17-345-5800"/>
    <d v="2024-05-13T00:00:00"/>
    <x v="308"/>
    <s v="No"/>
    <d v="2024-05-27T00:00:00"/>
    <d v="2024-05-13T00:00:00"/>
    <n v="14"/>
    <d v="2024-12-18T00:00:00"/>
    <n v="205"/>
    <n v="3.2"/>
    <n v="81"/>
    <n v="76"/>
    <n v="10"/>
    <n v="4"/>
    <n v="68"/>
    <n v="4.8571428571428568"/>
    <n v="5.1999899792654221"/>
    <n v="100"/>
    <n v="0.3"/>
    <n v="272"/>
    <n v="7.9007907006763915E-4"/>
    <n v="217.60000000000002"/>
  </r>
  <r>
    <x v="86"/>
    <x v="0"/>
    <x v="231"/>
    <s v="1 Lake View Trail"/>
    <x v="0"/>
    <s v="85-561-4694"/>
    <s v="57-486-8971"/>
    <d v="2024-05-15T00:00:00"/>
    <x v="271"/>
    <s v="No"/>
    <d v="2024-08-15T00:00:00"/>
    <d v="2024-05-15T00:00:00"/>
    <n v="92"/>
    <d v="2024-05-11T00:00:00"/>
    <n v="-96"/>
    <n v="4.8000000000000007"/>
    <n v="28"/>
    <n v="27"/>
    <n v="22"/>
    <n v="6"/>
    <n v="70"/>
    <n v="0.76086956521739135"/>
    <n v="5.1999899792654221"/>
    <n v="30"/>
    <n v="-0.47"/>
    <n v="420"/>
    <n v="1.2199750346632663E-3"/>
    <n v="336.00000000000006"/>
  </r>
  <r>
    <x v="74"/>
    <x v="5"/>
    <x v="110"/>
    <s v="77563 Russell Lane"/>
    <x v="2"/>
    <s v="26-629-5920"/>
    <s v="19-264-7608"/>
    <d v="2024-05-15T00:00:00"/>
    <x v="191"/>
    <s v="No"/>
    <d v="2024-07-16T00:00:00"/>
    <d v="2024-05-15T00:00:00"/>
    <n v="62"/>
    <d v="2024-12-14T00:00:00"/>
    <n v="151"/>
    <n v="2.4000000000000004"/>
    <n v="99"/>
    <n v="6"/>
    <n v="88"/>
    <n v="3"/>
    <n v="49"/>
    <n v="0.79032258064516125"/>
    <n v="5.1999899792654221"/>
    <n v="9"/>
    <n v="0.56999999999999995"/>
    <n v="147"/>
    <n v="4.2699126213214324E-4"/>
    <n v="117.60000000000002"/>
  </r>
  <r>
    <x v="25"/>
    <x v="5"/>
    <x v="317"/>
    <s v="19180 Hagan Parkway"/>
    <x v="0"/>
    <s v="75-029-9003"/>
    <s v="61-917-4271"/>
    <d v="2024-05-16T00:00:00"/>
    <x v="129"/>
    <s v="No"/>
    <d v="2024-10-07T00:00:00"/>
    <d v="2024-05-16T00:00:00"/>
    <n v="144"/>
    <d v="2024-04-01T00:00:00"/>
    <n v="-189"/>
    <n v="3.2"/>
    <n v="34"/>
    <n v="42"/>
    <n v="86"/>
    <n v="4"/>
    <n v="28"/>
    <n v="0.19444444444444445"/>
    <n v="5.1999899792654221"/>
    <n v="23"/>
    <n v="0.82"/>
    <n v="112"/>
    <n v="3.2532667591020435E-4"/>
    <n v="89.600000000000009"/>
  </r>
  <r>
    <x v="56"/>
    <x v="0"/>
    <x v="318"/>
    <s v="9 Holmberg Circle"/>
    <x v="2"/>
    <s v="79-428-8753"/>
    <s v="29-521-7910"/>
    <d v="2024-05-16T00:00:00"/>
    <x v="309"/>
    <s v="No"/>
    <d v="2024-07-06T00:00:00"/>
    <d v="2024-05-16T00:00:00"/>
    <n v="51"/>
    <d v="2024-12-30T00:00:00"/>
    <n v="177"/>
    <n v="0.8"/>
    <n v="62"/>
    <n v="79"/>
    <n v="95"/>
    <n v="1"/>
    <n v="34"/>
    <n v="0.66666666666666663"/>
    <n v="5.1999899792654221"/>
    <n v="12"/>
    <n v="0.18"/>
    <n v="34"/>
    <n v="9.8759883758454893E-5"/>
    <n v="27.200000000000003"/>
  </r>
  <r>
    <x v="42"/>
    <x v="0"/>
    <x v="102"/>
    <s v="0 Lerdahl Parkway"/>
    <x v="0"/>
    <s v="34-369-7712"/>
    <s v="95-241-9348"/>
    <d v="2024-05-16T00:00:00"/>
    <x v="281"/>
    <s v="Yes"/>
    <d v="2024-05-16T00:00:00"/>
    <d v="2024-05-11T00:00:00"/>
    <n v="5"/>
    <d v="2024-06-06T00:00:00"/>
    <n v="21"/>
    <n v="4"/>
    <n v="55"/>
    <n v="96"/>
    <n v="40"/>
    <n v="5"/>
    <n v="23"/>
    <n v="4.5999999999999996"/>
    <n v="5.1999899792654221"/>
    <n v="47"/>
    <n v="0.65"/>
    <n v="115"/>
    <n v="3.3404078330065624E-4"/>
    <n v="92"/>
  </r>
  <r>
    <x v="78"/>
    <x v="3"/>
    <x v="103"/>
    <s v="6 Nobel Junction"/>
    <x v="1"/>
    <s v="22-141-9798"/>
    <s v="59-849-9942"/>
    <d v="2024-05-18T00:00:00"/>
    <x v="205"/>
    <s v="No"/>
    <d v="2024-09-20T00:00:00"/>
    <d v="2024-05-18T00:00:00"/>
    <n v="125"/>
    <d v="2024-04-30T00:00:00"/>
    <n v="-143"/>
    <n v="1.6"/>
    <n v="47"/>
    <n v="7"/>
    <n v="63"/>
    <n v="2"/>
    <n v="29"/>
    <n v="0.23200000000000001"/>
    <n v="5.1999899792654221"/>
    <n v="20"/>
    <n v="-1.04"/>
    <n v="58"/>
    <n v="1.6847274288207012E-4"/>
    <n v="46.400000000000006"/>
  </r>
  <r>
    <x v="96"/>
    <x v="0"/>
    <x v="319"/>
    <s v="6 Anthes Court"/>
    <x v="1"/>
    <s v="38-924-3007"/>
    <s v="83-936-5065"/>
    <d v="2024-05-18T00:00:00"/>
    <x v="284"/>
    <s v="No"/>
    <d v="2025-01-05T00:00:00"/>
    <d v="2024-05-18T00:00:00"/>
    <n v="232"/>
    <d v="2024-04-17T00:00:00"/>
    <n v="-263"/>
    <n v="2.4000000000000004"/>
    <n v="12"/>
    <n v="28"/>
    <n v="11"/>
    <n v="3"/>
    <n v="46"/>
    <n v="0.19827586206896552"/>
    <n v="5.1999899792654221"/>
    <n v="88"/>
    <n v="0.31"/>
    <n v="138"/>
    <n v="4.0084893996078752E-4"/>
    <n v="110.40000000000002"/>
  </r>
  <r>
    <x v="95"/>
    <x v="0"/>
    <x v="301"/>
    <s v="82955 Dayton Street"/>
    <x v="0"/>
    <s v="70-005-5970"/>
    <s v="18-490-4140"/>
    <d v="2024-05-18T00:00:00"/>
    <x v="127"/>
    <s v="No"/>
    <d v="2024-10-02T00:00:00"/>
    <d v="2024-05-18T00:00:00"/>
    <n v="137"/>
    <d v="2024-12-24T00:00:00"/>
    <n v="83"/>
    <n v="2.8000000000000003"/>
    <n v="84"/>
    <n v="46"/>
    <n v="80"/>
    <n v="3.5"/>
    <n v="66"/>
    <n v="0.48175182481751827"/>
    <n v="5.1999899792654221"/>
    <n v="84"/>
    <n v="-0.91"/>
    <n v="231"/>
    <n v="6.7098626906479653E-4"/>
    <n v="184.8"/>
  </r>
  <r>
    <x v="102"/>
    <x v="0"/>
    <x v="238"/>
    <s v="4 Heffernan Lane"/>
    <x v="2"/>
    <s v="19-021-5024"/>
    <s v="75-369-5047"/>
    <d v="2024-05-19T00:00:00"/>
    <x v="310"/>
    <s v="No"/>
    <d v="2025-02-13T00:00:00"/>
    <d v="2024-05-19T00:00:00"/>
    <n v="270"/>
    <d v="2024-05-07T00:00:00"/>
    <n v="-282"/>
    <n v="3.2"/>
    <n v="47"/>
    <n v="63"/>
    <n v="86"/>
    <n v="4"/>
    <n v="76"/>
    <n v="0.2814814814814815"/>
    <n v="5.1999899792654221"/>
    <n v="29"/>
    <n v="-0.27"/>
    <n v="304"/>
    <n v="8.8302954889912615E-4"/>
    <n v="243.20000000000002"/>
  </r>
  <r>
    <x v="62"/>
    <x v="4"/>
    <x v="154"/>
    <s v="35 Waxwing Center"/>
    <x v="2"/>
    <s v="31-403-6234"/>
    <s v="00-258-2525"/>
    <d v="2024-05-20T00:00:00"/>
    <x v="157"/>
    <s v="No"/>
    <d v="2024-11-24T00:00:00"/>
    <d v="2024-05-20T00:00:00"/>
    <n v="188"/>
    <d v="2024-05-04T00:00:00"/>
    <n v="-204"/>
    <n v="14.4"/>
    <n v="87"/>
    <n v="24"/>
    <n v="66"/>
    <n v="18"/>
    <n v="22"/>
    <n v="0.11702127659574468"/>
    <n v="5.1999899792654221"/>
    <n v="34"/>
    <n v="0.62"/>
    <n v="396"/>
    <n v="1.1502621755396512E-3"/>
    <n v="316.8"/>
  </r>
  <r>
    <x v="67"/>
    <x v="0"/>
    <x v="123"/>
    <s v="7 West Street"/>
    <x v="1"/>
    <s v="19-047-4239"/>
    <s v="11-146-9880"/>
    <d v="2024-05-21T00:00:00"/>
    <x v="81"/>
    <s v="Yes"/>
    <d v="2024-05-21T00:00:00"/>
    <d v="2024-03-30T00:00:00"/>
    <n v="52"/>
    <d v="2024-04-30T00:00:00"/>
    <n v="-21"/>
    <n v="3.2"/>
    <n v="47"/>
    <n v="72"/>
    <n v="73"/>
    <n v="4"/>
    <n v="93"/>
    <n v="1.7884615384615385"/>
    <n v="5.1999899792654221"/>
    <n v="27"/>
    <n v="-0.55000000000000004"/>
    <n v="372"/>
    <n v="1.0805493164160358E-3"/>
    <n v="297.60000000000002"/>
  </r>
  <r>
    <x v="90"/>
    <x v="0"/>
    <x v="139"/>
    <s v="676 Redwing Trail"/>
    <x v="2"/>
    <s v="29-092-3453"/>
    <s v="41-867-9911"/>
    <d v="2024-05-22T00:00:00"/>
    <x v="293"/>
    <s v="Yes"/>
    <d v="2024-05-22T00:00:00"/>
    <d v="2024-05-07T00:00:00"/>
    <n v="15"/>
    <d v="2024-06-17T00:00:00"/>
    <n v="26"/>
    <n v="2.016"/>
    <n v="61"/>
    <n v="17"/>
    <n v="69"/>
    <n v="2.52"/>
    <n v="31"/>
    <n v="2.0666666666666669"/>
    <n v="5.1999899792654221"/>
    <n v="29"/>
    <n v="0.71"/>
    <n v="78.12"/>
    <n v="2.2691535644736756E-4"/>
    <n v="62.496000000000002"/>
  </r>
  <r>
    <x v="66"/>
    <x v="2"/>
    <x v="217"/>
    <s v="95 Onsgard Way"/>
    <x v="0"/>
    <s v="28-956-1320"/>
    <s v="01-445-8931"/>
    <d v="2024-05-23T00:00:00"/>
    <x v="307"/>
    <s v="No"/>
    <d v="2024-10-18T00:00:00"/>
    <d v="2024-05-23T00:00:00"/>
    <n v="148"/>
    <d v="2024-09-05T00:00:00"/>
    <n v="-43"/>
    <n v="2.4000000000000004"/>
    <n v="62"/>
    <n v="2"/>
    <n v="98"/>
    <n v="3"/>
    <n v="50"/>
    <n v="0.33783783783783783"/>
    <n v="5.1999899792654221"/>
    <n v="11"/>
    <n v="0.06"/>
    <n v="150"/>
    <n v="4.3570536952259513E-4"/>
    <n v="120.00000000000001"/>
  </r>
  <r>
    <x v="85"/>
    <x v="4"/>
    <x v="246"/>
    <s v="01330 Sheridan Way"/>
    <x v="2"/>
    <s v="88-069-5486"/>
    <s v="95-878-1614"/>
    <d v="2024-05-23T00:00:00"/>
    <x v="285"/>
    <s v="No"/>
    <d v="2024-07-13T00:00:00"/>
    <d v="2024-05-23T00:00:00"/>
    <n v="51"/>
    <d v="2024-05-01T00:00:00"/>
    <n v="-73"/>
    <n v="6.4"/>
    <n v="31"/>
    <n v="87"/>
    <n v="19"/>
    <n v="8"/>
    <n v="41"/>
    <n v="0.80392156862745101"/>
    <n v="5.1999899792654221"/>
    <n v="10"/>
    <n v="0.78"/>
    <n v="328"/>
    <n v="9.5274240802274137E-4"/>
    <n v="262.40000000000003"/>
  </r>
  <r>
    <x v="74"/>
    <x v="5"/>
    <x v="252"/>
    <s v="0 Miller Pass"/>
    <x v="1"/>
    <s v="97-710-2449"/>
    <s v="39-676-9308"/>
    <d v="2024-05-23T00:00:00"/>
    <x v="91"/>
    <s v="No"/>
    <d v="2025-01-23T00:00:00"/>
    <d v="2024-05-23T00:00:00"/>
    <n v="245"/>
    <d v="2024-06-19T00:00:00"/>
    <n v="-218"/>
    <n v="2.2399999999999998"/>
    <n v="28"/>
    <n v="94"/>
    <n v="80"/>
    <n v="2.8"/>
    <n v="31"/>
    <n v="0.12653061224489795"/>
    <n v="5.1999899792654221"/>
    <n v="1"/>
    <n v="0.76"/>
    <n v="86.8"/>
    <n v="2.5212817383040836E-4"/>
    <n v="69.44"/>
  </r>
  <r>
    <x v="117"/>
    <x v="0"/>
    <x v="161"/>
    <s v="53 Caliangt Junction"/>
    <x v="1"/>
    <s v="84-272-0790"/>
    <s v="00-635-4638"/>
    <d v="2024-05-23T00:00:00"/>
    <x v="187"/>
    <s v="No"/>
    <d v="2024-11-18T00:00:00"/>
    <d v="2024-05-23T00:00:00"/>
    <n v="179"/>
    <d v="2024-07-29T00:00:00"/>
    <n v="-112"/>
    <n v="8"/>
    <n v="28"/>
    <n v="86"/>
    <n v="44"/>
    <n v="10"/>
    <n v="48"/>
    <n v="0.26815642458100558"/>
    <n v="5.1999899792654221"/>
    <n v="12"/>
    <n v="0.97"/>
    <n v="480"/>
    <n v="1.3942571824723045E-3"/>
    <n v="384"/>
  </r>
  <r>
    <x v="31"/>
    <x v="2"/>
    <x v="2"/>
    <s v="4 Bashford Court"/>
    <x v="0"/>
    <s v="89-602-6755"/>
    <s v="51-054-3811"/>
    <d v="2024-05-23T00:00:00"/>
    <x v="232"/>
    <s v="No"/>
    <d v="2025-02-07T00:00:00"/>
    <d v="2024-05-23T00:00:00"/>
    <n v="260"/>
    <d v="2024-07-17T00:00:00"/>
    <n v="-205"/>
    <n v="0.8"/>
    <n v="74"/>
    <n v="90"/>
    <n v="26"/>
    <n v="1"/>
    <n v="24"/>
    <n v="9.2307692307692313E-2"/>
    <n v="5.1999899792654221"/>
    <n v="11"/>
    <n v="0.75"/>
    <n v="24"/>
    <n v="6.9712859123615225E-5"/>
    <n v="19.200000000000003"/>
  </r>
  <r>
    <x v="18"/>
    <x v="0"/>
    <x v="118"/>
    <s v="04 Rockefeller Terrace"/>
    <x v="2"/>
    <s v="63-162-9244"/>
    <s v="58-945-2944"/>
    <d v="2024-05-24T00:00:00"/>
    <x v="195"/>
    <s v="No"/>
    <d v="2024-08-11T00:00:00"/>
    <d v="2024-05-24T00:00:00"/>
    <n v="79"/>
    <d v="2024-05-17T00:00:00"/>
    <n v="-86"/>
    <n v="2.4000000000000004"/>
    <n v="49"/>
    <n v="89"/>
    <n v="65"/>
    <n v="3"/>
    <n v="37"/>
    <n v="0.46835443037974683"/>
    <n v="5.1999899792654221"/>
    <n v="48"/>
    <n v="0.54"/>
    <n v="111"/>
    <n v="3.224219734467204E-4"/>
    <n v="88.800000000000011"/>
  </r>
  <r>
    <x v="17"/>
    <x v="2"/>
    <x v="317"/>
    <s v="6 Anniversary Circle"/>
    <x v="0"/>
    <s v="49-579-4325"/>
    <s v="98-558-5813"/>
    <d v="2024-05-24T00:00:00"/>
    <x v="163"/>
    <s v="No"/>
    <d v="2024-08-22T00:00:00"/>
    <d v="2024-05-24T00:00:00"/>
    <n v="90"/>
    <d v="2024-05-17T00:00:00"/>
    <n v="-97"/>
    <n v="4.8000000000000007"/>
    <n v="64"/>
    <n v="95"/>
    <n v="62"/>
    <n v="6"/>
    <n v="55"/>
    <n v="0.61111111111111116"/>
    <n v="5.1999899792654221"/>
    <n v="1"/>
    <n v="-0.3"/>
    <n v="330"/>
    <n v="9.5855181294970926E-4"/>
    <n v="264.00000000000006"/>
  </r>
  <r>
    <x v="111"/>
    <x v="5"/>
    <x v="256"/>
    <s v="84148 Prairie Rose Center"/>
    <x v="1"/>
    <s v="96-503-7712"/>
    <s v="97-325-5889"/>
    <d v="2024-05-25T00:00:00"/>
    <x v="4"/>
    <s v="No"/>
    <d v="2024-07-28T00:00:00"/>
    <d v="2024-05-25T00:00:00"/>
    <n v="64"/>
    <d v="2025-01-19T00:00:00"/>
    <n v="175"/>
    <n v="2"/>
    <n v="93"/>
    <n v="76"/>
    <n v="82"/>
    <n v="2.5"/>
    <n v="76"/>
    <n v="1.1875"/>
    <n v="5.1999899792654221"/>
    <n v="51"/>
    <n v="0.98"/>
    <n v="190"/>
    <n v="5.518934680619538E-4"/>
    <n v="152"/>
  </r>
  <r>
    <x v="114"/>
    <x v="0"/>
    <x v="193"/>
    <s v="851 Hollow Ridge Center"/>
    <x v="1"/>
    <s v="56-213-0577"/>
    <s v="72-306-8602"/>
    <d v="2024-05-25T00:00:00"/>
    <x v="253"/>
    <s v="Yes"/>
    <d v="2024-05-25T00:00:00"/>
    <d v="2024-05-23T00:00:00"/>
    <n v="2"/>
    <d v="2024-09-17T00:00:00"/>
    <n v="115"/>
    <n v="3.6"/>
    <n v="24"/>
    <n v="25"/>
    <n v="52"/>
    <n v="4.5"/>
    <n v="24"/>
    <n v="12"/>
    <n v="5.1999899792654221"/>
    <n v="77"/>
    <n v="0.33"/>
    <n v="108"/>
    <n v="3.1370786605626851E-4"/>
    <n v="86.4"/>
  </r>
  <r>
    <x v="64"/>
    <x v="0"/>
    <x v="320"/>
    <s v="736 Redwing Parkway"/>
    <x v="1"/>
    <s v="24-989-3302"/>
    <s v="89-159-0852"/>
    <d v="2024-05-25T00:00:00"/>
    <x v="8"/>
    <s v="No"/>
    <d v="2024-06-03T00:00:00"/>
    <d v="2024-05-25T00:00:00"/>
    <n v="9"/>
    <d v="2024-07-30T00:00:00"/>
    <n v="57"/>
    <n v="4"/>
    <n v="85"/>
    <n v="90"/>
    <n v="16"/>
    <n v="5"/>
    <n v="61"/>
    <n v="6.7777777777777777"/>
    <n v="5.1999899792654221"/>
    <n v="80"/>
    <n v="-2.21"/>
    <n v="305"/>
    <n v="8.8593425136261009E-4"/>
    <n v="244"/>
  </r>
  <r>
    <x v="69"/>
    <x v="0"/>
    <x v="149"/>
    <s v="911 Merry Junction"/>
    <x v="2"/>
    <s v="79-920-2395"/>
    <s v="70-825-7341"/>
    <d v="2024-05-26T00:00:00"/>
    <x v="243"/>
    <s v="Yes"/>
    <d v="2024-05-26T00:00:00"/>
    <d v="2024-05-08T00:00:00"/>
    <n v="18"/>
    <d v="2024-07-16T00:00:00"/>
    <n v="51"/>
    <n v="5"/>
    <n v="81"/>
    <n v="23"/>
    <n v="17"/>
    <n v="6.25"/>
    <n v="92"/>
    <n v="5.1111111111111107"/>
    <n v="5.1999899792654221"/>
    <n v="78"/>
    <n v="-0.31"/>
    <n v="575"/>
    <n v="1.6702039165032813E-3"/>
    <n v="460"/>
  </r>
  <r>
    <x v="44"/>
    <x v="1"/>
    <x v="173"/>
    <s v="482 Green Center"/>
    <x v="0"/>
    <s v="73-118-1117"/>
    <s v="55-557-8544"/>
    <d v="2024-05-27T00:00:00"/>
    <x v="261"/>
    <s v="Yes"/>
    <d v="2024-05-27T00:00:00"/>
    <d v="2024-05-05T00:00:00"/>
    <n v="22"/>
    <d v="2024-11-13T00:00:00"/>
    <n v="170"/>
    <n v="4.8000000000000007"/>
    <n v="52"/>
    <n v="88"/>
    <n v="55"/>
    <n v="6"/>
    <n v="100"/>
    <n v="4.5454545454545459"/>
    <n v="5.1999899792654221"/>
    <n v="46"/>
    <n v="0.15"/>
    <n v="600"/>
    <n v="1.7428214780903805E-3"/>
    <n v="480.00000000000006"/>
  </r>
  <r>
    <x v="79"/>
    <x v="2"/>
    <x v="212"/>
    <s v="9738 Old Shore Trail"/>
    <x v="2"/>
    <s v="65-674-6076"/>
    <s v="16-933-3355"/>
    <d v="2024-05-27T00:00:00"/>
    <x v="311"/>
    <s v="No"/>
    <d v="2024-10-06T00:00:00"/>
    <d v="2024-05-27T00:00:00"/>
    <n v="132"/>
    <d v="2024-12-18T00:00:00"/>
    <n v="73"/>
    <n v="0.64000000000000012"/>
    <n v="78"/>
    <n v="61"/>
    <n v="6"/>
    <n v="0.8"/>
    <n v="49"/>
    <n v="0.37121212121212122"/>
    <n v="5.1999899792654221"/>
    <n v="60"/>
    <n v="0.54"/>
    <n v="39.200000000000003"/>
    <n v="1.1386433656857154E-4"/>
    <n v="31.360000000000007"/>
  </r>
  <r>
    <x v="7"/>
    <x v="4"/>
    <x v="216"/>
    <s v="959 Dorton Pass"/>
    <x v="0"/>
    <s v="66-312-5511"/>
    <s v="99-553-6838"/>
    <d v="2024-05-27T00:00:00"/>
    <x v="14"/>
    <s v="Yes"/>
    <d v="2024-05-27T00:00:00"/>
    <d v="2024-04-10T00:00:00"/>
    <n v="47"/>
    <d v="2024-12-15T00:00:00"/>
    <n v="202"/>
    <n v="8"/>
    <n v="44"/>
    <n v="97"/>
    <n v="76"/>
    <n v="10"/>
    <n v="80"/>
    <n v="1.7021276595744681"/>
    <n v="5.1999899792654221"/>
    <n v="33"/>
    <n v="-0.22"/>
    <n v="800"/>
    <n v="2.3237619707871739E-3"/>
    <n v="640"/>
  </r>
  <r>
    <x v="30"/>
    <x v="0"/>
    <x v="139"/>
    <s v="43211 Lakeland Place"/>
    <x v="0"/>
    <s v="58-005-5343"/>
    <s v="83-401-2709"/>
    <d v="2024-05-27T00:00:00"/>
    <x v="112"/>
    <s v="Yes"/>
    <d v="2024-05-27T00:00:00"/>
    <d v="2024-05-03T00:00:00"/>
    <n v="24"/>
    <d v="2024-08-21T00:00:00"/>
    <n v="86"/>
    <n v="1.4400000000000002"/>
    <n v="38"/>
    <n v="94"/>
    <n v="87"/>
    <n v="1.8"/>
    <n v="89"/>
    <n v="3.7083333333333335"/>
    <n v="5.1999899792654221"/>
    <n v="100"/>
    <n v="0.59"/>
    <n v="160.20000000000002"/>
    <n v="4.6533333465013162E-4"/>
    <n v="128.16000000000003"/>
  </r>
  <r>
    <x v="120"/>
    <x v="3"/>
    <x v="71"/>
    <s v="66879 Susan Place"/>
    <x v="1"/>
    <s v="40-795-0753"/>
    <s v="47-183-4911"/>
    <d v="2024-05-28T00:00:00"/>
    <x v="312"/>
    <s v="No"/>
    <d v="2025-02-22T00:00:00"/>
    <d v="2024-05-28T00:00:00"/>
    <n v="270"/>
    <d v="2024-05-30T00:00:00"/>
    <n v="-268"/>
    <n v="1.2000000000000002"/>
    <n v="31"/>
    <n v="43"/>
    <n v="80"/>
    <n v="1.5"/>
    <n v="46"/>
    <n v="0.17037037037037037"/>
    <n v="5.1999899792654221"/>
    <n v="78"/>
    <n v="-0.12"/>
    <n v="69"/>
    <n v="2.0042446998039376E-4"/>
    <n v="55.20000000000001"/>
  </r>
  <r>
    <x v="87"/>
    <x v="4"/>
    <x v="91"/>
    <s v="582 Sauthoff Crossing"/>
    <x v="0"/>
    <s v="73-401-5721"/>
    <s v="38-622-5251"/>
    <d v="2024-05-28T00:00:00"/>
    <x v="193"/>
    <s v="No"/>
    <d v="2024-10-28T00:00:00"/>
    <d v="2024-05-28T00:00:00"/>
    <n v="153"/>
    <d v="2024-12-26T00:00:00"/>
    <n v="59"/>
    <n v="7.2"/>
    <n v="46"/>
    <n v="28"/>
    <n v="73"/>
    <n v="9"/>
    <n v="65"/>
    <n v="0.42483660130718953"/>
    <n v="5.1999899792654221"/>
    <n v="57"/>
    <n v="-0.7"/>
    <n v="585"/>
    <n v="1.699250941138121E-3"/>
    <n v="468"/>
  </r>
  <r>
    <x v="10"/>
    <x v="2"/>
    <x v="292"/>
    <s v="97687 Mendota Terrace"/>
    <x v="2"/>
    <s v="53-680-5293"/>
    <s v="47-732-4446"/>
    <d v="2024-05-28T00:00:00"/>
    <x v="313"/>
    <s v="No"/>
    <d v="2024-05-31T00:00:00"/>
    <d v="2024-05-28T00:00:00"/>
    <n v="3"/>
    <d v="2024-08-24T00:00:00"/>
    <n v="85"/>
    <n v="7.2"/>
    <n v="88"/>
    <n v="74"/>
    <n v="97"/>
    <n v="9"/>
    <n v="79"/>
    <n v="26.333333333333332"/>
    <n v="5.1999899792654221"/>
    <n v="5"/>
    <n v="0.12"/>
    <n v="711"/>
    <n v="2.0652434515371007E-3"/>
    <n v="568.80000000000007"/>
  </r>
  <r>
    <x v="120"/>
    <x v="3"/>
    <x v="174"/>
    <s v="36 Bobwhite Parkway"/>
    <x v="0"/>
    <s v="02-170-5225"/>
    <s v="90-940-9550"/>
    <d v="2024-05-28T00:00:00"/>
    <x v="264"/>
    <s v="No"/>
    <d v="2024-09-18T00:00:00"/>
    <d v="2024-05-28T00:00:00"/>
    <n v="113"/>
    <d v="2025-02-23T00:00:00"/>
    <n v="158"/>
    <n v="1.2000000000000002"/>
    <n v="90"/>
    <n v="75"/>
    <n v="43"/>
    <n v="1.5"/>
    <n v="80"/>
    <n v="0.70796460176991149"/>
    <n v="5.1999899792654221"/>
    <n v="57"/>
    <n v="0.94"/>
    <n v="120"/>
    <n v="3.4856429561807613E-4"/>
    <n v="96.000000000000014"/>
  </r>
  <r>
    <x v="105"/>
    <x v="6"/>
    <x v="251"/>
    <s v="0 Sutteridge Trail"/>
    <x v="0"/>
    <s v="55-680-0982"/>
    <s v="57-412-5368"/>
    <d v="2024-05-28T00:00:00"/>
    <x v="120"/>
    <s v="No"/>
    <d v="2025-01-14T00:00:00"/>
    <d v="2024-05-28T00:00:00"/>
    <n v="231"/>
    <d v="2024-08-19T00:00:00"/>
    <n v="-148"/>
    <n v="6.4"/>
    <n v="64"/>
    <n v="66"/>
    <n v="28"/>
    <n v="8"/>
    <n v="25"/>
    <n v="0.10822510822510822"/>
    <n v="5.1999899792654221"/>
    <n v="52"/>
    <n v="0.28999999999999998"/>
    <n v="200"/>
    <n v="5.8094049269679347E-4"/>
    <n v="160"/>
  </r>
  <r>
    <x v="20"/>
    <x v="6"/>
    <x v="318"/>
    <s v="17780 Lindbergh Junction"/>
    <x v="2"/>
    <s v="48-414-6162"/>
    <s v="10-060-8515"/>
    <d v="2024-05-29T00:00:00"/>
    <x v="82"/>
    <s v="No"/>
    <d v="2024-11-08T00:00:00"/>
    <d v="2024-05-29T00:00:00"/>
    <n v="163"/>
    <d v="2024-05-05T00:00:00"/>
    <n v="-187"/>
    <n v="16"/>
    <n v="55"/>
    <n v="93"/>
    <n v="84"/>
    <n v="20"/>
    <n v="46"/>
    <n v="0.2822085889570552"/>
    <n v="5.1999899792654221"/>
    <n v="84"/>
    <n v="-1.08"/>
    <n v="920"/>
    <n v="2.6723262664052499E-3"/>
    <n v="736"/>
  </r>
  <r>
    <x v="101"/>
    <x v="4"/>
    <x v="232"/>
    <s v="13 Loomis Alley"/>
    <x v="0"/>
    <s v="71-631-5875"/>
    <s v="91-859-1733"/>
    <d v="2024-05-29T00:00:00"/>
    <x v="262"/>
    <s v="No"/>
    <d v="2024-09-09T00:00:00"/>
    <d v="2024-05-29T00:00:00"/>
    <n v="103"/>
    <d v="2024-10-25T00:00:00"/>
    <n v="46"/>
    <n v="12"/>
    <n v="88"/>
    <n v="83"/>
    <n v="42"/>
    <n v="15"/>
    <n v="61"/>
    <n v="0.59223300970873782"/>
    <n v="5.1999899792654221"/>
    <n v="59"/>
    <n v="-0.83"/>
    <n v="915"/>
    <n v="2.6578027540878303E-3"/>
    <n v="732"/>
  </r>
  <r>
    <x v="34"/>
    <x v="2"/>
    <x v="200"/>
    <s v="19 Aberg Trail"/>
    <x v="1"/>
    <s v="34-538-1180"/>
    <s v="40-907-4937"/>
    <d v="2024-05-29T00:00:00"/>
    <x v="119"/>
    <s v="No"/>
    <d v="2024-11-03T00:00:00"/>
    <d v="2024-05-29T00:00:00"/>
    <n v="158"/>
    <d v="2024-04-06T00:00:00"/>
    <n v="-211"/>
    <n v="3.2"/>
    <n v="29"/>
    <n v="39"/>
    <n v="80"/>
    <n v="4"/>
    <n v="23"/>
    <n v="0.14556962025316456"/>
    <n v="5.1999899792654221"/>
    <n v="85"/>
    <n v="0.03"/>
    <n v="92"/>
    <n v="2.6723262664052501E-4"/>
    <n v="73.600000000000009"/>
  </r>
  <r>
    <x v="18"/>
    <x v="0"/>
    <x v="56"/>
    <s v="938 Hanover Point"/>
    <x v="0"/>
    <s v="48-957-6116"/>
    <s v="34-334-6888"/>
    <d v="2024-05-30T00:00:00"/>
    <x v="138"/>
    <s v="Yes"/>
    <d v="2024-05-30T00:00:00"/>
    <d v="2024-05-16T00:00:00"/>
    <n v="14"/>
    <d v="2024-08-05T00:00:00"/>
    <n v="67"/>
    <n v="2.4000000000000004"/>
    <n v="31"/>
    <n v="44"/>
    <n v="9"/>
    <n v="3"/>
    <n v="46"/>
    <n v="3.2857142857142856"/>
    <n v="5.1999899792654221"/>
    <n v="9"/>
    <n v="-2.7"/>
    <n v="138"/>
    <n v="4.0084893996078752E-4"/>
    <n v="110.40000000000002"/>
  </r>
  <r>
    <x v="116"/>
    <x v="2"/>
    <x v="321"/>
    <s v="2 Kingsford Center"/>
    <x v="0"/>
    <s v="32-261-0008"/>
    <s v="26-073-5798"/>
    <d v="2024-05-30T00:00:00"/>
    <x v="175"/>
    <s v="No"/>
    <d v="2025-02-18T00:00:00"/>
    <d v="2024-05-30T00:00:00"/>
    <n v="264"/>
    <d v="2024-07-18T00:00:00"/>
    <n v="-215"/>
    <n v="3.2"/>
    <n v="63"/>
    <n v="48"/>
    <n v="22"/>
    <n v="4"/>
    <n v="21"/>
    <n v="7.9545454545454544E-2"/>
    <n v="5.1999899792654221"/>
    <n v="90"/>
    <n v="0.8"/>
    <n v="84"/>
    <n v="2.4399500693265326E-4"/>
    <n v="67.2"/>
  </r>
  <r>
    <x v="0"/>
    <x v="0"/>
    <x v="322"/>
    <s v="42397 Knutson Place"/>
    <x v="0"/>
    <s v="34-110-1040"/>
    <s v="14-427-6604"/>
    <d v="2024-05-30T00:00:00"/>
    <x v="314"/>
    <s v="No"/>
    <d v="2024-06-09T00:00:00"/>
    <d v="2024-05-30T00:00:00"/>
    <n v="10"/>
    <d v="2024-06-24T00:00:00"/>
    <n v="15"/>
    <n v="3.6"/>
    <n v="75"/>
    <n v="85"/>
    <n v="27"/>
    <n v="4.5"/>
    <n v="26"/>
    <n v="2.6"/>
    <n v="5.1999899792654221"/>
    <n v="68"/>
    <n v="-3.29"/>
    <n v="117"/>
    <n v="3.3985018822762418E-4"/>
    <n v="93.600000000000009"/>
  </r>
  <r>
    <x v="14"/>
    <x v="0"/>
    <x v="27"/>
    <s v="611 Fieldstone Drive"/>
    <x v="1"/>
    <s v="74-132-5528"/>
    <s v="41-713-1053"/>
    <d v="2024-05-30T00:00:00"/>
    <x v="40"/>
    <s v="Yes"/>
    <d v="2024-05-30T00:00:00"/>
    <d v="2024-03-21T00:00:00"/>
    <n v="70"/>
    <d v="2025-01-22T00:00:00"/>
    <n v="237"/>
    <n v="2"/>
    <n v="63"/>
    <n v="62"/>
    <n v="98"/>
    <n v="2.5"/>
    <n v="62"/>
    <n v="0.88571428571428568"/>
    <n v="5.1999899792654221"/>
    <n v="45"/>
    <n v="-1.62"/>
    <n v="155"/>
    <n v="4.5022888184001496E-4"/>
    <n v="124"/>
  </r>
  <r>
    <x v="64"/>
    <x v="0"/>
    <x v="284"/>
    <s v="25923 Loeprich Junction"/>
    <x v="1"/>
    <s v="15-797-4824"/>
    <s v="46-830-4835"/>
    <d v="2024-05-30T00:00:00"/>
    <x v="176"/>
    <s v="No"/>
    <d v="2024-11-20T00:00:00"/>
    <d v="2024-05-30T00:00:00"/>
    <n v="174"/>
    <d v="2025-01-14T00:00:00"/>
    <n v="55"/>
    <n v="4"/>
    <n v="32"/>
    <n v="27"/>
    <n v="26"/>
    <n v="5"/>
    <n v="38"/>
    <n v="0.21839080459770116"/>
    <n v="5.1999899792654221"/>
    <n v="79"/>
    <n v="0.27"/>
    <n v="190"/>
    <n v="5.518934680619538E-4"/>
    <n v="152"/>
  </r>
  <r>
    <x v="78"/>
    <x v="3"/>
    <x v="145"/>
    <s v="7834 Cordelia Alley"/>
    <x v="1"/>
    <s v="76-854-0095"/>
    <s v="38-883-3382"/>
    <d v="2024-05-31T00:00:00"/>
    <x v="164"/>
    <s v="No"/>
    <d v="2025-02-08T00:00:00"/>
    <d v="2024-05-31T00:00:00"/>
    <n v="253"/>
    <d v="2024-12-28T00:00:00"/>
    <n v="-42"/>
    <n v="1.6"/>
    <n v="65"/>
    <n v="61"/>
    <n v="82"/>
    <n v="2"/>
    <n v="29"/>
    <n v="0.11462450592885376"/>
    <n v="5.1999899792654221"/>
    <n v="11"/>
    <n v="-1.08"/>
    <n v="58"/>
    <n v="1.6847274288207012E-4"/>
    <n v="46.400000000000006"/>
  </r>
  <r>
    <x v="14"/>
    <x v="0"/>
    <x v="95"/>
    <s v="929 Thierer Lane"/>
    <x v="0"/>
    <s v="94-092-3355"/>
    <s v="76-641-2070"/>
    <d v="2024-06-13T00:00:00"/>
    <x v="18"/>
    <s v="No"/>
    <d v="2024-12-01T00:00:00"/>
    <d v="2024-06-13T00:00:00"/>
    <n v="171"/>
    <d v="2024-08-04T00:00:00"/>
    <n v="-119"/>
    <n v="2"/>
    <n v="57"/>
    <n v="43"/>
    <n v="46"/>
    <n v="2.5"/>
    <n v="87"/>
    <n v="0.50877192982456143"/>
    <n v="5.1999899792654221"/>
    <n v="88"/>
    <n v="0.62"/>
    <n v="217.5"/>
    <n v="6.3177278580776289E-4"/>
    <n v="174"/>
  </r>
  <r>
    <x v="14"/>
    <x v="0"/>
    <x v="252"/>
    <s v="973 Spaight Place"/>
    <x v="2"/>
    <s v="99-194-5600"/>
    <s v="70-064-6828"/>
    <d v="2024-06-14T00:00:00"/>
    <x v="41"/>
    <s v="Yes"/>
    <d v="2024-06-14T00:00:00"/>
    <d v="2024-02-25T00:00:00"/>
    <n v="110"/>
    <d v="2024-05-14T00:00:00"/>
    <n v="-31"/>
    <n v="2"/>
    <n v="57"/>
    <n v="25"/>
    <n v="98"/>
    <n v="2.5"/>
    <n v="78"/>
    <n v="0.70909090909090911"/>
    <n v="5.1999899792654221"/>
    <n v="37"/>
    <n v="-0.01"/>
    <n v="195"/>
    <n v="5.6641698037937364E-4"/>
    <n v="156"/>
  </r>
  <r>
    <x v="98"/>
    <x v="5"/>
    <x v="237"/>
    <s v="883 Marcy Place"/>
    <x v="1"/>
    <s v="40-205-8252"/>
    <s v="68-493-0378"/>
    <d v="2024-06-14T00:00:00"/>
    <x v="206"/>
    <s v="No"/>
    <d v="2024-10-05T00:00:00"/>
    <d v="2024-06-14T00:00:00"/>
    <n v="113"/>
    <d v="2024-07-14T00:00:00"/>
    <n v="-83"/>
    <n v="2.8000000000000003"/>
    <n v="38"/>
    <n v="37"/>
    <n v="27"/>
    <n v="3.5"/>
    <n v="45"/>
    <n v="0.39823008849557523"/>
    <n v="5.1999899792654221"/>
    <n v="88"/>
    <n v="0.53"/>
    <n v="157.5"/>
    <n v="4.5749063799872488E-4"/>
    <n v="126.00000000000001"/>
  </r>
  <r>
    <x v="9"/>
    <x v="2"/>
    <x v="144"/>
    <s v="6211 Hanson Terrace"/>
    <x v="0"/>
    <s v="69-674-5387"/>
    <s v="04-313-0298"/>
    <d v="2024-06-15T00:00:00"/>
    <x v="88"/>
    <s v="No"/>
    <d v="2024-06-27T00:00:00"/>
    <d v="2024-06-15T00:00:00"/>
    <n v="12"/>
    <d v="2025-02-01T00:00:00"/>
    <n v="219"/>
    <n v="1.4000000000000001"/>
    <n v="59"/>
    <n v="27"/>
    <n v="63"/>
    <n v="1.75"/>
    <n v="92"/>
    <n v="7.666666666666667"/>
    <n v="5.1999899792654221"/>
    <n v="82"/>
    <n v="-0.96"/>
    <n v="161"/>
    <n v="4.6765709662091874E-4"/>
    <n v="128.80000000000001"/>
  </r>
  <r>
    <x v="67"/>
    <x v="0"/>
    <x v="168"/>
    <s v="0 Oak Valley Lane"/>
    <x v="2"/>
    <s v="04-293-6969"/>
    <s v="69-087-6645"/>
    <d v="2024-06-15T00:00:00"/>
    <x v="256"/>
    <s v="No"/>
    <d v="2024-09-02T00:00:00"/>
    <d v="2024-06-15T00:00:00"/>
    <n v="79"/>
    <d v="2024-08-20T00:00:00"/>
    <n v="-13"/>
    <n v="3.2"/>
    <n v="37"/>
    <n v="38"/>
    <n v="24"/>
    <n v="4"/>
    <n v="93"/>
    <n v="1.1772151898734178"/>
    <n v="5.1999899792654221"/>
    <n v="32"/>
    <n v="0.11"/>
    <n v="372"/>
    <n v="1.0805493164160358E-3"/>
    <n v="297.60000000000002"/>
  </r>
  <r>
    <x v="89"/>
    <x v="2"/>
    <x v="3"/>
    <s v="84 Hoffman Way"/>
    <x v="2"/>
    <s v="21-890-2826"/>
    <s v="32-371-1686"/>
    <d v="2024-06-15T00:00:00"/>
    <x v="292"/>
    <s v="Yes"/>
    <d v="2024-06-15T00:00:00"/>
    <d v="2024-05-04T00:00:00"/>
    <n v="42"/>
    <d v="2024-09-19T00:00:00"/>
    <n v="96"/>
    <n v="5.6000000000000005"/>
    <n v="48"/>
    <n v="12"/>
    <n v="62"/>
    <n v="7"/>
    <n v="59"/>
    <n v="1.4047619047619047"/>
    <n v="5.1999899792654221"/>
    <n v="23"/>
    <n v="0.66"/>
    <n v="413"/>
    <n v="1.1996421174188786E-3"/>
    <n v="330.40000000000003"/>
  </r>
  <r>
    <x v="109"/>
    <x v="5"/>
    <x v="304"/>
    <s v="315 Acker Alley"/>
    <x v="0"/>
    <s v="65-759-3721"/>
    <s v="21-634-5781"/>
    <d v="2024-06-16T00:00:00"/>
    <x v="183"/>
    <s v="Yes"/>
    <d v="2024-06-16T00:00:00"/>
    <d v="2024-05-24T00:00:00"/>
    <n v="23"/>
    <d v="2024-12-28T00:00:00"/>
    <n v="195"/>
    <n v="4.8000000000000007"/>
    <n v="33"/>
    <n v="60"/>
    <n v="67"/>
    <n v="6"/>
    <n v="20"/>
    <n v="0.86956521739130432"/>
    <n v="5.1999899792654221"/>
    <n v="7"/>
    <n v="0.61"/>
    <n v="120"/>
    <n v="3.4856429561807613E-4"/>
    <n v="96.000000000000014"/>
  </r>
  <r>
    <x v="103"/>
    <x v="1"/>
    <x v="230"/>
    <s v="7 Anzinger Lane"/>
    <x v="0"/>
    <s v="36-383-3677"/>
    <s v="88-020-6814"/>
    <d v="2024-06-16T00:00:00"/>
    <x v="20"/>
    <s v="Yes"/>
    <d v="2024-06-16T00:00:00"/>
    <d v="2024-05-29T00:00:00"/>
    <n v="18"/>
    <d v="2025-02-02T00:00:00"/>
    <n v="231"/>
    <n v="2"/>
    <n v="32"/>
    <n v="38"/>
    <n v="23"/>
    <n v="2.5"/>
    <n v="52"/>
    <n v="2.8888888888888888"/>
    <n v="5.1999899792654221"/>
    <n v="11"/>
    <n v="0.65"/>
    <n v="130"/>
    <n v="3.7761132025291579E-4"/>
    <n v="104"/>
  </r>
  <r>
    <x v="107"/>
    <x v="0"/>
    <x v="323"/>
    <s v="61057 Hallows Junction"/>
    <x v="2"/>
    <s v="84-546-7624"/>
    <s v="34-730-9079"/>
    <d v="2024-06-16T00:00:00"/>
    <x v="315"/>
    <s v="Yes"/>
    <d v="2024-06-16T00:00:00"/>
    <d v="2024-04-08T00:00:00"/>
    <n v="69"/>
    <d v="2024-06-01T00:00:00"/>
    <n v="-15"/>
    <n v="6.4"/>
    <n v="43"/>
    <n v="41"/>
    <n v="100"/>
    <n v="8"/>
    <n v="27"/>
    <n v="0.39130434782608697"/>
    <n v="5.1999899792654221"/>
    <n v="78"/>
    <n v="0.79"/>
    <n v="216"/>
    <n v="6.2741573211253703E-4"/>
    <n v="172.8"/>
  </r>
  <r>
    <x v="39"/>
    <x v="1"/>
    <x v="153"/>
    <s v="8851 Superior Park"/>
    <x v="2"/>
    <s v="77-827-0820"/>
    <s v="46-590-7639"/>
    <d v="2024-06-16T00:00:00"/>
    <x v="316"/>
    <s v="No"/>
    <d v="2024-11-06T00:00:00"/>
    <d v="2024-06-16T00:00:00"/>
    <n v="143"/>
    <d v="2024-11-09T00:00:00"/>
    <n v="3"/>
    <n v="5.2"/>
    <n v="97"/>
    <n v="20"/>
    <n v="8"/>
    <n v="6.5"/>
    <n v="51"/>
    <n v="0.35664335664335667"/>
    <n v="5.1999899792654221"/>
    <n v="51"/>
    <n v="-1.89"/>
    <n v="331.5"/>
    <n v="9.6290886664493524E-4"/>
    <n v="265.2"/>
  </r>
  <r>
    <x v="77"/>
    <x v="6"/>
    <x v="229"/>
    <s v="00 6th Parkway"/>
    <x v="1"/>
    <s v="57-562-2358"/>
    <s v="22-644-6447"/>
    <d v="2024-06-17T00:00:00"/>
    <x v="186"/>
    <s v="No"/>
    <d v="2025-01-19T00:00:00"/>
    <d v="2024-06-17T00:00:00"/>
    <n v="216"/>
    <d v="2025-02-04T00:00:00"/>
    <n v="16"/>
    <n v="12"/>
    <n v="37"/>
    <n v="94"/>
    <n v="76"/>
    <n v="15"/>
    <n v="94"/>
    <n v="0.43518518518518517"/>
    <n v="5.1999899792654221"/>
    <n v="66"/>
    <n v="0"/>
    <n v="1410"/>
    <n v="4.0956304735123945E-3"/>
    <n v="1128"/>
  </r>
  <r>
    <x v="116"/>
    <x v="2"/>
    <x v="134"/>
    <s v="9848 Little Fleur Point"/>
    <x v="1"/>
    <s v="93-218-8108"/>
    <s v="05-966-6460"/>
    <d v="2024-06-17T00:00:00"/>
    <x v="142"/>
    <s v="Yes"/>
    <d v="2024-06-17T00:00:00"/>
    <d v="2024-05-22T00:00:00"/>
    <n v="26"/>
    <d v="2024-11-17T00:00:00"/>
    <n v="153"/>
    <n v="3.2"/>
    <n v="74"/>
    <n v="60"/>
    <n v="27"/>
    <n v="4"/>
    <n v="99"/>
    <n v="3.8076923076923075"/>
    <n v="5.1999899792654221"/>
    <n v="68"/>
    <n v="0.3"/>
    <n v="396"/>
    <n v="1.1502621755396512E-3"/>
    <n v="316.8"/>
  </r>
  <r>
    <x v="87"/>
    <x v="4"/>
    <x v="86"/>
    <s v="12 Luster Terrace"/>
    <x v="0"/>
    <s v="81-354-4203"/>
    <s v="15-466-5131"/>
    <d v="2024-06-18T00:00:00"/>
    <x v="88"/>
    <s v="No"/>
    <d v="2024-06-27T00:00:00"/>
    <d v="2024-06-18T00:00:00"/>
    <n v="9"/>
    <d v="2024-04-28T00:00:00"/>
    <n v="-60"/>
    <n v="7.2"/>
    <n v="76"/>
    <n v="57"/>
    <n v="78"/>
    <n v="9"/>
    <n v="52"/>
    <n v="5.7777777777777777"/>
    <n v="5.1999899792654221"/>
    <n v="86"/>
    <n v="0.31"/>
    <n v="468"/>
    <n v="1.3594007529104967E-3"/>
    <n v="374.40000000000003"/>
  </r>
  <r>
    <x v="89"/>
    <x v="2"/>
    <x v="217"/>
    <s v="6 John Wall Plaza"/>
    <x v="1"/>
    <s v="57-613-5779"/>
    <s v="29-009-9132"/>
    <d v="2024-06-19T00:00:00"/>
    <x v="226"/>
    <s v="Yes"/>
    <d v="2024-06-19T00:00:00"/>
    <d v="2024-03-11T00:00:00"/>
    <n v="100"/>
    <d v="2024-08-29T00:00:00"/>
    <n v="71"/>
    <n v="5.6000000000000005"/>
    <n v="100"/>
    <n v="21"/>
    <n v="64"/>
    <n v="7"/>
    <n v="20"/>
    <n v="0.2"/>
    <n v="5.1999899792654221"/>
    <n v="13"/>
    <n v="-0.65"/>
    <n v="140"/>
    <n v="4.0665834488775546E-4"/>
    <n v="112.00000000000001"/>
  </r>
  <r>
    <x v="83"/>
    <x v="2"/>
    <x v="234"/>
    <s v="3 Dottie Junction"/>
    <x v="0"/>
    <s v="49-919-8798"/>
    <s v="82-482-3670"/>
    <d v="2024-06-19T00:00:00"/>
    <x v="216"/>
    <s v="No"/>
    <d v="2024-08-04T00:00:00"/>
    <d v="2024-06-19T00:00:00"/>
    <n v="46"/>
    <d v="2024-10-10T00:00:00"/>
    <n v="67"/>
    <n v="1.52"/>
    <n v="64"/>
    <n v="31"/>
    <n v="91"/>
    <n v="1.9"/>
    <n v="85"/>
    <n v="1.8478260869565217"/>
    <n v="5.1999899792654221"/>
    <n v="42"/>
    <n v="0.35"/>
    <n v="161.5"/>
    <n v="4.6910944785266077E-4"/>
    <n v="129.19999999999999"/>
  </r>
  <r>
    <x v="89"/>
    <x v="2"/>
    <x v="323"/>
    <s v="7 Victoria Hill"/>
    <x v="2"/>
    <s v="70-542-4269"/>
    <s v="27-772-7906"/>
    <d v="2024-06-19T00:00:00"/>
    <x v="90"/>
    <s v="Yes"/>
    <d v="2024-06-19T00:00:00"/>
    <d v="2024-04-23T00:00:00"/>
    <n v="57"/>
    <d v="2024-04-17T00:00:00"/>
    <n v="-63"/>
    <n v="5.6000000000000005"/>
    <n v="41"/>
    <n v="22"/>
    <n v="11"/>
    <n v="7"/>
    <n v="86"/>
    <n v="1.5087719298245614"/>
    <n v="5.1999899792654221"/>
    <n v="30"/>
    <n v="0.51"/>
    <n v="602"/>
    <n v="1.7486308830173484E-3"/>
    <n v="481.6"/>
  </r>
  <r>
    <x v="12"/>
    <x v="0"/>
    <x v="40"/>
    <s v="3 Logan Trail"/>
    <x v="0"/>
    <s v="43-670-8544"/>
    <s v="16-656-4821"/>
    <d v="2024-06-20T00:00:00"/>
    <x v="104"/>
    <s v="Yes"/>
    <d v="2024-06-20T00:00:00"/>
    <d v="2024-05-14T00:00:00"/>
    <n v="37"/>
    <d v="2024-10-07T00:00:00"/>
    <n v="109"/>
    <n v="2.2800000000000002"/>
    <n v="84"/>
    <n v="95"/>
    <n v="22"/>
    <n v="2.85"/>
    <n v="48"/>
    <n v="1.2972972972972974"/>
    <n v="5.1999899792654221"/>
    <n v="82"/>
    <n v="0.65"/>
    <n v="136.80000000000001"/>
    <n v="3.973632970046068E-4"/>
    <n v="109.44000000000001"/>
  </r>
  <r>
    <x v="13"/>
    <x v="5"/>
    <x v="33"/>
    <s v="30590 Bowman Alley"/>
    <x v="0"/>
    <s v="29-436-6570"/>
    <s v="12-140-7809"/>
    <d v="2024-06-20T00:00:00"/>
    <x v="94"/>
    <s v="No"/>
    <d v="2024-09-27T00:00:00"/>
    <d v="2024-06-20T00:00:00"/>
    <n v="99"/>
    <d v="2024-09-17T00:00:00"/>
    <n v="-10"/>
    <n v="3.2"/>
    <n v="61"/>
    <n v="8"/>
    <n v="45"/>
    <n v="4"/>
    <n v="73"/>
    <n v="0.73737373737373735"/>
    <n v="5.1999899792654221"/>
    <n v="64"/>
    <n v="-0.71"/>
    <n v="292"/>
    <n v="8.4817311933731848E-4"/>
    <n v="233.60000000000002"/>
  </r>
  <r>
    <x v="43"/>
    <x v="1"/>
    <x v="37"/>
    <s v="0 Lawn Parkway"/>
    <x v="2"/>
    <s v="10-617-7581"/>
    <s v="86-995-7254"/>
    <d v="2024-06-20T00:00:00"/>
    <x v="81"/>
    <s v="Yes"/>
    <d v="2024-06-20T00:00:00"/>
    <d v="2024-03-30T00:00:00"/>
    <n v="82"/>
    <d v="2024-06-17T00:00:00"/>
    <n v="-3"/>
    <n v="3.2"/>
    <n v="24"/>
    <n v="14"/>
    <n v="5"/>
    <n v="4"/>
    <n v="98"/>
    <n v="1.1951219512195121"/>
    <n v="5.1999899792654221"/>
    <n v="9"/>
    <n v="0.12"/>
    <n v="392"/>
    <n v="1.1386433656857152E-3"/>
    <n v="313.60000000000002"/>
  </r>
  <r>
    <x v="10"/>
    <x v="2"/>
    <x v="126"/>
    <s v="7 Lunder Hill"/>
    <x v="1"/>
    <s v="50-772-2613"/>
    <s v="74-619-4608"/>
    <d v="2024-06-20T00:00:00"/>
    <x v="1"/>
    <s v="Yes"/>
    <d v="2024-06-20T00:00:00"/>
    <d v="2024-05-19T00:00:00"/>
    <n v="32"/>
    <d v="2024-03-23T00:00:00"/>
    <n v="-89"/>
    <n v="7.2"/>
    <n v="86"/>
    <n v="23"/>
    <n v="1"/>
    <n v="9"/>
    <n v="100"/>
    <n v="3.125"/>
    <n v="5.1999899792654221"/>
    <n v="86"/>
    <n v="0.91"/>
    <n v="900"/>
    <n v="2.6142322171355706E-3"/>
    <n v="720"/>
  </r>
  <r>
    <x v="27"/>
    <x v="4"/>
    <x v="324"/>
    <s v="4 Darwin Circle"/>
    <x v="1"/>
    <s v="26-535-4727"/>
    <s v="17-939-1338"/>
    <d v="2024-06-21T00:00:00"/>
    <x v="16"/>
    <s v="No"/>
    <d v="2024-08-17T00:00:00"/>
    <d v="2024-06-21T00:00:00"/>
    <n v="57"/>
    <d v="2024-04-29T00:00:00"/>
    <n v="-110"/>
    <n v="5.6000000000000005"/>
    <n v="93"/>
    <n v="25"/>
    <n v="23"/>
    <n v="7"/>
    <n v="72"/>
    <n v="1.263157894736842"/>
    <n v="5.1999899792654221"/>
    <n v="83"/>
    <n v="0.14000000000000001"/>
    <n v="504"/>
    <n v="1.4639700415959196E-3"/>
    <n v="403.20000000000005"/>
  </r>
  <r>
    <x v="11"/>
    <x v="1"/>
    <x v="303"/>
    <s v="042 Di Loreto Court"/>
    <x v="1"/>
    <s v="88-602-8210"/>
    <s v="26-411-9126"/>
    <d v="2024-06-22T00:00:00"/>
    <x v="236"/>
    <s v="Yes"/>
    <d v="2024-06-22T00:00:00"/>
    <d v="2024-06-19T00:00:00"/>
    <n v="3"/>
    <d v="2024-09-28T00:00:00"/>
    <n v="98"/>
    <n v="8"/>
    <n v="99"/>
    <n v="96"/>
    <n v="39"/>
    <n v="10"/>
    <n v="94"/>
    <n v="31.333333333333332"/>
    <n v="5.1999899792654221"/>
    <n v="89"/>
    <n v="-0.15"/>
    <n v="940"/>
    <n v="2.7304203156749292E-3"/>
    <n v="752"/>
  </r>
  <r>
    <x v="119"/>
    <x v="4"/>
    <x v="325"/>
    <s v="0743 4th Place"/>
    <x v="1"/>
    <s v="83-966-3280"/>
    <s v="50-305-3936"/>
    <d v="2024-06-22T00:00:00"/>
    <x v="161"/>
    <s v="No"/>
    <d v="2024-10-13T00:00:00"/>
    <d v="2024-06-22T00:00:00"/>
    <n v="113"/>
    <d v="2024-09-20T00:00:00"/>
    <n v="-23"/>
    <n v="6"/>
    <n v="30"/>
    <n v="29"/>
    <n v="70"/>
    <n v="7.5"/>
    <n v="80"/>
    <n v="0.70796460176991149"/>
    <n v="5.1999899792654221"/>
    <n v="43"/>
    <n v="0.05"/>
    <n v="600"/>
    <n v="1.7428214780903805E-3"/>
    <n v="480"/>
  </r>
  <r>
    <x v="103"/>
    <x v="1"/>
    <x v="310"/>
    <s v="32 Charing Cross Pass"/>
    <x v="1"/>
    <s v="21-252-1360"/>
    <s v="28-314-1189"/>
    <d v="2024-06-22T00:00:00"/>
    <x v="317"/>
    <s v="No"/>
    <d v="2024-09-04T00:00:00"/>
    <d v="2024-06-22T00:00:00"/>
    <n v="74"/>
    <d v="2024-07-04T00:00:00"/>
    <n v="-62"/>
    <n v="2"/>
    <n v="75"/>
    <n v="23"/>
    <n v="34"/>
    <n v="2.5"/>
    <n v="100"/>
    <n v="1.3513513513513513"/>
    <n v="5.1999899792654221"/>
    <n v="54"/>
    <n v="0.46"/>
    <n v="250"/>
    <n v="7.2617561587099192E-4"/>
    <n v="200"/>
  </r>
  <r>
    <x v="19"/>
    <x v="3"/>
    <x v="284"/>
    <s v="11 Thackeray Hill"/>
    <x v="2"/>
    <s v="89-922-4773"/>
    <s v="99-455-0707"/>
    <d v="2024-06-22T00:00:00"/>
    <x v="103"/>
    <s v="No"/>
    <d v="2024-07-02T00:00:00"/>
    <d v="2024-06-22T00:00:00"/>
    <n v="10"/>
    <d v="2024-12-27T00:00:00"/>
    <n v="178"/>
    <n v="2.2000000000000002"/>
    <n v="39"/>
    <n v="53"/>
    <n v="64"/>
    <n v="2.75"/>
    <n v="92"/>
    <n v="9.1999999999999993"/>
    <n v="5.1999899792654221"/>
    <n v="8"/>
    <n v="0.46"/>
    <n v="253"/>
    <n v="7.3488972326144375E-4"/>
    <n v="202.4"/>
  </r>
  <r>
    <x v="95"/>
    <x v="0"/>
    <x v="28"/>
    <s v="6225 Westend Pass"/>
    <x v="0"/>
    <s v="15-884-7413"/>
    <s v="39-412-7454"/>
    <d v="2024-06-22T00:00:00"/>
    <x v="253"/>
    <s v="Yes"/>
    <d v="2024-06-22T00:00:00"/>
    <d v="2024-05-23T00:00:00"/>
    <n v="30"/>
    <d v="2024-04-16T00:00:00"/>
    <n v="-67"/>
    <n v="2.8000000000000003"/>
    <n v="77"/>
    <n v="58"/>
    <n v="13"/>
    <n v="3.5"/>
    <n v="63"/>
    <n v="2.1"/>
    <n v="5.1999899792654221"/>
    <n v="28"/>
    <n v="0.91"/>
    <n v="220.5"/>
    <n v="6.4048689319821483E-4"/>
    <n v="176.4"/>
  </r>
  <r>
    <x v="38"/>
    <x v="1"/>
    <x v="253"/>
    <s v="97 Sunnyside Court"/>
    <x v="0"/>
    <s v="82-243-3180"/>
    <s v="18-631-1458"/>
    <d v="2024-06-23T00:00:00"/>
    <x v="229"/>
    <s v="No"/>
    <d v="2024-07-31T00:00:00"/>
    <d v="2024-06-23T00:00:00"/>
    <n v="38"/>
    <d v="2025-02-11T00:00:00"/>
    <n v="195"/>
    <n v="1.4400000000000002"/>
    <n v="43"/>
    <n v="63"/>
    <n v="80"/>
    <n v="1.8"/>
    <n v="33"/>
    <n v="0.86842105263157898"/>
    <n v="5.1999899792654221"/>
    <n v="96"/>
    <n v="0.56000000000000005"/>
    <n v="59.4"/>
    <n v="1.7253932633094765E-4"/>
    <n v="47.52"/>
  </r>
  <r>
    <x v="118"/>
    <x v="2"/>
    <x v="258"/>
    <s v="63464 Jana Court"/>
    <x v="1"/>
    <s v="33-807-7247"/>
    <s v="94-453-3755"/>
    <d v="2024-06-23T00:00:00"/>
    <x v="100"/>
    <s v="No"/>
    <d v="2024-07-07T00:00:00"/>
    <d v="2024-06-23T00:00:00"/>
    <n v="14"/>
    <d v="2025-01-03T00:00:00"/>
    <n v="180"/>
    <n v="5.6000000000000005"/>
    <n v="58"/>
    <n v="17"/>
    <n v="26"/>
    <n v="7"/>
    <n v="62"/>
    <n v="4.4285714285714288"/>
    <n v="5.1999899792654221"/>
    <n v="89"/>
    <n v="-1.91"/>
    <n v="434"/>
    <n v="1.2606408691520419E-3"/>
    <n v="347.20000000000005"/>
  </r>
  <r>
    <x v="106"/>
    <x v="2"/>
    <x v="59"/>
    <s v="6 Susan Alley"/>
    <x v="2"/>
    <s v="07-858-5487"/>
    <s v="92-991-6167"/>
    <d v="2024-06-23T00:00:00"/>
    <x v="138"/>
    <s v="Yes"/>
    <d v="2024-06-23T00:00:00"/>
    <d v="2024-05-16T00:00:00"/>
    <n v="38"/>
    <d v="2024-12-29T00:00:00"/>
    <n v="189"/>
    <n v="6.4"/>
    <n v="64"/>
    <n v="14"/>
    <n v="44"/>
    <n v="8"/>
    <n v="53"/>
    <n v="1.3947368421052631"/>
    <n v="5.1999899792654221"/>
    <n v="33"/>
    <n v="-0.44"/>
    <n v="424"/>
    <n v="1.2315938445172023E-3"/>
    <n v="339.20000000000005"/>
  </r>
  <r>
    <x v="100"/>
    <x v="4"/>
    <x v="40"/>
    <s v="1715 Dottie Pass"/>
    <x v="2"/>
    <s v="27-387-0428"/>
    <s v="62-312-2748"/>
    <d v="2024-06-23T00:00:00"/>
    <x v="70"/>
    <s v="No"/>
    <d v="2024-11-29T00:00:00"/>
    <d v="2024-06-23T00:00:00"/>
    <n v="159"/>
    <d v="2024-04-09T00:00:00"/>
    <n v="-234"/>
    <n v="16"/>
    <n v="88"/>
    <n v="42"/>
    <n v="68"/>
    <n v="20"/>
    <n v="92"/>
    <n v="0.57861635220125784"/>
    <n v="5.1999899792654221"/>
    <n v="29"/>
    <n v="0.38"/>
    <n v="1840"/>
    <n v="5.3446525328104998E-3"/>
    <n v="1472"/>
  </r>
  <r>
    <x v="69"/>
    <x v="0"/>
    <x v="326"/>
    <s v="91 Kinsman Terrace"/>
    <x v="2"/>
    <s v="79-741-0770"/>
    <s v="67-771-7656"/>
    <d v="2024-06-24T00:00:00"/>
    <x v="250"/>
    <s v="No"/>
    <d v="2025-02-24T00:00:00"/>
    <d v="2024-06-24T00:00:00"/>
    <n v="245"/>
    <d v="2024-03-17T00:00:00"/>
    <n v="-344"/>
    <n v="4.8000000000000007"/>
    <n v="72"/>
    <n v="87"/>
    <n v="39"/>
    <n v="6"/>
    <n v="94"/>
    <n v="0.3836734693877551"/>
    <n v="5.1999899792654221"/>
    <n v="57"/>
    <n v="0.68"/>
    <n v="564"/>
    <n v="1.6382521894049576E-3"/>
    <n v="451.20000000000005"/>
  </r>
  <r>
    <x v="5"/>
    <x v="0"/>
    <x v="173"/>
    <s v="867 Merrick Place"/>
    <x v="0"/>
    <s v="34-086-3222"/>
    <s v="34-017-9457"/>
    <d v="2024-06-24T00:00:00"/>
    <x v="318"/>
    <s v="No"/>
    <d v="2024-12-25T00:00:00"/>
    <d v="2024-06-24T00:00:00"/>
    <n v="184"/>
    <d v="2024-06-05T00:00:00"/>
    <n v="-203"/>
    <n v="1.8399999999999999"/>
    <n v="12"/>
    <n v="7"/>
    <n v="48"/>
    <n v="2.2999999999999998"/>
    <n v="66"/>
    <n v="0.35869565217391303"/>
    <n v="5.1999899792654221"/>
    <n v="4"/>
    <n v="0.39"/>
    <n v="151.79999999999998"/>
    <n v="4.409338339568662E-4"/>
    <n v="121.44"/>
  </r>
  <r>
    <x v="71"/>
    <x v="6"/>
    <x v="100"/>
    <s v="339 Crescent Oaks Plaza"/>
    <x v="2"/>
    <s v="93-166-3169"/>
    <s v="21-156-0102"/>
    <d v="2024-06-24T00:00:00"/>
    <x v="310"/>
    <s v="No"/>
    <d v="2025-02-13T00:00:00"/>
    <d v="2024-06-24T00:00:00"/>
    <n v="234"/>
    <d v="2025-01-02T00:00:00"/>
    <n v="-42"/>
    <n v="20"/>
    <n v="58"/>
    <n v="81"/>
    <n v="66"/>
    <n v="25"/>
    <n v="85"/>
    <n v="0.36324786324786323"/>
    <n v="5.1999899792654221"/>
    <n v="78"/>
    <n v="0.94"/>
    <n v="2125"/>
    <n v="6.1724927349034306E-3"/>
    <n v="1700"/>
  </r>
  <r>
    <x v="22"/>
    <x v="0"/>
    <x v="22"/>
    <s v="1 Judy Street"/>
    <x v="1"/>
    <s v="74-548-9313"/>
    <s v="69-832-7009"/>
    <d v="2024-06-24T00:00:00"/>
    <x v="205"/>
    <s v="No"/>
    <d v="2024-09-20T00:00:00"/>
    <d v="2024-06-24T00:00:00"/>
    <n v="88"/>
    <d v="2025-02-12T00:00:00"/>
    <n v="145"/>
    <n v="4"/>
    <n v="99"/>
    <n v="59"/>
    <n v="12"/>
    <n v="5"/>
    <n v="52"/>
    <n v="0.59090909090909094"/>
    <n v="5.1999899792654221"/>
    <n v="57"/>
    <n v="0.08"/>
    <n v="260"/>
    <n v="7.5522264050583159E-4"/>
    <n v="208"/>
  </r>
  <r>
    <x v="33"/>
    <x v="3"/>
    <x v="215"/>
    <s v="996 Thierer Center"/>
    <x v="1"/>
    <s v="53-710-7630"/>
    <s v="46-171-9624"/>
    <d v="2024-06-25T00:00:00"/>
    <x v="60"/>
    <s v="No"/>
    <d v="2024-07-09T00:00:00"/>
    <d v="2024-06-25T00:00:00"/>
    <n v="14"/>
    <d v="2025-01-14T00:00:00"/>
    <n v="189"/>
    <n v="1.6"/>
    <n v="25"/>
    <n v="95"/>
    <n v="71"/>
    <n v="2"/>
    <n v="24"/>
    <n v="1.7142857142857142"/>
    <n v="5.1999899792654221"/>
    <n v="76"/>
    <n v="-0.1"/>
    <n v="48"/>
    <n v="1.3942571824723045E-4"/>
    <n v="38.400000000000006"/>
  </r>
  <r>
    <x v="0"/>
    <x v="0"/>
    <x v="327"/>
    <s v="06584 Mendota Avenue"/>
    <x v="1"/>
    <s v="64-119-7804"/>
    <s v="53-497-9614"/>
    <d v="2024-06-25T00:00:00"/>
    <x v="58"/>
    <s v="Yes"/>
    <d v="2024-06-25T00:00:00"/>
    <d v="2024-03-06T00:00:00"/>
    <n v="111"/>
    <d v="2024-12-29T00:00:00"/>
    <n v="187"/>
    <n v="3.6"/>
    <n v="98"/>
    <n v="43"/>
    <n v="9"/>
    <n v="4.5"/>
    <n v="86"/>
    <n v="0.77477477477477474"/>
    <n v="5.1999899792654221"/>
    <n v="62"/>
    <n v="-2.17"/>
    <n v="387"/>
    <n v="1.1241198533682953E-3"/>
    <n v="309.60000000000002"/>
  </r>
  <r>
    <x v="26"/>
    <x v="6"/>
    <x v="167"/>
    <s v="3 Raven Court"/>
    <x v="0"/>
    <s v="40-810-9261"/>
    <s v="56-554-1762"/>
    <d v="2024-06-26T00:00:00"/>
    <x v="87"/>
    <s v="No"/>
    <d v="2024-12-09T00:00:00"/>
    <d v="2024-06-26T00:00:00"/>
    <n v="166"/>
    <d v="2024-05-23T00:00:00"/>
    <n v="-200"/>
    <n v="10"/>
    <n v="75"/>
    <n v="47"/>
    <n v="33"/>
    <n v="12.5"/>
    <n v="33"/>
    <n v="0.19879518072289157"/>
    <n v="5.1999899792654221"/>
    <n v="12"/>
    <n v="0.28000000000000003"/>
    <n v="412.5"/>
    <n v="1.1981897661871366E-3"/>
    <n v="330"/>
  </r>
  <r>
    <x v="41"/>
    <x v="2"/>
    <x v="109"/>
    <s v="84 Washington Crossing"/>
    <x v="2"/>
    <s v="91-553-1774"/>
    <s v="74-943-4552"/>
    <d v="2024-06-26T00:00:00"/>
    <x v="291"/>
    <s v="No"/>
    <d v="2024-09-05T00:00:00"/>
    <d v="2024-06-26T00:00:00"/>
    <n v="71"/>
    <d v="2024-04-12T00:00:00"/>
    <n v="-146"/>
    <n v="5.6000000000000005"/>
    <n v="80"/>
    <n v="43"/>
    <n v="80"/>
    <n v="7"/>
    <n v="64"/>
    <n v="0.90140845070422537"/>
    <n v="5.1999899792654221"/>
    <n v="53"/>
    <n v="0.64"/>
    <n v="448"/>
    <n v="1.3013067036408174E-3"/>
    <n v="358.40000000000003"/>
  </r>
  <r>
    <x v="80"/>
    <x v="6"/>
    <x v="328"/>
    <s v="428 Oriole Avenue"/>
    <x v="0"/>
    <s v="39-192-3521"/>
    <s v="74-062-7176"/>
    <d v="2024-06-26T00:00:00"/>
    <x v="312"/>
    <s v="No"/>
    <d v="2025-02-22T00:00:00"/>
    <d v="2024-06-26T00:00:00"/>
    <n v="241"/>
    <d v="2024-03-16T00:00:00"/>
    <n v="-343"/>
    <n v="24.400000000000002"/>
    <n v="20"/>
    <n v="9"/>
    <n v="12"/>
    <n v="30.5"/>
    <n v="46"/>
    <n v="0.1908713692946058"/>
    <n v="5.1999899792654221"/>
    <n v="32"/>
    <n v="0.17"/>
    <n v="1403"/>
    <n v="4.0752975562680068E-3"/>
    <n v="1122.4000000000001"/>
  </r>
  <r>
    <x v="93"/>
    <x v="5"/>
    <x v="157"/>
    <s v="3 Melrose Trail"/>
    <x v="0"/>
    <s v="63-890-1246"/>
    <s v="29-273-1595"/>
    <d v="2024-06-27T00:00:00"/>
    <x v="138"/>
    <s v="Yes"/>
    <d v="2024-06-27T00:00:00"/>
    <d v="2024-05-16T00:00:00"/>
    <n v="42"/>
    <d v="2024-10-09T00:00:00"/>
    <n v="104"/>
    <n v="4"/>
    <n v="93"/>
    <n v="50"/>
    <n v="43"/>
    <n v="5"/>
    <n v="76"/>
    <n v="1.8095238095238095"/>
    <n v="5.1999899792654221"/>
    <n v="35"/>
    <n v="0.3"/>
    <n v="380"/>
    <n v="1.1037869361239076E-3"/>
    <n v="304"/>
  </r>
  <r>
    <x v="7"/>
    <x v="4"/>
    <x v="33"/>
    <s v="290 Rusk Avenue"/>
    <x v="0"/>
    <s v="71-954-4501"/>
    <s v="26-135-6134"/>
    <d v="2024-06-27T00:00:00"/>
    <x v="96"/>
    <s v="No"/>
    <d v="2024-10-08T00:00:00"/>
    <d v="2024-06-27T00:00:00"/>
    <n v="103"/>
    <d v="2024-07-26T00:00:00"/>
    <n v="-74"/>
    <n v="8"/>
    <n v="66"/>
    <n v="49"/>
    <n v="41"/>
    <n v="10"/>
    <n v="27"/>
    <n v="0.26213592233009708"/>
    <n v="5.1999899792654221"/>
    <n v="37"/>
    <n v="0.54"/>
    <n v="270"/>
    <n v="7.8426966514067126E-4"/>
    <n v="216"/>
  </r>
  <r>
    <x v="11"/>
    <x v="1"/>
    <x v="229"/>
    <s v="0 Oxford Crossing"/>
    <x v="1"/>
    <s v="00-357-2313"/>
    <s v="93-619-6639"/>
    <d v="2024-06-29T00:00:00"/>
    <x v="26"/>
    <s v="No"/>
    <d v="2024-11-26T00:00:00"/>
    <d v="2024-06-29T00:00:00"/>
    <n v="150"/>
    <d v="2024-12-13T00:00:00"/>
    <n v="17"/>
    <n v="8"/>
    <n v="10"/>
    <n v="86"/>
    <n v="23"/>
    <n v="10"/>
    <n v="24"/>
    <n v="0.16"/>
    <n v="5.1999899792654221"/>
    <n v="52"/>
    <n v="-0.37"/>
    <n v="240"/>
    <n v="6.9712859123615225E-4"/>
    <n v="192"/>
  </r>
  <r>
    <x v="13"/>
    <x v="5"/>
    <x v="329"/>
    <s v="99 Fair Oaks Circle"/>
    <x v="0"/>
    <s v="29-756-7042"/>
    <s v="20-426-2191"/>
    <d v="2024-06-29T00:00:00"/>
    <x v="280"/>
    <s v="Yes"/>
    <d v="2024-06-29T00:00:00"/>
    <d v="2024-04-15T00:00:00"/>
    <n v="75"/>
    <d v="2024-05-07T00:00:00"/>
    <n v="-53"/>
    <n v="3.2"/>
    <n v="90"/>
    <n v="52"/>
    <n v="50"/>
    <n v="4"/>
    <n v="63"/>
    <n v="0.84"/>
    <n v="5.1999899792654221"/>
    <n v="14"/>
    <n v="-1.17"/>
    <n v="252"/>
    <n v="7.3198502079795981E-4"/>
    <n v="201.60000000000002"/>
  </r>
  <r>
    <x v="120"/>
    <x v="3"/>
    <x v="97"/>
    <s v="461 Bluejay Circle"/>
    <x v="1"/>
    <s v="92-551-8504"/>
    <s v="22-836-5101"/>
    <d v="2024-06-29T00:00:00"/>
    <x v="312"/>
    <s v="No"/>
    <d v="2025-02-22T00:00:00"/>
    <d v="2024-06-29T00:00:00"/>
    <n v="238"/>
    <d v="2024-12-24T00:00:00"/>
    <n v="-60"/>
    <n v="1.2000000000000002"/>
    <n v="19"/>
    <n v="81"/>
    <n v="33"/>
    <n v="1.5"/>
    <n v="39"/>
    <n v="0.1638655462184874"/>
    <n v="5.1999899792654221"/>
    <n v="85"/>
    <n v="0.78"/>
    <n v="58.5"/>
    <n v="1.6992509411381209E-4"/>
    <n v="46.800000000000004"/>
  </r>
  <r>
    <x v="111"/>
    <x v="5"/>
    <x v="318"/>
    <s v="21844 Artisan Trail"/>
    <x v="0"/>
    <s v="61-317-9944"/>
    <s v="03-220-5535"/>
    <d v="2024-06-29T00:00:00"/>
    <x v="115"/>
    <s v="Yes"/>
    <d v="2024-06-29T00:00:00"/>
    <d v="2024-05-17T00:00:00"/>
    <n v="43"/>
    <d v="2024-10-29T00:00:00"/>
    <n v="122"/>
    <n v="2"/>
    <n v="72"/>
    <n v="20"/>
    <n v="71"/>
    <n v="2.5"/>
    <n v="87"/>
    <n v="2.0232558139534884"/>
    <n v="5.1999899792654221"/>
    <n v="68"/>
    <n v="-1.18"/>
    <n v="217.5"/>
    <n v="6.3177278580776289E-4"/>
    <n v="174"/>
  </r>
  <r>
    <x v="22"/>
    <x v="0"/>
    <x v="182"/>
    <s v="081 Bellgrove Place"/>
    <x v="2"/>
    <s v="03-276-3931"/>
    <s v="42-224-8186"/>
    <d v="2024-06-30T00:00:00"/>
    <x v="264"/>
    <s v="No"/>
    <d v="2024-09-18T00:00:00"/>
    <d v="2024-06-30T00:00:00"/>
    <n v="80"/>
    <d v="2024-12-20T00:00:00"/>
    <n v="93"/>
    <n v="3.6"/>
    <n v="60"/>
    <n v="36"/>
    <n v="28"/>
    <n v="4.5"/>
    <n v="26"/>
    <n v="0.32500000000000001"/>
    <n v="5.1999899792654221"/>
    <n v="29"/>
    <n v="0.22"/>
    <n v="117"/>
    <n v="3.3985018822762418E-4"/>
    <n v="93.600000000000009"/>
  </r>
  <r>
    <x v="99"/>
    <x v="0"/>
    <x v="289"/>
    <s v="6891 Mandrake Park"/>
    <x v="0"/>
    <s v="02-275-6061"/>
    <s v="21-829-0398"/>
    <d v="2024-06-30T00:00:00"/>
    <x v="319"/>
    <s v="Yes"/>
    <d v="2024-06-30T00:00:00"/>
    <d v="2024-03-26T00:00:00"/>
    <n v="96"/>
    <d v="2024-08-19T00:00:00"/>
    <n v="50"/>
    <n v="0.96"/>
    <n v="26"/>
    <n v="16"/>
    <n v="69"/>
    <n v="1.2"/>
    <n v="64"/>
    <n v="0.66666666666666663"/>
    <n v="5.1999899792654221"/>
    <n v="79"/>
    <n v="-0.12"/>
    <n v="76.8"/>
    <n v="2.2308114919556869E-4"/>
    <n v="61.44"/>
  </r>
  <r>
    <x v="39"/>
    <x v="1"/>
    <x v="330"/>
    <s v="73966 Pond Trail"/>
    <x v="1"/>
    <s v="72-970-0239"/>
    <s v="64-752-3122"/>
    <d v="2024-06-30T00:00:00"/>
    <x v="200"/>
    <s v="No"/>
    <d v="2024-07-24T00:00:00"/>
    <d v="2024-06-30T00:00:00"/>
    <n v="24"/>
    <d v="2024-07-18T00:00:00"/>
    <n v="-6"/>
    <n v="5.2"/>
    <n v="85"/>
    <n v="86"/>
    <n v="21"/>
    <n v="6.5"/>
    <n v="78"/>
    <n v="3.25"/>
    <n v="5.1999899792654221"/>
    <n v="53"/>
    <n v="-0.23"/>
    <n v="507"/>
    <n v="1.4726841489863716E-3"/>
    <n v="405.6"/>
  </r>
  <r>
    <x v="0"/>
    <x v="0"/>
    <x v="331"/>
    <s v="5 Warner Court"/>
    <x v="1"/>
    <s v="36-679-4670"/>
    <s v="60-508-7567"/>
    <d v="2024-06-30T00:00:00"/>
    <x v="312"/>
    <s v="No"/>
    <d v="2025-02-22T00:00:00"/>
    <d v="2024-06-30T00:00:00"/>
    <n v="237"/>
    <d v="2025-01-13T00:00:00"/>
    <n v="-40"/>
    <n v="3.6"/>
    <n v="90"/>
    <n v="22"/>
    <n v="20"/>
    <n v="4.5"/>
    <n v="81"/>
    <n v="0.34177215189873417"/>
    <n v="5.1999899792654221"/>
    <n v="88"/>
    <n v="0.32"/>
    <n v="364.5"/>
    <n v="1.0587640479399062E-3"/>
    <n v="291.60000000000002"/>
  </r>
  <r>
    <x v="71"/>
    <x v="6"/>
    <x v="305"/>
    <s v="9623 Cottonwood Park"/>
    <x v="0"/>
    <s v="13-409-9040"/>
    <s v="34-303-5097"/>
    <d v="2024-06-30T00:00:00"/>
    <x v="270"/>
    <s v="No"/>
    <d v="2024-08-05T00:00:00"/>
    <d v="2024-06-30T00:00:00"/>
    <n v="36"/>
    <d v="2025-01-08T00:00:00"/>
    <n v="156"/>
    <n v="20.200000000000003"/>
    <n v="35"/>
    <n v="20"/>
    <n v="42"/>
    <n v="25.25"/>
    <n v="53"/>
    <n v="1.4722222222222223"/>
    <n v="5.1999899792654221"/>
    <n v="56"/>
    <n v="-0.09"/>
    <n v="1338.25"/>
    <n v="3.8872180717574195E-3"/>
    <n v="1070.6000000000001"/>
  </r>
  <r>
    <x v="103"/>
    <x v="1"/>
    <x v="151"/>
    <s v="5 Mesta Center"/>
    <x v="2"/>
    <s v="88-408-0310"/>
    <s v="91-002-3027"/>
    <d v="2024-06-30T00:00:00"/>
    <x v="241"/>
    <s v="Yes"/>
    <d v="2024-06-30T00:00:00"/>
    <d v="2024-03-31T00:00:00"/>
    <n v="91"/>
    <d v="2024-08-26T00:00:00"/>
    <n v="57"/>
    <n v="2"/>
    <n v="50"/>
    <n v="40"/>
    <n v="69"/>
    <n v="2.5"/>
    <n v="28"/>
    <n v="0.30769230769230771"/>
    <n v="5.1999899792654221"/>
    <n v="98"/>
    <n v="-0.06"/>
    <n v="70"/>
    <n v="2.0332917244387773E-4"/>
    <n v="56"/>
  </r>
  <r>
    <x v="4"/>
    <x v="0"/>
    <x v="332"/>
    <s v="81071 West Alley"/>
    <x v="2"/>
    <s v="57-359-3397"/>
    <s v="54-659-1177"/>
    <d v="2024-07-13T00:00:00"/>
    <x v="127"/>
    <s v="No"/>
    <d v="2024-10-02T00:00:00"/>
    <d v="2024-07-13T00:00:00"/>
    <n v="81"/>
    <d v="2024-12-19T00:00:00"/>
    <n v="78"/>
    <n v="5.6000000000000005"/>
    <n v="43"/>
    <n v="40"/>
    <n v="30"/>
    <n v="7"/>
    <n v="95"/>
    <n v="1.1728395061728396"/>
    <n v="5.1999899792654221"/>
    <n v="26"/>
    <n v="-2.5"/>
    <n v="665"/>
    <n v="1.9316271382168384E-3"/>
    <n v="532"/>
  </r>
  <r>
    <x v="59"/>
    <x v="0"/>
    <x v="203"/>
    <s v="38 Esch Pass"/>
    <x v="0"/>
    <s v="01-050-2246"/>
    <s v="80-462-5807"/>
    <d v="2024-07-13T00:00:00"/>
    <x v="41"/>
    <s v="Yes"/>
    <d v="2024-07-13T00:00:00"/>
    <d v="2024-02-25T00:00:00"/>
    <n v="139"/>
    <d v="2024-09-08T00:00:00"/>
    <n v="57"/>
    <n v="4.4000000000000004"/>
    <n v="99"/>
    <n v="68"/>
    <n v="1"/>
    <n v="5.5"/>
    <n v="59"/>
    <n v="0.42446043165467628"/>
    <n v="5.1999899792654221"/>
    <n v="16"/>
    <n v="0.73"/>
    <n v="324.5"/>
    <n v="9.425759494005474E-4"/>
    <n v="259.60000000000002"/>
  </r>
  <r>
    <x v="2"/>
    <x v="2"/>
    <x v="235"/>
    <s v="8 Dawn Court"/>
    <x v="2"/>
    <s v="47-581-0363"/>
    <s v="08-359-2568"/>
    <d v="2024-07-14T00:00:00"/>
    <x v="320"/>
    <s v="No"/>
    <d v="2024-12-05T00:00:00"/>
    <d v="2024-07-14T00:00:00"/>
    <n v="144"/>
    <d v="2025-01-20T00:00:00"/>
    <n v="46"/>
    <n v="9.6000000000000014"/>
    <n v="99"/>
    <n v="10"/>
    <n v="88"/>
    <n v="12"/>
    <n v="69"/>
    <n v="0.47916666666666669"/>
    <n v="5.1999899792654221"/>
    <n v="98"/>
    <n v="0.73"/>
    <n v="828"/>
    <n v="2.4050936397647252E-3"/>
    <n v="662.40000000000009"/>
  </r>
  <r>
    <x v="119"/>
    <x v="4"/>
    <x v="127"/>
    <s v="2869 Hudson Drive"/>
    <x v="0"/>
    <s v="33-670-6797"/>
    <s v="74-032-7560"/>
    <d v="2024-07-14T00:00:00"/>
    <x v="238"/>
    <s v="No"/>
    <d v="2024-08-26T00:00:00"/>
    <d v="2024-07-14T00:00:00"/>
    <n v="43"/>
    <d v="2024-07-05T00:00:00"/>
    <n v="-52"/>
    <n v="6"/>
    <n v="45"/>
    <n v="56"/>
    <n v="64"/>
    <n v="7.5"/>
    <n v="35"/>
    <n v="0.81395348837209303"/>
    <n v="5.1999899792654221"/>
    <n v="82"/>
    <n v="-0.42"/>
    <n v="262.5"/>
    <n v="7.624843966645415E-4"/>
    <n v="210"/>
  </r>
  <r>
    <x v="76"/>
    <x v="3"/>
    <x v="211"/>
    <s v="83291 Hansons Crossing"/>
    <x v="0"/>
    <s v="69-578-7930"/>
    <s v="37-728-5274"/>
    <d v="2024-07-14T00:00:00"/>
    <x v="147"/>
    <s v="Yes"/>
    <d v="2024-07-14T00:00:00"/>
    <d v="2024-03-18T00:00:00"/>
    <n v="118"/>
    <d v="2024-06-05T00:00:00"/>
    <n v="-39"/>
    <n v="2"/>
    <n v="44"/>
    <n v="67"/>
    <n v="31"/>
    <n v="2.5"/>
    <n v="44"/>
    <n v="0.3728813559322034"/>
    <n v="5.1999899792654221"/>
    <n v="72"/>
    <n v="-1.34"/>
    <n v="110"/>
    <n v="3.195172709832364E-4"/>
    <n v="88"/>
  </r>
  <r>
    <x v="55"/>
    <x v="0"/>
    <x v="314"/>
    <s v="4 Esch Point"/>
    <x v="1"/>
    <s v="75-672-4378"/>
    <s v="20-103-9525"/>
    <d v="2024-07-15T00:00:00"/>
    <x v="245"/>
    <s v="No"/>
    <d v="2024-11-16T00:00:00"/>
    <d v="2024-07-15T00:00:00"/>
    <n v="124"/>
    <d v="2024-06-05T00:00:00"/>
    <n v="-164"/>
    <n v="4.8000000000000007"/>
    <n v="62"/>
    <n v="40"/>
    <n v="86"/>
    <n v="6"/>
    <n v="45"/>
    <n v="0.36290322580645162"/>
    <n v="5.1999899792654221"/>
    <n v="86"/>
    <n v="-0.64"/>
    <n v="270"/>
    <n v="7.8426966514067126E-4"/>
    <n v="216.00000000000003"/>
  </r>
  <r>
    <x v="93"/>
    <x v="5"/>
    <x v="323"/>
    <s v="492 Shoshone Road"/>
    <x v="1"/>
    <s v="31-211-5803"/>
    <s v="75-503-9347"/>
    <d v="2024-07-16T00:00:00"/>
    <x v="321"/>
    <s v="No"/>
    <d v="2024-08-21T00:00:00"/>
    <d v="2024-07-16T00:00:00"/>
    <n v="36"/>
    <d v="2025-02-07T00:00:00"/>
    <n v="170"/>
    <n v="4"/>
    <n v="16"/>
    <n v="9"/>
    <n v="32"/>
    <n v="5"/>
    <n v="50"/>
    <n v="1.3888888888888888"/>
    <n v="5.1999899792654221"/>
    <n v="98"/>
    <n v="-0.91"/>
    <n v="250"/>
    <n v="7.2617561587099192E-4"/>
    <n v="200"/>
  </r>
  <r>
    <x v="64"/>
    <x v="0"/>
    <x v="137"/>
    <s v="26 Graceland Circle"/>
    <x v="0"/>
    <s v="49-861-7823"/>
    <s v="22-152-0111"/>
    <d v="2024-07-16T00:00:00"/>
    <x v="285"/>
    <s v="Yes"/>
    <d v="2024-07-16T00:00:00"/>
    <d v="2024-07-13T00:00:00"/>
    <n v="3"/>
    <d v="2024-08-10T00:00:00"/>
    <n v="25"/>
    <n v="4"/>
    <n v="99"/>
    <n v="8"/>
    <n v="27"/>
    <n v="5"/>
    <n v="41"/>
    <n v="13.666666666666666"/>
    <n v="5.1999899792654221"/>
    <n v="50"/>
    <n v="-0.96"/>
    <n v="205"/>
    <n v="5.954640050142133E-4"/>
    <n v="164"/>
  </r>
  <r>
    <x v="29"/>
    <x v="3"/>
    <x v="301"/>
    <s v="9 Eastlawn Crossing"/>
    <x v="1"/>
    <s v="84-624-0201"/>
    <s v="25-769-3792"/>
    <d v="2024-07-17T00:00:00"/>
    <x v="9"/>
    <s v="No"/>
    <d v="2024-11-09T00:00:00"/>
    <d v="2024-07-17T00:00:00"/>
    <n v="115"/>
    <d v="2025-01-20T00:00:00"/>
    <n v="72"/>
    <n v="1.2000000000000002"/>
    <n v="71"/>
    <n v="77"/>
    <n v="30"/>
    <n v="1.5"/>
    <n v="34"/>
    <n v="0.29565217391304349"/>
    <n v="5.1999899792654221"/>
    <n v="57"/>
    <n v="-0.22"/>
    <n v="51"/>
    <n v="1.4813982563768234E-4"/>
    <n v="40.800000000000004"/>
  </r>
  <r>
    <x v="30"/>
    <x v="0"/>
    <x v="323"/>
    <s v="22 Dexter Trail"/>
    <x v="1"/>
    <s v="66-993-4234"/>
    <s v="15-852-0491"/>
    <d v="2024-07-18T00:00:00"/>
    <x v="54"/>
    <s v="No"/>
    <d v="2025-01-16T00:00:00"/>
    <d v="2024-07-18T00:00:00"/>
    <n v="182"/>
    <d v="2024-06-24T00:00:00"/>
    <n v="-206"/>
    <n v="1.4400000000000002"/>
    <n v="13"/>
    <n v="60"/>
    <n v="100"/>
    <n v="1.8"/>
    <n v="44"/>
    <n v="0.24175824175824176"/>
    <n v="5.1999899792654221"/>
    <n v="32"/>
    <n v="-0.68"/>
    <n v="79.2"/>
    <n v="2.3005243510793022E-4"/>
    <n v="63.360000000000007"/>
  </r>
  <r>
    <x v="31"/>
    <x v="2"/>
    <x v="333"/>
    <s v="5030 Moose Junction"/>
    <x v="0"/>
    <s v="00-963-2193"/>
    <s v="39-521-8484"/>
    <d v="2024-07-19T00:00:00"/>
    <x v="237"/>
    <s v="No"/>
    <d v="2025-02-03T00:00:00"/>
    <d v="2024-07-19T00:00:00"/>
    <n v="199"/>
    <d v="2024-12-23T00:00:00"/>
    <n v="-42"/>
    <n v="0.8"/>
    <n v="43"/>
    <n v="88"/>
    <n v="33"/>
    <n v="1"/>
    <n v="84"/>
    <n v="0.42211055276381909"/>
    <n v="5.1999899792654221"/>
    <n v="75"/>
    <n v="0.27"/>
    <n v="84"/>
    <n v="2.4399500693265326E-4"/>
    <n v="67.2"/>
  </r>
  <r>
    <x v="109"/>
    <x v="5"/>
    <x v="33"/>
    <s v="206 Pine View Junction"/>
    <x v="2"/>
    <s v="99-420-3592"/>
    <s v="88-647-5082"/>
    <d v="2024-07-19T00:00:00"/>
    <x v="303"/>
    <s v="No"/>
    <d v="2024-07-21T00:00:00"/>
    <d v="2024-07-19T00:00:00"/>
    <n v="2"/>
    <d v="2024-11-13T00:00:00"/>
    <n v="115"/>
    <n v="4.8000000000000007"/>
    <n v="22"/>
    <n v="24"/>
    <n v="94"/>
    <n v="6"/>
    <n v="47"/>
    <n v="23.5"/>
    <n v="5.1999899792654221"/>
    <n v="71"/>
    <n v="0.11"/>
    <n v="282"/>
    <n v="8.1912609470247881E-4"/>
    <n v="225.60000000000002"/>
  </r>
  <r>
    <x v="79"/>
    <x v="2"/>
    <x v="63"/>
    <s v="868 Swallow Point"/>
    <x v="0"/>
    <s v="76-623-7844"/>
    <s v="84-498-3849"/>
    <d v="2024-07-19T00:00:00"/>
    <x v="196"/>
    <s v="No"/>
    <d v="2024-08-23T00:00:00"/>
    <d v="2024-07-19T00:00:00"/>
    <n v="35"/>
    <d v="2024-05-15T00:00:00"/>
    <n v="-100"/>
    <n v="0.64000000000000012"/>
    <n v="29"/>
    <n v="33"/>
    <n v="88"/>
    <n v="0.8"/>
    <n v="50"/>
    <n v="1.4285714285714286"/>
    <n v="5.1999899792654221"/>
    <n v="35"/>
    <n v="-0.51"/>
    <n v="40"/>
    <n v="1.161880985393587E-4"/>
    <n v="32.000000000000007"/>
  </r>
  <r>
    <x v="65"/>
    <x v="3"/>
    <x v="334"/>
    <s v="65 Merry Circle"/>
    <x v="0"/>
    <s v="28-003-8065"/>
    <s v="42-579-7177"/>
    <d v="2024-07-19T00:00:00"/>
    <x v="131"/>
    <s v="No"/>
    <d v="2025-02-16T00:00:00"/>
    <d v="2024-07-19T00:00:00"/>
    <n v="212"/>
    <d v="2025-01-28T00:00:00"/>
    <n v="-19"/>
    <n v="7.6000000000000005"/>
    <n v="79"/>
    <n v="47"/>
    <n v="51"/>
    <n v="9.5"/>
    <n v="83"/>
    <n v="0.39150943396226418"/>
    <n v="5.1999899792654221"/>
    <n v="69"/>
    <n v="0.3"/>
    <n v="788.5"/>
    <n v="2.2903578924571085E-3"/>
    <n v="630.80000000000007"/>
  </r>
  <r>
    <x v="102"/>
    <x v="0"/>
    <x v="315"/>
    <s v="26 Barnett Junction"/>
    <x v="0"/>
    <s v="28-008-2951"/>
    <s v="64-118-1480"/>
    <d v="2024-07-20T00:00:00"/>
    <x v="54"/>
    <s v="No"/>
    <d v="2025-01-16T00:00:00"/>
    <d v="2024-07-20T00:00:00"/>
    <n v="180"/>
    <d v="2024-05-20T00:00:00"/>
    <n v="-241"/>
    <n v="3.2"/>
    <n v="95"/>
    <n v="29"/>
    <n v="28"/>
    <n v="4"/>
    <n v="52"/>
    <n v="0.28888888888888886"/>
    <n v="5.1999899792654221"/>
    <n v="46"/>
    <n v="0.17"/>
    <n v="208"/>
    <n v="6.0417811240466525E-4"/>
    <n v="166.4"/>
  </r>
  <r>
    <x v="106"/>
    <x v="2"/>
    <x v="68"/>
    <s v="36 Longview Street"/>
    <x v="2"/>
    <s v="45-402-0421"/>
    <s v="87-201-6047"/>
    <d v="2024-07-20T00:00:00"/>
    <x v="83"/>
    <s v="No"/>
    <d v="2024-12-08T00:00:00"/>
    <d v="2024-07-20T00:00:00"/>
    <n v="141"/>
    <d v="2024-07-14T00:00:00"/>
    <n v="-147"/>
    <n v="6.4"/>
    <n v="70"/>
    <n v="84"/>
    <n v="72"/>
    <n v="8"/>
    <n v="71"/>
    <n v="0.50354609929078009"/>
    <n v="5.1999899792654221"/>
    <n v="20"/>
    <n v="0.12"/>
    <n v="568"/>
    <n v="1.6498709992588936E-3"/>
    <n v="454.40000000000003"/>
  </r>
  <r>
    <x v="23"/>
    <x v="0"/>
    <x v="92"/>
    <s v="1034 2nd Point"/>
    <x v="1"/>
    <s v="73-942-0508"/>
    <s v="37-057-3553"/>
    <d v="2024-07-20T00:00:00"/>
    <x v="120"/>
    <s v="No"/>
    <d v="2025-01-14T00:00:00"/>
    <d v="2024-07-20T00:00:00"/>
    <n v="178"/>
    <d v="2024-10-04T00:00:00"/>
    <n v="-102"/>
    <n v="3.2"/>
    <n v="61"/>
    <n v="100"/>
    <n v="94"/>
    <n v="4"/>
    <n v="76"/>
    <n v="0.42696629213483145"/>
    <n v="5.1999899792654221"/>
    <n v="2"/>
    <n v="0.72"/>
    <n v="304"/>
    <n v="8.8302954889912615E-4"/>
    <n v="243.20000000000002"/>
  </r>
  <r>
    <x v="50"/>
    <x v="4"/>
    <x v="27"/>
    <s v="111 David Hill"/>
    <x v="1"/>
    <s v="22-266-9291"/>
    <s v="15-550-0171"/>
    <d v="2024-07-20T00:00:00"/>
    <x v="322"/>
    <s v="Yes"/>
    <d v="2024-07-20T00:00:00"/>
    <d v="2024-03-27T00:00:00"/>
    <n v="115"/>
    <d v="2024-04-08T00:00:00"/>
    <n v="-103"/>
    <n v="4.8000000000000007"/>
    <n v="11"/>
    <n v="17"/>
    <n v="59"/>
    <n v="6"/>
    <n v="69"/>
    <n v="0.6"/>
    <n v="5.1999899792654221"/>
    <n v="100"/>
    <n v="0.97"/>
    <n v="414"/>
    <n v="1.2025468198823626E-3"/>
    <n v="331.20000000000005"/>
  </r>
  <r>
    <x v="82"/>
    <x v="2"/>
    <x v="191"/>
    <s v="25 Nancy Place"/>
    <x v="0"/>
    <s v="06-068-6793"/>
    <s v="94-958-6101"/>
    <d v="2024-07-20T00:00:00"/>
    <x v="323"/>
    <s v="No"/>
    <d v="2024-08-06T00:00:00"/>
    <d v="2024-07-20T00:00:00"/>
    <n v="17"/>
    <d v="2024-08-15T00:00:00"/>
    <n v="9"/>
    <n v="2"/>
    <n v="39"/>
    <n v="80"/>
    <n v="68"/>
    <n v="2.5"/>
    <n v="46"/>
    <n v="2.7058823529411766"/>
    <n v="5.1999899792654221"/>
    <n v="54"/>
    <n v="-0.45"/>
    <n v="115"/>
    <n v="3.3404078330065624E-4"/>
    <n v="92"/>
  </r>
  <r>
    <x v="0"/>
    <x v="0"/>
    <x v="17"/>
    <s v="33424 Express Avenue"/>
    <x v="0"/>
    <s v="58-063-8633"/>
    <s v="21-932-5200"/>
    <d v="2024-07-21T00:00:00"/>
    <x v="124"/>
    <s v="Yes"/>
    <d v="2024-07-21T00:00:00"/>
    <d v="2024-06-30T00:00:00"/>
    <n v="21"/>
    <d v="2024-09-22T00:00:00"/>
    <n v="63"/>
    <n v="3.6"/>
    <n v="50"/>
    <n v="3"/>
    <n v="88"/>
    <n v="4.5"/>
    <n v="69"/>
    <n v="3.2857142857142856"/>
    <n v="5.1999899792654221"/>
    <n v="73"/>
    <n v="-0.17"/>
    <n v="310.5"/>
    <n v="9.0191011491177195E-4"/>
    <n v="248.4"/>
  </r>
  <r>
    <x v="80"/>
    <x v="6"/>
    <x v="271"/>
    <s v="67677 Lakewood Gardens Way"/>
    <x v="2"/>
    <s v="27-442-3654"/>
    <s v="57-544-2465"/>
    <d v="2024-07-21T00:00:00"/>
    <x v="238"/>
    <s v="No"/>
    <d v="2024-08-26T00:00:00"/>
    <d v="2024-07-21T00:00:00"/>
    <n v="36"/>
    <d v="2024-12-03T00:00:00"/>
    <n v="99"/>
    <n v="24"/>
    <n v="59"/>
    <n v="17"/>
    <n v="1"/>
    <n v="30"/>
    <n v="69"/>
    <n v="1.9166666666666667"/>
    <n v="5.1999899792654221"/>
    <n v="82"/>
    <n v="-0.06"/>
    <n v="2070"/>
    <n v="6.0127340994118126E-3"/>
    <n v="1656"/>
  </r>
  <r>
    <x v="104"/>
    <x v="0"/>
    <x v="277"/>
    <s v="884 Fieldstone Plaza"/>
    <x v="1"/>
    <s v="03-043-9933"/>
    <s v="48-450-4126"/>
    <d v="2024-07-21T00:00:00"/>
    <x v="265"/>
    <s v="No"/>
    <d v="2025-02-09T00:00:00"/>
    <d v="2024-07-21T00:00:00"/>
    <n v="203"/>
    <d v="2025-02-08T00:00:00"/>
    <n v="-1"/>
    <n v="4.88"/>
    <n v="16"/>
    <n v="23"/>
    <n v="76"/>
    <n v="6.1"/>
    <n v="50"/>
    <n v="0.24630541871921183"/>
    <n v="5.1999899792654221"/>
    <n v="27"/>
    <n v="-0.19"/>
    <n v="305"/>
    <n v="8.8593425136261009E-4"/>
    <n v="244"/>
  </r>
  <r>
    <x v="29"/>
    <x v="3"/>
    <x v="25"/>
    <s v="4105 Fair Oaks Parkway"/>
    <x v="2"/>
    <s v="99-137-1730"/>
    <s v="65-797-3468"/>
    <d v="2024-07-22T00:00:00"/>
    <x v="235"/>
    <s v="Yes"/>
    <d v="2024-07-22T00:00:00"/>
    <d v="2024-02-28T00:00:00"/>
    <n v="145"/>
    <d v="2024-10-18T00:00:00"/>
    <n v="88"/>
    <n v="1.2000000000000002"/>
    <n v="62"/>
    <n v="79"/>
    <n v="23"/>
    <n v="1.5"/>
    <n v="32"/>
    <n v="0.22068965517241379"/>
    <n v="5.1999899792654221"/>
    <n v="80"/>
    <n v="0.46"/>
    <n v="48"/>
    <n v="1.3942571824723045E-4"/>
    <n v="38.400000000000006"/>
  </r>
  <r>
    <x v="87"/>
    <x v="4"/>
    <x v="163"/>
    <s v="665 Sommers Circle"/>
    <x v="1"/>
    <s v="09-622-7119"/>
    <s v="59-781-3399"/>
    <d v="2024-07-22T00:00:00"/>
    <x v="267"/>
    <s v="No"/>
    <d v="2025-01-30T00:00:00"/>
    <d v="2024-07-22T00:00:00"/>
    <n v="192"/>
    <d v="2024-06-15T00:00:00"/>
    <n v="-229"/>
    <n v="7.2"/>
    <n v="30"/>
    <n v="81"/>
    <n v="99"/>
    <n v="9"/>
    <n v="99"/>
    <n v="0.515625"/>
    <n v="5.1999899792654221"/>
    <n v="3"/>
    <n v="-1.5"/>
    <n v="891"/>
    <n v="2.5880898949642152E-3"/>
    <n v="712.80000000000007"/>
  </r>
  <r>
    <x v="59"/>
    <x v="0"/>
    <x v="42"/>
    <s v="622 Buena Vista Trail"/>
    <x v="1"/>
    <s v="95-356-1566"/>
    <s v="57-204-2098"/>
    <d v="2024-07-22T00:00:00"/>
    <x v="106"/>
    <s v="No"/>
    <d v="2025-02-21T00:00:00"/>
    <d v="2024-07-22T00:00:00"/>
    <n v="214"/>
    <d v="2025-01-29T00:00:00"/>
    <n v="-23"/>
    <n v="4.4000000000000004"/>
    <n v="13"/>
    <n v="61"/>
    <n v="77"/>
    <n v="5.5"/>
    <n v="42"/>
    <n v="0.19626168224299065"/>
    <n v="5.1999899792654221"/>
    <n v="18"/>
    <n v="0.97"/>
    <n v="231"/>
    <n v="6.7098626906479653E-4"/>
    <n v="184.8"/>
  </r>
  <r>
    <x v="78"/>
    <x v="3"/>
    <x v="48"/>
    <s v="083 Gulseth Pass"/>
    <x v="2"/>
    <s v="22-319-1377"/>
    <s v="82-266-1796"/>
    <d v="2024-07-23T00:00:00"/>
    <x v="182"/>
    <s v="Yes"/>
    <d v="2024-07-23T00:00:00"/>
    <d v="2024-03-03T00:00:00"/>
    <n v="142"/>
    <d v="2024-06-21T00:00:00"/>
    <n v="-32"/>
    <n v="1.6"/>
    <n v="14"/>
    <n v="16"/>
    <n v="93"/>
    <n v="2"/>
    <n v="39"/>
    <n v="0.27464788732394368"/>
    <n v="5.1999899792654221"/>
    <n v="30"/>
    <n v="0.56999999999999995"/>
    <n v="78"/>
    <n v="2.2656679215174945E-4"/>
    <n v="62.400000000000006"/>
  </r>
  <r>
    <x v="54"/>
    <x v="3"/>
    <x v="111"/>
    <s v="022 Prairie Rose Drive"/>
    <x v="0"/>
    <s v="89-181-4523"/>
    <s v="54-749-3622"/>
    <d v="2024-07-23T00:00:00"/>
    <x v="125"/>
    <s v="Yes"/>
    <d v="2024-07-23T00:00:00"/>
    <d v="2024-06-23T00:00:00"/>
    <n v="30"/>
    <d v="2024-12-22T00:00:00"/>
    <n v="152"/>
    <n v="8"/>
    <n v="46"/>
    <n v="6"/>
    <n v="64"/>
    <n v="10"/>
    <n v="63"/>
    <n v="2.1"/>
    <n v="5.1999899792654221"/>
    <n v="29"/>
    <n v="0.23"/>
    <n v="630"/>
    <n v="1.8299625519948995E-3"/>
    <n v="504"/>
  </r>
  <r>
    <x v="77"/>
    <x v="6"/>
    <x v="335"/>
    <s v="0 Oneill Hill"/>
    <x v="0"/>
    <s v="38-555-9147"/>
    <s v="35-370-7603"/>
    <d v="2024-07-23T00:00:00"/>
    <x v="133"/>
    <s v="Yes"/>
    <d v="2024-07-23T00:00:00"/>
    <d v="2024-04-29T00:00:00"/>
    <n v="85"/>
    <d v="2024-03-08T00:00:00"/>
    <n v="-137"/>
    <n v="12.4"/>
    <n v="62"/>
    <n v="23"/>
    <n v="25"/>
    <n v="15.5"/>
    <n v="34"/>
    <n v="0.4"/>
    <n v="5.1999899792654221"/>
    <n v="68"/>
    <n v="0.54"/>
    <n v="527"/>
    <n v="1.5307781982560509E-3"/>
    <n v="421.6"/>
  </r>
  <r>
    <x v="48"/>
    <x v="0"/>
    <x v="169"/>
    <s v="992 East Point"/>
    <x v="2"/>
    <s v="53-667-4109"/>
    <s v="40-800-4739"/>
    <d v="2024-07-23T00:00:00"/>
    <x v="40"/>
    <s v="Yes"/>
    <d v="2024-07-23T00:00:00"/>
    <d v="2024-03-21T00:00:00"/>
    <n v="124"/>
    <d v="2024-05-24T00:00:00"/>
    <n v="-60"/>
    <n v="1.6"/>
    <n v="16"/>
    <n v="75"/>
    <n v="42"/>
    <n v="2"/>
    <n v="22"/>
    <n v="0.17741935483870969"/>
    <n v="5.1999899792654221"/>
    <n v="46"/>
    <n v="-1"/>
    <n v="44"/>
    <n v="1.2780690839329456E-4"/>
    <n v="35.200000000000003"/>
  </r>
  <r>
    <x v="57"/>
    <x v="3"/>
    <x v="128"/>
    <s v="21629 Burrows Pass"/>
    <x v="0"/>
    <s v="14-489-8669"/>
    <s v="28-436-5158"/>
    <d v="2024-07-24T00:00:00"/>
    <x v="32"/>
    <s v="No"/>
    <d v="2024-11-05T00:00:00"/>
    <d v="2024-07-24T00:00:00"/>
    <n v="104"/>
    <d v="2024-05-13T00:00:00"/>
    <n v="-176"/>
    <n v="1.4000000000000001"/>
    <n v="54"/>
    <n v="69"/>
    <n v="68"/>
    <n v="1.75"/>
    <n v="77"/>
    <n v="0.74038461538461542"/>
    <n v="5.1999899792654221"/>
    <n v="56"/>
    <n v="-1.0900000000000001"/>
    <n v="134.75"/>
    <n v="3.9140865695446461E-4"/>
    <n v="107.80000000000001"/>
  </r>
  <r>
    <x v="1"/>
    <x v="1"/>
    <x v="183"/>
    <s v="5414 Linden Point"/>
    <x v="1"/>
    <s v="26-031-8070"/>
    <s v="11-096-4003"/>
    <d v="2024-07-25T00:00:00"/>
    <x v="240"/>
    <s v="Yes"/>
    <d v="2024-07-25T00:00:00"/>
    <d v="2024-05-25T00:00:00"/>
    <n v="61"/>
    <d v="2024-04-19T00:00:00"/>
    <n v="-97"/>
    <n v="1.6"/>
    <n v="57"/>
    <n v="99"/>
    <n v="23"/>
    <n v="2"/>
    <n v="89"/>
    <n v="1.459016393442623"/>
    <n v="5.1999899792654221"/>
    <n v="21"/>
    <n v="0.27"/>
    <n v="178"/>
    <n v="5.1703703850014624E-4"/>
    <n v="142.4"/>
  </r>
  <r>
    <x v="55"/>
    <x v="0"/>
    <x v="336"/>
    <s v="60 Messerschmidt Pass"/>
    <x v="2"/>
    <s v="47-221-2470"/>
    <s v="30-780-7583"/>
    <d v="2024-07-25T00:00:00"/>
    <x v="324"/>
    <s v="Yes"/>
    <d v="2024-07-25T00:00:00"/>
    <d v="2024-04-03T00:00:00"/>
    <n v="113"/>
    <d v="2024-10-10T00:00:00"/>
    <n v="77"/>
    <n v="4.8000000000000007"/>
    <n v="17"/>
    <n v="45"/>
    <n v="44"/>
    <n v="6"/>
    <n v="37"/>
    <n v="0.32743362831858408"/>
    <n v="5.1999899792654221"/>
    <n v="16"/>
    <n v="0.76"/>
    <n v="222"/>
    <n v="6.4484394689344081E-4"/>
    <n v="177.60000000000002"/>
  </r>
  <r>
    <x v="94"/>
    <x v="0"/>
    <x v="337"/>
    <s v="92 Bartelt Terrace"/>
    <x v="2"/>
    <s v="67-382-4435"/>
    <s v="49-901-0828"/>
    <d v="2024-07-25T00:00:00"/>
    <x v="2"/>
    <s v="No"/>
    <d v="2024-12-21T00:00:00"/>
    <d v="2024-07-25T00:00:00"/>
    <n v="149"/>
    <d v="2024-03-02T00:00:00"/>
    <n v="-294"/>
    <n v="1.6800000000000002"/>
    <n v="99"/>
    <n v="37"/>
    <n v="74"/>
    <n v="2.1"/>
    <n v="46"/>
    <n v="0.3087248322147651"/>
    <n v="5.1999899792654221"/>
    <n v="46"/>
    <n v="0.56999999999999995"/>
    <n v="96.600000000000009"/>
    <n v="2.8059425797255131E-4"/>
    <n v="77.28"/>
  </r>
  <r>
    <x v="102"/>
    <x v="0"/>
    <x v="251"/>
    <s v="071 Nobel Circle"/>
    <x v="0"/>
    <s v="94-029-2717"/>
    <s v="37-878-9392"/>
    <d v="2024-07-26T00:00:00"/>
    <x v="290"/>
    <s v="No"/>
    <d v="2025-02-06T00:00:00"/>
    <d v="2024-07-26T00:00:00"/>
    <n v="195"/>
    <d v="2024-06-09T00:00:00"/>
    <n v="-242"/>
    <n v="3.2"/>
    <n v="40"/>
    <n v="8"/>
    <n v="98"/>
    <n v="4"/>
    <n v="86"/>
    <n v="0.44102564102564101"/>
    <n v="5.1999899792654221"/>
    <n v="12"/>
    <n v="0"/>
    <n v="344"/>
    <n v="9.9921764743848471E-4"/>
    <n v="275.2"/>
  </r>
  <r>
    <x v="45"/>
    <x v="2"/>
    <x v="328"/>
    <s v="30880 Barnett Junction"/>
    <x v="0"/>
    <s v="47-866-6589"/>
    <s v="78-203-1075"/>
    <d v="2024-07-26T00:00:00"/>
    <x v="237"/>
    <s v="No"/>
    <d v="2025-02-03T00:00:00"/>
    <d v="2024-07-26T00:00:00"/>
    <n v="192"/>
    <d v="2024-07-27T00:00:00"/>
    <n v="-191"/>
    <n v="0.8"/>
    <n v="41"/>
    <n v="61"/>
    <n v="69"/>
    <n v="1"/>
    <n v="30"/>
    <n v="0.15625"/>
    <n v="5.1999899792654221"/>
    <n v="100"/>
    <n v="0.86"/>
    <n v="30"/>
    <n v="8.7141073904519031E-5"/>
    <n v="24"/>
  </r>
  <r>
    <x v="27"/>
    <x v="4"/>
    <x v="338"/>
    <s v="116 Spaight Park"/>
    <x v="0"/>
    <s v="94-355-3070"/>
    <s v="73-393-9432"/>
    <d v="2024-07-26T00:00:00"/>
    <x v="285"/>
    <s v="Yes"/>
    <d v="2024-07-26T00:00:00"/>
    <d v="2024-07-13T00:00:00"/>
    <n v="13"/>
    <d v="2024-07-23T00:00:00"/>
    <n v="-3"/>
    <n v="5.44"/>
    <n v="14"/>
    <n v="52"/>
    <n v="80"/>
    <n v="6.8"/>
    <n v="64"/>
    <n v="4.9230769230769234"/>
    <n v="5.1999899792654221"/>
    <n v="17"/>
    <n v="-2.33"/>
    <n v="435.2"/>
    <n v="1.2641265121082225E-3"/>
    <n v="348.16"/>
  </r>
  <r>
    <x v="113"/>
    <x v="5"/>
    <x v="339"/>
    <s v="317 Anniversary Pass"/>
    <x v="1"/>
    <s v="82-342-7339"/>
    <s v="14-325-9173"/>
    <d v="2024-07-27T00:00:00"/>
    <x v="229"/>
    <s v="No"/>
    <d v="2024-07-31T00:00:00"/>
    <d v="2024-07-27T00:00:00"/>
    <n v="4"/>
    <d v="2024-03-04T00:00:00"/>
    <n v="-149"/>
    <n v="4.4000000000000004"/>
    <n v="80"/>
    <n v="61"/>
    <n v="23"/>
    <n v="5.5"/>
    <n v="63"/>
    <n v="15.75"/>
    <n v="5.1999899792654221"/>
    <n v="75"/>
    <n v="0.73"/>
    <n v="346.5"/>
    <n v="1.0064794035971947E-3"/>
    <n v="277.20000000000005"/>
  </r>
  <r>
    <x v="20"/>
    <x v="6"/>
    <x v="238"/>
    <s v="5 Killdeer Trail"/>
    <x v="1"/>
    <s v="80-459-5950"/>
    <s v="04-866-2231"/>
    <d v="2024-07-27T00:00:00"/>
    <x v="127"/>
    <s v="No"/>
    <d v="2024-10-02T00:00:00"/>
    <d v="2024-07-27T00:00:00"/>
    <n v="67"/>
    <d v="2024-03-20T00:00:00"/>
    <n v="-196"/>
    <n v="16"/>
    <n v="74"/>
    <n v="10"/>
    <n v="74"/>
    <n v="20"/>
    <n v="100"/>
    <n v="1.4925373134328359"/>
    <n v="5.1999899792654221"/>
    <n v="66"/>
    <n v="-0.19"/>
    <n v="2000"/>
    <n v="5.8094049269679354E-3"/>
    <n v="1600"/>
  </r>
  <r>
    <x v="14"/>
    <x v="0"/>
    <x v="125"/>
    <s v="05 Bartelt Street"/>
    <x v="2"/>
    <s v="67-248-6306"/>
    <s v="86-173-6891"/>
    <d v="2024-07-27T00:00:00"/>
    <x v="127"/>
    <s v="No"/>
    <d v="2024-10-02T00:00:00"/>
    <d v="2024-07-27T00:00:00"/>
    <n v="67"/>
    <d v="2024-12-22T00:00:00"/>
    <n v="81"/>
    <n v="2"/>
    <n v="77"/>
    <n v="54"/>
    <n v="10"/>
    <n v="2.5"/>
    <n v="64"/>
    <n v="0.95522388059701491"/>
    <n v="5.1999899792654221"/>
    <n v="73"/>
    <n v="0.34"/>
    <n v="160"/>
    <n v="4.647523941574348E-4"/>
    <n v="128"/>
  </r>
  <r>
    <x v="21"/>
    <x v="0"/>
    <x v="38"/>
    <s v="55 Cherokee Circle"/>
    <x v="0"/>
    <s v="68-973-8812"/>
    <s v="31-955-7362"/>
    <d v="2024-07-27T00:00:00"/>
    <x v="159"/>
    <s v="Yes"/>
    <d v="2024-07-27T00:00:00"/>
    <d v="2024-06-22T00:00:00"/>
    <n v="35"/>
    <d v="2024-05-24T00:00:00"/>
    <n v="-64"/>
    <n v="1.6"/>
    <n v="44"/>
    <n v="77"/>
    <n v="45"/>
    <n v="2"/>
    <n v="89"/>
    <n v="2.5428571428571427"/>
    <n v="5.1999899792654221"/>
    <n v="64"/>
    <n v="-0.14000000000000001"/>
    <n v="178"/>
    <n v="5.1703703850014624E-4"/>
    <n v="142.4"/>
  </r>
  <r>
    <x v="22"/>
    <x v="0"/>
    <x v="216"/>
    <s v="387 Jay Point"/>
    <x v="0"/>
    <s v="11-325-7396"/>
    <s v="98-940-7545"/>
    <d v="2024-07-28T00:00:00"/>
    <x v="307"/>
    <s v="No"/>
    <d v="2024-10-18T00:00:00"/>
    <d v="2024-07-28T00:00:00"/>
    <n v="82"/>
    <d v="2024-03-26T00:00:00"/>
    <n v="-206"/>
    <n v="4"/>
    <n v="92"/>
    <n v="46"/>
    <n v="13"/>
    <n v="5"/>
    <n v="24"/>
    <n v="0.29268292682926828"/>
    <n v="5.1999899792654221"/>
    <n v="75"/>
    <n v="0.28000000000000003"/>
    <n v="120"/>
    <n v="3.4856429561807613E-4"/>
    <n v="96"/>
  </r>
  <r>
    <x v="108"/>
    <x v="0"/>
    <x v="47"/>
    <s v="9695 Alpine Trail"/>
    <x v="0"/>
    <s v="68-761-6907"/>
    <s v="31-199-3683"/>
    <d v="2024-07-28T00:00:00"/>
    <x v="303"/>
    <s v="Yes"/>
    <d v="2024-07-28T00:00:00"/>
    <d v="2024-07-21T00:00:00"/>
    <n v="7"/>
    <d v="2025-02-02T00:00:00"/>
    <n v="189"/>
    <n v="2"/>
    <n v="26"/>
    <n v="18"/>
    <n v="62"/>
    <n v="2.5"/>
    <n v="57"/>
    <n v="8.1428571428571423"/>
    <n v="5.1999899792654221"/>
    <n v="86"/>
    <n v="-2.13"/>
    <n v="142.5"/>
    <n v="4.1392010104646538E-4"/>
    <n v="114"/>
  </r>
  <r>
    <x v="65"/>
    <x v="3"/>
    <x v="47"/>
    <s v="1468 Meadow Vale Court"/>
    <x v="1"/>
    <s v="62-509-0666"/>
    <s v="16-419-1419"/>
    <d v="2024-07-28T00:00:00"/>
    <x v="288"/>
    <s v="Yes"/>
    <d v="2024-07-28T00:00:00"/>
    <d v="2024-05-15T00:00:00"/>
    <n v="74"/>
    <d v="2024-07-03T00:00:00"/>
    <n v="-25"/>
    <n v="7.6000000000000005"/>
    <n v="13"/>
    <n v="88"/>
    <n v="7"/>
    <n v="9.5"/>
    <n v="24"/>
    <n v="0.32432432432432434"/>
    <n v="5.1999899792654221"/>
    <n v="21"/>
    <n v="-0.51"/>
    <n v="228"/>
    <n v="6.6227216167434458E-4"/>
    <n v="182.4"/>
  </r>
  <r>
    <x v="5"/>
    <x v="0"/>
    <x v="95"/>
    <s v="022 Pierstorff Point"/>
    <x v="2"/>
    <s v="44-476-0390"/>
    <s v="48-562-3582"/>
    <d v="2024-07-28T00:00:00"/>
    <x v="325"/>
    <s v="Yes"/>
    <d v="2024-07-28T00:00:00"/>
    <d v="2024-04-27T00:00:00"/>
    <n v="92"/>
    <d v="2024-03-14T00:00:00"/>
    <n v="-136"/>
    <n v="2"/>
    <n v="90"/>
    <n v="92"/>
    <n v="56"/>
    <n v="2.5"/>
    <n v="71"/>
    <n v="0.77173913043478259"/>
    <n v="5.1999899792654221"/>
    <n v="13"/>
    <n v="0.13"/>
    <n v="177.5"/>
    <n v="5.1558468726840422E-4"/>
    <n v="142"/>
  </r>
  <r>
    <x v="34"/>
    <x v="2"/>
    <x v="177"/>
    <s v="33 Clarendon Hill"/>
    <x v="2"/>
    <s v="08-213-2058"/>
    <s v="13-179-9553"/>
    <d v="2024-07-28T00:00:00"/>
    <x v="230"/>
    <s v="No"/>
    <d v="2024-09-07T00:00:00"/>
    <d v="2024-07-28T00:00:00"/>
    <n v="41"/>
    <d v="2024-08-26T00:00:00"/>
    <n v="-12"/>
    <n v="3.2"/>
    <n v="43"/>
    <n v="73"/>
    <n v="14"/>
    <n v="4"/>
    <n v="59"/>
    <n v="1.4390243902439024"/>
    <n v="5.1999899792654221"/>
    <n v="65"/>
    <n v="0.82"/>
    <n v="236"/>
    <n v="6.8550978138221636E-4"/>
    <n v="188.8"/>
  </r>
  <r>
    <x v="102"/>
    <x v="0"/>
    <x v="138"/>
    <s v="2 School Drive"/>
    <x v="0"/>
    <s v="35-529-2933"/>
    <s v="57-591-6452"/>
    <d v="2024-07-28T00:00:00"/>
    <x v="98"/>
    <s v="No"/>
    <d v="2024-10-23T00:00:00"/>
    <d v="2024-07-28T00:00:00"/>
    <n v="87"/>
    <d v="2024-07-13T00:00:00"/>
    <n v="-102"/>
    <n v="3.2"/>
    <n v="85"/>
    <n v="54"/>
    <n v="18"/>
    <n v="4"/>
    <n v="85"/>
    <n v="0.97701149425287359"/>
    <n v="5.1999899792654221"/>
    <n v="44"/>
    <n v="-0.1"/>
    <n v="340"/>
    <n v="9.8759883758454893E-4"/>
    <n v="272"/>
  </r>
  <r>
    <x v="16"/>
    <x v="2"/>
    <x v="221"/>
    <s v="120 Gale Circle"/>
    <x v="0"/>
    <s v="24-364-3341"/>
    <s v="13-290-8513"/>
    <d v="2024-07-29T00:00:00"/>
    <x v="145"/>
    <s v="Yes"/>
    <d v="2024-07-29T00:00:00"/>
    <d v="2024-04-11T00:00:00"/>
    <n v="109"/>
    <d v="2024-09-25T00:00:00"/>
    <n v="58"/>
    <n v="2"/>
    <n v="44"/>
    <n v="84"/>
    <n v="63"/>
    <n v="2.5"/>
    <n v="51"/>
    <n v="0.46788990825688076"/>
    <n v="5.1999899792654221"/>
    <n v="67"/>
    <n v="0.48"/>
    <n v="127.5"/>
    <n v="3.7034956409420588E-4"/>
    <n v="102"/>
  </r>
  <r>
    <x v="15"/>
    <x v="0"/>
    <x v="6"/>
    <s v="582 Dahle Center"/>
    <x v="2"/>
    <s v="65-644-1394"/>
    <s v="23-280-1300"/>
    <d v="2024-07-29T00:00:00"/>
    <x v="0"/>
    <s v="No"/>
    <d v="2025-01-06T00:00:00"/>
    <d v="2024-07-29T00:00:00"/>
    <n v="161"/>
    <d v="2025-02-10T00:00:00"/>
    <n v="35"/>
    <n v="3.6"/>
    <n v="26"/>
    <n v="95"/>
    <n v="36"/>
    <n v="4.5"/>
    <n v="92"/>
    <n v="0.5714285714285714"/>
    <n v="5.1999899792654221"/>
    <n v="14"/>
    <n v="-0.31"/>
    <n v="414"/>
    <n v="1.2025468198823626E-3"/>
    <n v="331.2"/>
  </r>
  <r>
    <x v="14"/>
    <x v="0"/>
    <x v="260"/>
    <s v="39014 Randy Court"/>
    <x v="0"/>
    <s v="88-401-3700"/>
    <s v="39-299-6093"/>
    <d v="2024-07-29T00:00:00"/>
    <x v="247"/>
    <s v="No"/>
    <d v="2025-02-04T00:00:00"/>
    <d v="2024-07-29T00:00:00"/>
    <n v="190"/>
    <d v="2025-01-20T00:00:00"/>
    <n v="-15"/>
    <n v="2"/>
    <n v="86"/>
    <n v="66"/>
    <n v="24"/>
    <n v="2.5"/>
    <n v="30"/>
    <n v="0.15789473684210525"/>
    <n v="5.1999899792654221"/>
    <n v="6"/>
    <n v="0.85"/>
    <n v="75"/>
    <n v="2.1785268476129756E-4"/>
    <n v="60"/>
  </r>
  <r>
    <x v="13"/>
    <x v="5"/>
    <x v="118"/>
    <s v="4247 David Crossing"/>
    <x v="0"/>
    <s v="47-441-7682"/>
    <s v="90-998-1236"/>
    <d v="2024-07-29T00:00:00"/>
    <x v="3"/>
    <s v="No"/>
    <d v="2024-12-12T00:00:00"/>
    <d v="2024-07-29T00:00:00"/>
    <n v="136"/>
    <d v="2024-11-30T00:00:00"/>
    <n v="-12"/>
    <n v="3.2"/>
    <n v="40"/>
    <n v="91"/>
    <n v="24"/>
    <n v="4"/>
    <n v="28"/>
    <n v="0.20588235294117646"/>
    <n v="5.1999899792654221"/>
    <n v="47"/>
    <n v="0.8"/>
    <n v="112"/>
    <n v="3.2532667591020435E-4"/>
    <n v="89.600000000000009"/>
  </r>
  <r>
    <x v="59"/>
    <x v="0"/>
    <x v="43"/>
    <s v="6482 Ramsey Alley"/>
    <x v="1"/>
    <s v="68-977-2498"/>
    <s v="26-222-1156"/>
    <d v="2024-07-30T00:00:00"/>
    <x v="47"/>
    <s v="Yes"/>
    <d v="2024-07-30T00:00:00"/>
    <d v="2024-05-20T00:00:00"/>
    <n v="71"/>
    <d v="2024-07-21T00:00:00"/>
    <n v="-9"/>
    <n v="4.4000000000000004"/>
    <n v="88"/>
    <n v="99"/>
    <n v="41"/>
    <n v="5.5"/>
    <n v="93"/>
    <n v="1.3098591549295775"/>
    <n v="5.1999899792654221"/>
    <n v="99"/>
    <n v="-0.68"/>
    <n v="511.5"/>
    <n v="1.4857553100720493E-3"/>
    <n v="409.20000000000005"/>
  </r>
  <r>
    <x v="65"/>
    <x v="3"/>
    <x v="197"/>
    <s v="153 Caliangt Plaza"/>
    <x v="1"/>
    <s v="37-567-3218"/>
    <s v="03-257-4437"/>
    <d v="2024-07-30T00:00:00"/>
    <x v="153"/>
    <s v="No"/>
    <d v="2024-10-31T00:00:00"/>
    <d v="2024-07-30T00:00:00"/>
    <n v="93"/>
    <d v="2024-07-20T00:00:00"/>
    <n v="-103"/>
    <n v="7.6000000000000005"/>
    <n v="37"/>
    <n v="47"/>
    <n v="34"/>
    <n v="9.5"/>
    <n v="38"/>
    <n v="0.40860215053763443"/>
    <n v="5.1999899792654221"/>
    <n v="89"/>
    <n v="-0.06"/>
    <n v="361"/>
    <n v="1.0485975893177123E-3"/>
    <n v="288.8"/>
  </r>
  <r>
    <x v="43"/>
    <x v="1"/>
    <x v="191"/>
    <s v="99 Twin Pines Alley"/>
    <x v="2"/>
    <s v="87-903-3486"/>
    <s v="90-378-8463"/>
    <d v="2024-07-30T00:00:00"/>
    <x v="233"/>
    <s v="No"/>
    <d v="2024-09-10T00:00:00"/>
    <d v="2024-07-30T00:00:00"/>
    <n v="42"/>
    <d v="2024-02-29T00:00:00"/>
    <n v="-194"/>
    <n v="3.2"/>
    <n v="21"/>
    <n v="25"/>
    <n v="39"/>
    <n v="4"/>
    <n v="79"/>
    <n v="1.8809523809523809"/>
    <n v="5.1999899792654221"/>
    <n v="30"/>
    <n v="-1.34"/>
    <n v="316"/>
    <n v="9.1788597846093371E-4"/>
    <n v="252.8"/>
  </r>
  <r>
    <x v="0"/>
    <x v="0"/>
    <x v="185"/>
    <s v="6 Swallow Crossing"/>
    <x v="0"/>
    <s v="96-316-7600"/>
    <s v="76-671-7104"/>
    <d v="2024-07-31T00:00:00"/>
    <x v="174"/>
    <s v="Yes"/>
    <d v="2024-07-31T00:00:00"/>
    <d v="2024-07-27T00:00:00"/>
    <n v="4"/>
    <d v="2024-07-07T00:00:00"/>
    <n v="-24"/>
    <n v="3.6"/>
    <n v="70"/>
    <n v="31"/>
    <n v="55"/>
    <n v="4.5"/>
    <n v="23"/>
    <n v="5.75"/>
    <n v="5.1999899792654221"/>
    <n v="80"/>
    <n v="0.62"/>
    <n v="103.5"/>
    <n v="3.0063670497059065E-4"/>
    <n v="82.8"/>
  </r>
  <r>
    <x v="75"/>
    <x v="2"/>
    <x v="50"/>
    <s v="53894 Myrtle Place"/>
    <x v="1"/>
    <s v="00-842-9790"/>
    <s v="37-079-2530"/>
    <d v="2024-07-31T00:00:00"/>
    <x v="267"/>
    <s v="No"/>
    <d v="2025-01-30T00:00:00"/>
    <d v="2024-07-31T00:00:00"/>
    <n v="183"/>
    <d v="2024-12-28T00:00:00"/>
    <n v="-33"/>
    <n v="2"/>
    <n v="65"/>
    <n v="94"/>
    <n v="4"/>
    <n v="2.5"/>
    <n v="66"/>
    <n v="0.36065573770491804"/>
    <n v="5.1999899792654221"/>
    <n v="36"/>
    <n v="-2.48"/>
    <n v="165"/>
    <n v="4.7927590647485463E-4"/>
    <n v="132"/>
  </r>
  <r>
    <x v="81"/>
    <x v="1"/>
    <x v="198"/>
    <s v="1275 Lawn Center"/>
    <x v="0"/>
    <s v="96-164-0607"/>
    <s v="15-655-3923"/>
    <d v="2024-07-31T00:00:00"/>
    <x v="121"/>
    <s v="No"/>
    <d v="2024-12-20T00:00:00"/>
    <d v="2024-07-31T00:00:00"/>
    <n v="142"/>
    <d v="2024-10-17T00:00:00"/>
    <n v="-64"/>
    <n v="4"/>
    <n v="89"/>
    <n v="79"/>
    <n v="66"/>
    <n v="5"/>
    <n v="91"/>
    <n v="0.64084507042253525"/>
    <n v="5.1999899792654221"/>
    <n v="31"/>
    <n v="0.45"/>
    <n v="455"/>
    <n v="1.3216396208852051E-3"/>
    <n v="364"/>
  </r>
  <r>
    <x v="44"/>
    <x v="1"/>
    <x v="122"/>
    <s v="504 Green Park"/>
    <x v="0"/>
    <s v="04-240-2226"/>
    <s v="65-842-6819"/>
    <d v="2024-08-13T00:00:00"/>
    <x v="219"/>
    <s v="Yes"/>
    <d v="2024-08-13T00:00:00"/>
    <d v="2024-06-28T00:00:00"/>
    <n v="46"/>
    <d v="2024-03-05T00:00:00"/>
    <n v="-161"/>
    <n v="4.8000000000000007"/>
    <n v="47"/>
    <n v="48"/>
    <n v="73"/>
    <n v="6"/>
    <n v="42"/>
    <n v="0.91304347826086951"/>
    <n v="5.1999899792654221"/>
    <n v="51"/>
    <n v="0.66"/>
    <n v="252"/>
    <n v="7.3198502079795981E-4"/>
    <n v="201.60000000000002"/>
  </r>
  <r>
    <x v="46"/>
    <x v="0"/>
    <x v="281"/>
    <s v="9 Bartillon Trail"/>
    <x v="0"/>
    <s v="97-772-2336"/>
    <s v="19-704-4404"/>
    <d v="2024-08-13T00:00:00"/>
    <x v="237"/>
    <s v="No"/>
    <d v="2025-02-03T00:00:00"/>
    <d v="2024-08-13T00:00:00"/>
    <n v="174"/>
    <d v="2024-07-14T00:00:00"/>
    <n v="-204"/>
    <n v="2.8000000000000003"/>
    <n v="70"/>
    <n v="30"/>
    <n v="69"/>
    <n v="3.5"/>
    <n v="44"/>
    <n v="0.25287356321839083"/>
    <n v="5.1999899792654221"/>
    <n v="42"/>
    <n v="-0.21"/>
    <n v="154"/>
    <n v="4.4732417937653102E-4"/>
    <n v="123.20000000000002"/>
  </r>
  <r>
    <x v="55"/>
    <x v="0"/>
    <x v="122"/>
    <s v="5900 Vahlen Avenue"/>
    <x v="1"/>
    <s v="63-822-5278"/>
    <s v="27-636-1606"/>
    <d v="2024-08-13T00:00:00"/>
    <x v="152"/>
    <s v="No"/>
    <d v="2024-12-13T00:00:00"/>
    <d v="2024-08-13T00:00:00"/>
    <n v="122"/>
    <d v="2024-02-27T00:00:00"/>
    <n v="-290"/>
    <n v="4.8000000000000007"/>
    <n v="14"/>
    <n v="66"/>
    <n v="1"/>
    <n v="6"/>
    <n v="86"/>
    <n v="0.70491803278688525"/>
    <n v="5.1999899792654221"/>
    <n v="15"/>
    <n v="0.05"/>
    <n v="516"/>
    <n v="1.4988264711577272E-3"/>
    <n v="412.80000000000007"/>
  </r>
  <r>
    <x v="61"/>
    <x v="3"/>
    <x v="277"/>
    <s v="6990 Kings Place"/>
    <x v="0"/>
    <s v="19-967-0632"/>
    <s v="90-445-1753"/>
    <d v="2024-08-14T00:00:00"/>
    <x v="247"/>
    <s v="No"/>
    <d v="2025-02-04T00:00:00"/>
    <d v="2024-08-14T00:00:00"/>
    <n v="174"/>
    <d v="2024-11-06T00:00:00"/>
    <n v="-90"/>
    <n v="2.4000000000000004"/>
    <n v="53"/>
    <n v="86"/>
    <n v="54"/>
    <n v="3"/>
    <n v="44"/>
    <n v="0.25287356321839083"/>
    <n v="5.1999899792654221"/>
    <n v="3"/>
    <n v="0.83"/>
    <n v="132"/>
    <n v="3.8342072517988368E-4"/>
    <n v="105.60000000000002"/>
  </r>
  <r>
    <x v="55"/>
    <x v="0"/>
    <x v="279"/>
    <s v="4 Old Shore Avenue"/>
    <x v="2"/>
    <s v="28-986-8001"/>
    <s v="37-281-2537"/>
    <d v="2024-08-14T00:00:00"/>
    <x v="68"/>
    <s v="Yes"/>
    <d v="2024-08-14T00:00:00"/>
    <d v="2024-06-15T00:00:00"/>
    <n v="60"/>
    <d v="2024-10-13T00:00:00"/>
    <n v="60"/>
    <n v="4.8000000000000007"/>
    <n v="65"/>
    <n v="69"/>
    <n v="4"/>
    <n v="6"/>
    <n v="80"/>
    <n v="1.3333333333333333"/>
    <n v="5.1999899792654221"/>
    <n v="26"/>
    <n v="0.93"/>
    <n v="480"/>
    <n v="1.3942571824723045E-3"/>
    <n v="384.00000000000006"/>
  </r>
  <r>
    <x v="24"/>
    <x v="3"/>
    <x v="4"/>
    <s v="012 Mockingbird Court"/>
    <x v="1"/>
    <s v="44-128-2185"/>
    <s v="79-091-7381"/>
    <d v="2024-08-14T00:00:00"/>
    <x v="78"/>
    <s v="Yes"/>
    <d v="2024-08-14T00:00:00"/>
    <d v="2024-07-10T00:00:00"/>
    <n v="35"/>
    <d v="2024-12-30T00:00:00"/>
    <n v="138"/>
    <n v="3.8000000000000003"/>
    <n v="98"/>
    <n v="20"/>
    <n v="81"/>
    <n v="4.75"/>
    <n v="51"/>
    <n v="1.4571428571428571"/>
    <n v="5.1999899792654221"/>
    <n v="23"/>
    <n v="0.68"/>
    <n v="242.25"/>
    <n v="7.036641717789911E-4"/>
    <n v="193.8"/>
  </r>
  <r>
    <x v="110"/>
    <x v="2"/>
    <x v="140"/>
    <s v="739 Rowland Way"/>
    <x v="0"/>
    <s v="84-327-7787"/>
    <s v="97-571-0561"/>
    <d v="2024-08-14T00:00:00"/>
    <x v="238"/>
    <s v="No"/>
    <d v="2024-08-26T00:00:00"/>
    <d v="2024-08-14T00:00:00"/>
    <n v="12"/>
    <d v="2024-09-06T00:00:00"/>
    <n v="11"/>
    <n v="0.16000000000000003"/>
    <n v="83"/>
    <n v="35"/>
    <n v="43"/>
    <n v="0.2"/>
    <n v="94"/>
    <n v="7.833333333333333"/>
    <n v="5.1999899792654221"/>
    <n v="68"/>
    <n v="0.55000000000000004"/>
    <n v="18.8"/>
    <n v="5.460840631349859E-5"/>
    <n v="15.040000000000003"/>
  </r>
  <r>
    <x v="64"/>
    <x v="0"/>
    <x v="71"/>
    <s v="772 Golf Course Junction"/>
    <x v="2"/>
    <s v="50-364-5828"/>
    <s v="17-239-6309"/>
    <d v="2024-08-15T00:00:00"/>
    <x v="123"/>
    <s v="Yes"/>
    <d v="2024-08-15T00:00:00"/>
    <d v="2024-06-14T00:00:00"/>
    <n v="62"/>
    <d v="2024-12-23T00:00:00"/>
    <n v="130"/>
    <n v="4"/>
    <n v="89"/>
    <n v="57"/>
    <n v="92"/>
    <n v="5"/>
    <n v="38"/>
    <n v="0.61290322580645162"/>
    <n v="5.1999899792654221"/>
    <n v="16"/>
    <n v="0.28000000000000003"/>
    <n v="190"/>
    <n v="5.518934680619538E-4"/>
    <n v="152"/>
  </r>
  <r>
    <x v="16"/>
    <x v="2"/>
    <x v="340"/>
    <s v="231 Merry Pass"/>
    <x v="2"/>
    <s v="65-368-2479"/>
    <s v="99-570-8162"/>
    <d v="2024-08-15T00:00:00"/>
    <x v="137"/>
    <s v="Yes"/>
    <d v="2024-08-15T00:00:00"/>
    <d v="2024-03-10T00:00:00"/>
    <n v="158"/>
    <d v="2024-10-07T00:00:00"/>
    <n v="53"/>
    <n v="1.92"/>
    <n v="23"/>
    <n v="21"/>
    <n v="59"/>
    <n v="2.4"/>
    <n v="81"/>
    <n v="0.51265822784810122"/>
    <n v="5.1999899792654221"/>
    <n v="8"/>
    <n v="0.57999999999999996"/>
    <n v="194.4"/>
    <n v="5.6467415890128333E-4"/>
    <n v="155.51999999999998"/>
  </r>
  <r>
    <x v="66"/>
    <x v="2"/>
    <x v="201"/>
    <s v="7 Hooker Way"/>
    <x v="1"/>
    <s v="17-253-5688"/>
    <s v="42-638-2086"/>
    <d v="2024-08-15T00:00:00"/>
    <x v="100"/>
    <s v="Yes"/>
    <d v="2024-08-15T00:00:00"/>
    <d v="2024-07-07T00:00:00"/>
    <n v="39"/>
    <d v="2024-06-20T00:00:00"/>
    <n v="-56"/>
    <n v="2.4000000000000004"/>
    <n v="39"/>
    <n v="55"/>
    <n v="39"/>
    <n v="3"/>
    <n v="47"/>
    <n v="1.2051282051282051"/>
    <n v="5.1999899792654221"/>
    <n v="59"/>
    <n v="0.9"/>
    <n v="141"/>
    <n v="4.0956304735123941E-4"/>
    <n v="112.80000000000001"/>
  </r>
  <r>
    <x v="52"/>
    <x v="3"/>
    <x v="9"/>
    <s v="48 Del Sol Trail"/>
    <x v="0"/>
    <s v="29-205-1132"/>
    <s v="38-037-1699"/>
    <d v="2024-08-16T00:00:00"/>
    <x v="177"/>
    <s v="Yes"/>
    <d v="2024-08-16T00:00:00"/>
    <d v="2024-06-29T00:00:00"/>
    <n v="48"/>
    <d v="2024-09-19T00:00:00"/>
    <n v="34"/>
    <n v="3.6"/>
    <n v="22"/>
    <n v="72"/>
    <n v="70"/>
    <n v="4.5"/>
    <n v="32"/>
    <n v="0.66666666666666663"/>
    <n v="5.1999899792654221"/>
    <n v="19"/>
    <n v="-0.26"/>
    <n v="144"/>
    <n v="4.182771547416913E-4"/>
    <n v="115.2"/>
  </r>
  <r>
    <x v="43"/>
    <x v="1"/>
    <x v="341"/>
    <s v="76 Independence Drive"/>
    <x v="0"/>
    <s v="64-854-8664"/>
    <s v="19-893-7698"/>
    <d v="2024-08-16T00:00:00"/>
    <x v="34"/>
    <s v="No"/>
    <d v="2025-01-25T00:00:00"/>
    <d v="2024-08-16T00:00:00"/>
    <n v="162"/>
    <d v="2024-08-30T00:00:00"/>
    <n v="-148"/>
    <n v="3.2"/>
    <n v="79"/>
    <n v="3"/>
    <n v="36"/>
    <n v="4"/>
    <n v="46"/>
    <n v="0.2839506172839506"/>
    <n v="5.1999899792654221"/>
    <n v="29"/>
    <n v="0.41"/>
    <n v="184"/>
    <n v="5.3446525328105002E-4"/>
    <n v="147.20000000000002"/>
  </r>
  <r>
    <x v="47"/>
    <x v="4"/>
    <x v="293"/>
    <s v="08 Randy Junction"/>
    <x v="2"/>
    <s v="66-627-9752"/>
    <s v="87-839-6400"/>
    <d v="2024-08-17T00:00:00"/>
    <x v="199"/>
    <s v="No"/>
    <d v="2024-10-01T00:00:00"/>
    <d v="2024-08-17T00:00:00"/>
    <n v="45"/>
    <d v="2024-09-03T00:00:00"/>
    <n v="-28"/>
    <n v="9.6000000000000014"/>
    <n v="49"/>
    <n v="73"/>
    <n v="48"/>
    <n v="12"/>
    <n v="52"/>
    <n v="1.1555555555555554"/>
    <n v="5.1999899792654221"/>
    <n v="62"/>
    <n v="0.37"/>
    <n v="624"/>
    <n v="1.8125343372139956E-3"/>
    <n v="499.20000000000005"/>
  </r>
  <r>
    <x v="38"/>
    <x v="1"/>
    <x v="246"/>
    <s v="94451 Arkansas Park"/>
    <x v="1"/>
    <s v="62-795-7801"/>
    <s v="08-312-0872"/>
    <d v="2024-08-17T00:00:00"/>
    <x v="4"/>
    <s v="Yes"/>
    <d v="2024-08-17T00:00:00"/>
    <d v="2024-07-28T00:00:00"/>
    <n v="20"/>
    <d v="2024-11-23T00:00:00"/>
    <n v="98"/>
    <n v="1.4400000000000002"/>
    <n v="35"/>
    <n v="41"/>
    <n v="84"/>
    <n v="1.8"/>
    <n v="62"/>
    <n v="3.1"/>
    <n v="5.1999899792654221"/>
    <n v="14"/>
    <n v="-0.19"/>
    <n v="111.60000000000001"/>
    <n v="3.2416479492481081E-4"/>
    <n v="89.280000000000015"/>
  </r>
  <r>
    <x v="78"/>
    <x v="3"/>
    <x v="226"/>
    <s v="322 Birchwood Center"/>
    <x v="2"/>
    <s v="40-683-0283"/>
    <s v="27-060-9944"/>
    <d v="2024-08-17T00:00:00"/>
    <x v="292"/>
    <s v="Yes"/>
    <d v="2024-08-17T00:00:00"/>
    <d v="2024-05-04T00:00:00"/>
    <n v="105"/>
    <d v="2024-05-23T00:00:00"/>
    <n v="-86"/>
    <n v="1.6"/>
    <n v="27"/>
    <n v="64"/>
    <n v="78"/>
    <n v="2"/>
    <n v="57"/>
    <n v="0.54285714285714282"/>
    <n v="5.1999899792654221"/>
    <n v="4"/>
    <n v="0.77"/>
    <n v="114"/>
    <n v="3.3113608083717229E-4"/>
    <n v="91.2"/>
  </r>
  <r>
    <x v="84"/>
    <x v="3"/>
    <x v="54"/>
    <s v="5 Homewood Street"/>
    <x v="0"/>
    <s v="87-423-8486"/>
    <s v="12-947-4739"/>
    <d v="2024-08-17T00:00:00"/>
    <x v="40"/>
    <s v="Yes"/>
    <d v="2024-08-17T00:00:00"/>
    <d v="2024-03-21T00:00:00"/>
    <n v="149"/>
    <d v="2024-03-09T00:00:00"/>
    <n v="-161"/>
    <n v="2"/>
    <n v="63"/>
    <n v="4"/>
    <n v="46"/>
    <n v="2.5"/>
    <n v="40"/>
    <n v="0.26845637583892618"/>
    <n v="5.1999899792654221"/>
    <n v="69"/>
    <n v="0.93"/>
    <n v="100"/>
    <n v="2.9047024634839674E-4"/>
    <n v="80"/>
  </r>
  <r>
    <x v="15"/>
    <x v="0"/>
    <x v="230"/>
    <s v="3 Hooker Way"/>
    <x v="0"/>
    <s v="16-499-5059"/>
    <s v="09-090-6360"/>
    <d v="2024-08-18T00:00:00"/>
    <x v="44"/>
    <s v="No"/>
    <d v="2024-11-19T00:00:00"/>
    <d v="2024-08-18T00:00:00"/>
    <n v="93"/>
    <d v="2024-12-20T00:00:00"/>
    <n v="31"/>
    <n v="3.6"/>
    <n v="77"/>
    <n v="20"/>
    <n v="5"/>
    <n v="4.5"/>
    <n v="61"/>
    <n v="0.65591397849462363"/>
    <n v="5.1999899792654221"/>
    <n v="62"/>
    <n v="-0.73"/>
    <n v="274.5"/>
    <n v="7.9734082622634906E-4"/>
    <n v="219.6"/>
  </r>
  <r>
    <x v="29"/>
    <x v="3"/>
    <x v="198"/>
    <s v="8 Surrey Pass"/>
    <x v="0"/>
    <s v="05-334-2923"/>
    <s v="41-772-6271"/>
    <d v="2024-08-18T00:00:00"/>
    <x v="136"/>
    <s v="No"/>
    <d v="2024-11-22T00:00:00"/>
    <d v="2024-08-18T00:00:00"/>
    <n v="96"/>
    <d v="2024-05-16T00:00:00"/>
    <n v="-190"/>
    <n v="1.2000000000000002"/>
    <n v="14"/>
    <n v="74"/>
    <n v="71"/>
    <n v="1.5"/>
    <n v="37"/>
    <n v="0.38541666666666669"/>
    <n v="5.1999899792654221"/>
    <n v="22"/>
    <n v="-0.02"/>
    <n v="55.5"/>
    <n v="1.612109867233602E-4"/>
    <n v="44.400000000000006"/>
  </r>
  <r>
    <x v="105"/>
    <x v="6"/>
    <x v="321"/>
    <s v="2 Petterle Road"/>
    <x v="2"/>
    <s v="74-845-3299"/>
    <s v="21-792-1000"/>
    <d v="2024-08-18T00:00:00"/>
    <x v="194"/>
    <s v="No"/>
    <d v="2025-02-12T00:00:00"/>
    <d v="2024-08-18T00:00:00"/>
    <n v="178"/>
    <d v="2024-04-29T00:00:00"/>
    <n v="-289"/>
    <n v="6.4"/>
    <n v="63"/>
    <n v="92"/>
    <n v="26"/>
    <n v="8"/>
    <n v="93"/>
    <n v="0.52247191011235961"/>
    <n v="5.1999899792654221"/>
    <n v="99"/>
    <n v="0.41"/>
    <n v="744"/>
    <n v="2.1610986328320717E-3"/>
    <n v="595.20000000000005"/>
  </r>
  <r>
    <x v="53"/>
    <x v="3"/>
    <x v="83"/>
    <s v="57598 Russell Center"/>
    <x v="1"/>
    <s v="10-249-7928"/>
    <s v="69-861-0313"/>
    <d v="2024-08-18T00:00:00"/>
    <x v="324"/>
    <s v="Yes"/>
    <d v="2024-08-18T00:00:00"/>
    <d v="2024-04-03T00:00:00"/>
    <n v="137"/>
    <d v="2024-11-03T00:00:00"/>
    <n v="77"/>
    <n v="5.2"/>
    <n v="85"/>
    <n v="4"/>
    <n v="75"/>
    <n v="6.5"/>
    <n v="95"/>
    <n v="0.69343065693430661"/>
    <n v="5.1999899792654221"/>
    <n v="70"/>
    <n v="-0.06"/>
    <n v="617.5"/>
    <n v="1.7936537712013498E-3"/>
    <n v="494"/>
  </r>
  <r>
    <x v="27"/>
    <x v="4"/>
    <x v="151"/>
    <s v="73397 Steensland Circle"/>
    <x v="2"/>
    <s v="08-725-8156"/>
    <s v="32-196-4714"/>
    <d v="2024-08-18T00:00:00"/>
    <x v="150"/>
    <s v="No"/>
    <d v="2024-11-10T00:00:00"/>
    <d v="2024-08-18T00:00:00"/>
    <n v="84"/>
    <d v="2024-03-15T00:00:00"/>
    <n v="-240"/>
    <n v="5.6000000000000005"/>
    <n v="59"/>
    <n v="59"/>
    <n v="10"/>
    <n v="7"/>
    <n v="57"/>
    <n v="0.6785714285714286"/>
    <n v="5.1999899792654221"/>
    <n v="50"/>
    <n v="0.26"/>
    <n v="399"/>
    <n v="1.1589762829301031E-3"/>
    <n v="319.20000000000005"/>
  </r>
  <r>
    <x v="87"/>
    <x v="4"/>
    <x v="240"/>
    <s v="8 Autumn Leaf Drive"/>
    <x v="0"/>
    <s v="41-240-8856"/>
    <s v="28-162-7486"/>
    <d v="2024-08-18T00:00:00"/>
    <x v="20"/>
    <s v="Yes"/>
    <d v="2024-08-18T00:00:00"/>
    <d v="2024-05-29T00:00:00"/>
    <n v="81"/>
    <d v="2025-01-10T00:00:00"/>
    <n v="145"/>
    <n v="7.2"/>
    <n v="79"/>
    <n v="53"/>
    <n v="12"/>
    <n v="9"/>
    <n v="45"/>
    <n v="0.55555555555555558"/>
    <n v="5.1999899792654221"/>
    <n v="95"/>
    <n v="0.12"/>
    <n v="405"/>
    <n v="1.1764044977110068E-3"/>
    <n v="324"/>
  </r>
  <r>
    <x v="2"/>
    <x v="2"/>
    <x v="326"/>
    <s v="9463 Northland Court"/>
    <x v="1"/>
    <s v="35-257-9312"/>
    <s v="35-927-4986"/>
    <d v="2024-08-18T00:00:00"/>
    <x v="36"/>
    <s v="No"/>
    <d v="2024-10-12T00:00:00"/>
    <d v="2024-08-18T00:00:00"/>
    <n v="55"/>
    <d v="2024-04-06T00:00:00"/>
    <n v="-189"/>
    <n v="9.6000000000000014"/>
    <n v="80"/>
    <n v="100"/>
    <n v="48"/>
    <n v="12"/>
    <n v="100"/>
    <n v="1.8181818181818181"/>
    <n v="5.1999899792654221"/>
    <n v="28"/>
    <n v="-1.1100000000000001"/>
    <n v="1200"/>
    <n v="3.485642956180761E-3"/>
    <n v="960.00000000000011"/>
  </r>
  <r>
    <x v="21"/>
    <x v="0"/>
    <x v="326"/>
    <s v="41 Nelson Center"/>
    <x v="1"/>
    <s v="13-980-8804"/>
    <s v="20-608-1290"/>
    <d v="2024-08-19T00:00:00"/>
    <x v="199"/>
    <s v="No"/>
    <d v="2024-10-01T00:00:00"/>
    <d v="2024-08-19T00:00:00"/>
    <n v="43"/>
    <d v="2025-02-10T00:00:00"/>
    <n v="132"/>
    <n v="1.6"/>
    <n v="100"/>
    <n v="3"/>
    <n v="32"/>
    <n v="2"/>
    <n v="98"/>
    <n v="2.2790697674418605"/>
    <n v="5.1999899792654221"/>
    <n v="91"/>
    <n v="0.72"/>
    <n v="196"/>
    <n v="5.6932168284285758E-4"/>
    <n v="156.80000000000001"/>
  </r>
  <r>
    <x v="42"/>
    <x v="0"/>
    <x v="171"/>
    <s v="2633 Shasta Alley"/>
    <x v="1"/>
    <s v="68-977-6854"/>
    <s v="73-830-9633"/>
    <d v="2024-08-19T00:00:00"/>
    <x v="274"/>
    <s v="Yes"/>
    <d v="2024-08-19T00:00:00"/>
    <d v="2024-07-29T00:00:00"/>
    <n v="21"/>
    <d v="2024-03-02T00:00:00"/>
    <n v="-170"/>
    <n v="4"/>
    <n v="90"/>
    <n v="30"/>
    <n v="42"/>
    <n v="5"/>
    <n v="76"/>
    <n v="3.6190476190476191"/>
    <n v="5.1999899792654221"/>
    <n v="69"/>
    <n v="7.0000000000000007E-2"/>
    <n v="380"/>
    <n v="1.1037869361239076E-3"/>
    <n v="304"/>
  </r>
  <r>
    <x v="115"/>
    <x v="2"/>
    <x v="60"/>
    <s v="904 Del Mar Crossing"/>
    <x v="2"/>
    <s v="90-773-9557"/>
    <s v="02-165-5779"/>
    <d v="2024-08-20T00:00:00"/>
    <x v="124"/>
    <s v="Yes"/>
    <d v="2024-08-20T00:00:00"/>
    <d v="2024-06-30T00:00:00"/>
    <n v="51"/>
    <d v="2024-06-12T00:00:00"/>
    <n v="-69"/>
    <n v="2.4000000000000004"/>
    <n v="85"/>
    <n v="28"/>
    <n v="21"/>
    <n v="3"/>
    <n v="45"/>
    <n v="0.88235294117647056"/>
    <n v="5.1999899792654221"/>
    <n v="89"/>
    <n v="0.09"/>
    <n v="135"/>
    <n v="3.9213483257033563E-4"/>
    <n v="108.00000000000001"/>
  </r>
  <r>
    <x v="29"/>
    <x v="3"/>
    <x v="305"/>
    <s v="33774 Carberry Circle"/>
    <x v="2"/>
    <s v="89-328-9019"/>
    <s v="63-057-0462"/>
    <d v="2024-08-20T00:00:00"/>
    <x v="73"/>
    <s v="Yes"/>
    <d v="2024-08-20T00:00:00"/>
    <d v="2024-04-20T00:00:00"/>
    <n v="122"/>
    <d v="2024-12-08T00:00:00"/>
    <n v="110"/>
    <n v="1.2000000000000002"/>
    <n v="63"/>
    <n v="43"/>
    <n v="8"/>
    <n v="1.5"/>
    <n v="55"/>
    <n v="0.45081967213114754"/>
    <n v="5.1999899792654221"/>
    <n v="72"/>
    <n v="-0.98"/>
    <n v="82.5"/>
    <n v="2.3963795323742732E-4"/>
    <n v="66.000000000000014"/>
  </r>
  <r>
    <x v="75"/>
    <x v="2"/>
    <x v="342"/>
    <s v="2 Barby Lane"/>
    <x v="0"/>
    <s v="59-075-2457"/>
    <s v="18-733-2453"/>
    <d v="2024-08-21T00:00:00"/>
    <x v="237"/>
    <s v="No"/>
    <d v="2025-02-03T00:00:00"/>
    <d v="2024-08-21T00:00:00"/>
    <n v="166"/>
    <d v="2024-11-10T00:00:00"/>
    <n v="-85"/>
    <n v="2"/>
    <n v="97"/>
    <n v="26"/>
    <n v="15"/>
    <n v="2.5"/>
    <n v="33"/>
    <n v="0.19879518072289157"/>
    <n v="5.1999899792654221"/>
    <n v="58"/>
    <n v="-0.31"/>
    <n v="82.5"/>
    <n v="2.3963795323742732E-4"/>
    <n v="66"/>
  </r>
  <r>
    <x v="111"/>
    <x v="5"/>
    <x v="124"/>
    <s v="44638 Corscot Lane"/>
    <x v="1"/>
    <s v="31-627-6025"/>
    <s v="17-084-8551"/>
    <d v="2024-08-22T00:00:00"/>
    <x v="95"/>
    <s v="No"/>
    <d v="2024-09-03T00:00:00"/>
    <d v="2024-08-22T00:00:00"/>
    <n v="12"/>
    <d v="2025-01-20T00:00:00"/>
    <n v="139"/>
    <n v="2"/>
    <n v="56"/>
    <n v="62"/>
    <n v="64"/>
    <n v="2.5"/>
    <n v="56"/>
    <n v="4.666666666666667"/>
    <n v="5.1999899792654221"/>
    <n v="73"/>
    <n v="-0.76"/>
    <n v="140"/>
    <n v="4.0665834488775546E-4"/>
    <n v="112"/>
  </r>
  <r>
    <x v="47"/>
    <x v="4"/>
    <x v="211"/>
    <s v="4 Jay Terrace"/>
    <x v="0"/>
    <s v="28-824-9017"/>
    <s v="93-712-3934"/>
    <d v="2024-08-22T00:00:00"/>
    <x v="158"/>
    <s v="Yes"/>
    <d v="2024-08-22T00:00:00"/>
    <d v="2024-06-08T00:00:00"/>
    <n v="75"/>
    <d v="2024-06-14T00:00:00"/>
    <n v="-69"/>
    <n v="9.2000000000000011"/>
    <n v="19"/>
    <n v="94"/>
    <n v="17"/>
    <n v="11.5"/>
    <n v="96"/>
    <n v="1.28"/>
    <n v="5.1999899792654221"/>
    <n v="74"/>
    <n v="-0.3"/>
    <n v="1104"/>
    <n v="3.2067915196863001E-3"/>
    <n v="883.2"/>
  </r>
  <r>
    <x v="39"/>
    <x v="1"/>
    <x v="144"/>
    <s v="49476 Tony Hill"/>
    <x v="0"/>
    <s v="06-858-5680"/>
    <s v="63-231-2829"/>
    <d v="2024-08-22T00:00:00"/>
    <x v="154"/>
    <s v="No"/>
    <d v="2025-01-12T00:00:00"/>
    <d v="2024-08-22T00:00:00"/>
    <n v="143"/>
    <d v="2025-01-16T00:00:00"/>
    <n v="4"/>
    <n v="5.2"/>
    <n v="15"/>
    <n v="34"/>
    <n v="57"/>
    <n v="6.5"/>
    <n v="49"/>
    <n v="0.34265734265734266"/>
    <n v="5.1999899792654221"/>
    <n v="96"/>
    <n v="0.23"/>
    <n v="318.5"/>
    <n v="9.2514773461964362E-4"/>
    <n v="254.8"/>
  </r>
  <r>
    <x v="46"/>
    <x v="0"/>
    <x v="343"/>
    <s v="3645 Ridge Oak Drive"/>
    <x v="1"/>
    <s v="38-732-7667"/>
    <s v="88-663-3393"/>
    <d v="2024-08-23T00:00:00"/>
    <x v="161"/>
    <s v="No"/>
    <d v="2024-10-13T00:00:00"/>
    <d v="2024-08-23T00:00:00"/>
    <n v="51"/>
    <d v="2024-09-28T00:00:00"/>
    <n v="-15"/>
    <n v="2.8000000000000003"/>
    <n v="18"/>
    <n v="52"/>
    <n v="22"/>
    <n v="3.5"/>
    <n v="42"/>
    <n v="0.82352941176470584"/>
    <n v="5.1999899792654221"/>
    <n v="32"/>
    <n v="-0.96"/>
    <n v="147"/>
    <n v="4.2699126213214324E-4"/>
    <n v="117.60000000000001"/>
  </r>
  <r>
    <x v="105"/>
    <x v="6"/>
    <x v="333"/>
    <s v="20073 Northfield Way"/>
    <x v="0"/>
    <s v="85-237-3505"/>
    <s v="92-296-1266"/>
    <d v="2024-08-23T00:00:00"/>
    <x v="208"/>
    <s v="No"/>
    <d v="2024-11-13T00:00:00"/>
    <d v="2024-08-23T00:00:00"/>
    <n v="82"/>
    <d v="2024-11-03T00:00:00"/>
    <n v="-10"/>
    <n v="6.4"/>
    <n v="88"/>
    <n v="50"/>
    <n v="88"/>
    <n v="8"/>
    <n v="78"/>
    <n v="0.95121951219512191"/>
    <n v="5.1999899792654221"/>
    <n v="28"/>
    <n v="0.24"/>
    <n v="624"/>
    <n v="1.8125343372139956E-3"/>
    <n v="499.20000000000005"/>
  </r>
  <r>
    <x v="76"/>
    <x v="3"/>
    <x v="216"/>
    <s v="955 4th Road"/>
    <x v="0"/>
    <s v="73-117-6105"/>
    <s v="74-729-7466"/>
    <d v="2024-08-23T00:00:00"/>
    <x v="326"/>
    <s v="No"/>
    <d v="2024-09-17T00:00:00"/>
    <d v="2024-08-23T00:00:00"/>
    <n v="25"/>
    <d v="2025-01-23T00:00:00"/>
    <n v="128"/>
    <n v="2"/>
    <n v="44"/>
    <n v="48"/>
    <n v="77"/>
    <n v="2.5"/>
    <n v="67"/>
    <n v="2.68"/>
    <n v="5.1999899792654221"/>
    <n v="79"/>
    <n v="0.64"/>
    <n v="167.5"/>
    <n v="4.8653766263356455E-4"/>
    <n v="134"/>
  </r>
  <r>
    <x v="105"/>
    <x v="6"/>
    <x v="241"/>
    <s v="226 Calypso Road"/>
    <x v="2"/>
    <s v="46-436-5351"/>
    <s v="07-471-0050"/>
    <d v="2024-08-24T00:00:00"/>
    <x v="249"/>
    <s v="No"/>
    <d v="2024-09-30T00:00:00"/>
    <d v="2024-08-24T00:00:00"/>
    <n v="37"/>
    <d v="2024-04-16T00:00:00"/>
    <n v="-167"/>
    <n v="6.8000000000000007"/>
    <n v="80"/>
    <n v="54"/>
    <n v="21"/>
    <n v="8.5"/>
    <n v="81"/>
    <n v="2.189189189189189"/>
    <n v="5.1999899792654221"/>
    <n v="37"/>
    <n v="-0.18"/>
    <n v="688.5"/>
    <n v="1.9998876461087118E-3"/>
    <n v="550.80000000000007"/>
  </r>
  <r>
    <x v="54"/>
    <x v="3"/>
    <x v="156"/>
    <s v="3 Hermina Circle"/>
    <x v="2"/>
    <s v="56-303-5256"/>
    <s v="29-821-5359"/>
    <d v="2024-08-24T00:00:00"/>
    <x v="116"/>
    <s v="No"/>
    <d v="2024-11-17T00:00:00"/>
    <d v="2024-08-24T00:00:00"/>
    <n v="85"/>
    <d v="2024-03-21T00:00:00"/>
    <n v="-241"/>
    <n v="8"/>
    <n v="58"/>
    <n v="24"/>
    <n v="25"/>
    <n v="10"/>
    <n v="75"/>
    <n v="0.88235294117647056"/>
    <n v="5.1999899792654221"/>
    <n v="26"/>
    <n v="0.54"/>
    <n v="750"/>
    <n v="2.1785268476129755E-3"/>
    <n v="600"/>
  </r>
  <r>
    <x v="29"/>
    <x v="3"/>
    <x v="126"/>
    <s v="561 Blue Bill Park Road"/>
    <x v="0"/>
    <s v="57-394-1587"/>
    <s v="59-595-7531"/>
    <d v="2024-08-25T00:00:00"/>
    <x v="160"/>
    <s v="No"/>
    <d v="2025-02-17T00:00:00"/>
    <d v="2024-08-25T00:00:00"/>
    <n v="176"/>
    <d v="2024-10-30T00:00:00"/>
    <n v="-110"/>
    <n v="1.2000000000000002"/>
    <n v="57"/>
    <n v="63"/>
    <n v="41"/>
    <n v="1.5"/>
    <n v="53"/>
    <n v="0.30113636363636365"/>
    <n v="5.1999899792654221"/>
    <n v="94"/>
    <n v="0.65"/>
    <n v="79.5"/>
    <n v="2.3092384584697543E-4"/>
    <n v="63.600000000000009"/>
  </r>
  <r>
    <x v="50"/>
    <x v="4"/>
    <x v="185"/>
    <s v="05944 Scott Parkway"/>
    <x v="2"/>
    <s v="51-934-9117"/>
    <s v="34-389-9922"/>
    <d v="2024-08-25T00:00:00"/>
    <x v="4"/>
    <s v="Yes"/>
    <d v="2024-08-25T00:00:00"/>
    <d v="2024-07-28T00:00:00"/>
    <n v="28"/>
    <d v="2025-01-31T00:00:00"/>
    <n v="159"/>
    <n v="4.8000000000000007"/>
    <n v="30"/>
    <n v="55"/>
    <n v="4"/>
    <n v="6"/>
    <n v="56"/>
    <n v="2"/>
    <n v="5.1999899792654221"/>
    <n v="31"/>
    <n v="-0.77"/>
    <n v="336"/>
    <n v="9.7598002773061304E-4"/>
    <n v="268.80000000000007"/>
  </r>
  <r>
    <x v="65"/>
    <x v="3"/>
    <x v="217"/>
    <s v="6 Acker Street"/>
    <x v="2"/>
    <s v="77-377-1659"/>
    <s v="64-674-3902"/>
    <d v="2024-08-25T00:00:00"/>
    <x v="302"/>
    <s v="No"/>
    <d v="2025-01-22T00:00:00"/>
    <d v="2024-08-25T00:00:00"/>
    <n v="150"/>
    <d v="2024-06-19T00:00:00"/>
    <n v="-217"/>
    <n v="7.6000000000000005"/>
    <n v="74"/>
    <n v="22"/>
    <n v="91"/>
    <n v="9.5"/>
    <n v="24"/>
    <n v="0.16"/>
    <n v="5.1999899792654221"/>
    <n v="12"/>
    <n v="0.45"/>
    <n v="228"/>
    <n v="6.6227216167434458E-4"/>
    <n v="182.4"/>
  </r>
  <r>
    <x v="106"/>
    <x v="2"/>
    <x v="152"/>
    <s v="739 Swallow Road"/>
    <x v="2"/>
    <s v="27-262-2437"/>
    <s v="05-181-2682"/>
    <d v="2024-08-26T00:00:00"/>
    <x v="176"/>
    <s v="No"/>
    <d v="2024-11-20T00:00:00"/>
    <d v="2024-08-26T00:00:00"/>
    <n v="86"/>
    <d v="2024-10-09T00:00:00"/>
    <n v="-42"/>
    <n v="6.48"/>
    <n v="80"/>
    <n v="9"/>
    <n v="29"/>
    <n v="8.1"/>
    <n v="54"/>
    <n v="0.62790697674418605"/>
    <n v="5.1999899792654221"/>
    <n v="62"/>
    <n v="0.5"/>
    <n v="437.4"/>
    <n v="1.2705168575278874E-3"/>
    <n v="349.92"/>
  </r>
  <r>
    <x v="30"/>
    <x v="0"/>
    <x v="208"/>
    <s v="2 Basil Street"/>
    <x v="2"/>
    <s v="71-085-4290"/>
    <s v="26-593-3478"/>
    <d v="2024-08-26T00:00:00"/>
    <x v="129"/>
    <s v="No"/>
    <d v="2024-10-07T00:00:00"/>
    <d v="2024-08-26T00:00:00"/>
    <n v="42"/>
    <d v="2024-12-04T00:00:00"/>
    <n v="58"/>
    <n v="1.4400000000000002"/>
    <n v="31"/>
    <n v="98"/>
    <n v="72"/>
    <n v="1.8"/>
    <n v="91"/>
    <n v="2.1666666666666665"/>
    <n v="5.1999899792654221"/>
    <n v="29"/>
    <n v="-0.15"/>
    <n v="163.80000000000001"/>
    <n v="4.7579026351867392E-4"/>
    <n v="131.04000000000002"/>
  </r>
  <r>
    <x v="104"/>
    <x v="0"/>
    <x v="108"/>
    <s v="60241 Portage Point"/>
    <x v="0"/>
    <s v="87-675-1506"/>
    <s v="21-697-8128"/>
    <d v="2024-08-26T00:00:00"/>
    <x v="132"/>
    <s v="No"/>
    <d v="2024-12-07T00:00:00"/>
    <d v="2024-08-26T00:00:00"/>
    <n v="103"/>
    <d v="2024-05-21T00:00:00"/>
    <n v="-200"/>
    <n v="4.7200000000000006"/>
    <n v="31"/>
    <n v="89"/>
    <n v="7"/>
    <n v="5.9"/>
    <n v="46"/>
    <n v="0.44660194174757284"/>
    <n v="5.1999899792654221"/>
    <n v="54"/>
    <n v="0.68"/>
    <n v="271.40000000000003"/>
    <n v="7.8833624858954884E-4"/>
    <n v="217.12000000000003"/>
  </r>
  <r>
    <x v="65"/>
    <x v="3"/>
    <x v="0"/>
    <s v="5426 Fordem Pass"/>
    <x v="1"/>
    <s v="77-224-2227"/>
    <s v="89-226-5813"/>
    <d v="2024-08-26T00:00:00"/>
    <x v="249"/>
    <s v="No"/>
    <d v="2024-09-30T00:00:00"/>
    <d v="2024-08-26T00:00:00"/>
    <n v="35"/>
    <d v="2024-10-26T00:00:00"/>
    <n v="26"/>
    <n v="7.6000000000000005"/>
    <n v="75"/>
    <n v="46"/>
    <n v="75"/>
    <n v="9.5"/>
    <n v="43"/>
    <n v="1.2285714285714286"/>
    <n v="5.1999899792654221"/>
    <n v="77"/>
    <n v="-0.17"/>
    <n v="408.5"/>
    <n v="1.1865709563332006E-3"/>
    <n v="326.8"/>
  </r>
  <r>
    <x v="21"/>
    <x v="0"/>
    <x v="150"/>
    <s v="15 Veith Circle"/>
    <x v="1"/>
    <s v="94-658-4945"/>
    <s v="09-153-0763"/>
    <d v="2024-08-27T00:00:00"/>
    <x v="194"/>
    <s v="No"/>
    <d v="2025-02-12T00:00:00"/>
    <d v="2024-08-27T00:00:00"/>
    <n v="169"/>
    <d v="2024-05-08T00:00:00"/>
    <n v="-280"/>
    <n v="1.6"/>
    <n v="65"/>
    <n v="10"/>
    <n v="81"/>
    <n v="2"/>
    <n v="71"/>
    <n v="0.42011834319526625"/>
    <n v="5.1999899792654221"/>
    <n v="61"/>
    <n v="-0.79"/>
    <n v="142"/>
    <n v="4.1246774981472341E-4"/>
    <n v="113.60000000000001"/>
  </r>
  <r>
    <x v="14"/>
    <x v="0"/>
    <x v="67"/>
    <s v="1 Hudson Hill"/>
    <x v="0"/>
    <s v="15-562-3712"/>
    <s v="53-243-7800"/>
    <d v="2024-08-27T00:00:00"/>
    <x v="289"/>
    <s v="Yes"/>
    <d v="2024-08-27T00:00:00"/>
    <d v="2024-06-20T00:00:00"/>
    <n v="68"/>
    <d v="2024-10-28T00:00:00"/>
    <n v="62"/>
    <n v="2"/>
    <n v="33"/>
    <n v="89"/>
    <n v="15"/>
    <n v="2.5"/>
    <n v="90"/>
    <n v="1.3235294117647058"/>
    <n v="5.1999899792654221"/>
    <n v="52"/>
    <n v="0.14000000000000001"/>
    <n v="225"/>
    <n v="6.5355805428389264E-4"/>
    <n v="180"/>
  </r>
  <r>
    <x v="9"/>
    <x v="2"/>
    <x v="344"/>
    <s v="15658 Talisman Lane"/>
    <x v="1"/>
    <s v="98-546-7398"/>
    <s v="37-921-2953"/>
    <d v="2024-08-27T00:00:00"/>
    <x v="112"/>
    <s v="Yes"/>
    <d v="2024-08-27T00:00:00"/>
    <d v="2024-05-03T00:00:00"/>
    <n v="116"/>
    <d v="2024-04-17T00:00:00"/>
    <n v="-132"/>
    <n v="1.4000000000000001"/>
    <n v="80"/>
    <n v="69"/>
    <n v="71"/>
    <n v="1.75"/>
    <n v="41"/>
    <n v="0.35344827586206895"/>
    <n v="5.1999899792654221"/>
    <n v="43"/>
    <n v="0.42"/>
    <n v="71.75"/>
    <n v="2.0841240175497466E-4"/>
    <n v="57.400000000000006"/>
  </r>
  <r>
    <x v="16"/>
    <x v="2"/>
    <x v="51"/>
    <s v="35 Portage Road"/>
    <x v="0"/>
    <s v="36-177-0573"/>
    <s v="62-687-0951"/>
    <d v="2024-08-27T00:00:00"/>
    <x v="127"/>
    <s v="No"/>
    <d v="2024-10-02T00:00:00"/>
    <d v="2024-08-27T00:00:00"/>
    <n v="36"/>
    <d v="2024-04-13T00:00:00"/>
    <n v="-172"/>
    <n v="2"/>
    <n v="92"/>
    <n v="1"/>
    <n v="23"/>
    <n v="2.5"/>
    <n v="78"/>
    <n v="2.1666666666666665"/>
    <n v="5.1999899792654221"/>
    <n v="36"/>
    <n v="-0.05"/>
    <n v="195"/>
    <n v="5.6641698037937364E-4"/>
    <n v="156"/>
  </r>
  <r>
    <x v="92"/>
    <x v="3"/>
    <x v="187"/>
    <s v="308 Doe Crossing Pass"/>
    <x v="0"/>
    <s v="39-358-3340"/>
    <s v="86-841-4440"/>
    <d v="2024-08-27T00:00:00"/>
    <x v="72"/>
    <s v="Yes"/>
    <d v="2024-08-27T00:00:00"/>
    <d v="2024-03-25T00:00:00"/>
    <n v="155"/>
    <d v="2024-03-14T00:00:00"/>
    <n v="-166"/>
    <n v="3.6"/>
    <n v="71"/>
    <n v="60"/>
    <n v="62"/>
    <n v="4.5"/>
    <n v="60"/>
    <n v="0.38709677419354838"/>
    <n v="5.1999899792654221"/>
    <n v="63"/>
    <n v="0.54"/>
    <n v="270"/>
    <n v="7.8426966514067126E-4"/>
    <n v="216"/>
  </r>
  <r>
    <x v="33"/>
    <x v="3"/>
    <x v="267"/>
    <s v="127 Eliot Road"/>
    <x v="1"/>
    <s v="11-733-1756"/>
    <s v="27-970-8649"/>
    <d v="2024-08-28T00:00:00"/>
    <x v="266"/>
    <s v="No"/>
    <d v="2024-11-27T00:00:00"/>
    <d v="2024-08-28T00:00:00"/>
    <n v="91"/>
    <d v="2025-02-24T00:00:00"/>
    <n v="89"/>
    <n v="1.6"/>
    <n v="52"/>
    <n v="81"/>
    <n v="53"/>
    <n v="2"/>
    <n v="95"/>
    <n v="1.043956043956044"/>
    <n v="5.1999899792654221"/>
    <n v="88"/>
    <n v="-0.05"/>
    <n v="190"/>
    <n v="5.518934680619538E-4"/>
    <n v="152"/>
  </r>
  <r>
    <x v="117"/>
    <x v="0"/>
    <x v="233"/>
    <s v="3 Bunting Point"/>
    <x v="0"/>
    <s v="01-026-2772"/>
    <s v="20-532-0144"/>
    <d v="2024-08-28T00:00:00"/>
    <x v="327"/>
    <s v="Yes"/>
    <d v="2024-08-28T00:00:00"/>
    <d v="2024-06-11T00:00:00"/>
    <n v="78"/>
    <d v="2024-05-27T00:00:00"/>
    <n v="-93"/>
    <n v="8"/>
    <n v="40"/>
    <n v="61"/>
    <n v="47"/>
    <n v="10"/>
    <n v="76"/>
    <n v="0.97435897435897434"/>
    <n v="5.1999899792654221"/>
    <n v="10"/>
    <n v="7.0000000000000007E-2"/>
    <n v="760"/>
    <n v="2.2075738722478152E-3"/>
    <n v="608"/>
  </r>
  <r>
    <x v="43"/>
    <x v="1"/>
    <x v="161"/>
    <s v="6 Harbort Hill"/>
    <x v="2"/>
    <s v="84-198-7276"/>
    <s v="34-158-6684"/>
    <d v="2024-08-29T00:00:00"/>
    <x v="54"/>
    <s v="No"/>
    <d v="2025-01-16T00:00:00"/>
    <d v="2024-08-29T00:00:00"/>
    <n v="140"/>
    <d v="2024-06-15T00:00:00"/>
    <n v="-215"/>
    <n v="3.2"/>
    <n v="60"/>
    <n v="88"/>
    <n v="65"/>
    <n v="4"/>
    <n v="94"/>
    <n v="0.67142857142857137"/>
    <n v="5.1999899792654221"/>
    <n v="15"/>
    <n v="0.87"/>
    <n v="376"/>
    <n v="1.0921681262699718E-3"/>
    <n v="300.8"/>
  </r>
  <r>
    <x v="119"/>
    <x v="4"/>
    <x v="224"/>
    <s v="376 Reinke Court"/>
    <x v="1"/>
    <s v="56-810-0550"/>
    <s v="94-145-9423"/>
    <d v="2024-08-29T00:00:00"/>
    <x v="211"/>
    <s v="No"/>
    <d v="2024-12-02T00:00:00"/>
    <d v="2024-08-29T00:00:00"/>
    <n v="95"/>
    <d v="2024-09-04T00:00:00"/>
    <n v="-89"/>
    <n v="6"/>
    <n v="71"/>
    <n v="7"/>
    <n v="6"/>
    <n v="7.5"/>
    <n v="52"/>
    <n v="0.54736842105263162"/>
    <n v="5.1999899792654221"/>
    <n v="68"/>
    <n v="0.84"/>
    <n v="390"/>
    <n v="1.1328339607587473E-3"/>
    <n v="312"/>
  </r>
  <r>
    <x v="46"/>
    <x v="0"/>
    <x v="187"/>
    <s v="3 Ronald Regan Center"/>
    <x v="0"/>
    <s v="40-751-8635"/>
    <s v="48-878-3021"/>
    <d v="2024-08-30T00:00:00"/>
    <x v="66"/>
    <s v="No"/>
    <d v="2024-10-17T00:00:00"/>
    <d v="2024-08-30T00:00:00"/>
    <n v="48"/>
    <d v="2024-03-05T00:00:00"/>
    <n v="-226"/>
    <n v="2.72"/>
    <n v="44"/>
    <n v="80"/>
    <n v="84"/>
    <n v="3.4"/>
    <n v="96"/>
    <n v="2"/>
    <n v="5.1999899792654221"/>
    <n v="68"/>
    <n v="-0.31"/>
    <n v="326.39999999999998"/>
    <n v="9.4809488408116691E-4"/>
    <n v="261.12"/>
  </r>
  <r>
    <x v="52"/>
    <x v="3"/>
    <x v="136"/>
    <s v="43107 Schlimgen Circle"/>
    <x v="2"/>
    <s v="14-305-9690"/>
    <s v="13-457-9946"/>
    <d v="2024-08-30T00:00:00"/>
    <x v="177"/>
    <s v="Yes"/>
    <d v="2024-08-30T00:00:00"/>
    <d v="2024-06-29T00:00:00"/>
    <n v="62"/>
    <d v="2024-03-10T00:00:00"/>
    <n v="-173"/>
    <n v="3.44"/>
    <n v="19"/>
    <n v="17"/>
    <n v="14"/>
    <n v="4.3"/>
    <n v="58"/>
    <n v="0.93548387096774188"/>
    <n v="5.1999899792654221"/>
    <n v="23"/>
    <n v="0.28999999999999998"/>
    <n v="249.39999999999998"/>
    <n v="7.244327943929014E-4"/>
    <n v="199.52"/>
  </r>
  <r>
    <x v="92"/>
    <x v="3"/>
    <x v="38"/>
    <s v="28 Boyd Pass"/>
    <x v="2"/>
    <s v="83-727-0814"/>
    <s v="79-656-1990"/>
    <d v="2024-08-30T00:00:00"/>
    <x v="158"/>
    <s v="Yes"/>
    <d v="2024-08-30T00:00:00"/>
    <d v="2024-06-08T00:00:00"/>
    <n v="83"/>
    <d v="2024-06-05T00:00:00"/>
    <n v="-86"/>
    <n v="3.6"/>
    <n v="11"/>
    <n v="87"/>
    <n v="64"/>
    <n v="4.5"/>
    <n v="29"/>
    <n v="0.3493975903614458"/>
    <n v="5.1999899792654221"/>
    <n v="6"/>
    <n v="0.6"/>
    <n v="130.5"/>
    <n v="3.7906367148465777E-4"/>
    <n v="104.4"/>
  </r>
  <r>
    <x v="55"/>
    <x v="0"/>
    <x v="44"/>
    <s v="62238 Mallory Place"/>
    <x v="2"/>
    <s v="71-015-9181"/>
    <s v="56-196-9896"/>
    <d v="2024-08-30T00:00:00"/>
    <x v="222"/>
    <s v="Yes"/>
    <d v="2024-08-30T00:00:00"/>
    <d v="2024-08-27T00:00:00"/>
    <n v="3"/>
    <d v="2024-10-26T00:00:00"/>
    <n v="57"/>
    <n v="4.8000000000000007"/>
    <n v="22"/>
    <n v="35"/>
    <n v="55"/>
    <n v="6"/>
    <n v="41"/>
    <n v="13.666666666666666"/>
    <n v="5.1999899792654221"/>
    <n v="27"/>
    <n v="0.79"/>
    <n v="246"/>
    <n v="7.1455680601705603E-4"/>
    <n v="196.80000000000004"/>
  </r>
  <r>
    <x v="12"/>
    <x v="0"/>
    <x v="30"/>
    <s v="9516 Burrows Circle"/>
    <x v="0"/>
    <s v="51-572-5497"/>
    <s v="43-035-3382"/>
    <d v="2024-08-31T00:00:00"/>
    <x v="310"/>
    <s v="No"/>
    <d v="2025-02-13T00:00:00"/>
    <d v="2024-08-31T00:00:00"/>
    <n v="166"/>
    <d v="2024-04-28T00:00:00"/>
    <n v="-291"/>
    <n v="2.4000000000000004"/>
    <n v="15"/>
    <n v="44"/>
    <n v="88"/>
    <n v="3"/>
    <n v="56"/>
    <n v="0.33734939759036142"/>
    <n v="5.1999899792654221"/>
    <n v="12"/>
    <n v="0.34"/>
    <n v="168"/>
    <n v="4.8799001386530652E-4"/>
    <n v="134.40000000000003"/>
  </r>
  <r>
    <x v="55"/>
    <x v="0"/>
    <x v="237"/>
    <s v="1008 Welch Street"/>
    <x v="2"/>
    <s v="06-797-4963"/>
    <s v="41-821-0197"/>
    <d v="2024-08-31T00:00:00"/>
    <x v="271"/>
    <s v="Yes"/>
    <d v="2024-08-31T00:00:00"/>
    <d v="2024-08-15T00:00:00"/>
    <n v="16"/>
    <d v="2024-08-16T00:00:00"/>
    <n v="-15"/>
    <n v="4.8000000000000007"/>
    <n v="52"/>
    <n v="8"/>
    <n v="37"/>
    <n v="6"/>
    <n v="38"/>
    <n v="2.375"/>
    <n v="5.1999899792654221"/>
    <n v="81"/>
    <n v="0.79"/>
    <n v="228"/>
    <n v="6.6227216167434458E-4"/>
    <n v="182.40000000000003"/>
  </r>
  <r>
    <x v="8"/>
    <x v="2"/>
    <x v="145"/>
    <s v="1700 Briar Crest Parkway"/>
    <x v="1"/>
    <s v="42-141-5718"/>
    <s v="67-662-3444"/>
    <d v="2024-09-13T00:00:00"/>
    <x v="0"/>
    <s v="No"/>
    <d v="2025-01-06T00:00:00"/>
    <d v="2024-09-13T00:00:00"/>
    <n v="115"/>
    <d v="2024-12-26T00:00:00"/>
    <n v="-11"/>
    <n v="7.2"/>
    <n v="100"/>
    <n v="31"/>
    <n v="43"/>
    <n v="9"/>
    <n v="88"/>
    <n v="0.76521739130434785"/>
    <n v="5.1999899792654221"/>
    <n v="52"/>
    <n v="-1.1299999999999999"/>
    <n v="792"/>
    <n v="2.3005243510793023E-3"/>
    <n v="633.6"/>
  </r>
  <r>
    <x v="31"/>
    <x v="2"/>
    <x v="338"/>
    <s v="53 Homewood Alley"/>
    <x v="2"/>
    <s v="37-606-0510"/>
    <s v="09-489-6314"/>
    <d v="2024-09-13T00:00:00"/>
    <x v="314"/>
    <s v="Yes"/>
    <d v="2024-09-13T00:00:00"/>
    <d v="2024-06-09T00:00:00"/>
    <n v="96"/>
    <d v="2024-11-09T00:00:00"/>
    <n v="57"/>
    <n v="0.8"/>
    <n v="18"/>
    <n v="64"/>
    <n v="86"/>
    <n v="1"/>
    <n v="73"/>
    <n v="0.76041666666666663"/>
    <n v="5.1999899792654221"/>
    <n v="38"/>
    <n v="0.41"/>
    <n v="73"/>
    <n v="2.1204327983432962E-4"/>
    <n v="58.400000000000006"/>
  </r>
  <r>
    <x v="60"/>
    <x v="1"/>
    <x v="66"/>
    <s v="43591 East Road"/>
    <x v="2"/>
    <s v="44-480-9446"/>
    <s v="35-000-6015"/>
    <d v="2024-09-13T00:00:00"/>
    <x v="122"/>
    <s v="No"/>
    <d v="2025-02-19T00:00:00"/>
    <d v="2024-09-13T00:00:00"/>
    <n v="159"/>
    <d v="2024-03-14T00:00:00"/>
    <n v="-342"/>
    <n v="2"/>
    <n v="39"/>
    <n v="13"/>
    <n v="13"/>
    <n v="2.5"/>
    <n v="84"/>
    <n v="0.52830188679245282"/>
    <n v="5.1999899792654221"/>
    <n v="93"/>
    <n v="0.48"/>
    <n v="210"/>
    <n v="6.0998751733163314E-4"/>
    <n v="168"/>
  </r>
  <r>
    <x v="70"/>
    <x v="6"/>
    <x v="345"/>
    <s v="79 Cardinal Court"/>
    <x v="2"/>
    <s v="78-237-0277"/>
    <s v="50-314-5433"/>
    <d v="2024-09-15T00:00:00"/>
    <x v="198"/>
    <s v="No"/>
    <d v="2024-09-23T00:00:00"/>
    <d v="2024-09-15T00:00:00"/>
    <n v="8"/>
    <d v="2025-01-13T00:00:00"/>
    <n v="112"/>
    <n v="4"/>
    <n v="46"/>
    <n v="27"/>
    <n v="76"/>
    <n v="5"/>
    <n v="64"/>
    <n v="8"/>
    <n v="5.1999899792654221"/>
    <n v="96"/>
    <n v="-0.11"/>
    <n v="320"/>
    <n v="9.295047883148696E-4"/>
    <n v="256"/>
  </r>
  <r>
    <x v="112"/>
    <x v="0"/>
    <x v="158"/>
    <s v="26240 Maple Wood Place"/>
    <x v="0"/>
    <s v="87-997-0228"/>
    <s v="55-156-6528"/>
    <d v="2024-09-15T00:00:00"/>
    <x v="63"/>
    <s v="No"/>
    <d v="2024-10-24T00:00:00"/>
    <d v="2024-09-15T00:00:00"/>
    <n v="39"/>
    <d v="2024-12-27T00:00:00"/>
    <n v="64"/>
    <n v="2.4000000000000004"/>
    <n v="71"/>
    <n v="4"/>
    <n v="37"/>
    <n v="3"/>
    <n v="81"/>
    <n v="2.0769230769230771"/>
    <n v="5.1999899792654221"/>
    <n v="25"/>
    <n v="-0.5"/>
    <n v="243"/>
    <n v="7.0584269862660409E-4"/>
    <n v="194.40000000000003"/>
  </r>
  <r>
    <x v="19"/>
    <x v="3"/>
    <x v="105"/>
    <s v="78 Forest Dale Road"/>
    <x v="1"/>
    <s v="42-674-3917"/>
    <s v="26-080-4944"/>
    <d v="2024-09-15T00:00:00"/>
    <x v="73"/>
    <s v="Yes"/>
    <d v="2024-09-15T00:00:00"/>
    <d v="2024-04-20T00:00:00"/>
    <n v="148"/>
    <d v="2024-06-06T00:00:00"/>
    <n v="-101"/>
    <n v="2.12"/>
    <n v="41"/>
    <n v="76"/>
    <n v="47"/>
    <n v="2.65"/>
    <n v="50"/>
    <n v="0.33783783783783783"/>
    <n v="5.1999899792654221"/>
    <n v="50"/>
    <n v="0.69"/>
    <n v="132.5"/>
    <n v="3.8487307641162571E-4"/>
    <n v="106"/>
  </r>
  <r>
    <x v="36"/>
    <x v="6"/>
    <x v="339"/>
    <s v="25696 Westerfield Alley"/>
    <x v="2"/>
    <s v="28-185-7303"/>
    <s v="97-143-0641"/>
    <d v="2024-09-15T00:00:00"/>
    <x v="328"/>
    <s v="No"/>
    <d v="2025-01-21T00:00:00"/>
    <d v="2024-09-15T00:00:00"/>
    <n v="128"/>
    <d v="2024-10-22T00:00:00"/>
    <n v="-91"/>
    <n v="8"/>
    <n v="59"/>
    <n v="31"/>
    <n v="3"/>
    <n v="10"/>
    <n v="48"/>
    <n v="0.375"/>
    <n v="5.1999899792654221"/>
    <n v="51"/>
    <n v="0"/>
    <n v="480"/>
    <n v="1.3942571824723045E-3"/>
    <n v="384"/>
  </r>
  <r>
    <x v="101"/>
    <x v="4"/>
    <x v="346"/>
    <s v="56 Petterle Circle"/>
    <x v="2"/>
    <s v="45-852-2446"/>
    <s v="37-567-5710"/>
    <d v="2024-09-15T00:00:00"/>
    <x v="158"/>
    <s v="Yes"/>
    <d v="2024-09-15T00:00:00"/>
    <d v="2024-06-08T00:00:00"/>
    <n v="99"/>
    <d v="2024-11-29T00:00:00"/>
    <n v="75"/>
    <n v="12"/>
    <n v="73"/>
    <n v="12"/>
    <n v="28"/>
    <n v="15"/>
    <n v="89"/>
    <n v="0.89898989898989901"/>
    <n v="5.1999899792654221"/>
    <n v="92"/>
    <n v="-0.06"/>
    <n v="1335"/>
    <n v="3.8777777887510968E-3"/>
    <n v="1068"/>
  </r>
  <r>
    <x v="101"/>
    <x v="4"/>
    <x v="237"/>
    <s v="1247 Hoard Hill"/>
    <x v="2"/>
    <s v="56-831-6199"/>
    <s v="99-680-2351"/>
    <d v="2024-09-16T00:00:00"/>
    <x v="41"/>
    <s v="Yes"/>
    <d v="2024-09-16T00:00:00"/>
    <d v="2024-02-25T00:00:00"/>
    <n v="204"/>
    <d v="2024-08-14T00:00:00"/>
    <n v="-33"/>
    <n v="12"/>
    <n v="49"/>
    <n v="48"/>
    <n v="62"/>
    <n v="15"/>
    <n v="96"/>
    <n v="0.47058823529411764"/>
    <n v="5.1999899792654221"/>
    <n v="37"/>
    <n v="-0.03"/>
    <n v="1440"/>
    <n v="4.1827715474169131E-3"/>
    <n v="1152"/>
  </r>
  <r>
    <x v="56"/>
    <x v="0"/>
    <x v="313"/>
    <s v="700 Northland Crossing"/>
    <x v="1"/>
    <s v="82-538-4809"/>
    <s v="74-357-2990"/>
    <d v="2024-09-16T00:00:00"/>
    <x v="32"/>
    <s v="No"/>
    <d v="2024-11-05T00:00:00"/>
    <d v="2024-09-16T00:00:00"/>
    <n v="50"/>
    <d v="2024-10-24T00:00:00"/>
    <n v="-12"/>
    <n v="0.8"/>
    <n v="83"/>
    <n v="61"/>
    <n v="4"/>
    <n v="1"/>
    <n v="35"/>
    <n v="0.7"/>
    <n v="5.1999899792654221"/>
    <n v="7"/>
    <n v="0.61"/>
    <n v="35"/>
    <n v="1.0166458622193887E-4"/>
    <n v="28"/>
  </r>
  <r>
    <x v="63"/>
    <x v="0"/>
    <x v="27"/>
    <s v="8 Heffernan Point"/>
    <x v="2"/>
    <s v="87-698-0944"/>
    <s v="73-717-0190"/>
    <d v="2024-09-17T00:00:00"/>
    <x v="222"/>
    <s v="Yes"/>
    <d v="2024-09-17T00:00:00"/>
    <d v="2024-08-27T00:00:00"/>
    <n v="21"/>
    <d v="2025-02-02T00:00:00"/>
    <n v="138"/>
    <n v="78.744000000000014"/>
    <n v="56"/>
    <n v="12"/>
    <n v="59"/>
    <n v="98.43"/>
    <n v="35"/>
    <n v="1.6666666666666667"/>
    <n v="5.1999899792654221"/>
    <n v="16"/>
    <n v="0.8"/>
    <n v="3445.05"/>
    <n v="1.0006845221825442E-2"/>
    <n v="2756.0400000000004"/>
  </r>
  <r>
    <x v="96"/>
    <x v="0"/>
    <x v="347"/>
    <s v="39 Dovetail Terrace"/>
    <x v="2"/>
    <s v="30-964-2694"/>
    <s v="42-976-2737"/>
    <d v="2024-09-18T00:00:00"/>
    <x v="212"/>
    <s v="Yes"/>
    <d v="2024-09-18T00:00:00"/>
    <d v="2024-05-12T00:00:00"/>
    <n v="129"/>
    <d v="2024-06-30T00:00:00"/>
    <n v="-80"/>
    <n v="2.4000000000000004"/>
    <n v="48"/>
    <n v="72"/>
    <n v="55"/>
    <n v="3"/>
    <n v="51"/>
    <n v="0.39534883720930231"/>
    <n v="5.1999899792654221"/>
    <n v="41"/>
    <n v="0.54"/>
    <n v="153"/>
    <n v="4.4441947691304702E-4"/>
    <n v="122.40000000000002"/>
  </r>
  <r>
    <x v="84"/>
    <x v="3"/>
    <x v="226"/>
    <s v="5649 Vidon Plaza"/>
    <x v="2"/>
    <s v="09-335-7793"/>
    <s v="96-918-7047"/>
    <d v="2024-09-18T00:00:00"/>
    <x v="230"/>
    <s v="Yes"/>
    <d v="2024-09-18T00:00:00"/>
    <d v="2024-09-07T00:00:00"/>
    <n v="11"/>
    <d v="2024-06-01T00:00:00"/>
    <n v="-109"/>
    <n v="1.92"/>
    <n v="66"/>
    <n v="19"/>
    <n v="20"/>
    <n v="2.4"/>
    <n v="30"/>
    <n v="2.7272727272727271"/>
    <n v="5.1999899792654221"/>
    <n v="49"/>
    <n v="0.2"/>
    <n v="72"/>
    <n v="2.0913857737084565E-4"/>
    <n v="57.599999999999994"/>
  </r>
  <r>
    <x v="33"/>
    <x v="3"/>
    <x v="239"/>
    <s v="289 Longview Point"/>
    <x v="2"/>
    <s v="99-033-5661"/>
    <s v="32-458-6452"/>
    <d v="2024-09-19T00:00:00"/>
    <x v="231"/>
    <s v="No"/>
    <d v="2025-01-27T00:00:00"/>
    <d v="2024-09-19T00:00:00"/>
    <n v="130"/>
    <d v="2024-09-25T00:00:00"/>
    <n v="-124"/>
    <n v="1.6"/>
    <n v="42"/>
    <n v="3"/>
    <n v="21"/>
    <n v="2"/>
    <n v="35"/>
    <n v="0.26923076923076922"/>
    <n v="5.1999899792654221"/>
    <n v="22"/>
    <n v="-0.63"/>
    <n v="70"/>
    <n v="2.0332917244387773E-4"/>
    <n v="56"/>
  </r>
  <r>
    <x v="53"/>
    <x v="3"/>
    <x v="310"/>
    <s v="46989 Crescent Oaks Junction"/>
    <x v="1"/>
    <s v="90-128-7973"/>
    <s v="91-417-6283"/>
    <d v="2024-09-19T00:00:00"/>
    <x v="153"/>
    <s v="No"/>
    <d v="2024-10-31T00:00:00"/>
    <d v="2024-09-19T00:00:00"/>
    <n v="42"/>
    <d v="2024-03-13T00:00:00"/>
    <n v="-232"/>
    <n v="5"/>
    <n v="49"/>
    <n v="3"/>
    <n v="7"/>
    <n v="6.25"/>
    <n v="75"/>
    <n v="1.7857142857142858"/>
    <n v="5.1999899792654221"/>
    <n v="46"/>
    <n v="0.37"/>
    <n v="468.75"/>
    <n v="1.3615792797581098E-3"/>
    <n v="375"/>
  </r>
  <r>
    <x v="27"/>
    <x v="4"/>
    <x v="24"/>
    <s v="13799 Quincy Park"/>
    <x v="0"/>
    <s v="52-797-6961"/>
    <s v="75-793-8978"/>
    <d v="2024-09-19T00:00:00"/>
    <x v="223"/>
    <s v="Yes"/>
    <d v="2024-09-19T00:00:00"/>
    <d v="2024-06-07T00:00:00"/>
    <n v="104"/>
    <d v="2024-06-17T00:00:00"/>
    <n v="-94"/>
    <n v="5.6000000000000005"/>
    <n v="46"/>
    <n v="80"/>
    <n v="88"/>
    <n v="7"/>
    <n v="62"/>
    <n v="0.59615384615384615"/>
    <n v="5.1999899792654221"/>
    <n v="22"/>
    <n v="0.39"/>
    <n v="434"/>
    <n v="1.2606408691520419E-3"/>
    <n v="347.20000000000005"/>
  </r>
  <r>
    <x v="28"/>
    <x v="3"/>
    <x v="20"/>
    <s v="05433 Towne Terrace"/>
    <x v="0"/>
    <s v="39-232-5341"/>
    <s v="23-319-2681"/>
    <d v="2024-09-21T00:00:00"/>
    <x v="63"/>
    <s v="No"/>
    <d v="2024-10-24T00:00:00"/>
    <d v="2024-09-21T00:00:00"/>
    <n v="33"/>
    <d v="2025-02-15T00:00:00"/>
    <n v="114"/>
    <n v="3.6"/>
    <n v="20"/>
    <n v="34"/>
    <n v="74"/>
    <n v="4.5"/>
    <n v="50"/>
    <n v="1.5151515151515151"/>
    <n v="5.1999899792654221"/>
    <n v="83"/>
    <n v="0.65"/>
    <n v="225"/>
    <n v="6.5355805428389264E-4"/>
    <n v="180"/>
  </r>
  <r>
    <x v="49"/>
    <x v="2"/>
    <x v="22"/>
    <s v="44 Kensington Road"/>
    <x v="0"/>
    <s v="46-931-6897"/>
    <s v="22-946-8052"/>
    <d v="2024-09-21T00:00:00"/>
    <x v="68"/>
    <s v="Yes"/>
    <d v="2024-09-21T00:00:00"/>
    <d v="2024-06-15T00:00:00"/>
    <n v="98"/>
    <d v="2024-09-15T00:00:00"/>
    <n v="-6"/>
    <n v="2"/>
    <n v="29"/>
    <n v="32"/>
    <n v="26"/>
    <n v="2.5"/>
    <n v="64"/>
    <n v="0.65306122448979587"/>
    <n v="5.1999899792654221"/>
    <n v="85"/>
    <n v="-0.66"/>
    <n v="160"/>
    <n v="4.647523941574348E-4"/>
    <n v="128"/>
  </r>
  <r>
    <x v="49"/>
    <x v="2"/>
    <x v="348"/>
    <s v="668 Claremont Place"/>
    <x v="0"/>
    <s v="56-937-8675"/>
    <s v="37-996-3243"/>
    <d v="2024-09-21T00:00:00"/>
    <x v="313"/>
    <s v="Yes"/>
    <d v="2024-09-21T00:00:00"/>
    <d v="2024-05-31T00:00:00"/>
    <n v="113"/>
    <d v="2024-12-08T00:00:00"/>
    <n v="78"/>
    <n v="2"/>
    <n v="62"/>
    <n v="91"/>
    <n v="14"/>
    <n v="2.5"/>
    <n v="41"/>
    <n v="0.36283185840707965"/>
    <n v="5.1999899792654221"/>
    <n v="77"/>
    <n v="-0.33"/>
    <n v="102.5"/>
    <n v="2.9773200250710665E-4"/>
    <n v="82"/>
  </r>
  <r>
    <x v="27"/>
    <x v="4"/>
    <x v="342"/>
    <s v="674 Ryan Alley"/>
    <x v="1"/>
    <s v="54-830-6971"/>
    <s v="94-006-6480"/>
    <d v="2024-09-21T00:00:00"/>
    <x v="318"/>
    <s v="No"/>
    <d v="2024-12-25T00:00:00"/>
    <d v="2024-09-21T00:00:00"/>
    <n v="95"/>
    <d v="2024-05-18T00:00:00"/>
    <n v="-221"/>
    <n v="5.6000000000000005"/>
    <n v="100"/>
    <n v="61"/>
    <n v="21"/>
    <n v="7"/>
    <n v="85"/>
    <n v="0.89473684210526316"/>
    <n v="5.1999899792654221"/>
    <n v="79"/>
    <n v="-0.88"/>
    <n v="595"/>
    <n v="1.7282979657729607E-3"/>
    <n v="476.00000000000006"/>
  </r>
  <r>
    <x v="84"/>
    <x v="3"/>
    <x v="164"/>
    <s v="00029 Fisk Point"/>
    <x v="0"/>
    <s v="90-865-9150"/>
    <s v="58-053-4926"/>
    <d v="2024-09-22T00:00:00"/>
    <x v="212"/>
    <s v="Yes"/>
    <d v="2024-09-22T00:00:00"/>
    <d v="2024-05-12T00:00:00"/>
    <n v="133"/>
    <d v="2024-07-09T00:00:00"/>
    <n v="-75"/>
    <n v="2"/>
    <n v="28"/>
    <n v="24"/>
    <n v="97"/>
    <n v="2.5"/>
    <n v="82"/>
    <n v="0.61654135338345861"/>
    <n v="5.1999899792654221"/>
    <n v="5"/>
    <n v="7.0000000000000007E-2"/>
    <n v="205"/>
    <n v="5.954640050142133E-4"/>
    <n v="164"/>
  </r>
  <r>
    <x v="73"/>
    <x v="3"/>
    <x v="28"/>
    <s v="61224 Northridge Avenue"/>
    <x v="2"/>
    <s v="42-887-6557"/>
    <s v="49-092-2735"/>
    <d v="2024-09-23T00:00:00"/>
    <x v="78"/>
    <s v="Yes"/>
    <d v="2024-09-23T00:00:00"/>
    <d v="2024-07-10T00:00:00"/>
    <n v="75"/>
    <d v="2024-03-30T00:00:00"/>
    <n v="-177"/>
    <n v="1.2000000000000002"/>
    <n v="26"/>
    <n v="82"/>
    <n v="19"/>
    <n v="1.5"/>
    <n v="76"/>
    <n v="1.0133333333333334"/>
    <n v="5.1999899792654221"/>
    <n v="88"/>
    <n v="0.94"/>
    <n v="114"/>
    <n v="3.3113608083717229E-4"/>
    <n v="91.200000000000017"/>
  </r>
  <r>
    <x v="3"/>
    <x v="0"/>
    <x v="68"/>
    <s v="24385 Prentice Plaza"/>
    <x v="0"/>
    <s v="94-190-5193"/>
    <s v="95-778-2888"/>
    <d v="2024-09-23T00:00:00"/>
    <x v="306"/>
    <s v="No"/>
    <d v="2024-11-21T00:00:00"/>
    <d v="2024-09-23T00:00:00"/>
    <n v="59"/>
    <d v="2024-04-09T00:00:00"/>
    <n v="-226"/>
    <n v="1.2000000000000002"/>
    <n v="67"/>
    <n v="68"/>
    <n v="50"/>
    <n v="1.5"/>
    <n v="67"/>
    <n v="1.1355932203389831"/>
    <n v="5.1999899792654221"/>
    <n v="82"/>
    <n v="-0.16"/>
    <n v="100.5"/>
    <n v="2.9192259758013871E-4"/>
    <n v="80.400000000000006"/>
  </r>
  <r>
    <x v="117"/>
    <x v="0"/>
    <x v="122"/>
    <s v="052 Northland Trail"/>
    <x v="2"/>
    <s v="00-440-9568"/>
    <s v="43-605-2448"/>
    <d v="2024-09-23T00:00:00"/>
    <x v="317"/>
    <s v="Yes"/>
    <d v="2024-09-23T00:00:00"/>
    <d v="2024-09-04T00:00:00"/>
    <n v="19"/>
    <d v="2024-12-20T00:00:00"/>
    <n v="88"/>
    <n v="8"/>
    <n v="53"/>
    <n v="98"/>
    <n v="25"/>
    <n v="10"/>
    <n v="55"/>
    <n v="2.8947368421052633"/>
    <n v="5.1999899792654221"/>
    <n v="51"/>
    <n v="-0.22"/>
    <n v="550"/>
    <n v="1.5975863549161822E-3"/>
    <n v="440"/>
  </r>
  <r>
    <x v="43"/>
    <x v="1"/>
    <x v="177"/>
    <s v="0109 Stang Terrace"/>
    <x v="0"/>
    <s v="74-294-3760"/>
    <s v="81-233-6894"/>
    <d v="2024-09-23T00:00:00"/>
    <x v="215"/>
    <s v="No"/>
    <d v="2024-11-30T00:00:00"/>
    <d v="2024-09-23T00:00:00"/>
    <n v="68"/>
    <d v="2024-11-27T00:00:00"/>
    <n v="-3"/>
    <n v="3.2"/>
    <n v="49"/>
    <n v="17"/>
    <n v="54"/>
    <n v="4"/>
    <n v="45"/>
    <n v="0.66176470588235292"/>
    <n v="5.1999899792654221"/>
    <n v="96"/>
    <n v="7.0000000000000007E-2"/>
    <n v="180"/>
    <n v="5.2284644342711413E-4"/>
    <n v="144"/>
  </r>
  <r>
    <x v="9"/>
    <x v="2"/>
    <x v="37"/>
    <s v="8 Kensington Place"/>
    <x v="1"/>
    <s v="66-806-6051"/>
    <s v="19-875-5642"/>
    <d v="2024-09-23T00:00:00"/>
    <x v="329"/>
    <s v="Yes"/>
    <d v="2024-09-23T00:00:00"/>
    <d v="2024-07-01T00:00:00"/>
    <n v="84"/>
    <d v="2024-05-23T00:00:00"/>
    <n v="-123"/>
    <n v="1.36"/>
    <n v="63"/>
    <n v="12"/>
    <n v="82"/>
    <n v="1.7"/>
    <n v="56"/>
    <n v="0.66666666666666663"/>
    <n v="5.1999899792654221"/>
    <n v="31"/>
    <n v="-1.1299999999999999"/>
    <n v="95.2"/>
    <n v="2.7652767452367372E-4"/>
    <n v="76.160000000000011"/>
  </r>
  <r>
    <x v="102"/>
    <x v="0"/>
    <x v="222"/>
    <s v="16 Elgar Point"/>
    <x v="0"/>
    <s v="81-844-2979"/>
    <s v="02-575-7332"/>
    <d v="2024-09-24T00:00:00"/>
    <x v="330"/>
    <s v="No"/>
    <d v="2025-01-15T00:00:00"/>
    <d v="2024-09-24T00:00:00"/>
    <n v="113"/>
    <d v="2024-05-11T00:00:00"/>
    <n v="-249"/>
    <n v="3.2"/>
    <n v="73"/>
    <n v="87"/>
    <n v="46"/>
    <n v="4"/>
    <n v="47"/>
    <n v="0.41592920353982299"/>
    <n v="5.1999899792654221"/>
    <n v="67"/>
    <n v="0.45"/>
    <n v="188"/>
    <n v="5.4608406313498591E-4"/>
    <n v="150.4"/>
  </r>
  <r>
    <x v="62"/>
    <x v="4"/>
    <x v="100"/>
    <s v="239 Anderson Court"/>
    <x v="0"/>
    <s v="80-072-8774"/>
    <s v="61-222-8413"/>
    <d v="2024-09-24T00:00:00"/>
    <x v="309"/>
    <s v="Yes"/>
    <d v="2024-09-24T00:00:00"/>
    <d v="2024-07-06T00:00:00"/>
    <n v="80"/>
    <d v="2024-10-15T00:00:00"/>
    <n v="21"/>
    <n v="14.4"/>
    <n v="89"/>
    <n v="95"/>
    <n v="41"/>
    <n v="18"/>
    <n v="76"/>
    <n v="0.95"/>
    <n v="5.1999899792654221"/>
    <n v="96"/>
    <n v="-0.43"/>
    <n v="1368"/>
    <n v="3.9736329700460673E-3"/>
    <n v="1094.4000000000001"/>
  </r>
  <r>
    <x v="104"/>
    <x v="0"/>
    <x v="17"/>
    <s v="1 Havey Park"/>
    <x v="0"/>
    <s v="80-039-1261"/>
    <s v="37-994-7932"/>
    <d v="2024-09-25T00:00:00"/>
    <x v="234"/>
    <s v="No"/>
    <d v="2024-11-28T00:00:00"/>
    <d v="2024-09-25T00:00:00"/>
    <n v="64"/>
    <d v="2024-06-12T00:00:00"/>
    <n v="-169"/>
    <n v="4.8000000000000007"/>
    <n v="26"/>
    <n v="97"/>
    <n v="12"/>
    <n v="6"/>
    <n v="94"/>
    <n v="1.46875"/>
    <n v="5.1999899792654221"/>
    <n v="58"/>
    <n v="-0.26"/>
    <n v="564"/>
    <n v="1.6382521894049576E-3"/>
    <n v="451.20000000000005"/>
  </r>
  <r>
    <x v="11"/>
    <x v="1"/>
    <x v="55"/>
    <s v="938 Garrison Court"/>
    <x v="0"/>
    <s v="58-219-0241"/>
    <s v="42-523-1857"/>
    <d v="2024-09-26T00:00:00"/>
    <x v="212"/>
    <s v="Yes"/>
    <d v="2024-09-26T00:00:00"/>
    <d v="2024-05-12T00:00:00"/>
    <n v="137"/>
    <d v="2024-06-04T00:00:00"/>
    <n v="-114"/>
    <n v="8"/>
    <n v="50"/>
    <n v="36"/>
    <n v="81"/>
    <n v="10"/>
    <n v="27"/>
    <n v="0.19708029197080293"/>
    <n v="5.1999899792654221"/>
    <n v="6"/>
    <n v="0.38"/>
    <n v="270"/>
    <n v="7.8426966514067126E-4"/>
    <n v="216"/>
  </r>
  <r>
    <x v="87"/>
    <x v="4"/>
    <x v="270"/>
    <s v="21379 Stoughton Junction"/>
    <x v="2"/>
    <s v="94-528-8088"/>
    <s v="68-885-5553"/>
    <d v="2024-09-26T00:00:00"/>
    <x v="200"/>
    <s v="Yes"/>
    <d v="2024-09-26T00:00:00"/>
    <d v="2024-07-24T00:00:00"/>
    <n v="64"/>
    <d v="2024-03-08T00:00:00"/>
    <n v="-202"/>
    <n v="7.2"/>
    <n v="43"/>
    <n v="7"/>
    <n v="63"/>
    <n v="9"/>
    <n v="66"/>
    <n v="1.03125"/>
    <n v="5.1999899792654221"/>
    <n v="71"/>
    <n v="0.78"/>
    <n v="594"/>
    <n v="1.7253932633094766E-3"/>
    <n v="475.2"/>
  </r>
  <r>
    <x v="41"/>
    <x v="2"/>
    <x v="3"/>
    <s v="60 Towne Hill"/>
    <x v="2"/>
    <s v="95-349-0828"/>
    <s v="43-977-2343"/>
    <d v="2024-09-27T00:00:00"/>
    <x v="140"/>
    <s v="Yes"/>
    <d v="2024-09-27T00:00:00"/>
    <d v="2024-08-29T00:00:00"/>
    <n v="29"/>
    <d v="2025-02-06T00:00:00"/>
    <n v="132"/>
    <n v="5.6000000000000005"/>
    <n v="97"/>
    <n v="57"/>
    <n v="84"/>
    <n v="7"/>
    <n v="95"/>
    <n v="3.2758620689655173"/>
    <n v="5.1999899792654221"/>
    <n v="28"/>
    <n v="-0.08"/>
    <n v="665"/>
    <n v="1.9316271382168384E-3"/>
    <n v="532"/>
  </r>
  <r>
    <x v="47"/>
    <x v="4"/>
    <x v="196"/>
    <s v="96420 Briar Crest Lane"/>
    <x v="2"/>
    <s v="03-061-1344"/>
    <s v="85-211-5357"/>
    <d v="2024-09-27T00:00:00"/>
    <x v="331"/>
    <s v="Yes"/>
    <d v="2024-09-27T00:00:00"/>
    <d v="2024-07-19T00:00:00"/>
    <n v="70"/>
    <d v="2024-06-27T00:00:00"/>
    <n v="-92"/>
    <n v="9.6000000000000014"/>
    <n v="98"/>
    <n v="65"/>
    <n v="76"/>
    <n v="12"/>
    <n v="62"/>
    <n v="0.88571428571428568"/>
    <n v="5.1999899792654221"/>
    <n v="47"/>
    <n v="0.71"/>
    <n v="744"/>
    <n v="2.1610986328320717E-3"/>
    <n v="595.20000000000005"/>
  </r>
  <r>
    <x v="2"/>
    <x v="2"/>
    <x v="349"/>
    <s v="0 Fordem Place"/>
    <x v="1"/>
    <s v="67-984-5368"/>
    <s v="39-714-7313"/>
    <d v="2024-09-27T00:00:00"/>
    <x v="51"/>
    <s v="No"/>
    <d v="2024-10-04T00:00:00"/>
    <d v="2024-09-27T00:00:00"/>
    <n v="7"/>
    <d v="2024-07-28T00:00:00"/>
    <n v="-68"/>
    <n v="9.6000000000000014"/>
    <n v="52"/>
    <n v="56"/>
    <n v="34"/>
    <n v="12"/>
    <n v="31"/>
    <n v="4.4285714285714288"/>
    <n v="5.1999899792654221"/>
    <n v="69"/>
    <n v="0.24"/>
    <n v="372"/>
    <n v="1.0805493164160358E-3"/>
    <n v="297.60000000000002"/>
  </r>
  <r>
    <x v="120"/>
    <x v="3"/>
    <x v="151"/>
    <s v="365 Vera Terrace"/>
    <x v="2"/>
    <s v="44-782-1395"/>
    <s v="54-132-9762"/>
    <d v="2024-09-29T00:00:00"/>
    <x v="126"/>
    <s v="Yes"/>
    <d v="2024-09-29T00:00:00"/>
    <d v="2024-06-26T00:00:00"/>
    <n v="95"/>
    <d v="2024-11-17T00:00:00"/>
    <n v="49"/>
    <n v="1.2000000000000002"/>
    <n v="72"/>
    <n v="72"/>
    <n v="68"/>
    <n v="1.5"/>
    <n v="39"/>
    <n v="0.41052631578947368"/>
    <n v="5.1999899792654221"/>
    <n v="78"/>
    <n v="-1.23"/>
    <n v="58.5"/>
    <n v="1.6992509411381209E-4"/>
    <n v="46.800000000000004"/>
  </r>
  <r>
    <x v="56"/>
    <x v="0"/>
    <x v="79"/>
    <s v="43 Washington Street"/>
    <x v="0"/>
    <s v="75-927-9108"/>
    <s v="27-406-7972"/>
    <d v="2024-09-29T00:00:00"/>
    <x v="255"/>
    <s v="Yes"/>
    <d v="2024-09-29T00:00:00"/>
    <d v="2024-06-17T00:00:00"/>
    <n v="104"/>
    <d v="2024-07-02T00:00:00"/>
    <n v="-89"/>
    <n v="0.8"/>
    <n v="24"/>
    <n v="32"/>
    <n v="17"/>
    <n v="1"/>
    <n v="55"/>
    <n v="0.52884615384615385"/>
    <n v="5.1999899792654221"/>
    <n v="72"/>
    <n v="-1"/>
    <n v="55"/>
    <n v="1.597586354916182E-4"/>
    <n v="44"/>
  </r>
  <r>
    <x v="94"/>
    <x v="0"/>
    <x v="323"/>
    <s v="37 Browning Trail"/>
    <x v="0"/>
    <s v="78-614-4402"/>
    <s v="51-014-4287"/>
    <d v="2024-09-30T00:00:00"/>
    <x v="102"/>
    <s v="No"/>
    <d v="2025-02-14T00:00:00"/>
    <d v="2024-09-30T00:00:00"/>
    <n v="137"/>
    <d v="2024-04-25T00:00:00"/>
    <n v="-295"/>
    <n v="1.6"/>
    <n v="81"/>
    <n v="99"/>
    <n v="28"/>
    <n v="2"/>
    <n v="20"/>
    <n v="0.145985401459854"/>
    <n v="5.1999899792654221"/>
    <n v="85"/>
    <n v="-0.31"/>
    <n v="40"/>
    <n v="1.161880985393587E-4"/>
    <n v="32"/>
  </r>
  <r>
    <x v="104"/>
    <x v="0"/>
    <x v="6"/>
    <s v="32525 Marquette Park"/>
    <x v="0"/>
    <s v="01-903-5373"/>
    <s v="37-902-0286"/>
    <d v="2024-09-30T00:00:00"/>
    <x v="289"/>
    <s v="Yes"/>
    <d v="2024-09-30T00:00:00"/>
    <d v="2024-06-20T00:00:00"/>
    <n v="102"/>
    <d v="2024-06-21T00:00:00"/>
    <n v="-101"/>
    <n v="4.8000000000000007"/>
    <n v="94"/>
    <n v="77"/>
    <n v="89"/>
    <n v="6"/>
    <n v="40"/>
    <n v="0.39215686274509803"/>
    <n v="5.1999899792654221"/>
    <n v="84"/>
    <n v="-3.25"/>
    <n v="240"/>
    <n v="6.9712859123615225E-4"/>
    <n v="192.0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F5E611-17AA-45E6-9F32-A0C00ED2B7A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39:B361" firstHeaderRow="1" firstDataRow="1" firstDataCol="1" rowPageCount="1" colPageCount="1"/>
  <pivotFields count="31">
    <pivotField axis="axisRow" showAll="0" sortType="descending">
      <items count="122">
        <item x="57"/>
        <item x="65"/>
        <item x="7"/>
        <item x="95"/>
        <item x="42"/>
        <item x="20"/>
        <item x="28"/>
        <item x="68"/>
        <item x="11"/>
        <item x="63"/>
        <item x="92"/>
        <item x="0"/>
        <item x="77"/>
        <item x="53"/>
        <item x="70"/>
        <item x="117"/>
        <item x="29"/>
        <item x="102"/>
        <item x="76"/>
        <item x="115"/>
        <item x="109"/>
        <item x="82"/>
        <item x="56"/>
        <item x="91"/>
        <item x="3"/>
        <item x="14"/>
        <item x="10"/>
        <item x="8"/>
        <item x="107"/>
        <item x="37"/>
        <item x="64"/>
        <item x="81"/>
        <item x="6"/>
        <item x="85"/>
        <item x="103"/>
        <item x="97"/>
        <item x="49"/>
        <item x="30"/>
        <item x="13"/>
        <item x="110"/>
        <item x="45"/>
        <item x="75"/>
        <item x="79"/>
        <item x="16"/>
        <item x="18"/>
        <item x="83"/>
        <item x="41"/>
        <item x="4"/>
        <item x="89"/>
        <item x="59"/>
        <item x="66"/>
        <item x="94"/>
        <item x="26"/>
        <item x="105"/>
        <item x="87"/>
        <item x="100"/>
        <item x="116"/>
        <item x="80"/>
        <item x="24"/>
        <item x="23"/>
        <item x="86"/>
        <item x="5"/>
        <item x="40"/>
        <item x="32"/>
        <item x="73"/>
        <item x="119"/>
        <item x="22"/>
        <item x="31"/>
        <item x="118"/>
        <item x="98"/>
        <item x="69"/>
        <item x="93"/>
        <item x="44"/>
        <item x="48"/>
        <item x="12"/>
        <item x="38"/>
        <item x="114"/>
        <item x="2"/>
        <item x="67"/>
        <item x="43"/>
        <item x="15"/>
        <item x="96"/>
        <item x="46"/>
        <item x="51"/>
        <item x="55"/>
        <item x="99"/>
        <item x="84"/>
        <item x="120"/>
        <item x="33"/>
        <item x="17"/>
        <item x="36"/>
        <item x="74"/>
        <item x="101"/>
        <item x="50"/>
        <item x="39"/>
        <item x="61"/>
        <item x="34"/>
        <item x="25"/>
        <item x="90"/>
        <item x="104"/>
        <item x="60"/>
        <item x="52"/>
        <item x="21"/>
        <item x="106"/>
        <item x="27"/>
        <item x="88"/>
        <item x="47"/>
        <item x="62"/>
        <item x="113"/>
        <item x="1"/>
        <item x="112"/>
        <item x="58"/>
        <item x="111"/>
        <item x="72"/>
        <item x="78"/>
        <item x="71"/>
        <item x="35"/>
        <item x="19"/>
        <item x="54"/>
        <item x="9"/>
        <item x="1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14" showAll="0"/>
    <pivotField numFmtId="14" showAll="0">
      <items count="333">
        <item x="41"/>
        <item x="151"/>
        <item x="143"/>
        <item x="235"/>
        <item x="108"/>
        <item x="272"/>
        <item x="15"/>
        <item x="182"/>
        <item x="283"/>
        <item x="202"/>
        <item x="58"/>
        <item x="156"/>
        <item x="282"/>
        <item x="76"/>
        <item x="137"/>
        <item x="226"/>
        <item x="207"/>
        <item x="251"/>
        <item x="258"/>
        <item x="188"/>
        <item x="13"/>
        <item x="147"/>
        <item x="35"/>
        <item x="180"/>
        <item x="40"/>
        <item x="72"/>
        <item x="319"/>
        <item x="322"/>
        <item x="50"/>
        <item x="305"/>
        <item x="81"/>
        <item x="241"/>
        <item x="170"/>
        <item x="287"/>
        <item x="324"/>
        <item x="80"/>
        <item x="42"/>
        <item x="11"/>
        <item x="109"/>
        <item x="315"/>
        <item x="135"/>
        <item x="14"/>
        <item x="145"/>
        <item x="168"/>
        <item x="99"/>
        <item x="268"/>
        <item x="280"/>
        <item x="221"/>
        <item x="190"/>
        <item x="224"/>
        <item x="73"/>
        <item x="118"/>
        <item x="90"/>
        <item x="79"/>
        <item x="325"/>
        <item x="166"/>
        <item x="133"/>
        <item x="228"/>
        <item x="110"/>
        <item x="214"/>
        <item x="112"/>
        <item x="292"/>
        <item x="261"/>
        <item x="178"/>
        <item x="293"/>
        <item x="243"/>
        <item x="204"/>
        <item x="278"/>
        <item x="281"/>
        <item x="212"/>
        <item x="294"/>
        <item x="104"/>
        <item x="288"/>
        <item x="138"/>
        <item x="115"/>
        <item x="1"/>
        <item x="47"/>
        <item x="246"/>
        <item x="142"/>
        <item x="253"/>
        <item x="183"/>
        <item x="240"/>
        <item x="65"/>
        <item x="308"/>
        <item x="75"/>
        <item x="20"/>
        <item x="313"/>
        <item x="134"/>
        <item x="10"/>
        <item x="8"/>
        <item x="276"/>
        <item x="217"/>
        <item x="149"/>
        <item x="223"/>
        <item x="158"/>
        <item x="314"/>
        <item x="25"/>
        <item x="327"/>
        <item x="301"/>
        <item x="46"/>
        <item x="123"/>
        <item x="68"/>
        <item x="74"/>
        <item x="255"/>
        <item x="227"/>
        <item x="236"/>
        <item x="289"/>
        <item x="159"/>
        <item x="125"/>
        <item x="71"/>
        <item x="197"/>
        <item x="126"/>
        <item x="88"/>
        <item x="219"/>
        <item x="177"/>
        <item x="124"/>
        <item x="329"/>
        <item x="103"/>
        <item x="17"/>
        <item x="24"/>
        <item x="12"/>
        <item x="309"/>
        <item x="100"/>
        <item x="22"/>
        <item x="60"/>
        <item x="78"/>
        <item x="55"/>
        <item x="67"/>
        <item x="285"/>
        <item x="23"/>
        <item x="107"/>
        <item x="191"/>
        <item x="48"/>
        <item x="298"/>
        <item x="331"/>
        <item x="303"/>
        <item x="84"/>
        <item x="184"/>
        <item x="200"/>
        <item x="259"/>
        <item x="19"/>
        <item x="174"/>
        <item x="4"/>
        <item x="274"/>
        <item x="179"/>
        <item x="229"/>
        <item x="167"/>
        <item x="139"/>
        <item x="216"/>
        <item x="270"/>
        <item x="323"/>
        <item x="5"/>
        <item x="300"/>
        <item x="173"/>
        <item x="195"/>
        <item x="93"/>
        <item x="254"/>
        <item x="242"/>
        <item x="271"/>
        <item x="59"/>
        <item x="16"/>
        <item x="279"/>
        <item x="69"/>
        <item x="30"/>
        <item x="321"/>
        <item x="163"/>
        <item x="196"/>
        <item x="38"/>
        <item x="297"/>
        <item x="238"/>
        <item x="222"/>
        <item x="39"/>
        <item x="140"/>
        <item x="64"/>
        <item x="213"/>
        <item x="256"/>
        <item x="95"/>
        <item x="317"/>
        <item x="291"/>
        <item x="269"/>
        <item x="230"/>
        <item x="262"/>
        <item x="233"/>
        <item x="89"/>
        <item x="155"/>
        <item x="286"/>
        <item x="295"/>
        <item x="192"/>
        <item x="85"/>
        <item x="326"/>
        <item x="264"/>
        <item x="218"/>
        <item x="205"/>
        <item x="86"/>
        <item x="198"/>
        <item x="273"/>
        <item x="77"/>
        <item x="53"/>
        <item x="94"/>
        <item x="37"/>
        <item x="249"/>
        <item x="199"/>
        <item x="127"/>
        <item x="33"/>
        <item x="51"/>
        <item x="206"/>
        <item x="311"/>
        <item x="129"/>
        <item x="96"/>
        <item x="171"/>
        <item x="57"/>
        <item x="36"/>
        <item x="161"/>
        <item x="43"/>
        <item x="172"/>
        <item x="66"/>
        <item x="307"/>
        <item x="252"/>
        <item x="263"/>
        <item x="304"/>
        <item x="52"/>
        <item x="98"/>
        <item x="63"/>
        <item x="209"/>
        <item x="148"/>
        <item x="92"/>
        <item x="193"/>
        <item x="220"/>
        <item x="210"/>
        <item x="153"/>
        <item x="28"/>
        <item x="119"/>
        <item x="56"/>
        <item x="32"/>
        <item x="316"/>
        <item x="105"/>
        <item x="82"/>
        <item x="9"/>
        <item x="150"/>
        <item x="169"/>
        <item x="181"/>
        <item x="208"/>
        <item x="260"/>
        <item x="245"/>
        <item x="116"/>
        <item x="187"/>
        <item x="44"/>
        <item x="176"/>
        <item x="306"/>
        <item x="136"/>
        <item x="29"/>
        <item x="157"/>
        <item x="113"/>
        <item x="26"/>
        <item x="266"/>
        <item x="234"/>
        <item x="70"/>
        <item x="215"/>
        <item x="18"/>
        <item x="211"/>
        <item x="114"/>
        <item x="203"/>
        <item x="320"/>
        <item x="61"/>
        <item x="132"/>
        <item x="83"/>
        <item x="87"/>
        <item x="62"/>
        <item x="165"/>
        <item x="3"/>
        <item x="152"/>
        <item x="144"/>
        <item x="239"/>
        <item x="244"/>
        <item x="146"/>
        <item x="31"/>
        <item x="121"/>
        <item x="2"/>
        <item x="21"/>
        <item x="130"/>
        <item x="318"/>
        <item x="111"/>
        <item x="162"/>
        <item x="275"/>
        <item x="201"/>
        <item x="117"/>
        <item x="284"/>
        <item x="0"/>
        <item x="27"/>
        <item x="141"/>
        <item x="97"/>
        <item x="154"/>
        <item x="277"/>
        <item x="120"/>
        <item x="330"/>
        <item x="54"/>
        <item x="128"/>
        <item x="189"/>
        <item x="186"/>
        <item x="185"/>
        <item x="328"/>
        <item x="302"/>
        <item x="91"/>
        <item x="49"/>
        <item x="34"/>
        <item x="231"/>
        <item x="296"/>
        <item x="6"/>
        <item x="267"/>
        <item x="45"/>
        <item x="299"/>
        <item x="237"/>
        <item x="247"/>
        <item x="101"/>
        <item x="290"/>
        <item x="232"/>
        <item x="164"/>
        <item x="265"/>
        <item x="257"/>
        <item x="194"/>
        <item x="310"/>
        <item x="102"/>
        <item x="225"/>
        <item x="131"/>
        <item x="160"/>
        <item x="175"/>
        <item x="122"/>
        <item x="248"/>
        <item x="106"/>
        <item x="312"/>
        <item x="7"/>
        <item x="250"/>
        <item t="default"/>
      </items>
    </pivotField>
    <pivotField showAll="0"/>
    <pivotField numFmtId="166" showAll="0"/>
    <pivotField numFmtId="166" showAll="0"/>
    <pivotField numFmtId="1" showAll="0"/>
    <pivotField numFmtId="14" showAll="0"/>
    <pivotField numFmtId="2" showAll="0"/>
    <pivotField numFmtId="8" showAll="0"/>
    <pivotField showAll="0"/>
    <pivotField showAll="0"/>
    <pivotField showAll="0"/>
    <pivotField numFmtId="8" showAll="0"/>
    <pivotField showAll="0"/>
    <pivotField numFmtId="43" showAll="0"/>
    <pivotField numFmtId="43" showAll="0"/>
    <pivotField showAll="0"/>
    <pivotField showAll="0"/>
    <pivotField dataField="1" numFmtId="8" showAll="0"/>
    <pivotField numFmtId="10" showAll="0"/>
    <pivotField numFmtId="8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multipleItemSelectionAllowed="1" showAll="0" defaultSubtotal="0">
      <items count="4">
        <item sd="0" x="0"/>
        <item sd="0" x="1"/>
        <item h="1" sd="0" x="2"/>
        <item h="1" sd="0" x="3"/>
      </items>
    </pivotField>
  </pivotFields>
  <rowFields count="1">
    <field x="0"/>
  </rowFields>
  <rowItems count="122">
    <i>
      <x v="5"/>
    </i>
    <i>
      <x v="115"/>
    </i>
    <i>
      <x v="55"/>
    </i>
    <i>
      <x v="9"/>
    </i>
    <i>
      <x v="57"/>
    </i>
    <i>
      <x v="12"/>
    </i>
    <i>
      <x v="50"/>
    </i>
    <i>
      <x v="92"/>
    </i>
    <i>
      <x v="107"/>
    </i>
    <i>
      <x v="54"/>
    </i>
    <i>
      <x v="106"/>
    </i>
    <i>
      <x v="26"/>
    </i>
    <i>
      <x v="2"/>
    </i>
    <i>
      <x v="77"/>
    </i>
    <i>
      <x v="84"/>
    </i>
    <i>
      <x v="103"/>
    </i>
    <i>
      <x v="52"/>
    </i>
    <i>
      <x v="118"/>
    </i>
    <i>
      <x v="53"/>
    </i>
    <i>
      <x v="33"/>
    </i>
    <i>
      <x v="13"/>
    </i>
    <i>
      <x v="58"/>
    </i>
    <i>
      <x v="104"/>
    </i>
    <i>
      <x v="49"/>
    </i>
    <i>
      <x v="15"/>
    </i>
    <i>
      <x v="94"/>
    </i>
    <i>
      <x v="65"/>
    </i>
    <i>
      <x v="70"/>
    </i>
    <i>
      <x v="90"/>
    </i>
    <i>
      <x v="27"/>
    </i>
    <i>
      <x v="8"/>
    </i>
    <i>
      <x v="48"/>
    </i>
    <i>
      <x v="68"/>
    </i>
    <i>
      <x v="22"/>
    </i>
    <i>
      <x v="1"/>
    </i>
    <i>
      <x v="38"/>
    </i>
    <i>
      <x v="93"/>
    </i>
    <i>
      <x v="66"/>
    </i>
    <i>
      <x v="46"/>
    </i>
    <i>
      <x v="25"/>
    </i>
    <i>
      <x v="11"/>
    </i>
    <i>
      <x v="97"/>
    </i>
    <i>
      <x v="78"/>
    </i>
    <i>
      <x v="29"/>
    </i>
    <i>
      <x v="14"/>
    </i>
    <i>
      <x v="89"/>
    </i>
    <i>
      <x v="83"/>
    </i>
    <i>
      <x v="101"/>
    </i>
    <i>
      <x v="72"/>
    </i>
    <i>
      <x v="74"/>
    </i>
    <i>
      <x v="99"/>
    </i>
    <i>
      <x v="79"/>
    </i>
    <i>
      <x v="111"/>
    </i>
    <i>
      <x v="47"/>
    </i>
    <i>
      <x v="43"/>
    </i>
    <i>
      <x v="56"/>
    </i>
    <i>
      <x v="28"/>
    </i>
    <i>
      <x v="80"/>
    </i>
    <i>
      <x v="16"/>
    </i>
    <i>
      <x v="10"/>
    </i>
    <i>
      <x v="35"/>
    </i>
    <i>
      <x v="82"/>
    </i>
    <i>
      <x v="7"/>
    </i>
    <i>
      <x v="112"/>
    </i>
    <i>
      <x v="23"/>
    </i>
    <i>
      <x v="110"/>
    </i>
    <i>
      <x v="76"/>
    </i>
    <i>
      <x v="41"/>
    </i>
    <i>
      <x v="44"/>
    </i>
    <i>
      <x v="71"/>
    </i>
    <i>
      <x v="17"/>
    </i>
    <i>
      <x v="69"/>
    </i>
    <i>
      <x v="60"/>
    </i>
    <i>
      <x v="96"/>
    </i>
    <i>
      <x v="108"/>
    </i>
    <i>
      <x v="120"/>
    </i>
    <i>
      <x v="91"/>
    </i>
    <i>
      <x v="32"/>
    </i>
    <i>
      <x v="116"/>
    </i>
    <i>
      <x v="61"/>
    </i>
    <i>
      <x v="34"/>
    </i>
    <i>
      <x v="20"/>
    </i>
    <i>
      <x v="30"/>
    </i>
    <i>
      <x v="4"/>
    </i>
    <i>
      <x v="86"/>
    </i>
    <i>
      <x v="6"/>
    </i>
    <i>
      <x v="18"/>
    </i>
    <i>
      <x v="73"/>
    </i>
    <i>
      <x v="3"/>
    </i>
    <i>
      <x v="100"/>
    </i>
    <i>
      <x v="36"/>
    </i>
    <i>
      <x v="81"/>
    </i>
    <i>
      <x v="117"/>
    </i>
    <i>
      <x v="114"/>
    </i>
    <i>
      <x v="31"/>
    </i>
    <i>
      <x v="119"/>
    </i>
    <i>
      <x v="37"/>
    </i>
    <i>
      <x v="102"/>
    </i>
    <i>
      <x v="98"/>
    </i>
    <i>
      <x v="105"/>
    </i>
    <i>
      <x v="95"/>
    </i>
    <i>
      <x v="45"/>
    </i>
    <i>
      <x v="75"/>
    </i>
    <i>
      <x v="63"/>
    </i>
    <i>
      <x v="64"/>
    </i>
    <i>
      <x v="59"/>
    </i>
    <i>
      <x v="19"/>
    </i>
    <i>
      <x v="109"/>
    </i>
    <i>
      <x v="21"/>
    </i>
    <i>
      <x v="24"/>
    </i>
    <i>
      <x v="51"/>
    </i>
    <i>
      <x v="88"/>
    </i>
    <i>
      <x v="40"/>
    </i>
    <i>
      <x v="42"/>
    </i>
    <i>
      <x v="62"/>
    </i>
    <i>
      <x v="113"/>
    </i>
    <i>
      <x v="85"/>
    </i>
    <i>
      <x/>
    </i>
    <i>
      <x v="87"/>
    </i>
    <i>
      <x v="67"/>
    </i>
    <i>
      <x v="39"/>
    </i>
    <i t="grand">
      <x/>
    </i>
  </rowItems>
  <colItems count="1">
    <i/>
  </colItems>
  <pageFields count="1">
    <pageField fld="30" hier="-1"/>
  </pageFields>
  <dataFields count="1">
    <dataField name="Sum of ADU" fld="25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8286F6-2065-4FD2-9C91-97B16274E62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4:B234" firstHeaderRow="1" firstDataRow="1" firstDataCol="1" rowPageCount="1" colPageCount="1"/>
  <pivotFields count="31">
    <pivotField axis="axisRow" showAll="0" sortType="descending">
      <items count="122">
        <item x="57"/>
        <item x="65"/>
        <item x="7"/>
        <item x="95"/>
        <item x="42"/>
        <item x="20"/>
        <item x="28"/>
        <item x="68"/>
        <item x="11"/>
        <item x="63"/>
        <item x="92"/>
        <item x="0"/>
        <item x="77"/>
        <item x="53"/>
        <item x="70"/>
        <item x="117"/>
        <item x="29"/>
        <item x="102"/>
        <item x="76"/>
        <item x="115"/>
        <item x="109"/>
        <item x="82"/>
        <item x="56"/>
        <item x="91"/>
        <item x="3"/>
        <item x="14"/>
        <item x="10"/>
        <item x="8"/>
        <item x="107"/>
        <item x="37"/>
        <item x="64"/>
        <item x="81"/>
        <item x="6"/>
        <item x="85"/>
        <item x="103"/>
        <item x="97"/>
        <item x="49"/>
        <item x="30"/>
        <item x="13"/>
        <item x="110"/>
        <item x="45"/>
        <item x="75"/>
        <item x="79"/>
        <item x="16"/>
        <item x="18"/>
        <item x="83"/>
        <item x="41"/>
        <item x="4"/>
        <item x="89"/>
        <item x="59"/>
        <item x="66"/>
        <item x="94"/>
        <item x="26"/>
        <item x="105"/>
        <item x="87"/>
        <item x="100"/>
        <item x="116"/>
        <item x="80"/>
        <item x="24"/>
        <item x="23"/>
        <item x="86"/>
        <item x="5"/>
        <item x="40"/>
        <item x="32"/>
        <item x="73"/>
        <item x="119"/>
        <item x="22"/>
        <item x="31"/>
        <item x="118"/>
        <item x="98"/>
        <item x="69"/>
        <item x="93"/>
        <item x="44"/>
        <item x="48"/>
        <item x="12"/>
        <item x="38"/>
        <item x="114"/>
        <item x="2"/>
        <item x="67"/>
        <item x="43"/>
        <item x="15"/>
        <item x="96"/>
        <item x="46"/>
        <item x="51"/>
        <item x="55"/>
        <item x="99"/>
        <item x="84"/>
        <item x="120"/>
        <item x="33"/>
        <item x="17"/>
        <item x="36"/>
        <item x="74"/>
        <item x="101"/>
        <item x="50"/>
        <item x="39"/>
        <item x="61"/>
        <item x="34"/>
        <item x="25"/>
        <item x="90"/>
        <item x="104"/>
        <item x="60"/>
        <item x="52"/>
        <item x="21"/>
        <item x="106"/>
        <item x="27"/>
        <item x="88"/>
        <item x="47"/>
        <item x="62"/>
        <item x="113"/>
        <item x="1"/>
        <item x="112"/>
        <item x="58"/>
        <item x="111"/>
        <item x="72"/>
        <item x="78"/>
        <item x="71"/>
        <item x="35"/>
        <item x="19"/>
        <item x="54"/>
        <item x="9"/>
        <item x="1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14" showAll="0"/>
    <pivotField numFmtId="14" showAll="0">
      <items count="333">
        <item x="41"/>
        <item x="151"/>
        <item x="143"/>
        <item x="235"/>
        <item x="108"/>
        <item x="272"/>
        <item x="15"/>
        <item x="182"/>
        <item x="283"/>
        <item x="202"/>
        <item x="58"/>
        <item x="156"/>
        <item x="282"/>
        <item x="76"/>
        <item x="137"/>
        <item x="226"/>
        <item x="207"/>
        <item x="251"/>
        <item x="258"/>
        <item x="188"/>
        <item x="13"/>
        <item x="147"/>
        <item x="35"/>
        <item x="180"/>
        <item x="40"/>
        <item x="72"/>
        <item x="319"/>
        <item x="322"/>
        <item x="50"/>
        <item x="305"/>
        <item x="81"/>
        <item x="241"/>
        <item x="170"/>
        <item x="287"/>
        <item x="324"/>
        <item x="80"/>
        <item x="42"/>
        <item x="11"/>
        <item x="109"/>
        <item x="315"/>
        <item x="135"/>
        <item x="14"/>
        <item x="145"/>
        <item x="168"/>
        <item x="99"/>
        <item x="268"/>
        <item x="280"/>
        <item x="221"/>
        <item x="190"/>
        <item x="224"/>
        <item x="73"/>
        <item x="118"/>
        <item x="90"/>
        <item x="79"/>
        <item x="325"/>
        <item x="166"/>
        <item x="133"/>
        <item x="228"/>
        <item x="110"/>
        <item x="214"/>
        <item x="112"/>
        <item x="292"/>
        <item x="261"/>
        <item x="178"/>
        <item x="293"/>
        <item x="243"/>
        <item x="204"/>
        <item x="278"/>
        <item x="281"/>
        <item x="212"/>
        <item x="294"/>
        <item x="104"/>
        <item x="288"/>
        <item x="138"/>
        <item x="115"/>
        <item x="1"/>
        <item x="47"/>
        <item x="246"/>
        <item x="142"/>
        <item x="253"/>
        <item x="183"/>
        <item x="240"/>
        <item x="65"/>
        <item x="308"/>
        <item x="75"/>
        <item x="20"/>
        <item x="313"/>
        <item x="134"/>
        <item x="10"/>
        <item x="8"/>
        <item x="276"/>
        <item x="217"/>
        <item x="149"/>
        <item x="223"/>
        <item x="158"/>
        <item x="314"/>
        <item x="25"/>
        <item x="327"/>
        <item x="301"/>
        <item x="46"/>
        <item x="123"/>
        <item x="68"/>
        <item x="74"/>
        <item x="255"/>
        <item x="227"/>
        <item x="236"/>
        <item x="289"/>
        <item x="159"/>
        <item x="125"/>
        <item x="71"/>
        <item x="197"/>
        <item x="126"/>
        <item x="88"/>
        <item x="219"/>
        <item x="177"/>
        <item x="124"/>
        <item x="329"/>
        <item x="103"/>
        <item x="17"/>
        <item x="24"/>
        <item x="12"/>
        <item x="309"/>
        <item x="100"/>
        <item x="22"/>
        <item x="60"/>
        <item x="78"/>
        <item x="55"/>
        <item x="67"/>
        <item x="285"/>
        <item x="23"/>
        <item x="107"/>
        <item x="191"/>
        <item x="48"/>
        <item x="298"/>
        <item x="331"/>
        <item x="303"/>
        <item x="84"/>
        <item x="184"/>
        <item x="200"/>
        <item x="259"/>
        <item x="19"/>
        <item x="174"/>
        <item x="4"/>
        <item x="274"/>
        <item x="179"/>
        <item x="229"/>
        <item x="167"/>
        <item x="139"/>
        <item x="216"/>
        <item x="270"/>
        <item x="323"/>
        <item x="5"/>
        <item x="300"/>
        <item x="173"/>
        <item x="195"/>
        <item x="93"/>
        <item x="254"/>
        <item x="242"/>
        <item x="271"/>
        <item x="59"/>
        <item x="16"/>
        <item x="279"/>
        <item x="69"/>
        <item x="30"/>
        <item x="321"/>
        <item x="163"/>
        <item x="196"/>
        <item x="38"/>
        <item x="297"/>
        <item x="238"/>
        <item x="222"/>
        <item x="39"/>
        <item x="140"/>
        <item x="64"/>
        <item x="213"/>
        <item x="256"/>
        <item x="95"/>
        <item x="317"/>
        <item x="291"/>
        <item x="269"/>
        <item x="230"/>
        <item x="262"/>
        <item x="233"/>
        <item x="89"/>
        <item x="155"/>
        <item x="286"/>
        <item x="295"/>
        <item x="192"/>
        <item x="85"/>
        <item x="326"/>
        <item x="264"/>
        <item x="218"/>
        <item x="205"/>
        <item x="86"/>
        <item x="198"/>
        <item x="273"/>
        <item x="77"/>
        <item x="53"/>
        <item x="94"/>
        <item x="37"/>
        <item x="249"/>
        <item x="199"/>
        <item x="127"/>
        <item x="33"/>
        <item x="51"/>
        <item x="206"/>
        <item x="311"/>
        <item x="129"/>
        <item x="96"/>
        <item x="171"/>
        <item x="57"/>
        <item x="36"/>
        <item x="161"/>
        <item x="43"/>
        <item x="172"/>
        <item x="66"/>
        <item x="307"/>
        <item x="252"/>
        <item x="263"/>
        <item x="304"/>
        <item x="52"/>
        <item x="98"/>
        <item x="63"/>
        <item x="209"/>
        <item x="148"/>
        <item x="92"/>
        <item x="193"/>
        <item x="220"/>
        <item x="210"/>
        <item x="153"/>
        <item x="28"/>
        <item x="119"/>
        <item x="56"/>
        <item x="32"/>
        <item x="316"/>
        <item x="105"/>
        <item x="82"/>
        <item x="9"/>
        <item x="150"/>
        <item x="169"/>
        <item x="181"/>
        <item x="208"/>
        <item x="260"/>
        <item x="245"/>
        <item x="116"/>
        <item x="187"/>
        <item x="44"/>
        <item x="176"/>
        <item x="306"/>
        <item x="136"/>
        <item x="29"/>
        <item x="157"/>
        <item x="113"/>
        <item x="26"/>
        <item x="266"/>
        <item x="234"/>
        <item x="70"/>
        <item x="215"/>
        <item x="18"/>
        <item x="211"/>
        <item x="114"/>
        <item x="203"/>
        <item x="320"/>
        <item x="61"/>
        <item x="132"/>
        <item x="83"/>
        <item x="87"/>
        <item x="62"/>
        <item x="165"/>
        <item x="3"/>
        <item x="152"/>
        <item x="144"/>
        <item x="239"/>
        <item x="244"/>
        <item x="146"/>
        <item x="31"/>
        <item x="121"/>
        <item x="2"/>
        <item x="21"/>
        <item x="130"/>
        <item x="318"/>
        <item x="111"/>
        <item x="162"/>
        <item x="275"/>
        <item x="201"/>
        <item x="117"/>
        <item x="284"/>
        <item x="0"/>
        <item x="27"/>
        <item x="141"/>
        <item x="97"/>
        <item x="154"/>
        <item x="277"/>
        <item x="120"/>
        <item x="330"/>
        <item x="54"/>
        <item x="128"/>
        <item x="189"/>
        <item x="186"/>
        <item x="185"/>
        <item x="328"/>
        <item x="302"/>
        <item x="91"/>
        <item x="49"/>
        <item x="34"/>
        <item x="231"/>
        <item x="296"/>
        <item x="6"/>
        <item x="267"/>
        <item x="45"/>
        <item x="299"/>
        <item x="237"/>
        <item x="247"/>
        <item x="101"/>
        <item x="290"/>
        <item x="232"/>
        <item x="164"/>
        <item x="265"/>
        <item x="257"/>
        <item x="194"/>
        <item x="310"/>
        <item x="102"/>
        <item x="225"/>
        <item x="131"/>
        <item x="160"/>
        <item x="175"/>
        <item x="122"/>
        <item x="248"/>
        <item x="106"/>
        <item x="312"/>
        <item x="7"/>
        <item x="250"/>
        <item t="default"/>
      </items>
    </pivotField>
    <pivotField showAll="0"/>
    <pivotField numFmtId="166" showAll="0"/>
    <pivotField numFmtId="166" showAll="0"/>
    <pivotField numFmtId="1" showAll="0"/>
    <pivotField numFmtId="14" showAll="0"/>
    <pivotField numFmtId="2" showAll="0"/>
    <pivotField numFmtId="8" showAll="0"/>
    <pivotField showAll="0"/>
    <pivotField showAll="0"/>
    <pivotField showAll="0"/>
    <pivotField numFmtId="8" showAll="0"/>
    <pivotField showAll="0"/>
    <pivotField numFmtId="43" showAll="0"/>
    <pivotField numFmtId="43" showAll="0"/>
    <pivotField showAll="0"/>
    <pivotField showAll="0"/>
    <pivotField dataField="1" numFmtId="8" showAll="0"/>
    <pivotField numFmtId="10" showAll="0"/>
    <pivotField numFmtId="8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5">
        <item h="1" sd="0" x="0"/>
        <item h="1" sd="0" x="1"/>
        <item sd="0" x="2"/>
        <item sd="0" x="3"/>
        <item t="default"/>
      </items>
    </pivotField>
  </pivotFields>
  <rowFields count="1">
    <field x="0"/>
  </rowFields>
  <rowItems count="90">
    <i>
      <x v="115"/>
    </i>
    <i>
      <x v="5"/>
    </i>
    <i>
      <x v="17"/>
    </i>
    <i>
      <x v="53"/>
    </i>
    <i>
      <x v="52"/>
    </i>
    <i>
      <x v="12"/>
    </i>
    <i>
      <x v="57"/>
    </i>
    <i>
      <x v="1"/>
    </i>
    <i>
      <x v="90"/>
    </i>
    <i>
      <x v="54"/>
    </i>
    <i>
      <x v="106"/>
    </i>
    <i>
      <x v="89"/>
    </i>
    <i>
      <x v="11"/>
    </i>
    <i>
      <x v="2"/>
    </i>
    <i>
      <x v="94"/>
    </i>
    <i>
      <x v="84"/>
    </i>
    <i>
      <x v="4"/>
    </i>
    <i>
      <x v="29"/>
    </i>
    <i>
      <x v="7"/>
    </i>
    <i>
      <x v="27"/>
    </i>
    <i>
      <x v="15"/>
    </i>
    <i>
      <x v="49"/>
    </i>
    <i>
      <x v="20"/>
    </i>
    <i>
      <x v="77"/>
    </i>
    <i>
      <x v="104"/>
    </i>
    <i>
      <x v="82"/>
    </i>
    <i>
      <x v="8"/>
    </i>
    <i>
      <x v="13"/>
    </i>
    <i>
      <x v="41"/>
    </i>
    <i>
      <x v="118"/>
    </i>
    <i>
      <x v="30"/>
    </i>
    <i>
      <x v="60"/>
    </i>
    <i>
      <x v="70"/>
    </i>
    <i>
      <x v="79"/>
    </i>
    <i>
      <x v="110"/>
    </i>
    <i>
      <x v="80"/>
    </i>
    <i>
      <x v="72"/>
    </i>
    <i>
      <x v="56"/>
    </i>
    <i>
      <x v="74"/>
    </i>
    <i>
      <x v="95"/>
    </i>
    <i>
      <x v="103"/>
    </i>
    <i>
      <x v="76"/>
    </i>
    <i>
      <x v="83"/>
    </i>
    <i>
      <x v="59"/>
    </i>
    <i>
      <x v="32"/>
    </i>
    <i>
      <x v="97"/>
    </i>
    <i>
      <x v="6"/>
    </i>
    <i>
      <x v="47"/>
    </i>
    <i>
      <x v="99"/>
    </i>
    <i>
      <x v="3"/>
    </i>
    <i>
      <x v="81"/>
    </i>
    <i>
      <x v="109"/>
    </i>
    <i>
      <x v="51"/>
    </i>
    <i>
      <x v="31"/>
    </i>
    <i>
      <x v="88"/>
    </i>
    <i>
      <x v="71"/>
    </i>
    <i>
      <x v="114"/>
    </i>
    <i>
      <x v="63"/>
    </i>
    <i>
      <x v="78"/>
    </i>
    <i>
      <x v="87"/>
    </i>
    <i>
      <x v="38"/>
    </i>
    <i>
      <x v="86"/>
    </i>
    <i>
      <x v="91"/>
    </i>
    <i>
      <x v="37"/>
    </i>
    <i>
      <x v="105"/>
    </i>
    <i>
      <x v="100"/>
    </i>
    <i>
      <x v="19"/>
    </i>
    <i>
      <x v="40"/>
    </i>
    <i>
      <x v="66"/>
    </i>
    <i>
      <x v="101"/>
    </i>
    <i>
      <x v="64"/>
    </i>
    <i>
      <x v="21"/>
    </i>
    <i>
      <x v="113"/>
    </i>
    <i>
      <x v="112"/>
    </i>
    <i>
      <x/>
    </i>
    <i>
      <x v="73"/>
    </i>
    <i>
      <x v="102"/>
    </i>
    <i>
      <x v="45"/>
    </i>
    <i>
      <x v="85"/>
    </i>
    <i>
      <x v="18"/>
    </i>
    <i>
      <x v="67"/>
    </i>
    <i>
      <x v="69"/>
    </i>
    <i>
      <x v="117"/>
    </i>
    <i>
      <x v="44"/>
    </i>
    <i>
      <x v="75"/>
    </i>
    <i>
      <x v="16"/>
    </i>
    <i>
      <x v="25"/>
    </i>
    <i>
      <x v="34"/>
    </i>
    <i>
      <x v="22"/>
    </i>
    <i t="grand">
      <x/>
    </i>
  </rowItems>
  <colItems count="1">
    <i/>
  </colItems>
  <pageFields count="1">
    <pageField fld="30" hier="-1"/>
  </pageFields>
  <dataFields count="1">
    <dataField name="Sum of ADU" fld="25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0C5317-342E-491F-8948-26226F490F4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139" firstHeaderRow="0" firstDataRow="1" firstDataCol="1"/>
  <pivotFields count="31">
    <pivotField axis="axisRow" showAll="0" sortType="descending">
      <items count="122">
        <item x="57"/>
        <item x="65"/>
        <item x="7"/>
        <item x="95"/>
        <item x="42"/>
        <item x="20"/>
        <item x="28"/>
        <item x="68"/>
        <item x="11"/>
        <item x="63"/>
        <item x="92"/>
        <item x="0"/>
        <item x="77"/>
        <item x="53"/>
        <item x="70"/>
        <item x="117"/>
        <item x="29"/>
        <item x="102"/>
        <item x="76"/>
        <item x="115"/>
        <item x="109"/>
        <item x="82"/>
        <item x="56"/>
        <item x="91"/>
        <item x="3"/>
        <item x="14"/>
        <item x="10"/>
        <item x="8"/>
        <item x="107"/>
        <item x="37"/>
        <item x="64"/>
        <item x="81"/>
        <item x="6"/>
        <item x="85"/>
        <item x="103"/>
        <item x="97"/>
        <item x="49"/>
        <item x="30"/>
        <item x="13"/>
        <item x="110"/>
        <item x="45"/>
        <item x="75"/>
        <item x="79"/>
        <item x="16"/>
        <item x="18"/>
        <item x="83"/>
        <item x="41"/>
        <item x="4"/>
        <item x="89"/>
        <item x="59"/>
        <item x="66"/>
        <item x="94"/>
        <item x="26"/>
        <item x="105"/>
        <item x="87"/>
        <item x="100"/>
        <item x="116"/>
        <item x="80"/>
        <item x="24"/>
        <item x="23"/>
        <item x="86"/>
        <item x="5"/>
        <item x="40"/>
        <item x="32"/>
        <item x="73"/>
        <item x="119"/>
        <item x="22"/>
        <item x="31"/>
        <item x="118"/>
        <item x="98"/>
        <item x="69"/>
        <item x="93"/>
        <item x="44"/>
        <item x="48"/>
        <item x="12"/>
        <item x="38"/>
        <item x="114"/>
        <item x="2"/>
        <item x="67"/>
        <item x="43"/>
        <item x="15"/>
        <item x="96"/>
        <item x="46"/>
        <item x="51"/>
        <item x="55"/>
        <item x="99"/>
        <item x="84"/>
        <item x="120"/>
        <item x="33"/>
        <item x="17"/>
        <item x="36"/>
        <item x="74"/>
        <item x="101"/>
        <item x="50"/>
        <item x="39"/>
        <item x="61"/>
        <item x="34"/>
        <item x="25"/>
        <item x="90"/>
        <item x="104"/>
        <item x="60"/>
        <item x="52"/>
        <item x="21"/>
        <item x="106"/>
        <item x="27"/>
        <item x="88"/>
        <item x="47"/>
        <item x="62"/>
        <item x="113"/>
        <item x="1"/>
        <item x="112"/>
        <item x="58"/>
        <item x="111"/>
        <item x="72"/>
        <item x="78"/>
        <item x="71"/>
        <item x="35"/>
        <item x="19"/>
        <item x="54"/>
        <item x="9"/>
        <item x="10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14" showAll="0"/>
    <pivotField numFmtId="14" showAll="0">
      <items count="333">
        <item x="41"/>
        <item x="151"/>
        <item x="143"/>
        <item x="235"/>
        <item x="108"/>
        <item x="272"/>
        <item x="15"/>
        <item x="182"/>
        <item x="283"/>
        <item x="202"/>
        <item x="58"/>
        <item x="156"/>
        <item x="282"/>
        <item x="76"/>
        <item x="137"/>
        <item x="226"/>
        <item x="207"/>
        <item x="251"/>
        <item x="258"/>
        <item x="188"/>
        <item x="13"/>
        <item x="147"/>
        <item x="35"/>
        <item x="180"/>
        <item x="40"/>
        <item x="72"/>
        <item x="319"/>
        <item x="322"/>
        <item x="50"/>
        <item x="305"/>
        <item x="81"/>
        <item x="241"/>
        <item x="170"/>
        <item x="287"/>
        <item x="324"/>
        <item x="80"/>
        <item x="42"/>
        <item x="11"/>
        <item x="109"/>
        <item x="315"/>
        <item x="135"/>
        <item x="14"/>
        <item x="145"/>
        <item x="168"/>
        <item x="99"/>
        <item x="268"/>
        <item x="280"/>
        <item x="221"/>
        <item x="190"/>
        <item x="224"/>
        <item x="73"/>
        <item x="118"/>
        <item x="90"/>
        <item x="79"/>
        <item x="325"/>
        <item x="166"/>
        <item x="133"/>
        <item x="228"/>
        <item x="110"/>
        <item x="214"/>
        <item x="112"/>
        <item x="292"/>
        <item x="261"/>
        <item x="178"/>
        <item x="293"/>
        <item x="243"/>
        <item x="204"/>
        <item x="278"/>
        <item x="281"/>
        <item x="212"/>
        <item x="294"/>
        <item x="104"/>
        <item x="288"/>
        <item x="138"/>
        <item x="115"/>
        <item x="1"/>
        <item x="47"/>
        <item x="246"/>
        <item x="142"/>
        <item x="253"/>
        <item x="183"/>
        <item x="240"/>
        <item x="65"/>
        <item x="308"/>
        <item x="75"/>
        <item x="20"/>
        <item x="313"/>
        <item x="134"/>
        <item x="10"/>
        <item x="8"/>
        <item x="276"/>
        <item x="217"/>
        <item x="149"/>
        <item x="223"/>
        <item x="158"/>
        <item x="314"/>
        <item x="25"/>
        <item x="327"/>
        <item x="301"/>
        <item x="46"/>
        <item x="123"/>
        <item x="68"/>
        <item x="74"/>
        <item x="255"/>
        <item x="227"/>
        <item x="236"/>
        <item x="289"/>
        <item x="159"/>
        <item x="125"/>
        <item x="71"/>
        <item x="197"/>
        <item x="126"/>
        <item x="88"/>
        <item x="219"/>
        <item x="177"/>
        <item x="124"/>
        <item x="329"/>
        <item x="103"/>
        <item x="17"/>
        <item x="24"/>
        <item x="12"/>
        <item x="309"/>
        <item x="100"/>
        <item x="22"/>
        <item x="60"/>
        <item x="78"/>
        <item x="55"/>
        <item x="67"/>
        <item x="285"/>
        <item x="23"/>
        <item x="107"/>
        <item x="191"/>
        <item x="48"/>
        <item x="298"/>
        <item x="331"/>
        <item x="303"/>
        <item x="84"/>
        <item x="184"/>
        <item x="200"/>
        <item x="259"/>
        <item x="19"/>
        <item x="174"/>
        <item x="4"/>
        <item x="274"/>
        <item x="179"/>
        <item x="229"/>
        <item x="167"/>
        <item x="139"/>
        <item x="216"/>
        <item x="270"/>
        <item x="323"/>
        <item x="5"/>
        <item x="300"/>
        <item x="173"/>
        <item x="195"/>
        <item x="93"/>
        <item x="254"/>
        <item x="242"/>
        <item x="271"/>
        <item x="59"/>
        <item x="16"/>
        <item x="279"/>
        <item x="69"/>
        <item x="30"/>
        <item x="321"/>
        <item x="163"/>
        <item x="196"/>
        <item x="38"/>
        <item x="297"/>
        <item x="238"/>
        <item x="222"/>
        <item x="39"/>
        <item x="140"/>
        <item x="64"/>
        <item x="213"/>
        <item x="256"/>
        <item x="95"/>
        <item x="317"/>
        <item x="291"/>
        <item x="269"/>
        <item x="230"/>
        <item x="262"/>
        <item x="233"/>
        <item x="89"/>
        <item x="155"/>
        <item x="286"/>
        <item x="295"/>
        <item x="192"/>
        <item x="85"/>
        <item x="326"/>
        <item x="264"/>
        <item x="218"/>
        <item x="205"/>
        <item x="86"/>
        <item x="198"/>
        <item x="273"/>
        <item x="77"/>
        <item x="53"/>
        <item x="94"/>
        <item x="37"/>
        <item x="249"/>
        <item x="199"/>
        <item x="127"/>
        <item x="33"/>
        <item x="51"/>
        <item x="206"/>
        <item x="311"/>
        <item x="129"/>
        <item x="96"/>
        <item x="171"/>
        <item x="57"/>
        <item x="36"/>
        <item x="161"/>
        <item x="43"/>
        <item x="172"/>
        <item x="66"/>
        <item x="307"/>
        <item x="252"/>
        <item x="263"/>
        <item x="304"/>
        <item x="52"/>
        <item x="98"/>
        <item x="63"/>
        <item x="209"/>
        <item x="148"/>
        <item x="92"/>
        <item x="193"/>
        <item x="220"/>
        <item x="210"/>
        <item x="153"/>
        <item x="28"/>
        <item x="119"/>
        <item x="56"/>
        <item x="32"/>
        <item x="316"/>
        <item x="105"/>
        <item x="82"/>
        <item x="9"/>
        <item x="150"/>
        <item x="169"/>
        <item x="181"/>
        <item x="208"/>
        <item x="260"/>
        <item x="245"/>
        <item x="116"/>
        <item x="187"/>
        <item x="44"/>
        <item x="176"/>
        <item x="306"/>
        <item x="136"/>
        <item x="29"/>
        <item x="157"/>
        <item x="113"/>
        <item x="26"/>
        <item x="266"/>
        <item x="234"/>
        <item x="70"/>
        <item x="215"/>
        <item x="18"/>
        <item x="211"/>
        <item x="114"/>
        <item x="203"/>
        <item x="320"/>
        <item x="61"/>
        <item x="132"/>
        <item x="83"/>
        <item x="87"/>
        <item x="62"/>
        <item x="165"/>
        <item x="3"/>
        <item x="152"/>
        <item x="144"/>
        <item x="239"/>
        <item x="244"/>
        <item x="146"/>
        <item x="31"/>
        <item x="121"/>
        <item x="2"/>
        <item x="21"/>
        <item x="130"/>
        <item x="318"/>
        <item x="111"/>
        <item x="162"/>
        <item x="275"/>
        <item x="201"/>
        <item x="117"/>
        <item x="284"/>
        <item x="0"/>
        <item x="27"/>
        <item x="141"/>
        <item x="97"/>
        <item x="154"/>
        <item x="277"/>
        <item x="120"/>
        <item x="330"/>
        <item x="54"/>
        <item x="128"/>
        <item x="189"/>
        <item x="186"/>
        <item x="185"/>
        <item x="328"/>
        <item x="302"/>
        <item x="91"/>
        <item x="49"/>
        <item x="34"/>
        <item x="231"/>
        <item x="296"/>
        <item x="6"/>
        <item x="267"/>
        <item x="45"/>
        <item x="299"/>
        <item x="237"/>
        <item x="247"/>
        <item x="101"/>
        <item x="290"/>
        <item x="232"/>
        <item x="164"/>
        <item x="265"/>
        <item x="257"/>
        <item x="194"/>
        <item x="310"/>
        <item x="102"/>
        <item x="225"/>
        <item x="131"/>
        <item x="160"/>
        <item x="175"/>
        <item x="122"/>
        <item x="248"/>
        <item x="106"/>
        <item x="312"/>
        <item x="7"/>
        <item x="250"/>
        <item t="default"/>
      </items>
    </pivotField>
    <pivotField showAll="0"/>
    <pivotField numFmtId="166" showAll="0"/>
    <pivotField numFmtId="166" showAll="0"/>
    <pivotField numFmtId="1" showAll="0"/>
    <pivotField numFmtId="14" showAll="0"/>
    <pivotField numFmtId="2" showAll="0"/>
    <pivotField numFmtId="8" showAll="0"/>
    <pivotField showAll="0"/>
    <pivotField showAll="0"/>
    <pivotField showAll="0"/>
    <pivotField numFmtId="8" showAll="0"/>
    <pivotField showAll="0"/>
    <pivotField numFmtId="43" showAll="0"/>
    <pivotField numFmtId="43" showAll="0"/>
    <pivotField showAll="0"/>
    <pivotField showAll="0"/>
    <pivotField dataField="1" numFmtId="8" showAll="0"/>
    <pivotField dataField="1" numFmtId="10" showAll="0"/>
    <pivotField numFmtId="8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122">
    <i>
      <x v="5"/>
    </i>
    <i>
      <x v="115"/>
    </i>
    <i>
      <x v="55"/>
    </i>
    <i>
      <x v="9"/>
    </i>
    <i>
      <x v="57"/>
    </i>
    <i>
      <x v="12"/>
    </i>
    <i>
      <x v="54"/>
    </i>
    <i>
      <x v="50"/>
    </i>
    <i>
      <x v="92"/>
    </i>
    <i>
      <x v="107"/>
    </i>
    <i>
      <x v="106"/>
    </i>
    <i>
      <x v="2"/>
    </i>
    <i>
      <x v="77"/>
    </i>
    <i>
      <x v="26"/>
    </i>
    <i>
      <x v="52"/>
    </i>
    <i>
      <x v="84"/>
    </i>
    <i>
      <x v="53"/>
    </i>
    <i>
      <x v="103"/>
    </i>
    <i>
      <x v="118"/>
    </i>
    <i>
      <x v="13"/>
    </i>
    <i>
      <x v="104"/>
    </i>
    <i>
      <x v="90"/>
    </i>
    <i>
      <x v="94"/>
    </i>
    <i>
      <x v="49"/>
    </i>
    <i>
      <x v="15"/>
    </i>
    <i>
      <x v="33"/>
    </i>
    <i>
      <x v="1"/>
    </i>
    <i>
      <x v="58"/>
    </i>
    <i>
      <x v="27"/>
    </i>
    <i>
      <x v="70"/>
    </i>
    <i>
      <x v="8"/>
    </i>
    <i>
      <x v="11"/>
    </i>
    <i>
      <x v="89"/>
    </i>
    <i>
      <x v="65"/>
    </i>
    <i>
      <x v="29"/>
    </i>
    <i>
      <x v="17"/>
    </i>
    <i>
      <x v="48"/>
    </i>
    <i>
      <x v="68"/>
    </i>
    <i>
      <x v="38"/>
    </i>
    <i>
      <x v="22"/>
    </i>
    <i>
      <x v="66"/>
    </i>
    <i>
      <x v="93"/>
    </i>
    <i>
      <x v="97"/>
    </i>
    <i>
      <x v="83"/>
    </i>
    <i>
      <x v="78"/>
    </i>
    <i>
      <x v="72"/>
    </i>
    <i>
      <x v="25"/>
    </i>
    <i>
      <x v="46"/>
    </i>
    <i>
      <x v="7"/>
    </i>
    <i>
      <x v="79"/>
    </i>
    <i>
      <x v="74"/>
    </i>
    <i>
      <x v="14"/>
    </i>
    <i>
      <x v="101"/>
    </i>
    <i>
      <x v="82"/>
    </i>
    <i>
      <x v="99"/>
    </i>
    <i>
      <x v="80"/>
    </i>
    <i>
      <x v="47"/>
    </i>
    <i>
      <x v="56"/>
    </i>
    <i>
      <x v="4"/>
    </i>
    <i>
      <x v="41"/>
    </i>
    <i>
      <x v="110"/>
    </i>
    <i>
      <x v="20"/>
    </i>
    <i>
      <x v="60"/>
    </i>
    <i>
      <x v="76"/>
    </i>
    <i>
      <x v="30"/>
    </i>
    <i>
      <x v="111"/>
    </i>
    <i>
      <x v="112"/>
    </i>
    <i>
      <x v="43"/>
    </i>
    <i>
      <x v="32"/>
    </i>
    <i>
      <x v="71"/>
    </i>
    <i>
      <x v="16"/>
    </i>
    <i>
      <x v="28"/>
    </i>
    <i>
      <x v="10"/>
    </i>
    <i>
      <x v="35"/>
    </i>
    <i>
      <x v="91"/>
    </i>
    <i>
      <x v="6"/>
    </i>
    <i>
      <x v="44"/>
    </i>
    <i>
      <x v="23"/>
    </i>
    <i>
      <x v="69"/>
    </i>
    <i>
      <x v="3"/>
    </i>
    <i>
      <x v="86"/>
    </i>
    <i>
      <x v="95"/>
    </i>
    <i>
      <x v="81"/>
    </i>
    <i>
      <x v="96"/>
    </i>
    <i>
      <x v="108"/>
    </i>
    <i>
      <x v="73"/>
    </i>
    <i>
      <x v="120"/>
    </i>
    <i>
      <x v="100"/>
    </i>
    <i>
      <x v="31"/>
    </i>
    <i>
      <x v="34"/>
    </i>
    <i>
      <x v="18"/>
    </i>
    <i>
      <x v="116"/>
    </i>
    <i>
      <x v="61"/>
    </i>
    <i>
      <x v="114"/>
    </i>
    <i>
      <x v="37"/>
    </i>
    <i>
      <x v="105"/>
    </i>
    <i>
      <x v="102"/>
    </i>
    <i>
      <x v="59"/>
    </i>
    <i>
      <x v="117"/>
    </i>
    <i>
      <x v="36"/>
    </i>
    <i>
      <x v="45"/>
    </i>
    <i>
      <x v="119"/>
    </i>
    <i>
      <x v="63"/>
    </i>
    <i>
      <x v="109"/>
    </i>
    <i>
      <x v="98"/>
    </i>
    <i>
      <x v="51"/>
    </i>
    <i>
      <x v="75"/>
    </i>
    <i>
      <x v="88"/>
    </i>
    <i>
      <x v="19"/>
    </i>
    <i>
      <x v="64"/>
    </i>
    <i>
      <x v="21"/>
    </i>
    <i>
      <x v="40"/>
    </i>
    <i>
      <x v="24"/>
    </i>
    <i>
      <x v="113"/>
    </i>
    <i>
      <x v="87"/>
    </i>
    <i>
      <x v="85"/>
    </i>
    <i>
      <x/>
    </i>
    <i>
      <x v="42"/>
    </i>
    <i>
      <x v="62"/>
    </i>
    <i>
      <x v="67"/>
    </i>
    <i>
      <x v="3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DU" fld="25" baseField="0" baseItem="0" numFmtId="8"/>
    <dataField name="Sum of % Usage" fld="26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50E432-4821-4B65-8CD2-5F4B731A15D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13" firstHeaderRow="1" firstDataRow="1" firstDataCol="1"/>
  <pivotFields count="31">
    <pivotField showAll="0"/>
    <pivotField axis="axisRow" showAll="0" sortType="descending">
      <items count="8">
        <item x="5"/>
        <item x="6"/>
        <item x="2"/>
        <item x="0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4" showAll="0"/>
    <pivotField numFmtId="14" showAll="0">
      <items count="333">
        <item x="41"/>
        <item x="151"/>
        <item x="143"/>
        <item x="235"/>
        <item x="108"/>
        <item x="272"/>
        <item x="15"/>
        <item x="182"/>
        <item x="283"/>
        <item x="202"/>
        <item x="58"/>
        <item x="156"/>
        <item x="282"/>
        <item x="76"/>
        <item x="137"/>
        <item x="226"/>
        <item x="207"/>
        <item x="251"/>
        <item x="258"/>
        <item x="188"/>
        <item x="13"/>
        <item x="147"/>
        <item x="35"/>
        <item x="180"/>
        <item x="40"/>
        <item x="72"/>
        <item x="319"/>
        <item x="322"/>
        <item x="50"/>
        <item x="305"/>
        <item x="81"/>
        <item x="241"/>
        <item x="170"/>
        <item x="287"/>
        <item x="324"/>
        <item x="80"/>
        <item x="42"/>
        <item x="11"/>
        <item x="109"/>
        <item x="315"/>
        <item x="135"/>
        <item x="14"/>
        <item x="145"/>
        <item x="168"/>
        <item x="99"/>
        <item x="268"/>
        <item x="280"/>
        <item x="221"/>
        <item x="190"/>
        <item x="224"/>
        <item x="73"/>
        <item x="118"/>
        <item x="90"/>
        <item x="79"/>
        <item x="325"/>
        <item x="166"/>
        <item x="133"/>
        <item x="228"/>
        <item x="110"/>
        <item x="214"/>
        <item x="112"/>
        <item x="292"/>
        <item x="261"/>
        <item x="178"/>
        <item x="293"/>
        <item x="243"/>
        <item x="204"/>
        <item x="278"/>
        <item x="281"/>
        <item x="212"/>
        <item x="294"/>
        <item x="104"/>
        <item x="288"/>
        <item x="138"/>
        <item x="115"/>
        <item x="1"/>
        <item x="47"/>
        <item x="246"/>
        <item x="142"/>
        <item x="253"/>
        <item x="183"/>
        <item x="240"/>
        <item x="65"/>
        <item x="308"/>
        <item x="75"/>
        <item x="20"/>
        <item x="313"/>
        <item x="134"/>
        <item x="10"/>
        <item x="8"/>
        <item x="276"/>
        <item x="217"/>
        <item x="149"/>
        <item x="223"/>
        <item x="158"/>
        <item x="314"/>
        <item x="25"/>
        <item x="327"/>
        <item x="301"/>
        <item x="46"/>
        <item x="123"/>
        <item x="68"/>
        <item x="74"/>
        <item x="255"/>
        <item x="227"/>
        <item x="236"/>
        <item x="289"/>
        <item x="159"/>
        <item x="125"/>
        <item x="71"/>
        <item x="197"/>
        <item x="126"/>
        <item x="88"/>
        <item x="219"/>
        <item x="177"/>
        <item x="124"/>
        <item x="329"/>
        <item x="103"/>
        <item x="17"/>
        <item x="24"/>
        <item x="12"/>
        <item x="309"/>
        <item x="100"/>
        <item x="22"/>
        <item x="60"/>
        <item x="78"/>
        <item x="55"/>
        <item x="67"/>
        <item x="285"/>
        <item x="23"/>
        <item x="107"/>
        <item x="191"/>
        <item x="48"/>
        <item x="298"/>
        <item x="331"/>
        <item x="303"/>
        <item x="84"/>
        <item x="184"/>
        <item x="200"/>
        <item x="259"/>
        <item x="19"/>
        <item x="174"/>
        <item x="4"/>
        <item x="274"/>
        <item x="179"/>
        <item x="229"/>
        <item x="167"/>
        <item x="139"/>
        <item x="216"/>
        <item x="270"/>
        <item x="323"/>
        <item x="5"/>
        <item x="300"/>
        <item x="173"/>
        <item x="195"/>
        <item x="93"/>
        <item x="254"/>
        <item x="242"/>
        <item x="271"/>
        <item x="59"/>
        <item x="16"/>
        <item x="279"/>
        <item x="69"/>
        <item x="30"/>
        <item x="321"/>
        <item x="163"/>
        <item x="196"/>
        <item x="38"/>
        <item x="297"/>
        <item x="238"/>
        <item x="222"/>
        <item x="39"/>
        <item x="140"/>
        <item x="64"/>
        <item x="213"/>
        <item x="256"/>
        <item x="95"/>
        <item x="317"/>
        <item x="291"/>
        <item x="269"/>
        <item x="230"/>
        <item x="262"/>
        <item x="233"/>
        <item x="89"/>
        <item x="155"/>
        <item x="286"/>
        <item x="295"/>
        <item x="192"/>
        <item x="85"/>
        <item x="326"/>
        <item x="264"/>
        <item x="218"/>
        <item x="205"/>
        <item x="86"/>
        <item x="198"/>
        <item x="273"/>
        <item x="77"/>
        <item x="53"/>
        <item x="94"/>
        <item x="37"/>
        <item x="249"/>
        <item x="199"/>
        <item x="127"/>
        <item x="33"/>
        <item x="51"/>
        <item x="206"/>
        <item x="311"/>
        <item x="129"/>
        <item x="96"/>
        <item x="171"/>
        <item x="57"/>
        <item x="36"/>
        <item x="161"/>
        <item x="43"/>
        <item x="172"/>
        <item x="66"/>
        <item x="307"/>
        <item x="252"/>
        <item x="263"/>
        <item x="304"/>
        <item x="52"/>
        <item x="98"/>
        <item x="63"/>
        <item x="209"/>
        <item x="148"/>
        <item x="92"/>
        <item x="193"/>
        <item x="220"/>
        <item x="210"/>
        <item x="153"/>
        <item x="28"/>
        <item x="119"/>
        <item x="56"/>
        <item x="32"/>
        <item x="316"/>
        <item x="105"/>
        <item x="82"/>
        <item x="9"/>
        <item x="150"/>
        <item x="169"/>
        <item x="181"/>
        <item x="208"/>
        <item x="260"/>
        <item x="245"/>
        <item x="116"/>
        <item x="187"/>
        <item x="44"/>
        <item x="176"/>
        <item x="306"/>
        <item x="136"/>
        <item x="29"/>
        <item x="157"/>
        <item x="113"/>
        <item x="26"/>
        <item x="266"/>
        <item x="234"/>
        <item x="70"/>
        <item x="215"/>
        <item x="18"/>
        <item x="211"/>
        <item x="114"/>
        <item x="203"/>
        <item x="320"/>
        <item x="61"/>
        <item x="132"/>
        <item x="83"/>
        <item x="87"/>
        <item x="62"/>
        <item x="165"/>
        <item x="3"/>
        <item x="152"/>
        <item x="144"/>
        <item x="239"/>
        <item x="244"/>
        <item x="146"/>
        <item x="31"/>
        <item x="121"/>
        <item x="2"/>
        <item x="21"/>
        <item x="130"/>
        <item x="318"/>
        <item x="111"/>
        <item x="162"/>
        <item x="275"/>
        <item x="201"/>
        <item x="117"/>
        <item x="284"/>
        <item x="0"/>
        <item x="27"/>
        <item x="141"/>
        <item x="97"/>
        <item x="154"/>
        <item x="277"/>
        <item x="120"/>
        <item x="330"/>
        <item x="54"/>
        <item x="128"/>
        <item x="189"/>
        <item x="186"/>
        <item x="185"/>
        <item x="328"/>
        <item x="302"/>
        <item x="91"/>
        <item x="49"/>
        <item x="34"/>
        <item x="231"/>
        <item x="296"/>
        <item x="6"/>
        <item x="267"/>
        <item x="45"/>
        <item x="299"/>
        <item x="237"/>
        <item x="247"/>
        <item x="101"/>
        <item x="290"/>
        <item x="232"/>
        <item x="164"/>
        <item x="265"/>
        <item x="257"/>
        <item x="194"/>
        <item x="310"/>
        <item x="102"/>
        <item x="225"/>
        <item x="131"/>
        <item x="160"/>
        <item x="175"/>
        <item x="122"/>
        <item x="248"/>
        <item x="106"/>
        <item x="312"/>
        <item x="7"/>
        <item x="250"/>
        <item t="default"/>
      </items>
    </pivotField>
    <pivotField showAll="0"/>
    <pivotField numFmtId="166" showAll="0"/>
    <pivotField numFmtId="166" showAll="0"/>
    <pivotField numFmtId="1" showAll="0"/>
    <pivotField numFmtId="14" showAll="0"/>
    <pivotField numFmtId="2" showAll="0"/>
    <pivotField numFmtId="8" showAll="0"/>
    <pivotField showAll="0"/>
    <pivotField showAll="0"/>
    <pivotField showAll="0"/>
    <pivotField numFmtId="8" showAll="0"/>
    <pivotField showAll="0"/>
    <pivotField numFmtId="43" showAll="0"/>
    <pivotField numFmtId="43" showAll="0"/>
    <pivotField showAll="0"/>
    <pivotField showAll="0"/>
    <pivotField dataField="1" numFmtId="8" showAll="0"/>
    <pivotField numFmtId="10" showAll="0"/>
    <pivotField numFmtId="8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8">
    <i>
      <x v="3"/>
    </i>
    <i>
      <x v="1"/>
    </i>
    <i>
      <x v="6"/>
    </i>
    <i>
      <x v="2"/>
    </i>
    <i>
      <x v="4"/>
    </i>
    <i>
      <x v="5"/>
    </i>
    <i>
      <x/>
    </i>
    <i t="grand">
      <x/>
    </i>
  </rowItems>
  <colItems count="1">
    <i/>
  </colItems>
  <dataFields count="1">
    <dataField name="Sum of ADU" fld="25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F8DFA4-0370-4192-8B6B-570C4EF02861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E128" firstHeaderRow="0" firstDataRow="1" firstDataCol="1"/>
  <pivotFields count="31">
    <pivotField axis="axisRow" showAll="0">
      <items count="122">
        <item x="57"/>
        <item x="65"/>
        <item x="7"/>
        <item x="95"/>
        <item x="42"/>
        <item x="20"/>
        <item x="28"/>
        <item x="68"/>
        <item x="11"/>
        <item x="63"/>
        <item x="92"/>
        <item x="0"/>
        <item x="77"/>
        <item x="53"/>
        <item x="70"/>
        <item x="117"/>
        <item x="29"/>
        <item x="102"/>
        <item x="76"/>
        <item x="115"/>
        <item x="109"/>
        <item x="82"/>
        <item x="56"/>
        <item x="91"/>
        <item x="3"/>
        <item x="14"/>
        <item x="10"/>
        <item x="8"/>
        <item x="107"/>
        <item x="37"/>
        <item x="64"/>
        <item x="81"/>
        <item x="6"/>
        <item x="85"/>
        <item x="103"/>
        <item x="97"/>
        <item x="49"/>
        <item x="30"/>
        <item x="13"/>
        <item x="110"/>
        <item x="45"/>
        <item x="75"/>
        <item x="79"/>
        <item x="16"/>
        <item x="18"/>
        <item x="83"/>
        <item x="41"/>
        <item x="4"/>
        <item x="89"/>
        <item x="59"/>
        <item x="66"/>
        <item x="94"/>
        <item x="26"/>
        <item x="105"/>
        <item x="87"/>
        <item x="100"/>
        <item x="116"/>
        <item x="80"/>
        <item x="24"/>
        <item x="23"/>
        <item x="86"/>
        <item x="5"/>
        <item x="40"/>
        <item x="32"/>
        <item x="73"/>
        <item x="119"/>
        <item x="22"/>
        <item x="31"/>
        <item x="118"/>
        <item x="98"/>
        <item x="69"/>
        <item x="93"/>
        <item x="44"/>
        <item x="48"/>
        <item x="12"/>
        <item x="38"/>
        <item x="114"/>
        <item x="2"/>
        <item x="67"/>
        <item x="43"/>
        <item x="15"/>
        <item x="96"/>
        <item x="46"/>
        <item x="51"/>
        <item x="55"/>
        <item x="99"/>
        <item x="84"/>
        <item x="120"/>
        <item x="33"/>
        <item x="17"/>
        <item x="36"/>
        <item x="74"/>
        <item x="101"/>
        <item x="50"/>
        <item x="39"/>
        <item x="61"/>
        <item x="34"/>
        <item x="25"/>
        <item x="90"/>
        <item x="104"/>
        <item x="60"/>
        <item x="52"/>
        <item x="21"/>
        <item x="106"/>
        <item x="27"/>
        <item x="88"/>
        <item x="47"/>
        <item x="62"/>
        <item x="113"/>
        <item x="1"/>
        <item x="112"/>
        <item x="58"/>
        <item x="111"/>
        <item x="72"/>
        <item x="78"/>
        <item x="71"/>
        <item x="35"/>
        <item x="19"/>
        <item x="54"/>
        <item x="9"/>
        <item x="108"/>
        <item t="default"/>
      </items>
    </pivotField>
    <pivotField showAll="0"/>
    <pivotField showAll="0"/>
    <pivotField showAll="0"/>
    <pivotField showAll="0"/>
    <pivotField dataField="1" showAll="0"/>
    <pivotField showAll="0"/>
    <pivotField numFmtId="14" showAll="0"/>
    <pivotField numFmtId="14" showAll="0">
      <items count="333">
        <item x="41"/>
        <item x="151"/>
        <item x="143"/>
        <item x="235"/>
        <item x="108"/>
        <item x="272"/>
        <item x="15"/>
        <item x="182"/>
        <item x="283"/>
        <item x="202"/>
        <item x="58"/>
        <item x="156"/>
        <item x="282"/>
        <item x="76"/>
        <item x="137"/>
        <item x="226"/>
        <item x="207"/>
        <item x="251"/>
        <item x="258"/>
        <item x="188"/>
        <item x="13"/>
        <item x="147"/>
        <item x="35"/>
        <item x="180"/>
        <item x="40"/>
        <item x="72"/>
        <item x="319"/>
        <item x="322"/>
        <item x="50"/>
        <item x="305"/>
        <item x="81"/>
        <item x="241"/>
        <item x="170"/>
        <item x="287"/>
        <item x="324"/>
        <item x="80"/>
        <item x="42"/>
        <item x="11"/>
        <item x="109"/>
        <item x="315"/>
        <item x="135"/>
        <item x="14"/>
        <item x="145"/>
        <item x="168"/>
        <item x="99"/>
        <item x="268"/>
        <item x="280"/>
        <item x="221"/>
        <item x="190"/>
        <item x="224"/>
        <item x="73"/>
        <item x="118"/>
        <item x="90"/>
        <item x="79"/>
        <item x="325"/>
        <item x="166"/>
        <item x="133"/>
        <item x="228"/>
        <item x="110"/>
        <item x="214"/>
        <item x="112"/>
        <item x="292"/>
        <item x="261"/>
        <item x="178"/>
        <item x="293"/>
        <item x="243"/>
        <item x="204"/>
        <item x="278"/>
        <item x="281"/>
        <item x="212"/>
        <item x="294"/>
        <item x="104"/>
        <item x="288"/>
        <item x="138"/>
        <item x="115"/>
        <item x="1"/>
        <item x="47"/>
        <item x="246"/>
        <item x="142"/>
        <item x="253"/>
        <item x="183"/>
        <item x="240"/>
        <item x="65"/>
        <item x="308"/>
        <item x="75"/>
        <item x="20"/>
        <item x="313"/>
        <item x="134"/>
        <item x="10"/>
        <item x="8"/>
        <item x="276"/>
        <item x="217"/>
        <item x="149"/>
        <item x="223"/>
        <item x="158"/>
        <item x="314"/>
        <item x="25"/>
        <item x="327"/>
        <item x="301"/>
        <item x="46"/>
        <item x="123"/>
        <item x="68"/>
        <item x="74"/>
        <item x="255"/>
        <item x="227"/>
        <item x="236"/>
        <item x="289"/>
        <item x="159"/>
        <item x="125"/>
        <item x="71"/>
        <item x="197"/>
        <item x="126"/>
        <item x="88"/>
        <item x="219"/>
        <item x="177"/>
        <item x="124"/>
        <item x="329"/>
        <item x="103"/>
        <item x="17"/>
        <item x="24"/>
        <item x="12"/>
        <item x="309"/>
        <item x="100"/>
        <item x="22"/>
        <item x="60"/>
        <item x="78"/>
        <item x="55"/>
        <item x="67"/>
        <item x="285"/>
        <item x="23"/>
        <item x="107"/>
        <item x="191"/>
        <item x="48"/>
        <item x="298"/>
        <item x="331"/>
        <item x="303"/>
        <item x="84"/>
        <item x="184"/>
        <item x="200"/>
        <item x="259"/>
        <item x="19"/>
        <item x="174"/>
        <item x="4"/>
        <item x="274"/>
        <item x="179"/>
        <item x="229"/>
        <item x="167"/>
        <item x="139"/>
        <item x="216"/>
        <item x="270"/>
        <item x="323"/>
        <item x="5"/>
        <item x="300"/>
        <item x="173"/>
        <item x="195"/>
        <item x="93"/>
        <item x="254"/>
        <item x="242"/>
        <item x="271"/>
        <item x="59"/>
        <item x="16"/>
        <item x="279"/>
        <item x="69"/>
        <item x="30"/>
        <item x="321"/>
        <item x="163"/>
        <item x="196"/>
        <item x="38"/>
        <item x="297"/>
        <item x="238"/>
        <item x="222"/>
        <item x="39"/>
        <item x="140"/>
        <item x="64"/>
        <item x="213"/>
        <item x="256"/>
        <item x="95"/>
        <item x="317"/>
        <item x="291"/>
        <item x="269"/>
        <item x="230"/>
        <item x="262"/>
        <item x="233"/>
        <item x="89"/>
        <item x="155"/>
        <item x="286"/>
        <item x="295"/>
        <item x="192"/>
        <item x="85"/>
        <item x="326"/>
        <item x="264"/>
        <item x="218"/>
        <item x="205"/>
        <item x="86"/>
        <item x="198"/>
        <item x="273"/>
        <item x="77"/>
        <item x="53"/>
        <item x="94"/>
        <item x="37"/>
        <item x="249"/>
        <item x="199"/>
        <item x="127"/>
        <item x="33"/>
        <item x="51"/>
        <item x="206"/>
        <item x="311"/>
        <item x="129"/>
        <item x="96"/>
        <item x="171"/>
        <item x="57"/>
        <item x="36"/>
        <item x="161"/>
        <item x="43"/>
        <item x="172"/>
        <item x="66"/>
        <item x="307"/>
        <item x="252"/>
        <item x="263"/>
        <item x="304"/>
        <item x="52"/>
        <item x="98"/>
        <item x="63"/>
        <item x="209"/>
        <item x="148"/>
        <item x="92"/>
        <item x="193"/>
        <item x="220"/>
        <item x="210"/>
        <item x="153"/>
        <item x="28"/>
        <item x="119"/>
        <item x="56"/>
        <item x="32"/>
        <item x="316"/>
        <item x="105"/>
        <item x="82"/>
        <item x="9"/>
        <item x="150"/>
        <item x="169"/>
        <item x="181"/>
        <item x="208"/>
        <item x="260"/>
        <item x="245"/>
        <item x="116"/>
        <item x="187"/>
        <item x="44"/>
        <item x="176"/>
        <item x="306"/>
        <item x="136"/>
        <item x="29"/>
        <item x="157"/>
        <item x="113"/>
        <item x="26"/>
        <item x="266"/>
        <item x="234"/>
        <item x="70"/>
        <item x="215"/>
        <item x="18"/>
        <item x="211"/>
        <item x="114"/>
        <item x="203"/>
        <item x="320"/>
        <item x="61"/>
        <item x="132"/>
        <item x="83"/>
        <item x="87"/>
        <item x="62"/>
        <item x="165"/>
        <item x="3"/>
        <item x="152"/>
        <item x="144"/>
        <item x="239"/>
        <item x="244"/>
        <item x="146"/>
        <item x="31"/>
        <item x="121"/>
        <item x="2"/>
        <item x="21"/>
        <item x="130"/>
        <item x="318"/>
        <item x="111"/>
        <item x="162"/>
        <item x="275"/>
        <item x="201"/>
        <item x="117"/>
        <item x="284"/>
        <item x="0"/>
        <item x="27"/>
        <item x="141"/>
        <item x="97"/>
        <item x="154"/>
        <item x="277"/>
        <item x="120"/>
        <item x="330"/>
        <item x="54"/>
        <item x="128"/>
        <item x="189"/>
        <item x="186"/>
        <item x="185"/>
        <item x="328"/>
        <item x="302"/>
        <item x="91"/>
        <item x="49"/>
        <item x="34"/>
        <item x="231"/>
        <item x="296"/>
        <item x="6"/>
        <item x="267"/>
        <item x="45"/>
        <item x="299"/>
        <item x="237"/>
        <item x="247"/>
        <item x="101"/>
        <item x="290"/>
        <item x="232"/>
        <item x="164"/>
        <item x="265"/>
        <item x="257"/>
        <item x="194"/>
        <item x="310"/>
        <item x="102"/>
        <item x="225"/>
        <item x="131"/>
        <item x="160"/>
        <item x="175"/>
        <item x="122"/>
        <item x="248"/>
        <item x="106"/>
        <item x="312"/>
        <item x="7"/>
        <item x="250"/>
        <item t="default"/>
      </items>
    </pivotField>
    <pivotField showAll="0"/>
    <pivotField numFmtId="166" showAll="0"/>
    <pivotField numFmtId="166" showAll="0"/>
    <pivotField numFmtId="1" showAll="0"/>
    <pivotField numFmtId="14" showAll="0"/>
    <pivotField numFmtId="2" showAll="0"/>
    <pivotField dataField="1" numFmtId="8" showAll="0"/>
    <pivotField showAll="0"/>
    <pivotField showAll="0"/>
    <pivotField dataField="1" showAll="0"/>
    <pivotField numFmtId="8" showAll="0"/>
    <pivotField dataField="1" showAll="0"/>
    <pivotField numFmtId="43" showAll="0"/>
    <pivotField numFmtId="43" showAll="0"/>
    <pivotField showAll="0"/>
    <pivotField showAll="0"/>
    <pivotField numFmtId="8" showAll="0"/>
    <pivotField numFmtId="10" showAll="0"/>
    <pivotField numFmtId="8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multipleItemSelectionAllowed="1" showAll="0" defaultSubtotal="0">
      <items count="4">
        <item h="1" sd="0" x="0"/>
        <item h="1" sd="0" x="1"/>
        <item sd="0" x="2"/>
        <item sd="0" x="3"/>
      </items>
    </pivotField>
  </pivotFields>
  <rowFields count="1">
    <field x="0"/>
  </rowFields>
  <rowItems count="1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les_Volume" fld="20" baseField="0" baseItem="0"/>
    <dataField name="Count of Product_ID" fld="5" subtotal="count" baseField="0" baseItem="0"/>
    <dataField name="Average of Reorder_Quantity" fld="18" subtotal="average" baseField="0" baseItem="0" numFmtId="43"/>
    <dataField name="Average of Ordering Cost" fld="15" subtotal="average" baseField="0" baseItem="0" numFmtId="8"/>
  </dataFields>
  <formats count="34">
    <format dxfId="226">
      <pivotArea collapsedLevelsAreSubtotals="1" fieldPosition="0">
        <references count="2">
          <reference field="4294967294" count="1" selected="0">
            <x v="2"/>
          </reference>
          <reference field="0" count="2">
            <x v="1"/>
            <x v="2"/>
          </reference>
        </references>
      </pivotArea>
    </format>
    <format dxfId="225">
      <pivotArea collapsedLevelsAreSubtotals="1" fieldPosition="0">
        <references count="2">
          <reference field="4294967294" count="1" selected="0">
            <x v="2"/>
          </reference>
          <reference field="0" count="1">
            <x v="5"/>
          </reference>
        </references>
      </pivotArea>
    </format>
    <format dxfId="224">
      <pivotArea collapsedLevelsAreSubtotals="1" fieldPosition="0">
        <references count="2">
          <reference field="4294967294" count="1" selected="0">
            <x v="2"/>
          </reference>
          <reference field="0" count="3">
            <x v="7"/>
            <x v="8"/>
            <x v="9"/>
          </reference>
        </references>
      </pivotArea>
    </format>
    <format dxfId="223">
      <pivotArea collapsedLevelsAreSubtotals="1" fieldPosition="0">
        <references count="2">
          <reference field="4294967294" count="1" selected="0">
            <x v="2"/>
          </reference>
          <reference field="0" count="5">
            <x v="11"/>
            <x v="12"/>
            <x v="13"/>
            <x v="14"/>
            <x v="15"/>
          </reference>
        </references>
      </pivotArea>
    </format>
    <format dxfId="222">
      <pivotArea collapsedLevelsAreSubtotals="1" fieldPosition="0">
        <references count="2">
          <reference field="4294967294" count="1" selected="0">
            <x v="2"/>
          </reference>
          <reference field="0" count="1">
            <x v="17"/>
          </reference>
        </references>
      </pivotArea>
    </format>
    <format dxfId="221">
      <pivotArea collapsedLevelsAreSubtotals="1" fieldPosition="0">
        <references count="2">
          <reference field="4294967294" count="1" selected="0">
            <x v="2"/>
          </reference>
          <reference field="0" count="1">
            <x v="22"/>
          </reference>
        </references>
      </pivotArea>
    </format>
    <format dxfId="220">
      <pivotArea collapsedLevelsAreSubtotals="1" fieldPosition="0">
        <references count="2">
          <reference field="4294967294" count="1" selected="0">
            <x v="2"/>
          </reference>
          <reference field="0" count="3">
            <x v="25"/>
            <x v="26"/>
            <x v="27"/>
          </reference>
        </references>
      </pivotArea>
    </format>
    <format dxfId="219">
      <pivotArea collapsedLevelsAreSubtotals="1" fieldPosition="0">
        <references count="2">
          <reference field="4294967294" count="1" selected="0">
            <x v="2"/>
          </reference>
          <reference field="0" count="1">
            <x v="29"/>
          </reference>
        </references>
      </pivotArea>
    </format>
    <format dxfId="218">
      <pivotArea collapsedLevelsAreSubtotals="1" fieldPosition="0">
        <references count="2">
          <reference field="4294967294" count="1" selected="0">
            <x v="2"/>
          </reference>
          <reference field="0" count="1">
            <x v="33"/>
          </reference>
        </references>
      </pivotArea>
    </format>
    <format dxfId="217">
      <pivotArea collapsedLevelsAreSubtotals="1" fieldPosition="0">
        <references count="2">
          <reference field="4294967294" count="1" selected="0">
            <x v="2"/>
          </reference>
          <reference field="0" count="1">
            <x v="38"/>
          </reference>
        </references>
      </pivotArea>
    </format>
    <format dxfId="216">
      <pivotArea collapsedLevelsAreSubtotals="1" fieldPosition="0">
        <references count="2">
          <reference field="4294967294" count="1" selected="0">
            <x v="2"/>
          </reference>
          <reference field="0" count="5">
            <x v="46"/>
            <x v="47"/>
            <x v="48"/>
            <x v="49"/>
            <x v="50"/>
          </reference>
        </references>
      </pivotArea>
    </format>
    <format dxfId="215">
      <pivotArea collapsedLevelsAreSubtotals="1" fieldPosition="0">
        <references count="2">
          <reference field="4294967294" count="1" selected="0">
            <x v="2"/>
          </reference>
          <reference field="0" count="7">
            <x v="52"/>
            <x v="53"/>
            <x v="54"/>
            <x v="55"/>
            <x v="56"/>
            <x v="57"/>
            <x v="58"/>
          </reference>
        </references>
      </pivotArea>
    </format>
    <format dxfId="214">
      <pivotArea collapsedLevelsAreSubtotals="1" fieldPosition="0">
        <references count="2">
          <reference field="4294967294" count="1" selected="0">
            <x v="2"/>
          </reference>
          <reference field="0" count="2">
            <x v="65"/>
            <x v="66"/>
          </reference>
        </references>
      </pivotArea>
    </format>
    <format dxfId="213">
      <pivotArea collapsedLevelsAreSubtotals="1" fieldPosition="0">
        <references count="2">
          <reference field="4294967294" count="1" selected="0">
            <x v="2"/>
          </reference>
          <reference field="0" count="1">
            <x v="68"/>
          </reference>
        </references>
      </pivotArea>
    </format>
    <format dxfId="212">
      <pivotArea collapsedLevelsAreSubtotals="1" fieldPosition="0">
        <references count="2">
          <reference field="4294967294" count="1" selected="0">
            <x v="2"/>
          </reference>
          <reference field="0" count="1">
            <x v="70"/>
          </reference>
        </references>
      </pivotArea>
    </format>
    <format dxfId="211">
      <pivotArea collapsedLevelsAreSubtotals="1" fieldPosition="0">
        <references count="2">
          <reference field="4294967294" count="1" selected="0">
            <x v="2"/>
          </reference>
          <reference field="0" count="1">
            <x v="72"/>
          </reference>
        </references>
      </pivotArea>
    </format>
    <format dxfId="210">
      <pivotArea collapsedLevelsAreSubtotals="1" fieldPosition="0">
        <references count="2">
          <reference field="4294967294" count="1" selected="0">
            <x v="2"/>
          </reference>
          <reference field="0" count="1">
            <x v="74"/>
          </reference>
        </references>
      </pivotArea>
    </format>
    <format dxfId="209">
      <pivotArea collapsedLevelsAreSubtotals="1" fieldPosition="0">
        <references count="2">
          <reference field="4294967294" count="1" selected="0">
            <x v="2"/>
          </reference>
          <reference field="0" count="4">
            <x v="77"/>
            <x v="78"/>
            <x v="79"/>
            <x v="80"/>
          </reference>
        </references>
      </pivotArea>
    </format>
    <format dxfId="208">
      <pivotArea collapsedLevelsAreSubtotals="1" fieldPosition="0">
        <references count="2">
          <reference field="4294967294" count="1" selected="0">
            <x v="2"/>
          </reference>
          <reference field="0" count="3">
            <x v="82"/>
            <x v="83"/>
            <x v="84"/>
          </reference>
        </references>
      </pivotArea>
    </format>
    <format dxfId="207">
      <pivotArea collapsedLevelsAreSubtotals="1" fieldPosition="0">
        <references count="2">
          <reference field="4294967294" count="1" selected="0">
            <x v="2"/>
          </reference>
          <reference field="0" count="2">
            <x v="89"/>
            <x v="90"/>
          </reference>
        </references>
      </pivotArea>
    </format>
    <format dxfId="206">
      <pivotArea collapsedLevelsAreSubtotals="1" fieldPosition="0">
        <references count="2">
          <reference field="4294967294" count="1" selected="0">
            <x v="2"/>
          </reference>
          <reference field="0" count="3">
            <x v="92"/>
            <x v="93"/>
            <x v="94"/>
          </reference>
        </references>
      </pivotArea>
    </format>
    <format dxfId="205">
      <pivotArea collapsedLevelsAreSubtotals="1" fieldPosition="0">
        <references count="2">
          <reference field="4294967294" count="1" selected="0">
            <x v="2"/>
          </reference>
          <reference field="0" count="1">
            <x v="97"/>
          </reference>
        </references>
      </pivotArea>
    </format>
    <format dxfId="204">
      <pivotArea collapsedLevelsAreSubtotals="1" fieldPosition="0">
        <references count="2">
          <reference field="4294967294" count="1" selected="0">
            <x v="2"/>
          </reference>
          <reference field="0" count="1">
            <x v="99"/>
          </reference>
        </references>
      </pivotArea>
    </format>
    <format dxfId="203">
      <pivotArea collapsedLevelsAreSubtotals="1" fieldPosition="0">
        <references count="2">
          <reference field="4294967294" count="1" selected="0">
            <x v="2"/>
          </reference>
          <reference field="0" count="1">
            <x v="101"/>
          </reference>
        </references>
      </pivotArea>
    </format>
    <format dxfId="202">
      <pivotArea collapsedLevelsAreSubtotals="1" fieldPosition="0">
        <references count="2">
          <reference field="4294967294" count="1" selected="0">
            <x v="2"/>
          </reference>
          <reference field="0" count="2">
            <x v="103"/>
            <x v="104"/>
          </reference>
        </references>
      </pivotArea>
    </format>
    <format dxfId="201">
      <pivotArea collapsedLevelsAreSubtotals="1" fieldPosition="0">
        <references count="2">
          <reference field="4294967294" count="1" selected="0">
            <x v="2"/>
          </reference>
          <reference field="0" count="2">
            <x v="106"/>
            <x v="107"/>
          </reference>
        </references>
      </pivotArea>
    </format>
    <format dxfId="200">
      <pivotArea collapsedLevelsAreSubtotals="1" fieldPosition="0">
        <references count="2">
          <reference field="4294967294" count="1" selected="0">
            <x v="2"/>
          </reference>
          <reference field="0" count="1">
            <x v="115"/>
          </reference>
        </references>
      </pivotArea>
    </format>
    <format dxfId="199">
      <pivotArea collapsedLevelsAreSubtotals="1" fieldPosition="0">
        <references count="2">
          <reference field="4294967294" count="1" selected="0">
            <x v="2"/>
          </reference>
          <reference field="0" count="1">
            <x v="118"/>
          </reference>
        </references>
      </pivotArea>
    </format>
    <format dxfId="198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19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96">
      <pivotArea field="0" type="button" dataOnly="0" labelOnly="1" outline="0" axis="axisRow" fieldPosition="0"/>
    </format>
    <format dxfId="19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94">
      <pivotArea field="0" type="button" dataOnly="0" labelOnly="1" outline="0" axis="axisRow" fieldPosition="0"/>
    </format>
    <format dxfId="19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373A83-9C9F-45C3-B53E-C50A063192C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D782" firstHeaderRow="0" firstDataRow="1" firstDataCol="1" rowPageCount="1" colPageCount="1"/>
  <pivotFields count="31">
    <pivotField axis="axisRow" showAll="0" sortType="descending">
      <items count="122">
        <item x="108"/>
        <item x="9"/>
        <item x="54"/>
        <item x="19"/>
        <item x="35"/>
        <item x="71"/>
        <item x="78"/>
        <item x="72"/>
        <item x="111"/>
        <item x="58"/>
        <item x="112"/>
        <item x="1"/>
        <item x="113"/>
        <item x="62"/>
        <item x="47"/>
        <item x="88"/>
        <item x="27"/>
        <item x="106"/>
        <item x="21"/>
        <item x="52"/>
        <item x="60"/>
        <item x="104"/>
        <item x="90"/>
        <item x="25"/>
        <item x="34"/>
        <item x="61"/>
        <item x="39"/>
        <item x="50"/>
        <item x="101"/>
        <item x="74"/>
        <item x="36"/>
        <item x="17"/>
        <item x="33"/>
        <item x="120"/>
        <item x="84"/>
        <item x="99"/>
        <item x="55"/>
        <item x="51"/>
        <item x="46"/>
        <item x="96"/>
        <item x="15"/>
        <item x="43"/>
        <item x="67"/>
        <item x="2"/>
        <item x="114"/>
        <item x="38"/>
        <item x="12"/>
        <item x="48"/>
        <item x="44"/>
        <item x="93"/>
        <item x="69"/>
        <item x="98"/>
        <item x="118"/>
        <item x="31"/>
        <item x="22"/>
        <item x="119"/>
        <item x="73"/>
        <item x="32"/>
        <item x="40"/>
        <item x="5"/>
        <item x="86"/>
        <item x="23"/>
        <item x="24"/>
        <item x="80"/>
        <item x="116"/>
        <item x="100"/>
        <item x="87"/>
        <item x="105"/>
        <item x="26"/>
        <item x="94"/>
        <item x="66"/>
        <item x="59"/>
        <item x="89"/>
        <item x="4"/>
        <item x="41"/>
        <item x="83"/>
        <item x="18"/>
        <item x="16"/>
        <item x="79"/>
        <item x="75"/>
        <item x="45"/>
        <item x="110"/>
        <item x="13"/>
        <item x="30"/>
        <item x="49"/>
        <item x="97"/>
        <item x="103"/>
        <item x="85"/>
        <item x="6"/>
        <item x="81"/>
        <item x="64"/>
        <item x="37"/>
        <item x="107"/>
        <item x="8"/>
        <item x="10"/>
        <item x="14"/>
        <item x="3"/>
        <item x="91"/>
        <item x="56"/>
        <item x="82"/>
        <item x="109"/>
        <item x="115"/>
        <item x="76"/>
        <item x="102"/>
        <item x="29"/>
        <item x="117"/>
        <item x="70"/>
        <item x="53"/>
        <item x="77"/>
        <item x="0"/>
        <item x="92"/>
        <item x="63"/>
        <item x="11"/>
        <item x="68"/>
        <item x="28"/>
        <item x="20"/>
        <item x="42"/>
        <item x="95"/>
        <item x="7"/>
        <item x="65"/>
        <item x="5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axis="axisRow" showAll="0">
      <items count="351">
        <item x="262"/>
        <item x="159"/>
        <item x="261"/>
        <item x="66"/>
        <item x="335"/>
        <item x="295"/>
        <item x="249"/>
        <item x="53"/>
        <item x="125"/>
        <item x="282"/>
        <item x="3"/>
        <item x="307"/>
        <item x="156"/>
        <item x="175"/>
        <item x="177"/>
        <item x="171"/>
        <item x="18"/>
        <item x="258"/>
        <item x="49"/>
        <item x="106"/>
        <item x="2"/>
        <item x="120"/>
        <item x="16"/>
        <item x="345"/>
        <item x="98"/>
        <item x="275"/>
        <item x="47"/>
        <item x="92"/>
        <item x="180"/>
        <item x="93"/>
        <item x="280"/>
        <item x="243"/>
        <item x="340"/>
        <item x="101"/>
        <item x="198"/>
        <item x="88"/>
        <item x="140"/>
        <item x="233"/>
        <item x="290"/>
        <item x="246"/>
        <item x="315"/>
        <item x="40"/>
        <item x="272"/>
        <item x="218"/>
        <item x="31"/>
        <item x="230"/>
        <item x="84"/>
        <item x="149"/>
        <item x="167"/>
        <item x="287"/>
        <item x="14"/>
        <item x="242"/>
        <item x="19"/>
        <item x="136"/>
        <item x="11"/>
        <item x="329"/>
        <item x="227"/>
        <item x="29"/>
        <item x="121"/>
        <item x="109"/>
        <item x="292"/>
        <item x="111"/>
        <item x="96"/>
        <item x="199"/>
        <item x="37"/>
        <item x="13"/>
        <item x="1"/>
        <item x="330"/>
        <item x="278"/>
        <item x="74"/>
        <item x="342"/>
        <item x="328"/>
        <item x="174"/>
        <item x="317"/>
        <item x="184"/>
        <item x="314"/>
        <item x="52"/>
        <item x="320"/>
        <item x="347"/>
        <item x="72"/>
        <item x="276"/>
        <item x="308"/>
        <item x="289"/>
        <item x="161"/>
        <item x="0"/>
        <item x="179"/>
        <item x="208"/>
        <item x="41"/>
        <item x="346"/>
        <item x="331"/>
        <item x="148"/>
        <item x="119"/>
        <item x="232"/>
        <item x="20"/>
        <item x="268"/>
        <item x="202"/>
        <item x="102"/>
        <item x="241"/>
        <item x="337"/>
        <item x="12"/>
        <item x="255"/>
        <item x="95"/>
        <item x="211"/>
        <item x="151"/>
        <item x="250"/>
        <item x="10"/>
        <item x="203"/>
        <item x="99"/>
        <item x="28"/>
        <item x="64"/>
        <item x="234"/>
        <item x="46"/>
        <item x="114"/>
        <item x="323"/>
        <item x="237"/>
        <item x="300"/>
        <item x="142"/>
        <item x="196"/>
        <item x="338"/>
        <item x="138"/>
        <item x="260"/>
        <item x="293"/>
        <item x="195"/>
        <item x="324"/>
        <item x="224"/>
        <item x="89"/>
        <item x="327"/>
        <item x="9"/>
        <item x="170"/>
        <item x="147"/>
        <item x="162"/>
        <item x="305"/>
        <item x="251"/>
        <item x="110"/>
        <item x="82"/>
        <item x="122"/>
        <item x="30"/>
        <item x="90"/>
        <item x="4"/>
        <item x="309"/>
        <item x="58"/>
        <item x="259"/>
        <item x="164"/>
        <item x="160"/>
        <item x="279"/>
        <item x="248"/>
        <item x="112"/>
        <item x="193"/>
        <item x="62"/>
        <item x="190"/>
        <item x="173"/>
        <item x="6"/>
        <item x="322"/>
        <item x="298"/>
        <item x="185"/>
        <item x="168"/>
        <item x="32"/>
        <item x="97"/>
        <item x="215"/>
        <item x="223"/>
        <item x="265"/>
        <item x="129"/>
        <item x="209"/>
        <item x="73"/>
        <item x="172"/>
        <item x="22"/>
        <item x="59"/>
        <item x="297"/>
        <item x="144"/>
        <item x="91"/>
        <item x="284"/>
        <item x="210"/>
        <item x="54"/>
        <item x="206"/>
        <item x="145"/>
        <item x="71"/>
        <item x="296"/>
        <item x="267"/>
        <item x="312"/>
        <item x="60"/>
        <item x="225"/>
        <item x="212"/>
        <item x="50"/>
        <item x="77"/>
        <item x="130"/>
        <item x="220"/>
        <item x="8"/>
        <item x="244"/>
        <item x="182"/>
        <item x="236"/>
        <item x="51"/>
        <item x="321"/>
        <item x="124"/>
        <item x="103"/>
        <item x="135"/>
        <item x="70"/>
        <item x="343"/>
        <item x="319"/>
        <item x="326"/>
        <item x="341"/>
        <item x="105"/>
        <item x="192"/>
        <item x="24"/>
        <item x="115"/>
        <item x="229"/>
        <item x="33"/>
        <item x="165"/>
        <item x="176"/>
        <item x="68"/>
        <item x="123"/>
        <item x="222"/>
        <item x="189"/>
        <item x="205"/>
        <item x="285"/>
        <item x="141"/>
        <item x="45"/>
        <item x="104"/>
        <item x="247"/>
        <item x="283"/>
        <item x="34"/>
        <item x="291"/>
        <item x="42"/>
        <item x="238"/>
        <item x="61"/>
        <item x="132"/>
        <item x="15"/>
        <item x="194"/>
        <item x="126"/>
        <item x="281"/>
        <item x="245"/>
        <item x="35"/>
        <item x="201"/>
        <item x="310"/>
        <item x="301"/>
        <item x="303"/>
        <item x="108"/>
        <item x="269"/>
        <item x="150"/>
        <item x="152"/>
        <item x="188"/>
        <item x="17"/>
        <item x="43"/>
        <item x="85"/>
        <item x="216"/>
        <item x="137"/>
        <item x="39"/>
        <item x="299"/>
        <item x="318"/>
        <item x="48"/>
        <item x="181"/>
        <item x="25"/>
        <item x="263"/>
        <item x="36"/>
        <item x="240"/>
        <item x="94"/>
        <item x="257"/>
        <item x="186"/>
        <item x="44"/>
        <item x="235"/>
        <item x="166"/>
        <item x="134"/>
        <item x="311"/>
        <item x="252"/>
        <item x="274"/>
        <item x="231"/>
        <item x="143"/>
        <item x="336"/>
        <item x="154"/>
        <item x="217"/>
        <item x="155"/>
        <item x="69"/>
        <item x="333"/>
        <item x="81"/>
        <item x="344"/>
        <item x="79"/>
        <item x="158"/>
        <item x="221"/>
        <item x="226"/>
        <item x="56"/>
        <item x="23"/>
        <item x="306"/>
        <item x="197"/>
        <item x="348"/>
        <item x="183"/>
        <item x="78"/>
        <item x="80"/>
        <item x="21"/>
        <item x="288"/>
        <item x="294"/>
        <item x="191"/>
        <item x="256"/>
        <item x="264"/>
        <item x="313"/>
        <item x="55"/>
        <item x="325"/>
        <item x="332"/>
        <item x="157"/>
        <item x="118"/>
        <item x="27"/>
        <item x="63"/>
        <item x="304"/>
        <item x="228"/>
        <item x="100"/>
        <item x="213"/>
        <item x="169"/>
        <item x="83"/>
        <item x="200"/>
        <item x="178"/>
        <item x="334"/>
        <item x="113"/>
        <item x="128"/>
        <item x="127"/>
        <item x="302"/>
        <item x="75"/>
        <item x="65"/>
        <item x="57"/>
        <item x="131"/>
        <item x="116"/>
        <item x="86"/>
        <item x="204"/>
        <item x="349"/>
        <item x="87"/>
        <item x="67"/>
        <item x="286"/>
        <item x="187"/>
        <item x="5"/>
        <item x="207"/>
        <item x="38"/>
        <item x="133"/>
        <item x="277"/>
        <item x="26"/>
        <item x="139"/>
        <item x="76"/>
        <item x="153"/>
        <item x="214"/>
        <item x="163"/>
        <item x="271"/>
        <item x="339"/>
        <item x="239"/>
        <item x="254"/>
        <item x="219"/>
        <item x="107"/>
        <item x="273"/>
        <item x="146"/>
        <item x="7"/>
        <item x="316"/>
        <item x="117"/>
        <item x="270"/>
        <item x="253"/>
        <item x="266"/>
        <item t="default"/>
      </items>
    </pivotField>
    <pivotField showAll="0"/>
    <pivotField axis="axisPage" multipleItemSelectionAllowed="1" showAll="0">
      <items count="4">
        <item x="2"/>
        <item x="1"/>
        <item h="1" x="0"/>
        <item t="default"/>
      </items>
    </pivotField>
    <pivotField showAll="0"/>
    <pivotField showAll="0"/>
    <pivotField numFmtId="14" showAll="0"/>
    <pivotField numFmtId="14" showAll="0">
      <items count="333">
        <item x="41"/>
        <item x="151"/>
        <item x="143"/>
        <item x="235"/>
        <item x="108"/>
        <item x="272"/>
        <item x="15"/>
        <item x="182"/>
        <item x="283"/>
        <item x="202"/>
        <item x="58"/>
        <item x="156"/>
        <item x="282"/>
        <item x="76"/>
        <item x="137"/>
        <item x="226"/>
        <item x="207"/>
        <item x="251"/>
        <item x="258"/>
        <item x="188"/>
        <item x="13"/>
        <item x="147"/>
        <item x="35"/>
        <item x="180"/>
        <item x="40"/>
        <item x="72"/>
        <item x="319"/>
        <item x="322"/>
        <item x="50"/>
        <item x="305"/>
        <item x="81"/>
        <item x="241"/>
        <item x="170"/>
        <item x="287"/>
        <item x="324"/>
        <item x="80"/>
        <item x="42"/>
        <item x="11"/>
        <item x="109"/>
        <item x="315"/>
        <item x="135"/>
        <item x="14"/>
        <item x="145"/>
        <item x="168"/>
        <item x="99"/>
        <item x="268"/>
        <item x="280"/>
        <item x="221"/>
        <item x="190"/>
        <item x="224"/>
        <item x="73"/>
        <item x="118"/>
        <item x="90"/>
        <item x="79"/>
        <item x="325"/>
        <item x="166"/>
        <item x="133"/>
        <item x="228"/>
        <item x="110"/>
        <item x="214"/>
        <item x="112"/>
        <item x="292"/>
        <item x="261"/>
        <item x="178"/>
        <item x="293"/>
        <item x="243"/>
        <item x="204"/>
        <item x="278"/>
        <item x="281"/>
        <item x="212"/>
        <item x="294"/>
        <item x="104"/>
        <item x="288"/>
        <item x="138"/>
        <item x="115"/>
        <item x="1"/>
        <item x="47"/>
        <item x="246"/>
        <item x="142"/>
        <item x="253"/>
        <item x="183"/>
        <item x="240"/>
        <item x="65"/>
        <item x="308"/>
        <item x="75"/>
        <item x="20"/>
        <item x="313"/>
        <item x="134"/>
        <item x="10"/>
        <item x="8"/>
        <item x="276"/>
        <item x="217"/>
        <item x="149"/>
        <item x="223"/>
        <item x="158"/>
        <item x="314"/>
        <item x="25"/>
        <item x="327"/>
        <item x="301"/>
        <item x="46"/>
        <item x="123"/>
        <item x="68"/>
        <item x="74"/>
        <item x="255"/>
        <item x="227"/>
        <item x="236"/>
        <item x="289"/>
        <item x="159"/>
        <item x="125"/>
        <item x="71"/>
        <item x="197"/>
        <item x="126"/>
        <item x="88"/>
        <item x="219"/>
        <item x="177"/>
        <item x="124"/>
        <item x="329"/>
        <item x="103"/>
        <item x="17"/>
        <item x="24"/>
        <item x="12"/>
        <item x="309"/>
        <item x="100"/>
        <item x="22"/>
        <item x="60"/>
        <item x="78"/>
        <item x="55"/>
        <item x="67"/>
        <item x="285"/>
        <item x="23"/>
        <item x="107"/>
        <item x="191"/>
        <item x="48"/>
        <item x="298"/>
        <item x="331"/>
        <item x="303"/>
        <item x="84"/>
        <item x="184"/>
        <item x="200"/>
        <item x="259"/>
        <item x="19"/>
        <item x="174"/>
        <item x="4"/>
        <item x="274"/>
        <item x="179"/>
        <item x="229"/>
        <item x="167"/>
        <item x="139"/>
        <item x="216"/>
        <item x="270"/>
        <item x="323"/>
        <item x="5"/>
        <item x="300"/>
        <item x="173"/>
        <item x="195"/>
        <item x="93"/>
        <item x="254"/>
        <item x="242"/>
        <item x="271"/>
        <item x="59"/>
        <item x="16"/>
        <item x="279"/>
        <item x="69"/>
        <item x="30"/>
        <item x="321"/>
        <item x="163"/>
        <item x="196"/>
        <item x="38"/>
        <item x="297"/>
        <item x="238"/>
        <item x="222"/>
        <item x="39"/>
        <item x="140"/>
        <item x="64"/>
        <item x="213"/>
        <item x="256"/>
        <item x="95"/>
        <item x="317"/>
        <item x="291"/>
        <item x="269"/>
        <item x="230"/>
        <item x="262"/>
        <item x="233"/>
        <item x="89"/>
        <item x="155"/>
        <item x="286"/>
        <item x="295"/>
        <item x="192"/>
        <item x="85"/>
        <item x="326"/>
        <item x="264"/>
        <item x="218"/>
        <item x="205"/>
        <item x="86"/>
        <item x="198"/>
        <item x="273"/>
        <item x="77"/>
        <item x="53"/>
        <item x="94"/>
        <item x="37"/>
        <item x="249"/>
        <item x="199"/>
        <item x="127"/>
        <item x="33"/>
        <item x="51"/>
        <item x="206"/>
        <item x="311"/>
        <item x="129"/>
        <item x="96"/>
        <item x="171"/>
        <item x="57"/>
        <item x="36"/>
        <item x="161"/>
        <item x="43"/>
        <item x="172"/>
        <item x="66"/>
        <item x="307"/>
        <item x="252"/>
        <item x="263"/>
        <item x="304"/>
        <item x="52"/>
        <item x="98"/>
        <item x="63"/>
        <item x="209"/>
        <item x="148"/>
        <item x="92"/>
        <item x="193"/>
        <item x="220"/>
        <item x="210"/>
        <item x="153"/>
        <item x="28"/>
        <item x="119"/>
        <item x="56"/>
        <item x="32"/>
        <item x="316"/>
        <item x="105"/>
        <item x="82"/>
        <item x="9"/>
        <item x="150"/>
        <item x="169"/>
        <item x="181"/>
        <item x="208"/>
        <item x="260"/>
        <item x="245"/>
        <item x="116"/>
        <item x="187"/>
        <item x="44"/>
        <item x="176"/>
        <item x="306"/>
        <item x="136"/>
        <item x="29"/>
        <item x="157"/>
        <item x="113"/>
        <item x="26"/>
        <item x="266"/>
        <item x="234"/>
        <item x="70"/>
        <item x="215"/>
        <item x="18"/>
        <item x="211"/>
        <item x="114"/>
        <item x="203"/>
        <item x="320"/>
        <item x="61"/>
        <item x="132"/>
        <item x="83"/>
        <item x="87"/>
        <item x="62"/>
        <item x="165"/>
        <item x="3"/>
        <item x="152"/>
        <item x="144"/>
        <item x="239"/>
        <item x="244"/>
        <item x="146"/>
        <item x="31"/>
        <item x="121"/>
        <item x="2"/>
        <item x="21"/>
        <item x="130"/>
        <item x="318"/>
        <item x="111"/>
        <item x="162"/>
        <item x="275"/>
        <item x="201"/>
        <item x="117"/>
        <item x="284"/>
        <item x="0"/>
        <item x="27"/>
        <item x="141"/>
        <item x="97"/>
        <item x="154"/>
        <item x="277"/>
        <item x="120"/>
        <item x="330"/>
        <item x="54"/>
        <item x="128"/>
        <item x="189"/>
        <item x="186"/>
        <item x="185"/>
        <item x="328"/>
        <item x="302"/>
        <item x="91"/>
        <item x="49"/>
        <item x="34"/>
        <item x="231"/>
        <item x="296"/>
        <item x="6"/>
        <item x="267"/>
        <item x="45"/>
        <item x="299"/>
        <item x="237"/>
        <item x="247"/>
        <item x="101"/>
        <item x="290"/>
        <item x="232"/>
        <item x="164"/>
        <item x="265"/>
        <item x="257"/>
        <item x="194"/>
        <item x="310"/>
        <item x="102"/>
        <item x="225"/>
        <item x="131"/>
        <item x="160"/>
        <item x="175"/>
        <item x="122"/>
        <item x="248"/>
        <item x="106"/>
        <item x="312"/>
        <item x="7"/>
        <item x="250"/>
        <item t="default"/>
      </items>
    </pivotField>
    <pivotField showAll="0"/>
    <pivotField numFmtId="166" showAll="0"/>
    <pivotField numFmtId="166" showAll="0"/>
    <pivotField dataField="1" numFmtId="1" showAll="0"/>
    <pivotField numFmtId="14" showAll="0"/>
    <pivotField numFmtId="2" showAll="0"/>
    <pivotField numFmtId="8" showAll="0"/>
    <pivotField dataField="1" showAll="0"/>
    <pivotField showAll="0"/>
    <pivotField showAll="0"/>
    <pivotField numFmtId="8" showAll="0"/>
    <pivotField showAll="0"/>
    <pivotField dataField="1" numFmtId="43" showAll="0"/>
    <pivotField numFmtId="43" showAll="0"/>
    <pivotField showAll="0"/>
    <pivotField showAll="0"/>
    <pivotField numFmtId="8" showAll="0"/>
    <pivotField numFmtId="10" showAll="0"/>
    <pivotField numFmtId="8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2">
    <field x="0"/>
    <field x="2"/>
  </rowFields>
  <rowItems count="774">
    <i>
      <x v="94"/>
    </i>
    <i r="1">
      <x v="60"/>
    </i>
    <i r="1">
      <x v="105"/>
    </i>
    <i r="1">
      <x v="119"/>
    </i>
    <i r="1">
      <x v="130"/>
    </i>
    <i r="1">
      <x v="159"/>
    </i>
    <i r="1">
      <x v="187"/>
    </i>
    <i r="1">
      <x v="189"/>
    </i>
    <i r="1">
      <x v="206"/>
    </i>
    <i r="1">
      <x v="227"/>
    </i>
    <i r="1">
      <x v="314"/>
    </i>
    <i>
      <x v="43"/>
    </i>
    <i r="1">
      <x v="37"/>
    </i>
    <i r="1">
      <x v="95"/>
    </i>
    <i r="1">
      <x v="198"/>
    </i>
    <i r="1">
      <x v="205"/>
    </i>
    <i r="1">
      <x v="219"/>
    </i>
    <i r="1">
      <x v="258"/>
    </i>
    <i r="1">
      <x v="320"/>
    </i>
    <i>
      <x v="12"/>
    </i>
    <i r="1">
      <x v="153"/>
    </i>
    <i r="1">
      <x v="337"/>
    </i>
    <i>
      <x v="36"/>
    </i>
    <i r="1">
      <x v="30"/>
    </i>
    <i r="1">
      <x v="33"/>
    </i>
    <i r="1">
      <x v="69"/>
    </i>
    <i r="1">
      <x v="75"/>
    </i>
    <i r="1">
      <x v="114"/>
    </i>
    <i r="1">
      <x v="135"/>
    </i>
    <i r="1">
      <x v="144"/>
    </i>
    <i r="1">
      <x v="165"/>
    </i>
    <i r="1">
      <x v="166"/>
    </i>
    <i r="1">
      <x v="257"/>
    </i>
    <i r="1">
      <x v="266"/>
    </i>
    <i r="1">
      <x v="293"/>
    </i>
    <i>
      <x v="75"/>
    </i>
    <i r="1">
      <x v="59"/>
    </i>
    <i r="1">
      <x v="168"/>
    </i>
    <i r="1">
      <x v="194"/>
    </i>
    <i>
      <x v="112"/>
    </i>
    <i r="1">
      <x v="52"/>
    </i>
    <i r="1">
      <x v="54"/>
    </i>
    <i r="1">
      <x v="57"/>
    </i>
    <i r="1">
      <x v="204"/>
    </i>
    <i r="1">
      <x v="234"/>
    </i>
    <i>
      <x v="93"/>
    </i>
    <i r="1">
      <x v="84"/>
    </i>
    <i r="1">
      <x v="174"/>
    </i>
    <i r="1">
      <x v="186"/>
    </i>
    <i r="1">
      <x v="230"/>
    </i>
    <i r="1">
      <x v="289"/>
    </i>
    <i>
      <x v="15"/>
    </i>
    <i r="1">
      <x v="205"/>
    </i>
    <i r="1">
      <x v="230"/>
    </i>
    <i>
      <x v="86"/>
    </i>
    <i r="1">
      <x v="103"/>
    </i>
    <i r="1">
      <x v="232"/>
    </i>
    <i r="1">
      <x v="256"/>
    </i>
    <i r="1">
      <x v="257"/>
    </i>
    <i r="1">
      <x v="288"/>
    </i>
    <i r="1">
      <x v="331"/>
    </i>
    <i>
      <x v="107"/>
    </i>
    <i r="1">
      <x v="15"/>
    </i>
    <i r="1">
      <x v="20"/>
    </i>
    <i r="1">
      <x v="36"/>
    </i>
    <i r="1">
      <x v="232"/>
    </i>
    <i r="1">
      <x v="298"/>
    </i>
    <i r="1">
      <x v="305"/>
    </i>
    <i r="1">
      <x v="306"/>
    </i>
    <i r="1">
      <x v="312"/>
    </i>
    <i r="1">
      <x v="317"/>
    </i>
    <i r="1">
      <x v="339"/>
    </i>
    <i>
      <x v="100"/>
    </i>
    <i r="1">
      <x v="21"/>
    </i>
    <i r="1">
      <x v="116"/>
    </i>
    <i r="1">
      <x v="192"/>
    </i>
    <i r="1">
      <x v="205"/>
    </i>
    <i>
      <x v="77"/>
    </i>
    <i r="1">
      <x v="22"/>
    </i>
    <i r="1">
      <x v="31"/>
    </i>
    <i r="1">
      <x v="32"/>
    </i>
    <i r="1">
      <x v="110"/>
    </i>
    <i r="1">
      <x v="138"/>
    </i>
    <i r="1">
      <x v="208"/>
    </i>
    <i r="1">
      <x v="287"/>
    </i>
    <i>
      <x v="81"/>
    </i>
    <i r="1">
      <x v="14"/>
    </i>
    <i r="1">
      <x v="85"/>
    </i>
    <i r="1">
      <x v="139"/>
    </i>
    <i r="1">
      <x v="213"/>
    </i>
    <i r="1">
      <x v="276"/>
    </i>
    <i>
      <x v="50"/>
    </i>
    <i r="1">
      <x v="22"/>
    </i>
    <i r="1">
      <x v="47"/>
    </i>
    <i r="1">
      <x v="59"/>
    </i>
    <i r="1">
      <x v="198"/>
    </i>
    <i r="1">
      <x v="289"/>
    </i>
    <i r="1">
      <x v="321"/>
    </i>
    <i r="1">
      <x v="332"/>
    </i>
    <i>
      <x v="109"/>
    </i>
    <i r="1">
      <x v="62"/>
    </i>
    <i r="1">
      <x v="89"/>
    </i>
    <i r="1">
      <x v="126"/>
    </i>
    <i r="1">
      <x v="258"/>
    </i>
    <i r="1">
      <x v="259"/>
    </i>
    <i r="1">
      <x v="338"/>
    </i>
    <i>
      <x v="116"/>
    </i>
    <i r="1">
      <x v="15"/>
    </i>
    <i r="1">
      <x v="208"/>
    </i>
    <i r="1">
      <x v="241"/>
    </i>
    <i r="1">
      <x v="344"/>
    </i>
    <i>
      <x v="26"/>
    </i>
    <i r="1">
      <x v="67"/>
    </i>
    <i r="1">
      <x v="129"/>
    </i>
    <i r="1">
      <x v="230"/>
    </i>
    <i r="1">
      <x v="239"/>
    </i>
    <i r="1">
      <x v="264"/>
    </i>
    <i r="1">
      <x v="267"/>
    </i>
    <i r="1">
      <x v="330"/>
    </i>
    <i r="1">
      <x v="333"/>
    </i>
    <i>
      <x v="44"/>
    </i>
    <i r="1">
      <x v="27"/>
    </i>
    <i r="1">
      <x v="59"/>
    </i>
    <i r="1">
      <x v="147"/>
    </i>
    <i r="1">
      <x v="293"/>
    </i>
    <i>
      <x v="104"/>
    </i>
    <i r="1">
      <x v="10"/>
    </i>
    <i r="1">
      <x v="57"/>
    </i>
    <i r="1">
      <x v="60"/>
    </i>
    <i r="1">
      <x v="83"/>
    </i>
    <i r="1">
      <x v="91"/>
    </i>
    <i r="1">
      <x v="131"/>
    </i>
    <i r="1">
      <x v="177"/>
    </i>
    <i r="1">
      <x v="210"/>
    </i>
    <i r="1">
      <x v="233"/>
    </i>
    <i r="1">
      <x v="250"/>
    </i>
    <i r="1">
      <x v="251"/>
    </i>
    <i r="1">
      <x v="338"/>
    </i>
    <i>
      <x v="34"/>
    </i>
    <i r="1">
      <x v="6"/>
    </i>
    <i r="1">
      <x v="61"/>
    </i>
    <i r="1">
      <x v="120"/>
    </i>
    <i r="1">
      <x v="224"/>
    </i>
    <i r="1">
      <x v="238"/>
    </i>
    <i r="1">
      <x v="277"/>
    </i>
    <i>
      <x v="106"/>
    </i>
    <i r="1">
      <x v="23"/>
    </i>
    <i r="1">
      <x v="122"/>
    </i>
    <i r="1">
      <x v="137"/>
    </i>
    <i r="1">
      <x v="278"/>
    </i>
    <i r="1">
      <x v="340"/>
    </i>
    <i>
      <x v="98"/>
    </i>
    <i r="1">
      <x v="46"/>
    </i>
    <i r="1">
      <x v="148"/>
    </i>
    <i r="1">
      <x v="165"/>
    </i>
    <i r="1">
      <x v="247"/>
    </i>
    <i r="1">
      <x v="292"/>
    </i>
    <i>
      <x v="45"/>
    </i>
    <i r="1">
      <x v="33"/>
    </i>
    <i r="1">
      <x v="39"/>
    </i>
    <i r="1">
      <x v="69"/>
    </i>
    <i r="1">
      <x v="96"/>
    </i>
    <i r="1">
      <x v="237"/>
    </i>
    <i r="1">
      <x v="245"/>
    </i>
    <i>
      <x v="3"/>
    </i>
    <i r="1">
      <x v="52"/>
    </i>
    <i r="1">
      <x v="111"/>
    </i>
    <i r="1">
      <x v="129"/>
    </i>
    <i r="1">
      <x v="170"/>
    </i>
    <i r="1">
      <x v="200"/>
    </i>
    <i r="1">
      <x v="205"/>
    </i>
    <i r="1">
      <x v="219"/>
    </i>
    <i r="1">
      <x v="278"/>
    </i>
    <i>
      <x v="47"/>
    </i>
    <i r="1">
      <x v="82"/>
    </i>
    <i r="1">
      <x v="170"/>
    </i>
    <i r="1">
      <x v="236"/>
    </i>
    <i r="1">
      <x v="249"/>
    </i>
    <i r="1">
      <x v="263"/>
    </i>
    <i r="1">
      <x v="303"/>
    </i>
    <i r="1">
      <x v="304"/>
    </i>
    <i r="1">
      <x v="313"/>
    </i>
    <i>
      <x v="83"/>
    </i>
    <i r="1">
      <x v="26"/>
    </i>
    <i r="1">
      <x v="36"/>
    </i>
    <i r="1">
      <x v="54"/>
    </i>
    <i r="1">
      <x v="86"/>
    </i>
    <i r="1">
      <x v="100"/>
    </i>
    <i r="1">
      <x v="113"/>
    </i>
    <i r="1">
      <x v="114"/>
    </i>
    <i r="1">
      <x v="136"/>
    </i>
    <i>
      <x v="10"/>
    </i>
    <i r="1">
      <x v="52"/>
    </i>
    <i r="1">
      <x v="66"/>
    </i>
    <i r="1">
      <x v="115"/>
    </i>
    <i r="1">
      <x v="128"/>
    </i>
    <i r="1">
      <x v="149"/>
    </i>
    <i r="1">
      <x v="286"/>
    </i>
    <i>
      <x v="102"/>
    </i>
    <i r="1">
      <x v="8"/>
    </i>
    <i r="1">
      <x v="96"/>
    </i>
    <i r="1">
      <x v="158"/>
    </i>
    <i r="1">
      <x v="190"/>
    </i>
    <i r="1">
      <x v="208"/>
    </i>
    <i r="1">
      <x v="335"/>
    </i>
    <i>
      <x v="69"/>
    </i>
    <i r="1">
      <x v="20"/>
    </i>
    <i r="1">
      <x v="98"/>
    </i>
    <i r="1">
      <x v="117"/>
    </i>
    <i r="1">
      <x v="130"/>
    </i>
    <i r="1">
      <x v="136"/>
    </i>
    <i r="1">
      <x v="184"/>
    </i>
    <i>
      <x v="8"/>
    </i>
    <i r="1">
      <x v="63"/>
    </i>
    <i r="1">
      <x v="131"/>
    </i>
    <i r="1">
      <x v="165"/>
    </i>
    <i r="1">
      <x v="192"/>
    </i>
    <i r="1">
      <x v="249"/>
    </i>
    <i r="1">
      <x v="256"/>
    </i>
    <i r="1">
      <x v="290"/>
    </i>
    <i>
      <x v="66"/>
    </i>
    <i r="1">
      <x v="12"/>
    </i>
    <i r="1">
      <x v="38"/>
    </i>
    <i r="1">
      <x v="65"/>
    </i>
    <i r="1">
      <x v="86"/>
    </i>
    <i r="1">
      <x v="92"/>
    </i>
    <i r="1">
      <x v="108"/>
    </i>
    <i r="1">
      <x v="146"/>
    </i>
    <i r="1">
      <x v="217"/>
    </i>
    <i r="1">
      <x v="335"/>
    </i>
    <i r="1">
      <x v="347"/>
    </i>
    <i>
      <x v="65"/>
    </i>
    <i r="1">
      <x v="41"/>
    </i>
    <i r="1">
      <x v="42"/>
    </i>
    <i r="1">
      <x v="109"/>
    </i>
    <i r="1">
      <x v="128"/>
    </i>
    <i r="1">
      <x v="155"/>
    </i>
    <i r="1">
      <x v="238"/>
    </i>
    <i r="1">
      <x v="310"/>
    </i>
    <i>
      <x v="80"/>
    </i>
    <i r="1">
      <x v="6"/>
    </i>
    <i r="1">
      <x v="96"/>
    </i>
    <i r="1">
      <x v="138"/>
    </i>
    <i r="1">
      <x v="243"/>
    </i>
    <i r="1">
      <x v="314"/>
    </i>
    <i>
      <x v="41"/>
    </i>
    <i r="1">
      <x v="22"/>
    </i>
    <i r="1">
      <x v="64"/>
    </i>
    <i r="1">
      <x v="79"/>
    </i>
    <i r="1">
      <x v="83"/>
    </i>
    <i r="1">
      <x v="289"/>
    </i>
    <i r="1">
      <x v="293"/>
    </i>
    <i>
      <x v="71"/>
    </i>
    <i r="1">
      <x v="3"/>
    </i>
    <i r="1">
      <x v="45"/>
    </i>
    <i r="1">
      <x v="82"/>
    </i>
    <i r="1">
      <x v="103"/>
    </i>
    <i r="1">
      <x v="119"/>
    </i>
    <i r="1">
      <x v="143"/>
    </i>
    <i r="1">
      <x v="150"/>
    </i>
    <i r="1">
      <x v="220"/>
    </i>
    <i r="1">
      <x v="221"/>
    </i>
    <i r="1">
      <x v="241"/>
    </i>
    <i>
      <x v="87"/>
    </i>
    <i r="1">
      <x v="39"/>
    </i>
    <i r="1">
      <x v="40"/>
    </i>
    <i r="1">
      <x v="61"/>
    </i>
    <i r="1">
      <x v="138"/>
    </i>
    <i>
      <x v="64"/>
    </i>
    <i r="1">
      <x v="260"/>
    </i>
    <i r="1">
      <x v="261"/>
    </i>
    <i r="1">
      <x v="319"/>
    </i>
    <i r="1">
      <x v="325"/>
    </i>
    <i r="1">
      <x v="331"/>
    </i>
    <i>
      <x v="51"/>
    </i>
    <i r="1">
      <x v="35"/>
    </i>
    <i r="1">
      <x v="114"/>
    </i>
    <i r="1">
      <x v="138"/>
    </i>
    <i r="1">
      <x v="226"/>
    </i>
    <i r="1">
      <x v="277"/>
    </i>
    <i r="1">
      <x v="279"/>
    </i>
    <i r="1">
      <x v="341"/>
    </i>
    <i>
      <x v="27"/>
    </i>
    <i r="1">
      <x v="33"/>
    </i>
    <i r="1">
      <x v="154"/>
    </i>
    <i r="1">
      <x v="180"/>
    </i>
    <i r="1">
      <x v="298"/>
    </i>
    <i>
      <x v="18"/>
    </i>
    <i r="1">
      <x v="85"/>
    </i>
    <i r="1">
      <x v="129"/>
    </i>
    <i r="1">
      <x v="198"/>
    </i>
    <i r="1">
      <x v="237"/>
    </i>
    <i r="1">
      <x v="286"/>
    </i>
    <i>
      <x v="24"/>
    </i>
    <i r="1">
      <x v="14"/>
    </i>
    <i r="1">
      <x v="210"/>
    </i>
    <i r="1">
      <x v="252"/>
    </i>
    <i r="1">
      <x v="306"/>
    </i>
    <i r="1">
      <x v="326"/>
    </i>
    <i>
      <x v="29"/>
    </i>
    <i r="1">
      <x v="24"/>
    </i>
    <i r="1">
      <x v="133"/>
    </i>
    <i r="1">
      <x v="144"/>
    </i>
    <i r="1">
      <x v="145"/>
    </i>
    <i r="1">
      <x v="262"/>
    </i>
    <i>
      <x v="90"/>
    </i>
    <i r="1">
      <x v="77"/>
    </i>
    <i r="1">
      <x v="138"/>
    </i>
    <i r="1">
      <x v="170"/>
    </i>
    <i r="1">
      <x v="175"/>
    </i>
    <i>
      <x v="38"/>
    </i>
    <i r="1">
      <x v="26"/>
    </i>
    <i r="1">
      <x v="36"/>
    </i>
    <i r="1">
      <x v="196"/>
    </i>
    <i r="1">
      <x v="208"/>
    </i>
    <i r="1">
      <x v="219"/>
    </i>
    <i>
      <x v="85"/>
    </i>
    <i r="1">
      <x v="68"/>
    </i>
    <i r="1">
      <x v="91"/>
    </i>
    <i r="1">
      <x v="93"/>
    </i>
    <i r="1">
      <x v="169"/>
    </i>
    <i>
      <x v="4"/>
    </i>
    <i r="1">
      <x v="151"/>
    </i>
    <i r="1">
      <x v="172"/>
    </i>
    <i r="1">
      <x v="194"/>
    </i>
    <i r="1">
      <x v="209"/>
    </i>
    <i>
      <x v="46"/>
    </i>
    <i r="1">
      <x v="58"/>
    </i>
    <i r="1">
      <x v="99"/>
    </i>
    <i r="1">
      <x v="182"/>
    </i>
    <i r="1">
      <x v="190"/>
    </i>
    <i>
      <x v="55"/>
    </i>
    <i r="1">
      <x v="124"/>
    </i>
    <i r="1">
      <x v="141"/>
    </i>
    <i r="1">
      <x v="251"/>
    </i>
    <i r="1">
      <x v="294"/>
    </i>
    <i r="1">
      <x v="328"/>
    </i>
    <i>
      <x v="56"/>
    </i>
    <i r="1">
      <x v="5"/>
    </i>
    <i r="1">
      <x v="27"/>
    </i>
    <i r="1">
      <x v="108"/>
    </i>
    <i r="1">
      <x v="112"/>
    </i>
    <i r="1">
      <x v="165"/>
    </i>
    <i>
      <x v="110"/>
    </i>
    <i r="1">
      <x v="238"/>
    </i>
    <i r="1">
      <x v="240"/>
    </i>
    <i r="1">
      <x v="281"/>
    </i>
    <i r="1">
      <x v="327"/>
    </i>
    <i>
      <x v="14"/>
    </i>
    <i r="1">
      <x v="18"/>
    </i>
    <i r="1">
      <x v="34"/>
    </i>
    <i r="1">
      <x v="117"/>
    </i>
    <i r="1">
      <x v="121"/>
    </i>
    <i r="1">
      <x v="275"/>
    </i>
    <i r="1">
      <x v="339"/>
    </i>
    <i>
      <x v="67"/>
    </i>
    <i r="1">
      <x v="97"/>
    </i>
    <i r="1">
      <x v="157"/>
    </i>
    <i r="1">
      <x v="191"/>
    </i>
    <i r="1">
      <x v="194"/>
    </i>
    <i r="1">
      <x v="235"/>
    </i>
    <i r="1">
      <x v="262"/>
    </i>
    <i r="1">
      <x v="296"/>
    </i>
    <i r="1">
      <x v="347"/>
    </i>
    <i>
      <x v="21"/>
    </i>
    <i r="1">
      <x v="14"/>
    </i>
    <i r="1">
      <x v="165"/>
    </i>
    <i r="1">
      <x v="329"/>
    </i>
    <i>
      <x v="16"/>
    </i>
    <i r="1">
      <x v="70"/>
    </i>
    <i r="1">
      <x v="97"/>
    </i>
    <i r="1">
      <x v="103"/>
    </i>
    <i r="1">
      <x v="108"/>
    </i>
    <i r="1">
      <x v="116"/>
    </i>
    <i r="1">
      <x v="123"/>
    </i>
    <i r="1">
      <x v="298"/>
    </i>
    <i r="1">
      <x v="300"/>
    </i>
    <i>
      <x v="118"/>
    </i>
    <i r="1">
      <x v="125"/>
    </i>
    <i r="1">
      <x v="172"/>
    </i>
    <i r="1">
      <x v="290"/>
    </i>
    <i r="1">
      <x v="303"/>
    </i>
    <i r="1">
      <x v="347"/>
    </i>
    <i>
      <x v="57"/>
    </i>
    <i r="1">
      <x v="41"/>
    </i>
    <i r="1">
      <x v="156"/>
    </i>
    <i r="1">
      <x v="227"/>
    </i>
    <i r="1">
      <x v="229"/>
    </i>
    <i r="1">
      <x v="264"/>
    </i>
    <i r="1">
      <x v="298"/>
    </i>
    <i>
      <x v="115"/>
    </i>
    <i r="1">
      <x v="91"/>
    </i>
    <i r="1">
      <x v="130"/>
    </i>
    <i r="1">
      <x v="132"/>
    </i>
    <i r="1">
      <x v="177"/>
    </i>
    <i r="1">
      <x v="218"/>
    </i>
    <i r="1">
      <x v="222"/>
    </i>
    <i r="1">
      <x v="247"/>
    </i>
    <i r="1">
      <x v="309"/>
    </i>
    <i r="1">
      <x v="319"/>
    </i>
    <i r="1">
      <x v="330"/>
    </i>
    <i r="1">
      <x v="334"/>
    </i>
    <i r="1">
      <x v="349"/>
    </i>
    <i>
      <x v="95"/>
    </i>
    <i r="1">
      <x/>
    </i>
    <i r="1">
      <x v="8"/>
    </i>
    <i r="1">
      <x v="50"/>
    </i>
    <i r="1">
      <x v="165"/>
    </i>
    <i r="1">
      <x v="194"/>
    </i>
    <i r="1">
      <x v="231"/>
    </i>
    <i r="1">
      <x v="241"/>
    </i>
    <i r="1">
      <x v="262"/>
    </i>
    <i r="1">
      <x v="293"/>
    </i>
    <i r="1">
      <x v="298"/>
    </i>
    <i>
      <x v="17"/>
    </i>
    <i r="1">
      <x v="50"/>
    </i>
    <i r="1">
      <x v="93"/>
    </i>
    <i r="1">
      <x v="109"/>
    </i>
    <i r="1">
      <x v="124"/>
    </i>
    <i r="1">
      <x v="166"/>
    </i>
    <i r="1">
      <x v="208"/>
    </i>
    <i r="1">
      <x v="238"/>
    </i>
    <i>
      <x v="11"/>
    </i>
    <i r="1">
      <x/>
    </i>
    <i r="1">
      <x v="29"/>
    </i>
    <i r="1">
      <x v="66"/>
    </i>
    <i r="1">
      <x v="259"/>
    </i>
    <i r="1">
      <x v="283"/>
    </i>
    <i>
      <x v="76"/>
    </i>
    <i r="1">
      <x v="5"/>
    </i>
    <i r="1">
      <x v="16"/>
    </i>
    <i r="1">
      <x v="18"/>
    </i>
    <i r="1">
      <x v="86"/>
    </i>
    <i r="1">
      <x v="172"/>
    </i>
    <i r="1">
      <x v="226"/>
    </i>
    <i r="1">
      <x v="262"/>
    </i>
    <i r="1">
      <x v="275"/>
    </i>
    <i r="1">
      <x v="297"/>
    </i>
    <i>
      <x v="42"/>
    </i>
    <i r="1">
      <x v="5"/>
    </i>
    <i r="1">
      <x v="33"/>
    </i>
    <i r="1">
      <x v="155"/>
    </i>
    <i r="1">
      <x v="157"/>
    </i>
    <i r="1">
      <x v="188"/>
    </i>
    <i r="1">
      <x v="209"/>
    </i>
    <i r="1">
      <x v="313"/>
    </i>
    <i r="1">
      <x v="332"/>
    </i>
    <i>
      <x v="40"/>
    </i>
    <i r="1">
      <x v="49"/>
    </i>
    <i r="1">
      <x v="111"/>
    </i>
    <i r="1">
      <x v="112"/>
    </i>
    <i r="1">
      <x v="151"/>
    </i>
    <i r="1">
      <x v="224"/>
    </i>
    <i r="1">
      <x v="307"/>
    </i>
    <i r="1">
      <x v="334"/>
    </i>
    <i>
      <x v="52"/>
    </i>
    <i r="1">
      <x v="17"/>
    </i>
    <i r="1">
      <x v="83"/>
    </i>
    <i r="1">
      <x v="91"/>
    </i>
    <i>
      <x v="19"/>
    </i>
    <i r="1">
      <x v="53"/>
    </i>
    <i r="1">
      <x v="138"/>
    </i>
    <i r="1">
      <x v="149"/>
    </i>
    <i r="1">
      <x v="154"/>
    </i>
    <i r="1">
      <x v="162"/>
    </i>
    <i r="1">
      <x v="209"/>
    </i>
    <i r="1">
      <x v="265"/>
    </i>
    <i>
      <x v="31"/>
    </i>
    <i r="1">
      <x v="194"/>
    </i>
    <i r="1">
      <x v="231"/>
    </i>
    <i r="1">
      <x v="240"/>
    </i>
    <i r="1">
      <x v="268"/>
    </i>
    <i>
      <x v="5"/>
    </i>
    <i r="1">
      <x v="2"/>
    </i>
    <i r="1">
      <x v="6"/>
    </i>
    <i r="1">
      <x v="27"/>
    </i>
    <i r="1">
      <x v="46"/>
    </i>
    <i r="1">
      <x v="90"/>
    </i>
    <i r="1">
      <x v="218"/>
    </i>
    <i r="1">
      <x v="245"/>
    </i>
    <i r="1">
      <x v="302"/>
    </i>
    <i r="1">
      <x v="304"/>
    </i>
    <i>
      <x v="72"/>
    </i>
    <i r="1">
      <x v="10"/>
    </i>
    <i r="1">
      <x v="113"/>
    </i>
    <i r="1">
      <x v="135"/>
    </i>
    <i r="1">
      <x v="219"/>
    </i>
    <i r="1">
      <x v="240"/>
    </i>
    <i r="1">
      <x v="268"/>
    </i>
    <i>
      <x v="62"/>
    </i>
    <i r="1">
      <x v="13"/>
    </i>
    <i r="1">
      <x v="14"/>
    </i>
    <i r="1">
      <x v="84"/>
    </i>
    <i r="1">
      <x v="138"/>
    </i>
    <i r="1">
      <x v="155"/>
    </i>
    <i r="1">
      <x v="279"/>
    </i>
    <i>
      <x v="113"/>
    </i>
    <i r="1">
      <x v="63"/>
    </i>
    <i r="1">
      <x v="128"/>
    </i>
    <i r="1">
      <x v="215"/>
    </i>
    <i r="1">
      <x v="306"/>
    </i>
    <i r="1">
      <x v="318"/>
    </i>
    <i r="1">
      <x v="343"/>
    </i>
    <i>
      <x v="58"/>
    </i>
    <i r="1">
      <x v="87"/>
    </i>
    <i r="1">
      <x v="110"/>
    </i>
    <i r="1">
      <x v="163"/>
    </i>
    <i r="1">
      <x v="204"/>
    </i>
    <i>
      <x v="74"/>
    </i>
    <i r="1">
      <x v="10"/>
    </i>
    <i r="1">
      <x v="59"/>
    </i>
    <i r="1">
      <x v="332"/>
    </i>
    <i>
      <x v="22"/>
    </i>
    <i r="1">
      <x v="72"/>
    </i>
    <i r="1">
      <x v="92"/>
    </i>
    <i r="1">
      <x v="230"/>
    </i>
    <i r="1">
      <x v="331"/>
    </i>
    <i>
      <x v="1"/>
    </i>
    <i r="1">
      <x v="31"/>
    </i>
    <i r="1">
      <x v="64"/>
    </i>
    <i r="1">
      <x v="127"/>
    </i>
    <i r="1">
      <x v="242"/>
    </i>
    <i r="1">
      <x v="273"/>
    </i>
    <i r="1">
      <x v="315"/>
    </i>
    <i>
      <x v="32"/>
    </i>
    <i r="1">
      <x v="158"/>
    </i>
    <i r="1">
      <x v="177"/>
    </i>
    <i r="1">
      <x v="194"/>
    </i>
    <i r="1">
      <x v="205"/>
    </i>
    <i r="1">
      <x v="275"/>
    </i>
    <i r="1">
      <x v="338"/>
    </i>
    <i>
      <x v="97"/>
    </i>
    <i r="1">
      <x v="143"/>
    </i>
    <i r="1">
      <x v="184"/>
    </i>
    <i r="1">
      <x v="257"/>
    </i>
    <i r="1">
      <x v="270"/>
    </i>
    <i>
      <x v="82"/>
    </i>
    <i r="1">
      <x v="20"/>
    </i>
    <i r="1">
      <x v="65"/>
    </i>
    <i r="1">
      <x v="69"/>
    </i>
    <i r="1">
      <x v="136"/>
    </i>
    <i r="1">
      <x v="344"/>
    </i>
    <i>
      <x v="2"/>
    </i>
    <i r="1">
      <x v="12"/>
    </i>
    <i r="1">
      <x v="140"/>
    </i>
    <i r="1">
      <x v="203"/>
    </i>
    <i r="1">
      <x v="274"/>
    </i>
    <i r="1">
      <x v="336"/>
    </i>
    <i>
      <x v="79"/>
    </i>
    <i r="1">
      <x v="14"/>
    </i>
    <i r="1">
      <x v="107"/>
    </i>
    <i r="1">
      <x v="112"/>
    </i>
    <i r="1">
      <x v="182"/>
    </i>
    <i r="1">
      <x v="205"/>
    </i>
    <i r="1">
      <x v="249"/>
    </i>
    <i r="1">
      <x v="255"/>
    </i>
    <i r="1">
      <x v="333"/>
    </i>
    <i>
      <x v="37"/>
    </i>
    <i r="1">
      <x v="62"/>
    </i>
    <i r="1">
      <x v="95"/>
    </i>
    <i r="1">
      <x v="148"/>
    </i>
    <i r="1">
      <x v="234"/>
    </i>
    <i r="1">
      <x v="278"/>
    </i>
    <i r="1">
      <x v="305"/>
    </i>
    <i r="1">
      <x v="323"/>
    </i>
    <i>
      <x v="105"/>
    </i>
    <i r="1">
      <x v="56"/>
    </i>
    <i r="1">
      <x v="83"/>
    </i>
    <i r="1">
      <x v="102"/>
    </i>
    <i r="1">
      <x v="122"/>
    </i>
    <i r="1">
      <x v="135"/>
    </i>
    <i r="1">
      <x v="154"/>
    </i>
    <i>
      <x v="59"/>
    </i>
    <i r="1">
      <x v="9"/>
    </i>
    <i r="1">
      <x v="101"/>
    </i>
    <i r="1">
      <x v="158"/>
    </i>
    <i r="1">
      <x v="175"/>
    </i>
    <i r="1">
      <x v="297"/>
    </i>
    <i r="1">
      <x v="325"/>
    </i>
    <i>
      <x v="6"/>
    </i>
    <i r="1">
      <x v="57"/>
    </i>
    <i r="1">
      <x v="63"/>
    </i>
    <i r="1">
      <x v="174"/>
    </i>
    <i r="1">
      <x v="193"/>
    </i>
    <i r="1">
      <x v="248"/>
    </i>
    <i r="1">
      <x v="277"/>
    </i>
    <i r="1">
      <x v="287"/>
    </i>
    <i r="1">
      <x v="348"/>
    </i>
    <i>
      <x v="91"/>
    </i>
    <i r="1">
      <x v="46"/>
    </i>
    <i r="1">
      <x v="62"/>
    </i>
    <i r="1">
      <x v="193"/>
    </i>
    <i r="1">
      <x v="285"/>
    </i>
    <i r="1">
      <x v="296"/>
    </i>
    <i r="1">
      <x v="322"/>
    </i>
    <i r="1">
      <x v="327"/>
    </i>
    <i>
      <x v="54"/>
    </i>
    <i r="1">
      <x v="64"/>
    </i>
    <i r="1">
      <x v="165"/>
    </i>
    <i r="1">
      <x v="167"/>
    </i>
    <i r="1">
      <x v="188"/>
    </i>
    <i r="1">
      <x v="235"/>
    </i>
    <i r="1">
      <x v="316"/>
    </i>
    <i>
      <x v="20"/>
    </i>
    <i r="1">
      <x v="3"/>
    </i>
    <i r="1">
      <x v="185"/>
    </i>
    <i r="1">
      <x v="195"/>
    </i>
    <i>
      <x v="119"/>
    </i>
    <i r="1">
      <x v="26"/>
    </i>
    <i r="1">
      <x v="41"/>
    </i>
    <i r="1">
      <x v="84"/>
    </i>
    <i r="1">
      <x v="200"/>
    </i>
    <i r="1">
      <x v="230"/>
    </i>
    <i r="1">
      <x v="268"/>
    </i>
    <i r="1">
      <x v="281"/>
    </i>
    <i r="1">
      <x v="284"/>
    </i>
    <i>
      <x v="23"/>
    </i>
    <i r="1">
      <x v="7"/>
    </i>
    <i r="1">
      <x v="101"/>
    </i>
    <i r="1">
      <x v="112"/>
    </i>
    <i r="1">
      <x v="165"/>
    </i>
    <i r="1">
      <x v="219"/>
    </i>
    <i r="1">
      <x v="299"/>
    </i>
    <i>
      <x v="108"/>
    </i>
    <i r="1">
      <x v="66"/>
    </i>
    <i r="1">
      <x v="204"/>
    </i>
    <i r="1">
      <x v="216"/>
    </i>
    <i r="1">
      <x v="250"/>
    </i>
    <i r="1">
      <x v="258"/>
    </i>
    <i r="1">
      <x v="332"/>
    </i>
    <i>
      <x/>
    </i>
    <i r="1">
      <x v="14"/>
    </i>
    <i r="1">
      <x v="128"/>
    </i>
    <i r="1">
      <x v="138"/>
    </i>
    <i r="1">
      <x v="207"/>
    </i>
    <i r="1">
      <x v="237"/>
    </i>
    <i>
      <x v="63"/>
    </i>
    <i r="1">
      <x v="31"/>
    </i>
    <i r="1">
      <x v="178"/>
    </i>
    <i r="1">
      <x v="311"/>
    </i>
    <i r="1">
      <x v="336"/>
    </i>
    <i>
      <x v="25"/>
    </i>
    <i r="1">
      <x v="28"/>
    </i>
    <i r="1">
      <x v="138"/>
    </i>
    <i r="1">
      <x v="205"/>
    </i>
    <i r="1">
      <x v="262"/>
    </i>
    <i>
      <x v="96"/>
    </i>
    <i r="1">
      <x v="109"/>
    </i>
    <i r="1">
      <x v="112"/>
    </i>
    <i r="1">
      <x v="153"/>
    </i>
    <i r="1">
      <x v="251"/>
    </i>
    <i>
      <x v="103"/>
    </i>
    <i r="1">
      <x v="202"/>
    </i>
    <i r="1">
      <x v="222"/>
    </i>
    <i r="1">
      <x v="324"/>
    </i>
    <i r="1">
      <x v="347"/>
    </i>
    <i>
      <x v="61"/>
    </i>
    <i r="1">
      <x v="16"/>
    </i>
    <i r="1">
      <x v="27"/>
    </i>
    <i r="1">
      <x v="53"/>
    </i>
    <i r="1">
      <x v="328"/>
    </i>
    <i>
      <x v="111"/>
    </i>
    <i r="1">
      <x v="81"/>
    </i>
    <i r="1">
      <x v="241"/>
    </i>
    <i r="1">
      <x v="298"/>
    </i>
    <i>
      <x v="70"/>
    </i>
    <i r="1">
      <x v="7"/>
    </i>
    <i r="1">
      <x v="206"/>
    </i>
    <i r="1">
      <x v="231"/>
    </i>
    <i r="1">
      <x v="272"/>
    </i>
    <i>
      <x v="60"/>
    </i>
    <i r="1">
      <x v="97"/>
    </i>
    <i>
      <x v="30"/>
    </i>
    <i r="1">
      <x v="133"/>
    </i>
    <i r="1">
      <x v="138"/>
    </i>
    <i r="1">
      <x v="176"/>
    </i>
    <i r="1">
      <x v="337"/>
    </i>
    <i>
      <x v="39"/>
    </i>
    <i r="1">
      <x v="78"/>
    </i>
    <i r="1">
      <x v="80"/>
    </i>
    <i r="1">
      <x v="160"/>
    </i>
    <i r="1">
      <x v="197"/>
    </i>
    <i r="1">
      <x v="331"/>
    </i>
    <i>
      <x v="114"/>
    </i>
    <i r="1">
      <x v="54"/>
    </i>
    <i r="1">
      <x v="94"/>
    </i>
    <i r="1">
      <x v="108"/>
    </i>
    <i r="1">
      <x v="212"/>
    </i>
    <i>
      <x v="35"/>
    </i>
    <i r="1">
      <x v="44"/>
    </i>
    <i r="1">
      <x v="222"/>
    </i>
    <i r="1">
      <x v="259"/>
    </i>
    <i r="1">
      <x v="269"/>
    </i>
    <i>
      <x v="49"/>
    </i>
    <i r="1">
      <x v="113"/>
    </i>
    <i r="1">
      <x v="146"/>
    </i>
    <i r="1">
      <x v="201"/>
    </i>
    <i r="1">
      <x v="285"/>
    </i>
    <i>
      <x v="9"/>
    </i>
    <i r="1">
      <x v="62"/>
    </i>
    <i r="1">
      <x v="90"/>
    </i>
    <i r="1">
      <x v="100"/>
    </i>
    <i r="1">
      <x v="244"/>
    </i>
    <i r="1">
      <x v="322"/>
    </i>
    <i>
      <x v="28"/>
    </i>
    <i r="1">
      <x v="39"/>
    </i>
    <i r="1">
      <x v="88"/>
    </i>
    <i r="1">
      <x v="114"/>
    </i>
    <i r="1">
      <x v="135"/>
    </i>
    <i r="1">
      <x v="173"/>
    </i>
    <i>
      <x v="99"/>
    </i>
    <i r="1">
      <x v="125"/>
    </i>
    <i r="1">
      <x v="281"/>
    </i>
    <i r="1">
      <x v="315"/>
    </i>
    <i r="1">
      <x v="341"/>
    </i>
    <i>
      <x v="48"/>
    </i>
    <i r="1">
      <x v="17"/>
    </i>
    <i r="1">
      <x v="104"/>
    </i>
    <i r="1">
      <x v="169"/>
    </i>
    <i>
      <x v="53"/>
    </i>
    <i r="1">
      <x v="44"/>
    </i>
    <i r="1">
      <x v="118"/>
    </i>
    <i r="1">
      <x v="125"/>
    </i>
    <i>
      <x v="68"/>
    </i>
    <i r="1">
      <x v="147"/>
    </i>
    <i r="1">
      <x v="148"/>
    </i>
    <i r="1">
      <x v="154"/>
    </i>
    <i r="1">
      <x v="186"/>
    </i>
    <i r="1">
      <x v="193"/>
    </i>
    <i r="1">
      <x v="250"/>
    </i>
    <i>
      <x v="84"/>
    </i>
    <i r="1">
      <x v="35"/>
    </i>
    <i r="1">
      <x v="223"/>
    </i>
    <i r="1">
      <x v="268"/>
    </i>
    <i>
      <x v="117"/>
    </i>
    <i r="1">
      <x v="119"/>
    </i>
    <i r="1">
      <x v="184"/>
    </i>
    <i>
      <x v="73"/>
    </i>
    <i r="1">
      <x v="150"/>
    </i>
    <i r="1">
      <x v="295"/>
    </i>
    <i>
      <x v="92"/>
    </i>
    <i r="1">
      <x v="113"/>
    </i>
    <i r="1">
      <x v="119"/>
    </i>
    <i r="1">
      <x v="228"/>
    </i>
    <i>
      <x v="13"/>
    </i>
    <i r="1">
      <x v="44"/>
    </i>
    <i r="1">
      <x v="163"/>
    </i>
    <i r="1">
      <x v="254"/>
    </i>
    <i r="1">
      <x v="267"/>
    </i>
    <i r="1">
      <x v="272"/>
    </i>
    <i r="1">
      <x v="334"/>
    </i>
    <i>
      <x v="78"/>
    </i>
    <i r="1">
      <x v="181"/>
    </i>
    <i r="1">
      <x v="240"/>
    </i>
    <i r="1">
      <x v="285"/>
    </i>
    <i>
      <x v="33"/>
    </i>
    <i r="1">
      <x v="50"/>
    </i>
    <i r="1">
      <x v="103"/>
    </i>
    <i r="1">
      <x v="157"/>
    </i>
    <i r="1">
      <x v="175"/>
    </i>
    <i>
      <x v="88"/>
    </i>
    <i r="1">
      <x v="35"/>
    </i>
    <i r="1">
      <x v="91"/>
    </i>
    <i r="1">
      <x v="151"/>
    </i>
    <i>
      <x v="101"/>
    </i>
    <i r="1">
      <x v="179"/>
    </i>
    <i>
      <x v="120"/>
    </i>
    <i r="1">
      <x v="200"/>
    </i>
    <i>
      <x v="7"/>
    </i>
    <i r="1">
      <x v="43"/>
    </i>
    <i r="1">
      <x v="310"/>
    </i>
    <i>
      <x v="89"/>
    </i>
    <i r="1"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-1"/>
  </pageFields>
  <dataFields count="3">
    <dataField name="Sum of LeadTime" fld="12" baseField="0" baseItem="0" numFmtId="1"/>
    <dataField name="Sum of Daily Sales" fld="21" baseField="0" baseItem="0" numFmtId="43"/>
    <dataField name="Sum of Stock_Quantity" fld="16" baseField="0" baseItem="0"/>
  </dataFields>
  <formats count="132">
    <format dxfId="192">
      <pivotArea type="all" dataOnly="0" outline="0" fieldPosition="0"/>
    </format>
    <format dxfId="191">
      <pivotArea outline="0" collapsedLevelsAreSubtotals="1" fieldPosition="0"/>
    </format>
    <format dxfId="190">
      <pivotArea field="0" type="button" dataOnly="0" labelOnly="1" outline="0" axis="axisRow" fieldPosition="0"/>
    </format>
    <format dxfId="189">
      <pivotArea dataOnly="0" labelOnly="1" fieldPosition="0">
        <references count="1">
          <reference field="0" count="50"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</reference>
        </references>
      </pivotArea>
    </format>
    <format dxfId="188">
      <pivotArea dataOnly="0" labelOnly="1" fieldPosition="0">
        <references count="1">
          <reference field="0" count="50"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187">
      <pivotArea dataOnly="0" labelOnly="1" fieldPosition="0">
        <references count="1">
          <reference field="0" count="2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186">
      <pivotArea dataOnly="0" labelOnly="1" grandRow="1" outline="0" fieldPosition="0"/>
    </format>
    <format dxfId="185">
      <pivotArea dataOnly="0" labelOnly="1" fieldPosition="0">
        <references count="2">
          <reference field="0" count="1" selected="0">
            <x v="120"/>
          </reference>
          <reference field="2" count="3">
            <x v="52"/>
            <x v="200"/>
            <x v="310"/>
          </reference>
        </references>
      </pivotArea>
    </format>
    <format dxfId="184">
      <pivotArea dataOnly="0" labelOnly="1" fieldPosition="0">
        <references count="2">
          <reference field="0" count="1" selected="0">
            <x v="119"/>
          </reference>
          <reference field="2" count="10">
            <x v="26"/>
            <x v="41"/>
            <x v="84"/>
            <x v="200"/>
            <x v="230"/>
            <x v="233"/>
            <x v="268"/>
            <x v="281"/>
            <x v="284"/>
            <x v="308"/>
          </reference>
        </references>
      </pivotArea>
    </format>
    <format dxfId="183">
      <pivotArea dataOnly="0" labelOnly="1" fieldPosition="0">
        <references count="2">
          <reference field="0" count="1" selected="0">
            <x v="118"/>
          </reference>
          <reference field="2" count="11">
            <x v="41"/>
            <x v="103"/>
            <x v="125"/>
            <x v="128"/>
            <x v="172"/>
            <x v="205"/>
            <x v="243"/>
            <x v="290"/>
            <x v="303"/>
            <x v="344"/>
            <x v="347"/>
          </reference>
        </references>
      </pivotArea>
    </format>
    <format dxfId="182">
      <pivotArea dataOnly="0" labelOnly="1" fieldPosition="0">
        <references count="2">
          <reference field="0" count="1" selected="0">
            <x v="117"/>
          </reference>
          <reference field="2" count="7">
            <x v="47"/>
            <x v="108"/>
            <x v="119"/>
            <x v="184"/>
            <x v="233"/>
            <x v="311"/>
            <x v="338"/>
          </reference>
        </references>
      </pivotArea>
    </format>
    <format dxfId="181">
      <pivotArea dataOnly="0" labelOnly="1" fieldPosition="0">
        <references count="2">
          <reference field="0" count="1" selected="0">
            <x v="116"/>
          </reference>
          <reference field="2" count="7">
            <x v="15"/>
            <x v="96"/>
            <x v="159"/>
            <x v="208"/>
            <x v="241"/>
            <x v="280"/>
            <x v="344"/>
          </reference>
        </references>
      </pivotArea>
    </format>
    <format dxfId="180">
      <pivotArea dataOnly="0" labelOnly="1" fieldPosition="0">
        <references count="2">
          <reference field="0" count="1" selected="0">
            <x v="115"/>
          </reference>
          <reference field="2" count="15">
            <x v="47"/>
            <x v="91"/>
            <x v="93"/>
            <x v="130"/>
            <x v="132"/>
            <x v="177"/>
            <x v="218"/>
            <x v="222"/>
            <x v="247"/>
            <x v="305"/>
            <x v="309"/>
            <x v="319"/>
            <x v="330"/>
            <x v="334"/>
            <x v="349"/>
          </reference>
        </references>
      </pivotArea>
    </format>
    <format dxfId="179">
      <pivotArea dataOnly="0" labelOnly="1" fieldPosition="0">
        <references count="2">
          <reference field="0" count="1" selected="0">
            <x v="114"/>
          </reference>
          <reference field="2" count="6">
            <x v="54"/>
            <x v="93"/>
            <x v="94"/>
            <x v="108"/>
            <x v="212"/>
            <x v="260"/>
          </reference>
        </references>
      </pivotArea>
    </format>
    <format dxfId="178">
      <pivotArea dataOnly="0" labelOnly="1" fieldPosition="0">
        <references count="2">
          <reference field="0" count="1" selected="0">
            <x v="113"/>
          </reference>
          <reference field="2" count="8">
            <x v="37"/>
            <x v="63"/>
            <x v="128"/>
            <x v="215"/>
            <x v="301"/>
            <x v="306"/>
            <x v="318"/>
            <x v="343"/>
          </reference>
        </references>
      </pivotArea>
    </format>
    <format dxfId="177">
      <pivotArea dataOnly="0" labelOnly="1" fieldPosition="0">
        <references count="2">
          <reference field="0" count="1" selected="0">
            <x v="112"/>
          </reference>
          <reference field="2" count="7">
            <x v="52"/>
            <x v="54"/>
            <x v="57"/>
            <x v="204"/>
            <x v="234"/>
            <x v="293"/>
            <x v="304"/>
          </reference>
        </references>
      </pivotArea>
    </format>
    <format dxfId="176">
      <pivotArea dataOnly="0" labelOnly="1" fieldPosition="0">
        <references count="2">
          <reference field="0" count="1" selected="0">
            <x v="111"/>
          </reference>
          <reference field="2" count="4">
            <x v="81"/>
            <x v="241"/>
            <x v="298"/>
            <x v="332"/>
          </reference>
        </references>
      </pivotArea>
    </format>
    <format dxfId="175">
      <pivotArea dataOnly="0" labelOnly="1" fieldPosition="0">
        <references count="2">
          <reference field="0" count="1" selected="0">
            <x v="110"/>
          </reference>
          <reference field="2" count="6">
            <x v="136"/>
            <x v="238"/>
            <x v="240"/>
            <x v="281"/>
            <x v="324"/>
            <x v="327"/>
          </reference>
        </references>
      </pivotArea>
    </format>
    <format dxfId="174">
      <pivotArea dataOnly="0" labelOnly="1" fieldPosition="0">
        <references count="2">
          <reference field="0" count="1" selected="0">
            <x v="109"/>
          </reference>
          <reference field="2" count="12">
            <x v="62"/>
            <x v="84"/>
            <x v="89"/>
            <x v="126"/>
            <x v="152"/>
            <x v="154"/>
            <x v="158"/>
            <x v="164"/>
            <x v="240"/>
            <x v="258"/>
            <x v="259"/>
            <x v="338"/>
          </reference>
        </references>
      </pivotArea>
    </format>
    <format dxfId="173">
      <pivotArea dataOnly="0" labelOnly="1" fieldPosition="0">
        <references count="2">
          <reference field="0" count="1" selected="0">
            <x v="108"/>
          </reference>
          <reference field="2" count="10">
            <x v="4"/>
            <x v="26"/>
            <x v="66"/>
            <x v="102"/>
            <x v="106"/>
            <x v="204"/>
            <x v="216"/>
            <x v="250"/>
            <x v="258"/>
            <x v="332"/>
          </reference>
        </references>
      </pivotArea>
    </format>
    <format dxfId="172">
      <pivotArea dataOnly="0" labelOnly="1" fieldPosition="0">
        <references count="2">
          <reference field="0" count="1" selected="0">
            <x v="107"/>
          </reference>
          <reference field="2" count="12">
            <x v="15"/>
            <x v="20"/>
            <x v="36"/>
            <x v="179"/>
            <x v="214"/>
            <x v="232"/>
            <x v="298"/>
            <x v="305"/>
            <x v="306"/>
            <x v="312"/>
            <x v="317"/>
            <x v="339"/>
          </reference>
        </references>
      </pivotArea>
    </format>
    <format dxfId="171">
      <pivotArea dataOnly="0" labelOnly="1" fieldPosition="0">
        <references count="2">
          <reference field="0" count="1" selected="0">
            <x v="106"/>
          </reference>
          <reference field="2" count="7">
            <x v="23"/>
            <x v="65"/>
            <x v="122"/>
            <x v="137"/>
            <x v="192"/>
            <x v="278"/>
            <x v="340"/>
          </reference>
        </references>
      </pivotArea>
    </format>
    <format dxfId="170">
      <pivotArea dataOnly="0" labelOnly="1" fieldPosition="0">
        <references count="2">
          <reference field="0" count="1" selected="0">
            <x v="105"/>
          </reference>
          <reference field="2" count="8">
            <x v="37"/>
            <x v="56"/>
            <x v="83"/>
            <x v="102"/>
            <x v="122"/>
            <x v="135"/>
            <x v="140"/>
            <x v="154"/>
          </reference>
        </references>
      </pivotArea>
    </format>
    <format dxfId="169">
      <pivotArea dataOnly="0" labelOnly="1" fieldPosition="0">
        <references count="2">
          <reference field="0" count="1" selected="0">
            <x v="104"/>
          </reference>
          <reference field="2" count="19">
            <x v="10"/>
            <x v="34"/>
            <x v="35"/>
            <x v="57"/>
            <x v="60"/>
            <x v="83"/>
            <x v="91"/>
            <x v="131"/>
            <x v="132"/>
            <x v="174"/>
            <x v="177"/>
            <x v="183"/>
            <x v="210"/>
            <x v="227"/>
            <x v="233"/>
            <x v="250"/>
            <x v="251"/>
            <x v="293"/>
            <x v="338"/>
          </reference>
        </references>
      </pivotArea>
    </format>
    <format dxfId="168">
      <pivotArea dataOnly="0" labelOnly="1" fieldPosition="0">
        <references count="2">
          <reference field="0" count="1" selected="0">
            <x v="103"/>
          </reference>
          <reference field="2" count="10">
            <x v="1"/>
            <x v="40"/>
            <x v="119"/>
            <x v="132"/>
            <x v="202"/>
            <x v="210"/>
            <x v="222"/>
            <x v="239"/>
            <x v="324"/>
            <x v="347"/>
          </reference>
        </references>
      </pivotArea>
    </format>
    <format dxfId="167">
      <pivotArea dataOnly="0" labelOnly="1" fieldPosition="0">
        <references count="2">
          <reference field="0" count="1" selected="0">
            <x v="102"/>
          </reference>
          <reference field="2" count="9">
            <x v="8"/>
            <x v="96"/>
            <x v="102"/>
            <x v="158"/>
            <x v="190"/>
            <x v="208"/>
            <x v="243"/>
            <x v="302"/>
            <x v="335"/>
          </reference>
        </references>
      </pivotArea>
    </format>
    <format dxfId="166">
      <pivotArea dataOnly="0" labelOnly="1" fieldPosition="0">
        <references count="2">
          <reference field="0" count="1" selected="0">
            <x v="101"/>
          </reference>
          <reference field="2" count="5">
            <x v="130"/>
            <x v="140"/>
            <x v="162"/>
            <x v="179"/>
            <x v="232"/>
          </reference>
        </references>
      </pivotArea>
    </format>
    <format dxfId="165">
      <pivotArea dataOnly="0" labelOnly="1" fieldPosition="0">
        <references count="2">
          <reference field="0" count="1" selected="0">
            <x v="100"/>
          </reference>
          <reference field="2" count="6">
            <x v="21"/>
            <x v="116"/>
            <x v="185"/>
            <x v="192"/>
            <x v="205"/>
            <x v="300"/>
          </reference>
        </references>
      </pivotArea>
    </format>
    <format dxfId="164">
      <pivotArea dataOnly="0" labelOnly="1" fieldPosition="0">
        <references count="2">
          <reference field="0" count="1" selected="0">
            <x v="99"/>
          </reference>
          <reference field="2" count="7">
            <x v="125"/>
            <x v="281"/>
            <x v="289"/>
            <x v="291"/>
            <x v="298"/>
            <x v="315"/>
            <x v="341"/>
          </reference>
        </references>
      </pivotArea>
    </format>
    <format dxfId="163">
      <pivotArea dataOnly="0" labelOnly="1" fieldPosition="0">
        <references count="2">
          <reference field="0" count="1" selected="0">
            <x v="98"/>
          </reference>
          <reference field="2" count="8">
            <x v="46"/>
            <x v="148"/>
            <x v="165"/>
            <x v="228"/>
            <x v="247"/>
            <x v="274"/>
            <x v="292"/>
            <x v="341"/>
          </reference>
        </references>
      </pivotArea>
    </format>
    <format dxfId="162">
      <pivotArea dataOnly="0" labelOnly="1" fieldPosition="0">
        <references count="2">
          <reference field="0" count="1" selected="0">
            <x v="97"/>
          </reference>
          <reference field="2" count="8">
            <x v="138"/>
            <x v="143"/>
            <x v="174"/>
            <x v="184"/>
            <x v="212"/>
            <x v="257"/>
            <x v="270"/>
            <x v="327"/>
          </reference>
        </references>
      </pivotArea>
    </format>
    <format dxfId="161">
      <pivotArea dataOnly="0" labelOnly="1" fieldPosition="0">
        <references count="2">
          <reference field="0" count="1" selected="0">
            <x v="96"/>
          </reference>
          <reference field="2" count="7">
            <x v="10"/>
            <x v="109"/>
            <x v="111"/>
            <x v="112"/>
            <x v="153"/>
            <x v="208"/>
            <x v="251"/>
          </reference>
        </references>
      </pivotArea>
    </format>
    <format dxfId="160">
      <pivotArea dataOnly="0" labelOnly="1" fieldPosition="0">
        <references count="2">
          <reference field="0" count="1" selected="0">
            <x v="95"/>
          </reference>
          <reference field="2" count="15">
            <x v="0"/>
            <x v="8"/>
            <x v="50"/>
            <x v="69"/>
            <x v="101"/>
            <x v="120"/>
            <x v="165"/>
            <x v="194"/>
            <x v="216"/>
            <x v="231"/>
            <x v="241"/>
            <x v="262"/>
            <x v="293"/>
            <x v="298"/>
            <x v="322"/>
          </reference>
        </references>
      </pivotArea>
    </format>
    <format dxfId="159">
      <pivotArea dataOnly="0" labelOnly="1" fieldPosition="0">
        <references count="2">
          <reference field="0" count="1" selected="0">
            <x v="94"/>
          </reference>
          <reference field="2" count="10">
            <x v="60"/>
            <x v="105"/>
            <x v="119"/>
            <x v="130"/>
            <x v="159"/>
            <x v="187"/>
            <x v="189"/>
            <x v="206"/>
            <x v="227"/>
            <x v="314"/>
          </reference>
        </references>
      </pivotArea>
    </format>
    <format dxfId="158">
      <pivotArea dataOnly="0" labelOnly="1" fieldPosition="0">
        <references count="2">
          <reference field="0" count="1" selected="0">
            <x v="93"/>
          </reference>
          <reference field="2" count="7">
            <x v="84"/>
            <x v="128"/>
            <x v="174"/>
            <x v="184"/>
            <x v="186"/>
            <x v="230"/>
            <x v="289"/>
          </reference>
        </references>
      </pivotArea>
    </format>
    <format dxfId="157">
      <pivotArea dataOnly="0" labelOnly="1" fieldPosition="0">
        <references count="2">
          <reference field="0" count="1" selected="0">
            <x v="92"/>
          </reference>
          <reference field="2" count="4">
            <x v="113"/>
            <x v="119"/>
            <x v="228"/>
            <x v="305"/>
          </reference>
        </references>
      </pivotArea>
    </format>
    <format dxfId="156">
      <pivotArea dataOnly="0" labelOnly="1" fieldPosition="0">
        <references count="2">
          <reference field="0" count="1" selected="0">
            <x v="91"/>
          </reference>
          <reference field="2" count="9">
            <x v="11"/>
            <x v="46"/>
            <x v="62"/>
            <x v="134"/>
            <x v="193"/>
            <x v="285"/>
            <x v="296"/>
            <x v="322"/>
            <x v="327"/>
          </reference>
        </references>
      </pivotArea>
    </format>
    <format dxfId="155">
      <pivotArea dataOnly="0" labelOnly="1" fieldPosition="0">
        <references count="2">
          <reference field="0" count="1" selected="0">
            <x v="90"/>
          </reference>
          <reference field="2" count="7">
            <x v="29"/>
            <x v="74"/>
            <x v="77"/>
            <x v="138"/>
            <x v="170"/>
            <x v="175"/>
            <x v="244"/>
          </reference>
        </references>
      </pivotArea>
    </format>
    <format dxfId="154">
      <pivotArea dataOnly="0" labelOnly="1" fieldPosition="0">
        <references count="2">
          <reference field="0" count="1" selected="0">
            <x v="89"/>
          </reference>
          <reference field="2" count="4">
            <x v="21"/>
            <x v="28"/>
            <x v="34"/>
            <x v="109"/>
          </reference>
        </references>
      </pivotArea>
    </format>
    <format dxfId="153">
      <pivotArea dataOnly="0" labelOnly="1" fieldPosition="0">
        <references count="2">
          <reference field="0" count="1" selected="0">
            <x v="88"/>
          </reference>
          <reference field="2" count="5">
            <x v="35"/>
            <x v="91"/>
            <x v="151"/>
            <x v="255"/>
            <x v="276"/>
          </reference>
        </references>
      </pivotArea>
    </format>
    <format dxfId="152">
      <pivotArea dataOnly="0" labelOnly="1" fieldPosition="0">
        <references count="2">
          <reference field="0" count="1" selected="0">
            <x v="87"/>
          </reference>
          <reference field="2" count="7">
            <x v="39"/>
            <x v="40"/>
            <x v="61"/>
            <x v="117"/>
            <x v="138"/>
            <x v="146"/>
            <x v="226"/>
          </reference>
        </references>
      </pivotArea>
    </format>
    <format dxfId="151">
      <pivotArea dataOnly="0" labelOnly="1" fieldPosition="0">
        <references count="2">
          <reference field="0" count="1" selected="0">
            <x v="86"/>
          </reference>
          <reference field="2" count="8">
            <x v="45"/>
            <x v="61"/>
            <x v="103"/>
            <x v="232"/>
            <x v="256"/>
            <x v="257"/>
            <x v="288"/>
            <x v="331"/>
          </reference>
        </references>
      </pivotArea>
    </format>
    <format dxfId="150">
      <pivotArea dataOnly="0" labelOnly="1" fieldPosition="0">
        <references count="2">
          <reference field="0" count="1" selected="0">
            <x v="85"/>
          </reference>
          <reference field="2" count="4">
            <x v="68"/>
            <x v="91"/>
            <x v="93"/>
            <x v="169"/>
          </reference>
        </references>
      </pivotArea>
    </format>
    <format dxfId="149">
      <pivotArea dataOnly="0" labelOnly="1" fieldPosition="0">
        <references count="2">
          <reference field="0" count="1" selected="0">
            <x v="84"/>
          </reference>
          <reference field="2" count="6">
            <x v="35"/>
            <x v="165"/>
            <x v="190"/>
            <x v="223"/>
            <x v="268"/>
            <x v="282"/>
          </reference>
        </references>
      </pivotArea>
    </format>
    <format dxfId="148">
      <pivotArea dataOnly="0" labelOnly="1" fieldPosition="0">
        <references count="2">
          <reference field="0" count="1" selected="0">
            <x v="83"/>
          </reference>
          <reference field="2" count="11">
            <x v="26"/>
            <x v="36"/>
            <x v="54"/>
            <x v="86"/>
            <x v="100"/>
            <x v="113"/>
            <x v="114"/>
            <x v="136"/>
            <x v="242"/>
            <x v="318"/>
            <x v="331"/>
          </reference>
        </references>
      </pivotArea>
    </format>
    <format dxfId="147">
      <pivotArea dataOnly="0" labelOnly="1" fieldPosition="0">
        <references count="2">
          <reference field="0" count="1" selected="0">
            <x v="82"/>
          </reference>
          <reference field="2" count="10">
            <x v="20"/>
            <x v="55"/>
            <x v="65"/>
            <x v="69"/>
            <x v="84"/>
            <x v="136"/>
            <x v="148"/>
            <x v="205"/>
            <x v="297"/>
            <x v="344"/>
          </reference>
        </references>
      </pivotArea>
    </format>
    <format dxfId="146">
      <pivotArea dataOnly="0" labelOnly="1" fieldPosition="0">
        <references count="2">
          <reference field="0" count="1" selected="0">
            <x v="81"/>
          </reference>
          <reference field="2" count="7">
            <x v="14"/>
            <x v="36"/>
            <x v="85"/>
            <x v="139"/>
            <x v="162"/>
            <x v="213"/>
            <x v="276"/>
          </reference>
        </references>
      </pivotArea>
    </format>
    <format dxfId="145">
      <pivotArea dataOnly="0" labelOnly="1" fieldPosition="0">
        <references count="2">
          <reference field="0" count="1" selected="0">
            <x v="80"/>
          </reference>
          <reference field="2" count="9">
            <x v="6"/>
            <x v="19"/>
            <x v="71"/>
            <x v="96"/>
            <x v="138"/>
            <x v="243"/>
            <x v="314"/>
            <x v="329"/>
            <x v="345"/>
          </reference>
        </references>
      </pivotArea>
    </format>
    <format dxfId="144">
      <pivotArea dataOnly="0" labelOnly="1" fieldPosition="0">
        <references count="2">
          <reference field="0" count="1" selected="0">
            <x v="79"/>
          </reference>
          <reference field="2" count="13">
            <x v="1"/>
            <x v="14"/>
            <x v="70"/>
            <x v="85"/>
            <x v="107"/>
            <x v="112"/>
            <x v="171"/>
            <x v="182"/>
            <x v="205"/>
            <x v="235"/>
            <x v="249"/>
            <x v="255"/>
            <x v="333"/>
          </reference>
        </references>
      </pivotArea>
    </format>
    <format dxfId="143">
      <pivotArea dataOnly="0" labelOnly="1" fieldPosition="0">
        <references count="2">
          <reference field="0" count="1" selected="0">
            <x v="78"/>
          </reference>
          <reference field="2" count="6">
            <x v="161"/>
            <x v="181"/>
            <x v="216"/>
            <x v="240"/>
            <x v="285"/>
            <x v="299"/>
          </reference>
        </references>
      </pivotArea>
    </format>
    <format dxfId="142">
      <pivotArea dataOnly="0" labelOnly="1" fieldPosition="0">
        <references count="2">
          <reference field="0" count="1" selected="0">
            <x v="77"/>
          </reference>
          <reference field="2" count="10">
            <x v="22"/>
            <x v="31"/>
            <x v="32"/>
            <x v="56"/>
            <x v="110"/>
            <x v="138"/>
            <x v="190"/>
            <x v="208"/>
            <x v="276"/>
            <x v="287"/>
          </reference>
        </references>
      </pivotArea>
    </format>
    <format dxfId="141">
      <pivotArea dataOnly="0" labelOnly="1" fieldPosition="0">
        <references count="2">
          <reference field="0" count="1" selected="0">
            <x v="76"/>
          </reference>
          <reference field="2" count="10">
            <x v="5"/>
            <x v="16"/>
            <x v="18"/>
            <x v="86"/>
            <x v="172"/>
            <x v="226"/>
            <x v="262"/>
            <x v="275"/>
            <x v="278"/>
            <x v="297"/>
          </reference>
        </references>
      </pivotArea>
    </format>
    <format dxfId="140">
      <pivotArea dataOnly="0" labelOnly="1" fieldPosition="0">
        <references count="2">
          <reference field="0" count="1" selected="0">
            <x v="75"/>
          </reference>
          <reference field="2" count="8">
            <x v="15"/>
            <x v="39"/>
            <x v="44"/>
            <x v="59"/>
            <x v="110"/>
            <x v="168"/>
            <x v="194"/>
            <x v="212"/>
          </reference>
        </references>
      </pivotArea>
    </format>
    <format dxfId="139">
      <pivotArea dataOnly="0" labelOnly="1" fieldPosition="0">
        <references count="2">
          <reference field="0" count="1" selected="0">
            <x v="74"/>
          </reference>
          <reference field="2" count="6">
            <x v="10"/>
            <x v="59"/>
            <x v="206"/>
            <x v="221"/>
            <x v="272"/>
            <x v="332"/>
          </reference>
        </references>
      </pivotArea>
    </format>
    <format dxfId="138">
      <pivotArea dataOnly="0" labelOnly="1" fieldPosition="0">
        <references count="2">
          <reference field="0" count="1" selected="0">
            <x v="73"/>
          </reference>
          <reference field="2" count="4">
            <x v="138"/>
            <x v="150"/>
            <x v="263"/>
            <x v="295"/>
          </reference>
        </references>
      </pivotArea>
    </format>
    <format dxfId="137">
      <pivotArea dataOnly="0" labelOnly="1" fieldPosition="0">
        <references count="2">
          <reference field="0" count="1" selected="0">
            <x v="72"/>
          </reference>
          <reference field="2" count="7">
            <x v="10"/>
            <x v="113"/>
            <x v="135"/>
            <x v="142"/>
            <x v="219"/>
            <x v="240"/>
            <x v="268"/>
          </reference>
        </references>
      </pivotArea>
    </format>
    <format dxfId="136">
      <pivotArea dataOnly="0" labelOnly="1" fieldPosition="0">
        <references count="2">
          <reference field="0" count="1" selected="0">
            <x v="71"/>
          </reference>
          <reference field="2" count="14">
            <x v="3"/>
            <x v="42"/>
            <x v="45"/>
            <x v="82"/>
            <x v="103"/>
            <x v="106"/>
            <x v="119"/>
            <x v="143"/>
            <x v="150"/>
            <x v="220"/>
            <x v="221"/>
            <x v="224"/>
            <x v="241"/>
            <x v="270"/>
          </reference>
        </references>
      </pivotArea>
    </format>
    <format dxfId="135">
      <pivotArea dataOnly="0" labelOnly="1" fieldPosition="0">
        <references count="2">
          <reference field="0" count="1" selected="0">
            <x v="70"/>
          </reference>
          <reference field="2" count="7">
            <x v="7"/>
            <x v="166"/>
            <x v="206"/>
            <x v="231"/>
            <x v="250"/>
            <x v="268"/>
            <x v="272"/>
          </reference>
        </references>
      </pivotArea>
    </format>
    <format dxfId="134">
      <pivotArea dataOnly="0" labelOnly="1" fieldPosition="0">
        <references count="2">
          <reference field="0" count="1" selected="0">
            <x v="69"/>
          </reference>
          <reference field="2" count="8">
            <x v="20"/>
            <x v="98"/>
            <x v="113"/>
            <x v="117"/>
            <x v="130"/>
            <x v="136"/>
            <x v="184"/>
            <x v="302"/>
          </reference>
        </references>
      </pivotArea>
    </format>
    <format dxfId="133">
      <pivotArea dataOnly="0" labelOnly="1" fieldPosition="0">
        <references count="2">
          <reference field="0" count="1" selected="0">
            <x v="68"/>
          </reference>
          <reference field="2" count="8">
            <x v="3"/>
            <x v="48"/>
            <x v="147"/>
            <x v="148"/>
            <x v="154"/>
            <x v="186"/>
            <x v="193"/>
            <x v="250"/>
          </reference>
        </references>
      </pivotArea>
    </format>
    <format dxfId="132">
      <pivotArea dataOnly="0" labelOnly="1" fieldPosition="0">
        <references count="2">
          <reference field="0" count="1" selected="0">
            <x v="67"/>
          </reference>
          <reference field="2" count="10">
            <x v="97"/>
            <x v="132"/>
            <x v="157"/>
            <x v="191"/>
            <x v="194"/>
            <x v="235"/>
            <x v="262"/>
            <x v="271"/>
            <x v="296"/>
            <x v="347"/>
          </reference>
        </references>
      </pivotArea>
    </format>
    <format dxfId="131">
      <pivotArea dataOnly="0" labelOnly="1" fieldPosition="0">
        <references count="2">
          <reference field="0" count="1" selected="0">
            <x v="66"/>
          </reference>
          <reference field="2" count="13">
            <x v="12"/>
            <x v="38"/>
            <x v="65"/>
            <x v="86"/>
            <x v="92"/>
            <x v="108"/>
            <x v="146"/>
            <x v="169"/>
            <x v="217"/>
            <x v="253"/>
            <x v="318"/>
            <x v="335"/>
            <x v="347"/>
          </reference>
        </references>
      </pivotArea>
    </format>
    <format dxfId="130">
      <pivotArea dataOnly="0" labelOnly="1" fieldPosition="0">
        <references count="2">
          <reference field="0" count="1" selected="0">
            <x v="65"/>
          </reference>
          <reference field="2" count="8">
            <x v="41"/>
            <x v="42"/>
            <x v="109"/>
            <x v="128"/>
            <x v="155"/>
            <x v="238"/>
            <x v="310"/>
            <x v="313"/>
          </reference>
        </references>
      </pivotArea>
    </format>
    <format dxfId="129">
      <pivotArea dataOnly="0" labelOnly="1" fieldPosition="0">
        <references count="2">
          <reference field="0" count="1" selected="0">
            <x v="64"/>
          </reference>
          <reference field="2" count="9">
            <x v="181"/>
            <x v="191"/>
            <x v="251"/>
            <x v="260"/>
            <x v="261"/>
            <x v="319"/>
            <x v="325"/>
            <x v="327"/>
            <x v="331"/>
          </reference>
        </references>
      </pivotArea>
    </format>
    <format dxfId="128">
      <pivotArea dataOnly="0" labelOnly="1" fieldPosition="0">
        <references count="2">
          <reference field="0" count="1" selected="0">
            <x v="63"/>
          </reference>
          <reference field="2" count="6">
            <x v="31"/>
            <x v="71"/>
            <x v="178"/>
            <x v="200"/>
            <x v="311"/>
            <x v="336"/>
          </reference>
        </references>
      </pivotArea>
    </format>
    <format dxfId="127">
      <pivotArea dataOnly="0" labelOnly="1" fieldPosition="0">
        <references count="2">
          <reference field="0" count="1" selected="0">
            <x v="62"/>
          </reference>
          <reference field="2" count="13">
            <x v="13"/>
            <x v="14"/>
            <x v="84"/>
            <x v="107"/>
            <x v="121"/>
            <x v="138"/>
            <x v="145"/>
            <x v="155"/>
            <x v="248"/>
            <x v="254"/>
            <x v="274"/>
            <x v="279"/>
            <x v="319"/>
          </reference>
        </references>
      </pivotArea>
    </format>
    <format dxfId="126">
      <pivotArea dataOnly="0" labelOnly="1" fieldPosition="0">
        <references count="2">
          <reference field="0" count="1" selected="0">
            <x v="61"/>
          </reference>
          <reference field="2" count="5">
            <x v="16"/>
            <x v="27"/>
            <x v="53"/>
            <x v="65"/>
            <x v="328"/>
          </reference>
        </references>
      </pivotArea>
    </format>
    <format dxfId="125">
      <pivotArea dataOnly="0" labelOnly="1" fieldPosition="0">
        <references count="2">
          <reference field="0" count="1" selected="0">
            <x v="60"/>
          </reference>
          <reference field="2" count="6">
            <x v="97"/>
            <x v="260"/>
            <x v="264"/>
            <x v="274"/>
            <x v="301"/>
            <x v="346"/>
          </reference>
        </references>
      </pivotArea>
    </format>
    <format dxfId="124">
      <pivotArea dataOnly="0" labelOnly="1" fieldPosition="0">
        <references count="2">
          <reference field="0" count="1" selected="0">
            <x v="59"/>
          </reference>
          <reference field="2" count="9">
            <x v="9"/>
            <x v="44"/>
            <x v="101"/>
            <x v="150"/>
            <x v="158"/>
            <x v="161"/>
            <x v="175"/>
            <x v="297"/>
            <x v="325"/>
          </reference>
        </references>
      </pivotArea>
    </format>
    <format dxfId="123">
      <pivotArea dataOnly="0" labelOnly="1" fieldPosition="0">
        <references count="2">
          <reference field="0" count="1" selected="0">
            <x v="58"/>
          </reference>
          <reference field="2" count="4">
            <x v="87"/>
            <x v="110"/>
            <x v="163"/>
            <x v="204"/>
          </reference>
        </references>
      </pivotArea>
    </format>
    <format dxfId="122">
      <pivotArea dataOnly="0" labelOnly="1" fieldPosition="0">
        <references count="2">
          <reference field="0" count="1" selected="0">
            <x v="57"/>
          </reference>
          <reference field="2" count="7">
            <x v="41"/>
            <x v="156"/>
            <x v="227"/>
            <x v="229"/>
            <x v="264"/>
            <x v="298"/>
            <x v="325"/>
          </reference>
        </references>
      </pivotArea>
    </format>
    <format dxfId="121">
      <pivotArea dataOnly="0" labelOnly="1" fieldPosition="0">
        <references count="2">
          <reference field="0" count="1" selected="0">
            <x v="56"/>
          </reference>
          <reference field="2" count="9">
            <x v="5"/>
            <x v="27"/>
            <x v="96"/>
            <x v="101"/>
            <x v="108"/>
            <x v="112"/>
            <x v="165"/>
            <x v="309"/>
            <x v="328"/>
          </reference>
        </references>
      </pivotArea>
    </format>
    <format dxfId="120">
      <pivotArea dataOnly="0" labelOnly="1" fieldPosition="0">
        <references count="2">
          <reference field="0" count="1" selected="0">
            <x v="55"/>
          </reference>
          <reference field="2" count="7">
            <x v="51"/>
            <x v="124"/>
            <x v="141"/>
            <x v="251"/>
            <x v="294"/>
            <x v="311"/>
            <x v="328"/>
          </reference>
        </references>
      </pivotArea>
    </format>
    <format dxfId="119">
      <pivotArea dataOnly="0" labelOnly="1" fieldPosition="0">
        <references count="2">
          <reference field="0" count="1" selected="0">
            <x v="54"/>
          </reference>
          <reference field="2" count="9">
            <x v="64"/>
            <x v="127"/>
            <x v="165"/>
            <x v="167"/>
            <x v="188"/>
            <x v="235"/>
            <x v="243"/>
            <x v="292"/>
            <x v="316"/>
          </reference>
        </references>
      </pivotArea>
    </format>
    <format dxfId="118">
      <pivotArea dataOnly="0" labelOnly="1" fieldPosition="0">
        <references count="2">
          <reference field="0" count="1" selected="0">
            <x v="53"/>
          </reference>
          <reference field="2" count="5">
            <x v="20"/>
            <x v="44"/>
            <x v="118"/>
            <x v="125"/>
            <x v="271"/>
          </reference>
        </references>
      </pivotArea>
    </format>
    <format dxfId="117">
      <pivotArea dataOnly="0" labelOnly="1" fieldPosition="0">
        <references count="2">
          <reference field="0" count="1" selected="0">
            <x v="52"/>
          </reference>
          <reference field="2" count="7">
            <x v="17"/>
            <x v="38"/>
            <x v="57"/>
            <x v="63"/>
            <x v="83"/>
            <x v="91"/>
            <x v="225"/>
          </reference>
        </references>
      </pivotArea>
    </format>
    <format dxfId="116">
      <pivotArea dataOnly="0" labelOnly="1" fieldPosition="0">
        <references count="2">
          <reference field="0" count="1" selected="0">
            <x v="51"/>
          </reference>
          <reference field="2" count="8">
            <x v="35"/>
            <x v="64"/>
            <x v="114"/>
            <x v="138"/>
            <x v="226"/>
            <x v="277"/>
            <x v="279"/>
            <x v="341"/>
          </reference>
        </references>
      </pivotArea>
    </format>
    <format dxfId="115">
      <pivotArea dataOnly="0" labelOnly="1" fieldPosition="0">
        <references count="2">
          <reference field="0" count="1" selected="0">
            <x v="50"/>
          </reference>
          <reference field="2" count="8">
            <x v="22"/>
            <x v="47"/>
            <x v="59"/>
            <x v="117"/>
            <x v="198"/>
            <x v="289"/>
            <x v="321"/>
            <x v="332"/>
          </reference>
        </references>
      </pivotArea>
    </format>
    <format dxfId="114">
      <pivotArea dataOnly="0" labelOnly="1" fieldPosition="0">
        <references count="2">
          <reference field="0" count="1" selected="0">
            <x v="49"/>
          </reference>
          <reference field="2" count="6">
            <x v="113"/>
            <x v="146"/>
            <x v="201"/>
            <x v="234"/>
            <x v="285"/>
            <x v="296"/>
          </reference>
        </references>
      </pivotArea>
    </format>
    <format dxfId="113">
      <pivotArea dataOnly="0" labelOnly="1" fieldPosition="0">
        <references count="2">
          <reference field="0" count="1" selected="0">
            <x v="48"/>
          </reference>
          <reference field="2" count="6">
            <x v="17"/>
            <x v="104"/>
            <x v="135"/>
            <x v="150"/>
            <x v="169"/>
            <x v="215"/>
          </reference>
        </references>
      </pivotArea>
    </format>
    <format dxfId="112">
      <pivotArea dataOnly="0" labelOnly="1" fieldPosition="0">
        <references count="2">
          <reference field="0" count="1" selected="0">
            <x v="47"/>
          </reference>
          <reference field="2" count="12">
            <x v="64"/>
            <x v="82"/>
            <x v="106"/>
            <x v="170"/>
            <x v="182"/>
            <x v="236"/>
            <x v="249"/>
            <x v="250"/>
            <x v="263"/>
            <x v="303"/>
            <x v="304"/>
            <x v="313"/>
          </reference>
        </references>
      </pivotArea>
    </format>
    <format dxfId="111">
      <pivotArea dataOnly="0" labelOnly="1" fieldPosition="0">
        <references count="2">
          <reference field="0" count="1" selected="0">
            <x v="46"/>
          </reference>
          <reference field="2" count="10">
            <x v="41"/>
            <x v="58"/>
            <x v="65"/>
            <x v="99"/>
            <x v="136"/>
            <x v="182"/>
            <x v="183"/>
            <x v="190"/>
            <x v="243"/>
            <x v="293"/>
          </reference>
        </references>
      </pivotArea>
    </format>
    <format dxfId="110">
      <pivotArea dataOnly="0" labelOnly="1" fieldPosition="0">
        <references count="2">
          <reference field="0" count="1" selected="0">
            <x v="45"/>
          </reference>
          <reference field="2" count="8">
            <x v="33"/>
            <x v="39"/>
            <x v="69"/>
            <x v="96"/>
            <x v="237"/>
            <x v="245"/>
            <x v="317"/>
            <x v="348"/>
          </reference>
        </references>
      </pivotArea>
    </format>
    <format dxfId="109">
      <pivotArea dataOnly="0" labelOnly="1" fieldPosition="0">
        <references count="2">
          <reference field="0" count="1" selected="0">
            <x v="44"/>
          </reference>
          <reference field="2" count="7">
            <x v="10"/>
            <x v="27"/>
            <x v="59"/>
            <x v="147"/>
            <x v="180"/>
            <x v="293"/>
            <x v="321"/>
          </reference>
        </references>
      </pivotArea>
    </format>
    <format dxfId="108">
      <pivotArea dataOnly="0" labelOnly="1" fieldPosition="0">
        <references count="2">
          <reference field="0" count="1" selected="0">
            <x v="43"/>
          </reference>
          <reference field="2" count="9">
            <x v="20"/>
            <x v="37"/>
            <x v="95"/>
            <x v="198"/>
            <x v="205"/>
            <x v="219"/>
            <x v="238"/>
            <x v="258"/>
            <x v="320"/>
          </reference>
        </references>
      </pivotArea>
    </format>
    <format dxfId="107">
      <pivotArea dataOnly="0" labelOnly="1" fieldPosition="0">
        <references count="2">
          <reference field="0" count="1" selected="0">
            <x v="42"/>
          </reference>
          <reference field="2" count="9">
            <x v="5"/>
            <x v="16"/>
            <x v="33"/>
            <x v="155"/>
            <x v="157"/>
            <x v="188"/>
            <x v="209"/>
            <x v="313"/>
            <x v="332"/>
          </reference>
        </references>
      </pivotArea>
    </format>
    <format dxfId="106">
      <pivotArea dataOnly="0" labelOnly="1" fieldPosition="0">
        <references count="2">
          <reference field="0" count="1" selected="0">
            <x v="41"/>
          </reference>
          <reference field="2" count="9">
            <x v="14"/>
            <x v="22"/>
            <x v="64"/>
            <x v="79"/>
            <x v="83"/>
            <x v="199"/>
            <x v="257"/>
            <x v="289"/>
            <x v="293"/>
          </reference>
        </references>
      </pivotArea>
    </format>
    <format dxfId="105">
      <pivotArea dataOnly="0" labelOnly="1" fieldPosition="0">
        <references count="2">
          <reference field="0" count="1" selected="0">
            <x v="40"/>
          </reference>
          <reference field="2" count="9">
            <x v="45"/>
            <x v="49"/>
            <x v="111"/>
            <x v="112"/>
            <x v="151"/>
            <x v="224"/>
            <x v="225"/>
            <x v="307"/>
            <x v="334"/>
          </reference>
        </references>
      </pivotArea>
    </format>
    <format dxfId="104">
      <pivotArea dataOnly="0" labelOnly="1" fieldPosition="0">
        <references count="2">
          <reference field="0" count="1" selected="0">
            <x v="39"/>
          </reference>
          <reference field="2" count="6">
            <x v="78"/>
            <x v="80"/>
            <x v="160"/>
            <x v="197"/>
            <x v="243"/>
            <x v="331"/>
          </reference>
        </references>
      </pivotArea>
    </format>
    <format dxfId="103">
      <pivotArea dataOnly="0" labelOnly="1" fieldPosition="0">
        <references count="2">
          <reference field="0" count="1" selected="0">
            <x v="38"/>
          </reference>
          <reference field="2" count="9">
            <x v="26"/>
            <x v="36"/>
            <x v="102"/>
            <x v="112"/>
            <x v="196"/>
            <x v="208"/>
            <x v="219"/>
            <x v="228"/>
            <x v="324"/>
          </reference>
        </references>
      </pivotArea>
    </format>
    <format dxfId="102">
      <pivotArea dataOnly="0" labelOnly="1" fieldPosition="0">
        <references count="2">
          <reference field="0" count="1" selected="0">
            <x v="37"/>
          </reference>
          <reference field="2" count="10">
            <x v="25"/>
            <x v="62"/>
            <x v="95"/>
            <x v="148"/>
            <x v="172"/>
            <x v="234"/>
            <x v="267"/>
            <x v="278"/>
            <x v="305"/>
            <x v="323"/>
          </reference>
        </references>
      </pivotArea>
    </format>
    <format dxfId="101">
      <pivotArea dataOnly="0" labelOnly="1" fieldPosition="0">
        <references count="2">
          <reference field="0" count="1" selected="0">
            <x v="36"/>
          </reference>
          <reference field="2" count="14">
            <x v="30"/>
            <x v="33"/>
            <x v="69"/>
            <x v="75"/>
            <x v="103"/>
            <x v="114"/>
            <x v="135"/>
            <x v="144"/>
            <x v="165"/>
            <x v="166"/>
            <x v="230"/>
            <x v="257"/>
            <x v="266"/>
            <x v="293"/>
          </reference>
        </references>
      </pivotArea>
    </format>
    <format dxfId="100">
      <pivotArea dataOnly="0" labelOnly="1" fieldPosition="0">
        <references count="2">
          <reference field="0" count="1" selected="0">
            <x v="35"/>
          </reference>
          <reference field="2" count="5">
            <x v="44"/>
            <x v="82"/>
            <x v="222"/>
            <x v="259"/>
            <x v="269"/>
          </reference>
        </references>
      </pivotArea>
    </format>
    <format dxfId="99">
      <pivotArea dataOnly="0" labelOnly="1" fieldPosition="0">
        <references count="2">
          <reference field="0" count="1" selected="0">
            <x v="34"/>
          </reference>
          <reference field="2" count="9">
            <x v="6"/>
            <x v="61"/>
            <x v="120"/>
            <x v="142"/>
            <x v="166"/>
            <x v="172"/>
            <x v="224"/>
            <x v="238"/>
            <x v="277"/>
          </reference>
        </references>
      </pivotArea>
    </format>
    <format dxfId="98">
      <pivotArea dataOnly="0" labelOnly="1" fieldPosition="0">
        <references count="2">
          <reference field="0" count="1" selected="0">
            <x v="33"/>
          </reference>
          <reference field="2" count="5">
            <x v="50"/>
            <x v="72"/>
            <x v="103"/>
            <x v="157"/>
            <x v="175"/>
          </reference>
        </references>
      </pivotArea>
    </format>
    <format dxfId="97">
      <pivotArea dataOnly="0" labelOnly="1" fieldPosition="0">
        <references count="2">
          <reference field="0" count="1" selected="0">
            <x v="32"/>
          </reference>
          <reference field="2" count="7">
            <x v="120"/>
            <x v="158"/>
            <x v="177"/>
            <x v="194"/>
            <x v="205"/>
            <x v="275"/>
            <x v="338"/>
          </reference>
        </references>
      </pivotArea>
    </format>
    <format dxfId="96">
      <pivotArea dataOnly="0" labelOnly="1" fieldPosition="0">
        <references count="2">
          <reference field="0" count="1" selected="0">
            <x v="31"/>
          </reference>
          <reference field="2" count="9">
            <x v="73"/>
            <x v="104"/>
            <x v="124"/>
            <x v="144"/>
            <x v="194"/>
            <x v="229"/>
            <x v="231"/>
            <x v="240"/>
            <x v="268"/>
          </reference>
        </references>
      </pivotArea>
    </format>
    <format dxfId="95">
      <pivotArea dataOnly="0" labelOnly="1" fieldPosition="0">
        <references count="2">
          <reference field="0" count="1" selected="0">
            <x v="30"/>
          </reference>
          <reference field="2" count="8">
            <x v="59"/>
            <x v="64"/>
            <x v="133"/>
            <x v="138"/>
            <x v="176"/>
            <x v="195"/>
            <x v="246"/>
            <x v="337"/>
          </reference>
        </references>
      </pivotArea>
    </format>
    <format dxfId="94">
      <pivotArea dataOnly="0" labelOnly="1" fieldPosition="0">
        <references count="2">
          <reference field="0" count="1" selected="0">
            <x v="29"/>
          </reference>
          <reference field="2" count="7">
            <x v="24"/>
            <x v="133"/>
            <x v="144"/>
            <x v="145"/>
            <x v="210"/>
            <x v="262"/>
            <x v="301"/>
          </reference>
        </references>
      </pivotArea>
    </format>
    <format dxfId="93">
      <pivotArea dataOnly="0" labelOnly="1" fieldPosition="0">
        <references count="2">
          <reference field="0" count="1" selected="0">
            <x v="28"/>
          </reference>
          <reference field="2" count="8">
            <x v="0"/>
            <x v="9"/>
            <x v="39"/>
            <x v="88"/>
            <x v="92"/>
            <x v="114"/>
            <x v="135"/>
            <x v="173"/>
          </reference>
        </references>
      </pivotArea>
    </format>
    <format dxfId="92">
      <pivotArea dataOnly="0" labelOnly="1" fieldPosition="0">
        <references count="2">
          <reference field="0" count="1" selected="0">
            <x v="27"/>
          </reference>
          <reference field="2" count="7">
            <x v="33"/>
            <x v="76"/>
            <x v="154"/>
            <x v="180"/>
            <x v="231"/>
            <x v="298"/>
            <x v="303"/>
          </reference>
        </references>
      </pivotArea>
    </format>
    <format dxfId="91">
      <pivotArea dataOnly="0" labelOnly="1" fieldPosition="0">
        <references count="2">
          <reference field="0" count="1" selected="0">
            <x v="26"/>
          </reference>
          <reference field="2" count="12">
            <x v="54"/>
            <x v="67"/>
            <x v="90"/>
            <x v="129"/>
            <x v="168"/>
            <x v="218"/>
            <x v="230"/>
            <x v="239"/>
            <x v="264"/>
            <x v="267"/>
            <x v="330"/>
            <x v="333"/>
          </reference>
        </references>
      </pivotArea>
    </format>
    <format dxfId="90">
      <pivotArea dataOnly="0" labelOnly="1" fieldPosition="0">
        <references count="2">
          <reference field="0" count="1" selected="0">
            <x v="25"/>
          </reference>
          <reference field="2" count="7">
            <x v="28"/>
            <x v="138"/>
            <x v="193"/>
            <x v="205"/>
            <x v="253"/>
            <x v="262"/>
            <x v="329"/>
          </reference>
        </references>
      </pivotArea>
    </format>
    <format dxfId="89">
      <pivotArea dataOnly="0" labelOnly="1" fieldPosition="0">
        <references count="2">
          <reference field="0" count="1" selected="0">
            <x v="24"/>
          </reference>
          <reference field="2" count="6">
            <x v="14"/>
            <x v="46"/>
            <x v="210"/>
            <x v="252"/>
            <x v="306"/>
            <x v="326"/>
          </reference>
        </references>
      </pivotArea>
    </format>
    <format dxfId="88">
      <pivotArea dataOnly="0" labelOnly="1" fieldPosition="0">
        <references count="2">
          <reference field="0" count="1" selected="0">
            <x v="23"/>
          </reference>
          <reference field="2" count="11">
            <x v="7"/>
            <x v="73"/>
            <x v="76"/>
            <x v="101"/>
            <x v="112"/>
            <x v="165"/>
            <x v="202"/>
            <x v="219"/>
            <x v="272"/>
            <x v="299"/>
            <x v="342"/>
          </reference>
        </references>
      </pivotArea>
    </format>
    <format dxfId="87">
      <pivotArea dataOnly="0" labelOnly="1" fieldPosition="0">
        <references count="2">
          <reference field="0" count="1" selected="0">
            <x v="22"/>
          </reference>
          <reference field="2" count="6">
            <x v="1"/>
            <x v="65"/>
            <x v="72"/>
            <x v="92"/>
            <x v="230"/>
            <x v="331"/>
          </reference>
        </references>
      </pivotArea>
    </format>
    <format dxfId="86">
      <pivotArea dataOnly="0" labelOnly="1" fieldPosition="0">
        <references count="2">
          <reference field="0" count="1" selected="0">
            <x v="21"/>
          </reference>
          <reference field="2" count="6">
            <x v="14"/>
            <x v="151"/>
            <x v="165"/>
            <x v="235"/>
            <x v="240"/>
            <x v="329"/>
          </reference>
        </references>
      </pivotArea>
    </format>
    <format dxfId="85">
      <pivotArea dataOnly="0" labelOnly="1" fieldPosition="0">
        <references count="2">
          <reference field="0" count="1" selected="0">
            <x v="20"/>
          </reference>
          <reference field="2" count="6">
            <x v="3"/>
            <x v="185"/>
            <x v="195"/>
            <x v="237"/>
            <x v="238"/>
            <x v="304"/>
          </reference>
        </references>
      </pivotArea>
    </format>
    <format dxfId="84">
      <pivotArea dataOnly="0" labelOnly="1" fieldPosition="0">
        <references count="2">
          <reference field="0" count="1" selected="0">
            <x v="19"/>
          </reference>
          <reference field="2" count="10">
            <x v="53"/>
            <x v="127"/>
            <x v="138"/>
            <x v="149"/>
            <x v="154"/>
            <x v="162"/>
            <x v="194"/>
            <x v="209"/>
            <x v="260"/>
            <x v="265"/>
          </reference>
        </references>
      </pivotArea>
    </format>
    <format dxfId="83">
      <pivotArea dataOnly="0" labelOnly="1" fieldPosition="0">
        <references count="2">
          <reference field="0" count="1" selected="0">
            <x v="18"/>
          </reference>
          <reference field="2" count="6">
            <x v="85"/>
            <x v="129"/>
            <x v="198"/>
            <x v="237"/>
            <x v="286"/>
            <x v="327"/>
          </reference>
        </references>
      </pivotArea>
    </format>
    <format dxfId="82">
      <pivotArea dataOnly="0" labelOnly="1" fieldPosition="0">
        <references count="2">
          <reference field="0" count="1" selected="0">
            <x v="17"/>
          </reference>
          <reference field="2" count="10">
            <x v="43"/>
            <x v="50"/>
            <x v="93"/>
            <x v="109"/>
            <x v="124"/>
            <x v="166"/>
            <x v="208"/>
            <x v="214"/>
            <x v="238"/>
            <x v="246"/>
          </reference>
        </references>
      </pivotArea>
    </format>
    <format dxfId="81">
      <pivotArea dataOnly="0" labelOnly="1" fieldPosition="0">
        <references count="2">
          <reference field="0" count="1" selected="0">
            <x v="16"/>
          </reference>
          <reference field="2" count="10">
            <x v="70"/>
            <x v="97"/>
            <x v="103"/>
            <x v="108"/>
            <x v="116"/>
            <x v="118"/>
            <x v="123"/>
            <x v="202"/>
            <x v="298"/>
            <x v="300"/>
          </reference>
        </references>
      </pivotArea>
    </format>
    <format dxfId="80">
      <pivotArea dataOnly="0" labelOnly="1" fieldPosition="0">
        <references count="2">
          <reference field="0" count="1" selected="0">
            <x v="15"/>
          </reference>
          <reference field="2" count="5">
            <x v="58"/>
            <x v="96"/>
            <x v="205"/>
            <x v="230"/>
            <x v="267"/>
          </reference>
        </references>
      </pivotArea>
    </format>
    <format dxfId="79">
      <pivotArea dataOnly="0" labelOnly="1" fieldPosition="0">
        <references count="2">
          <reference field="0" count="1" selected="0">
            <x v="14"/>
          </reference>
          <reference field="2" count="8">
            <x v="18"/>
            <x v="34"/>
            <x v="102"/>
            <x v="117"/>
            <x v="121"/>
            <x v="220"/>
            <x v="275"/>
            <x v="339"/>
          </reference>
        </references>
      </pivotArea>
    </format>
    <format dxfId="78">
      <pivotArea dataOnly="0" labelOnly="1" fieldPosition="0">
        <references count="2">
          <reference field="0" count="1" selected="0">
            <x v="13"/>
          </reference>
          <reference field="2" count="10">
            <x v="44"/>
            <x v="160"/>
            <x v="163"/>
            <x v="211"/>
            <x v="215"/>
            <x v="254"/>
            <x v="267"/>
            <x v="272"/>
            <x v="302"/>
            <x v="334"/>
          </reference>
        </references>
      </pivotArea>
    </format>
    <format dxfId="77">
      <pivotArea dataOnly="0" labelOnly="1" fieldPosition="0">
        <references count="2">
          <reference field="0" count="1" selected="0">
            <x v="12"/>
          </reference>
          <reference field="2" count="3">
            <x v="153"/>
            <x v="192"/>
            <x v="337"/>
          </reference>
        </references>
      </pivotArea>
    </format>
    <format dxfId="76">
      <pivotArea dataOnly="0" labelOnly="1" fieldPosition="0">
        <references count="2">
          <reference field="0" count="1" selected="0">
            <x v="11"/>
          </reference>
          <reference field="2" count="7">
            <x v="0"/>
            <x v="29"/>
            <x v="66"/>
            <x v="259"/>
            <x v="283"/>
            <x v="297"/>
            <x v="336"/>
          </reference>
        </references>
      </pivotArea>
    </format>
    <format dxfId="75">
      <pivotArea dataOnly="0" labelOnly="1" fieldPosition="0">
        <references count="2">
          <reference field="0" count="1" selected="0">
            <x v="10"/>
          </reference>
          <reference field="2" count="9">
            <x v="52"/>
            <x v="66"/>
            <x v="83"/>
            <x v="115"/>
            <x v="119"/>
            <x v="128"/>
            <x v="149"/>
            <x v="275"/>
            <x v="286"/>
          </reference>
        </references>
      </pivotArea>
    </format>
    <format dxfId="74">
      <pivotArea dataOnly="0" labelOnly="1" fieldPosition="0">
        <references count="2">
          <reference field="0" count="1" selected="0">
            <x v="9"/>
          </reference>
          <reference field="2" count="6">
            <x v="62"/>
            <x v="90"/>
            <x v="100"/>
            <x v="244"/>
            <x v="322"/>
            <x v="330"/>
          </reference>
        </references>
      </pivotArea>
    </format>
    <format dxfId="73">
      <pivotArea dataOnly="0" labelOnly="1" fieldPosition="0">
        <references count="2">
          <reference field="0" count="1" selected="0">
            <x v="8"/>
          </reference>
          <reference field="2" count="9">
            <x v="63"/>
            <x v="131"/>
            <x v="165"/>
            <x v="172"/>
            <x v="192"/>
            <x v="247"/>
            <x v="249"/>
            <x v="256"/>
            <x v="290"/>
          </reference>
        </references>
      </pivotArea>
    </format>
    <format dxfId="72">
      <pivotArea dataOnly="0" labelOnly="1" fieldPosition="0">
        <references count="2">
          <reference field="0" count="1" selected="0">
            <x v="7"/>
          </reference>
          <reference field="2" count="4">
            <x v="43"/>
            <x v="84"/>
            <x v="254"/>
            <x v="310"/>
          </reference>
        </references>
      </pivotArea>
    </format>
    <format dxfId="71">
      <pivotArea dataOnly="0" labelOnly="1" fieldPosition="0">
        <references count="2">
          <reference field="0" count="1" selected="0">
            <x v="6"/>
          </reference>
          <reference field="2" count="11">
            <x v="48"/>
            <x v="57"/>
            <x v="63"/>
            <x v="174"/>
            <x v="193"/>
            <x v="248"/>
            <x v="277"/>
            <x v="287"/>
            <x v="316"/>
            <x v="323"/>
            <x v="348"/>
          </reference>
        </references>
      </pivotArea>
    </format>
    <format dxfId="70">
      <pivotArea dataOnly="0" labelOnly="1" fieldPosition="0">
        <references count="2">
          <reference field="0" count="1" selected="0">
            <x v="5"/>
          </reference>
          <reference field="2" count="10">
            <x v="2"/>
            <x v="6"/>
            <x v="27"/>
            <x v="46"/>
            <x v="90"/>
            <x v="131"/>
            <x v="218"/>
            <x v="245"/>
            <x v="302"/>
            <x v="304"/>
          </reference>
        </references>
      </pivotArea>
    </format>
    <format dxfId="69">
      <pivotArea dataOnly="0" labelOnly="1" fieldPosition="0">
        <references count="2">
          <reference field="0" count="1" selected="0">
            <x v="4"/>
          </reference>
          <reference field="2" count="4">
            <x v="151"/>
            <x v="172"/>
            <x v="194"/>
            <x v="209"/>
          </reference>
        </references>
      </pivotArea>
    </format>
    <format dxfId="68">
      <pivotArea dataOnly="0" labelOnly="1" fieldPosition="0">
        <references count="2">
          <reference field="0" count="1" selected="0">
            <x v="3"/>
          </reference>
          <reference field="2" count="8">
            <x v="52"/>
            <x v="111"/>
            <x v="129"/>
            <x v="170"/>
            <x v="200"/>
            <x v="205"/>
            <x v="219"/>
            <x v="278"/>
          </reference>
        </references>
      </pivotArea>
    </format>
    <format dxfId="67">
      <pivotArea dataOnly="0" labelOnly="1" fieldPosition="0">
        <references count="2">
          <reference field="0" count="1" selected="0">
            <x v="2"/>
          </reference>
          <reference field="2" count="7">
            <x v="12"/>
            <x v="61"/>
            <x v="140"/>
            <x v="203"/>
            <x v="274"/>
            <x v="315"/>
            <x v="336"/>
          </reference>
        </references>
      </pivotArea>
    </format>
    <format dxfId="66">
      <pivotArea dataOnly="0" labelOnly="1" fieldPosition="0">
        <references count="2">
          <reference field="0" count="1" selected="0">
            <x v="1"/>
          </reference>
          <reference field="2" count="9">
            <x v="31"/>
            <x v="36"/>
            <x v="64"/>
            <x v="84"/>
            <x v="127"/>
            <x v="168"/>
            <x v="242"/>
            <x v="273"/>
            <x v="315"/>
          </reference>
        </references>
      </pivotArea>
    </format>
    <format dxfId="65">
      <pivotArea dataOnly="0" labelOnly="1" fieldPosition="0">
        <references count="2">
          <reference field="0" count="1" selected="0">
            <x v="0"/>
          </reference>
          <reference field="2" count="10">
            <x v="14"/>
            <x v="26"/>
            <x v="128"/>
            <x v="137"/>
            <x v="138"/>
            <x v="158"/>
            <x v="207"/>
            <x v="237"/>
            <x v="283"/>
            <x v="296"/>
          </reference>
        </references>
      </pivotArea>
    </format>
    <format dxfId="64">
      <pivotArea dataOnly="0" labelOnly="1" outline="0" axis="axisValues" fieldPosition="0"/>
    </format>
    <format dxfId="63">
      <pivotArea field="0" type="button" dataOnly="0" labelOnly="1" outline="0" axis="axisRow" fieldPosition="0"/>
    </format>
    <format dxfId="6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D96A9-5A1E-42D8-8E0A-6F31E412732F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25" firstHeaderRow="0" firstDataRow="1" firstDataCol="1"/>
  <pivotFields count="31">
    <pivotField axis="axisRow" showAll="0">
      <items count="122">
        <item x="57"/>
        <item x="65"/>
        <item x="7"/>
        <item x="95"/>
        <item x="42"/>
        <item x="20"/>
        <item x="28"/>
        <item x="68"/>
        <item x="11"/>
        <item x="63"/>
        <item x="92"/>
        <item x="0"/>
        <item x="77"/>
        <item x="53"/>
        <item x="70"/>
        <item x="117"/>
        <item x="29"/>
        <item x="102"/>
        <item x="76"/>
        <item x="115"/>
        <item x="109"/>
        <item x="82"/>
        <item x="56"/>
        <item x="91"/>
        <item x="3"/>
        <item x="14"/>
        <item x="10"/>
        <item x="8"/>
        <item x="107"/>
        <item x="37"/>
        <item x="64"/>
        <item x="81"/>
        <item x="6"/>
        <item x="85"/>
        <item x="103"/>
        <item x="97"/>
        <item x="49"/>
        <item x="30"/>
        <item x="13"/>
        <item x="110"/>
        <item x="45"/>
        <item x="75"/>
        <item x="79"/>
        <item x="16"/>
        <item x="18"/>
        <item x="83"/>
        <item x="41"/>
        <item x="4"/>
        <item x="89"/>
        <item x="59"/>
        <item x="66"/>
        <item x="94"/>
        <item x="26"/>
        <item x="105"/>
        <item x="87"/>
        <item x="100"/>
        <item x="116"/>
        <item x="80"/>
        <item x="24"/>
        <item x="23"/>
        <item x="86"/>
        <item x="5"/>
        <item x="40"/>
        <item x="32"/>
        <item x="73"/>
        <item x="119"/>
        <item x="22"/>
        <item x="31"/>
        <item x="118"/>
        <item x="98"/>
        <item x="69"/>
        <item x="93"/>
        <item x="44"/>
        <item x="48"/>
        <item x="12"/>
        <item x="38"/>
        <item x="114"/>
        <item x="2"/>
        <item x="67"/>
        <item x="43"/>
        <item x="15"/>
        <item x="96"/>
        <item x="46"/>
        <item x="51"/>
        <item x="55"/>
        <item x="99"/>
        <item x="84"/>
        <item x="120"/>
        <item x="33"/>
        <item x="17"/>
        <item x="36"/>
        <item x="74"/>
        <item x="101"/>
        <item x="50"/>
        <item x="39"/>
        <item x="61"/>
        <item x="34"/>
        <item x="25"/>
        <item x="90"/>
        <item x="104"/>
        <item x="60"/>
        <item x="52"/>
        <item x="21"/>
        <item x="106"/>
        <item x="27"/>
        <item x="88"/>
        <item x="47"/>
        <item x="62"/>
        <item x="113"/>
        <item x="1"/>
        <item x="112"/>
        <item x="58"/>
        <item x="111"/>
        <item x="72"/>
        <item x="78"/>
        <item x="71"/>
        <item x="35"/>
        <item x="19"/>
        <item x="54"/>
        <item x="9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numFmtId="166" showAll="0"/>
    <pivotField numFmtId="166" showAll="0">
      <items count="333">
        <item x="41"/>
        <item x="151"/>
        <item x="143"/>
        <item x="235"/>
        <item x="108"/>
        <item x="272"/>
        <item x="15"/>
        <item x="182"/>
        <item x="283"/>
        <item x="202"/>
        <item x="58"/>
        <item x="156"/>
        <item x="282"/>
        <item x="76"/>
        <item x="137"/>
        <item x="226"/>
        <item x="207"/>
        <item x="251"/>
        <item x="258"/>
        <item x="188"/>
        <item x="13"/>
        <item x="147"/>
        <item x="35"/>
        <item x="180"/>
        <item x="40"/>
        <item x="72"/>
        <item x="319"/>
        <item x="322"/>
        <item x="50"/>
        <item x="305"/>
        <item x="81"/>
        <item x="241"/>
        <item x="170"/>
        <item x="287"/>
        <item x="324"/>
        <item x="80"/>
        <item x="42"/>
        <item x="11"/>
        <item x="109"/>
        <item x="315"/>
        <item x="135"/>
        <item x="14"/>
        <item x="145"/>
        <item x="168"/>
        <item x="99"/>
        <item x="268"/>
        <item x="280"/>
        <item x="221"/>
        <item x="190"/>
        <item x="224"/>
        <item x="73"/>
        <item x="118"/>
        <item x="90"/>
        <item x="79"/>
        <item x="325"/>
        <item x="166"/>
        <item x="133"/>
        <item x="228"/>
        <item x="110"/>
        <item x="214"/>
        <item x="112"/>
        <item x="292"/>
        <item x="261"/>
        <item x="178"/>
        <item x="293"/>
        <item x="243"/>
        <item x="204"/>
        <item x="278"/>
        <item x="281"/>
        <item x="212"/>
        <item x="294"/>
        <item x="104"/>
        <item x="288"/>
        <item x="138"/>
        <item x="115"/>
        <item x="1"/>
        <item x="47"/>
        <item x="246"/>
        <item x="142"/>
        <item x="253"/>
        <item x="183"/>
        <item x="240"/>
        <item x="65"/>
        <item x="308"/>
        <item x="75"/>
        <item x="20"/>
        <item x="313"/>
        <item x="134"/>
        <item x="10"/>
        <item x="8"/>
        <item x="276"/>
        <item x="217"/>
        <item x="149"/>
        <item x="223"/>
        <item x="158"/>
        <item x="314"/>
        <item x="25"/>
        <item x="327"/>
        <item x="301"/>
        <item x="46"/>
        <item x="123"/>
        <item x="68"/>
        <item x="74"/>
        <item x="255"/>
        <item x="227"/>
        <item x="236"/>
        <item x="289"/>
        <item x="159"/>
        <item x="125"/>
        <item x="71"/>
        <item x="197"/>
        <item x="126"/>
        <item x="88"/>
        <item x="219"/>
        <item x="177"/>
        <item x="124"/>
        <item x="329"/>
        <item x="103"/>
        <item x="17"/>
        <item x="24"/>
        <item x="12"/>
        <item x="309"/>
        <item x="100"/>
        <item x="22"/>
        <item x="60"/>
        <item x="78"/>
        <item x="55"/>
        <item x="67"/>
        <item x="285"/>
        <item x="23"/>
        <item x="107"/>
        <item x="191"/>
        <item x="48"/>
        <item x="298"/>
        <item x="331"/>
        <item x="303"/>
        <item x="84"/>
        <item x="184"/>
        <item x="200"/>
        <item x="259"/>
        <item x="19"/>
        <item x="174"/>
        <item x="4"/>
        <item x="274"/>
        <item x="179"/>
        <item x="229"/>
        <item x="167"/>
        <item x="139"/>
        <item x="216"/>
        <item x="270"/>
        <item x="323"/>
        <item x="5"/>
        <item x="300"/>
        <item x="173"/>
        <item x="195"/>
        <item x="93"/>
        <item x="254"/>
        <item x="242"/>
        <item x="271"/>
        <item x="59"/>
        <item x="16"/>
        <item x="279"/>
        <item x="69"/>
        <item x="30"/>
        <item x="321"/>
        <item x="163"/>
        <item x="196"/>
        <item x="38"/>
        <item x="297"/>
        <item x="238"/>
        <item x="222"/>
        <item x="39"/>
        <item x="140"/>
        <item x="64"/>
        <item x="213"/>
        <item x="256"/>
        <item x="95"/>
        <item x="317"/>
        <item x="291"/>
        <item x="269"/>
        <item x="230"/>
        <item x="262"/>
        <item x="233"/>
        <item x="89"/>
        <item x="155"/>
        <item x="286"/>
        <item x="295"/>
        <item x="192"/>
        <item x="85"/>
        <item x="326"/>
        <item x="264"/>
        <item x="218"/>
        <item x="205"/>
        <item x="86"/>
        <item x="198"/>
        <item x="273"/>
        <item x="77"/>
        <item x="53"/>
        <item x="94"/>
        <item x="37"/>
        <item x="249"/>
        <item x="199"/>
        <item x="127"/>
        <item x="33"/>
        <item x="51"/>
        <item x="206"/>
        <item x="311"/>
        <item x="129"/>
        <item x="96"/>
        <item x="171"/>
        <item x="57"/>
        <item x="36"/>
        <item x="161"/>
        <item x="43"/>
        <item x="172"/>
        <item x="66"/>
        <item x="307"/>
        <item x="252"/>
        <item x="263"/>
        <item x="304"/>
        <item x="52"/>
        <item x="98"/>
        <item x="63"/>
        <item x="209"/>
        <item x="148"/>
        <item x="92"/>
        <item x="193"/>
        <item x="220"/>
        <item x="210"/>
        <item x="153"/>
        <item x="28"/>
        <item x="119"/>
        <item x="56"/>
        <item x="32"/>
        <item x="316"/>
        <item x="105"/>
        <item x="82"/>
        <item x="9"/>
        <item x="150"/>
        <item x="169"/>
        <item x="181"/>
        <item x="208"/>
        <item x="260"/>
        <item x="245"/>
        <item x="116"/>
        <item x="187"/>
        <item x="44"/>
        <item x="176"/>
        <item x="306"/>
        <item x="136"/>
        <item x="29"/>
        <item x="157"/>
        <item x="113"/>
        <item x="26"/>
        <item x="266"/>
        <item x="234"/>
        <item x="70"/>
        <item x="215"/>
        <item x="18"/>
        <item x="211"/>
        <item x="114"/>
        <item x="203"/>
        <item x="320"/>
        <item x="61"/>
        <item x="132"/>
        <item x="83"/>
        <item x="87"/>
        <item x="62"/>
        <item x="165"/>
        <item x="3"/>
        <item x="152"/>
        <item x="144"/>
        <item x="239"/>
        <item x="244"/>
        <item x="146"/>
        <item x="31"/>
        <item x="121"/>
        <item x="2"/>
        <item x="21"/>
        <item x="130"/>
        <item x="318"/>
        <item x="111"/>
        <item x="162"/>
        <item x="275"/>
        <item x="201"/>
        <item x="117"/>
        <item x="284"/>
        <item x="0"/>
        <item x="27"/>
        <item x="141"/>
        <item x="97"/>
        <item x="154"/>
        <item x="277"/>
        <item x="120"/>
        <item x="330"/>
        <item x="54"/>
        <item x="128"/>
        <item x="189"/>
        <item x="186"/>
        <item x="185"/>
        <item x="328"/>
        <item x="302"/>
        <item x="91"/>
        <item x="49"/>
        <item x="34"/>
        <item x="231"/>
        <item x="296"/>
        <item x="6"/>
        <item x="267"/>
        <item x="45"/>
        <item x="299"/>
        <item x="237"/>
        <item x="247"/>
        <item x="101"/>
        <item x="290"/>
        <item x="232"/>
        <item x="164"/>
        <item x="265"/>
        <item x="257"/>
        <item x="194"/>
        <item x="310"/>
        <item x="102"/>
        <item x="225"/>
        <item x="131"/>
        <item x="160"/>
        <item x="175"/>
        <item x="122"/>
        <item x="248"/>
        <item x="106"/>
        <item x="312"/>
        <item x="7"/>
        <item x="250"/>
        <item t="default"/>
      </items>
    </pivotField>
    <pivotField showAll="0"/>
    <pivotField numFmtId="166" showAll="0"/>
    <pivotField numFmtId="166" showAll="0"/>
    <pivotField numFmtId="1" showAll="0"/>
    <pivotField numFmtId="14" showAll="0"/>
    <pivotField numFmtId="2" showAll="0"/>
    <pivotField numFmtId="8" showAll="0"/>
    <pivotField dataField="1" showAll="0"/>
    <pivotField showAll="0"/>
    <pivotField showAll="0"/>
    <pivotField numFmtId="8" showAll="0"/>
    <pivotField dataField="1" showAll="0"/>
    <pivotField numFmtId="43" showAll="0"/>
    <pivotField numFmtId="43" showAll="0"/>
    <pivotField showAll="0"/>
    <pivotField showAll="0"/>
    <pivotField numFmtId="8" showAll="0"/>
    <pivotField numFmtId="10" showAll="0"/>
    <pivotField numFmtId="8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0"/>
  </rowFields>
  <rowItems count="1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_Volume" fld="20" baseField="0" baseItem="0"/>
    <dataField name="Sum of Stock_Quantity" fld="16" baseField="0" baseItem="0" numFmtId="43"/>
  </dataFields>
  <formats count="2">
    <format dxfId="6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9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8313C3-666C-4853-8EF3-CAA31E6E512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E127" firstHeaderRow="0" firstDataRow="1" firstDataCol="1"/>
  <pivotFields count="31">
    <pivotField axis="axisRow" showAll="0">
      <items count="122">
        <item x="57"/>
        <item x="65"/>
        <item x="7"/>
        <item x="95"/>
        <item x="42"/>
        <item x="20"/>
        <item x="28"/>
        <item x="68"/>
        <item x="11"/>
        <item x="63"/>
        <item x="92"/>
        <item x="0"/>
        <item x="77"/>
        <item x="53"/>
        <item x="70"/>
        <item x="117"/>
        <item x="29"/>
        <item x="102"/>
        <item x="76"/>
        <item x="115"/>
        <item x="109"/>
        <item x="82"/>
        <item x="56"/>
        <item x="91"/>
        <item x="3"/>
        <item x="14"/>
        <item x="10"/>
        <item x="8"/>
        <item x="107"/>
        <item x="37"/>
        <item x="64"/>
        <item x="81"/>
        <item x="6"/>
        <item x="85"/>
        <item x="103"/>
        <item x="97"/>
        <item x="49"/>
        <item x="30"/>
        <item x="13"/>
        <item x="110"/>
        <item x="45"/>
        <item x="75"/>
        <item x="79"/>
        <item x="16"/>
        <item x="18"/>
        <item x="83"/>
        <item x="41"/>
        <item x="4"/>
        <item x="89"/>
        <item x="59"/>
        <item x="66"/>
        <item x="94"/>
        <item x="26"/>
        <item x="105"/>
        <item x="87"/>
        <item x="100"/>
        <item x="116"/>
        <item x="80"/>
        <item x="24"/>
        <item x="23"/>
        <item x="86"/>
        <item x="5"/>
        <item x="40"/>
        <item x="32"/>
        <item x="73"/>
        <item x="119"/>
        <item x="22"/>
        <item x="31"/>
        <item x="118"/>
        <item x="98"/>
        <item x="69"/>
        <item x="93"/>
        <item x="44"/>
        <item x="48"/>
        <item x="12"/>
        <item x="38"/>
        <item x="114"/>
        <item x="2"/>
        <item x="67"/>
        <item x="43"/>
        <item x="15"/>
        <item x="96"/>
        <item x="46"/>
        <item x="51"/>
        <item x="55"/>
        <item x="99"/>
        <item x="84"/>
        <item x="120"/>
        <item x="33"/>
        <item x="17"/>
        <item x="36"/>
        <item x="74"/>
        <item x="101"/>
        <item x="50"/>
        <item x="39"/>
        <item x="61"/>
        <item x="34"/>
        <item x="25"/>
        <item x="90"/>
        <item x="104"/>
        <item x="60"/>
        <item x="52"/>
        <item x="21"/>
        <item x="106"/>
        <item x="27"/>
        <item x="88"/>
        <item x="47"/>
        <item x="62"/>
        <item x="113"/>
        <item x="1"/>
        <item x="112"/>
        <item x="58"/>
        <item x="111"/>
        <item x="72"/>
        <item x="78"/>
        <item x="71"/>
        <item x="35"/>
        <item x="19"/>
        <item x="54"/>
        <item x="9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numFmtId="166" showAll="0"/>
    <pivotField numFmtId="166" showAll="0">
      <items count="333">
        <item x="41"/>
        <item x="151"/>
        <item x="143"/>
        <item x="235"/>
        <item x="108"/>
        <item x="272"/>
        <item x="15"/>
        <item x="182"/>
        <item x="283"/>
        <item x="202"/>
        <item x="58"/>
        <item x="156"/>
        <item x="282"/>
        <item x="76"/>
        <item x="137"/>
        <item x="226"/>
        <item x="207"/>
        <item x="251"/>
        <item x="258"/>
        <item x="188"/>
        <item x="13"/>
        <item x="147"/>
        <item x="35"/>
        <item x="180"/>
        <item x="40"/>
        <item x="72"/>
        <item x="319"/>
        <item x="322"/>
        <item x="50"/>
        <item x="305"/>
        <item x="81"/>
        <item x="241"/>
        <item x="170"/>
        <item x="287"/>
        <item x="324"/>
        <item x="80"/>
        <item x="42"/>
        <item x="11"/>
        <item x="109"/>
        <item x="315"/>
        <item x="135"/>
        <item x="14"/>
        <item x="145"/>
        <item x="168"/>
        <item x="99"/>
        <item x="268"/>
        <item x="280"/>
        <item x="221"/>
        <item x="190"/>
        <item x="224"/>
        <item x="73"/>
        <item x="118"/>
        <item x="90"/>
        <item x="79"/>
        <item x="325"/>
        <item x="166"/>
        <item x="133"/>
        <item x="228"/>
        <item x="110"/>
        <item x="214"/>
        <item x="112"/>
        <item x="292"/>
        <item x="261"/>
        <item x="178"/>
        <item x="293"/>
        <item x="243"/>
        <item x="204"/>
        <item x="278"/>
        <item x="281"/>
        <item x="212"/>
        <item x="294"/>
        <item x="104"/>
        <item x="288"/>
        <item x="138"/>
        <item x="115"/>
        <item x="1"/>
        <item x="47"/>
        <item x="246"/>
        <item x="142"/>
        <item x="253"/>
        <item x="183"/>
        <item x="240"/>
        <item x="65"/>
        <item x="308"/>
        <item x="75"/>
        <item x="20"/>
        <item x="313"/>
        <item x="134"/>
        <item x="10"/>
        <item x="8"/>
        <item x="276"/>
        <item x="217"/>
        <item x="149"/>
        <item x="223"/>
        <item x="158"/>
        <item x="314"/>
        <item x="25"/>
        <item x="327"/>
        <item x="301"/>
        <item x="46"/>
        <item x="123"/>
        <item x="68"/>
        <item x="74"/>
        <item x="255"/>
        <item x="227"/>
        <item x="236"/>
        <item x="289"/>
        <item x="159"/>
        <item x="125"/>
        <item x="71"/>
        <item x="197"/>
        <item x="126"/>
        <item x="88"/>
        <item x="219"/>
        <item x="177"/>
        <item x="124"/>
        <item x="329"/>
        <item x="103"/>
        <item x="17"/>
        <item x="24"/>
        <item x="12"/>
        <item x="309"/>
        <item x="100"/>
        <item x="22"/>
        <item x="60"/>
        <item x="78"/>
        <item x="55"/>
        <item x="67"/>
        <item x="285"/>
        <item x="23"/>
        <item x="107"/>
        <item x="191"/>
        <item x="48"/>
        <item x="298"/>
        <item x="331"/>
        <item x="303"/>
        <item x="84"/>
        <item x="184"/>
        <item x="200"/>
        <item x="259"/>
        <item x="19"/>
        <item x="174"/>
        <item x="4"/>
        <item x="274"/>
        <item x="179"/>
        <item x="229"/>
        <item x="167"/>
        <item x="139"/>
        <item x="216"/>
        <item x="270"/>
        <item x="323"/>
        <item x="5"/>
        <item x="300"/>
        <item x="173"/>
        <item x="195"/>
        <item x="93"/>
        <item x="254"/>
        <item x="242"/>
        <item x="271"/>
        <item x="59"/>
        <item x="16"/>
        <item x="279"/>
        <item x="69"/>
        <item x="30"/>
        <item x="321"/>
        <item x="163"/>
        <item x="196"/>
        <item x="38"/>
        <item x="297"/>
        <item x="238"/>
        <item x="222"/>
        <item x="39"/>
        <item x="140"/>
        <item x="64"/>
        <item x="213"/>
        <item x="256"/>
        <item x="95"/>
        <item x="317"/>
        <item x="291"/>
        <item x="269"/>
        <item x="230"/>
        <item x="262"/>
        <item x="233"/>
        <item x="89"/>
        <item x="155"/>
        <item x="286"/>
        <item x="295"/>
        <item x="192"/>
        <item x="85"/>
        <item x="326"/>
        <item x="264"/>
        <item x="218"/>
        <item x="205"/>
        <item x="86"/>
        <item x="198"/>
        <item x="273"/>
        <item x="77"/>
        <item x="53"/>
        <item x="94"/>
        <item x="37"/>
        <item x="249"/>
        <item x="199"/>
        <item x="127"/>
        <item x="33"/>
        <item x="51"/>
        <item x="206"/>
        <item x="311"/>
        <item x="129"/>
        <item x="96"/>
        <item x="171"/>
        <item x="57"/>
        <item x="36"/>
        <item x="161"/>
        <item x="43"/>
        <item x="172"/>
        <item x="66"/>
        <item x="307"/>
        <item x="252"/>
        <item x="263"/>
        <item x="304"/>
        <item x="52"/>
        <item x="98"/>
        <item x="63"/>
        <item x="209"/>
        <item x="148"/>
        <item x="92"/>
        <item x="193"/>
        <item x="220"/>
        <item x="210"/>
        <item x="153"/>
        <item x="28"/>
        <item x="119"/>
        <item x="56"/>
        <item x="32"/>
        <item x="316"/>
        <item x="105"/>
        <item x="82"/>
        <item x="9"/>
        <item x="150"/>
        <item x="169"/>
        <item x="181"/>
        <item x="208"/>
        <item x="260"/>
        <item x="245"/>
        <item x="116"/>
        <item x="187"/>
        <item x="44"/>
        <item x="176"/>
        <item x="306"/>
        <item x="136"/>
        <item x="29"/>
        <item x="157"/>
        <item x="113"/>
        <item x="26"/>
        <item x="266"/>
        <item x="234"/>
        <item x="70"/>
        <item x="215"/>
        <item x="18"/>
        <item x="211"/>
        <item x="114"/>
        <item x="203"/>
        <item x="320"/>
        <item x="61"/>
        <item x="132"/>
        <item x="83"/>
        <item x="87"/>
        <item x="62"/>
        <item x="165"/>
        <item x="3"/>
        <item x="152"/>
        <item x="144"/>
        <item x="239"/>
        <item x="244"/>
        <item x="146"/>
        <item x="31"/>
        <item x="121"/>
        <item x="2"/>
        <item x="21"/>
        <item x="130"/>
        <item x="318"/>
        <item x="111"/>
        <item x="162"/>
        <item x="275"/>
        <item x="201"/>
        <item x="117"/>
        <item x="284"/>
        <item x="0"/>
        <item x="27"/>
        <item x="141"/>
        <item x="97"/>
        <item x="154"/>
        <item x="277"/>
        <item x="120"/>
        <item x="330"/>
        <item x="54"/>
        <item x="128"/>
        <item x="189"/>
        <item x="186"/>
        <item x="185"/>
        <item x="328"/>
        <item x="302"/>
        <item x="91"/>
        <item x="49"/>
        <item x="34"/>
        <item x="231"/>
        <item x="296"/>
        <item x="6"/>
        <item x="267"/>
        <item x="45"/>
        <item x="299"/>
        <item x="237"/>
        <item x="247"/>
        <item x="101"/>
        <item x="290"/>
        <item x="232"/>
        <item x="164"/>
        <item x="265"/>
        <item x="257"/>
        <item x="194"/>
        <item x="310"/>
        <item x="102"/>
        <item x="225"/>
        <item x="131"/>
        <item x="160"/>
        <item x="175"/>
        <item x="122"/>
        <item x="248"/>
        <item x="106"/>
        <item x="312"/>
        <item x="7"/>
        <item x="250"/>
        <item t="default"/>
      </items>
    </pivotField>
    <pivotField showAll="0"/>
    <pivotField numFmtId="166" showAll="0"/>
    <pivotField numFmtId="166" showAll="0"/>
    <pivotField numFmtId="1" showAll="0"/>
    <pivotField numFmtId="14" showAll="0"/>
    <pivotField dataField="1" numFmtId="2" showAll="0"/>
    <pivotField dataField="1" numFmtId="8" showAll="0"/>
    <pivotField dataField="1" showAll="0"/>
    <pivotField showAll="0"/>
    <pivotField showAll="0"/>
    <pivotField numFmtId="8" showAll="0"/>
    <pivotField showAll="0"/>
    <pivotField numFmtId="43" showAll="0"/>
    <pivotField numFmtId="43" showAll="0"/>
    <pivotField showAll="0"/>
    <pivotField showAll="0"/>
    <pivotField numFmtId="8" showAll="0"/>
    <pivotField numFmtId="10" showAll="0"/>
    <pivotField dataField="1" numFmtId="8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0"/>
  </rowFields>
  <rowItems count="1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OGS" fld="27" baseField="0" baseItem="0" numFmtId="8"/>
    <dataField name="Average of Stock_Quantity" fld="16" subtotal="average" baseField="0" baseItem="0" numFmtId="43"/>
    <dataField name="Average of Ordering Cost" fld="15" subtotal="average" baseField="0" baseItem="0" numFmtId="8"/>
    <dataField name="Average of Shelf Life" fld="14" subtotal="average" baseField="0" baseItem="0" numFmtId="2"/>
  </dataFields>
  <formats count="1">
    <format dxfId="5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DFF92-D0EB-4667-A0F6-594206F66B0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8:B29" firstHeaderRow="1" firstDataRow="1" firstDataCol="1" rowPageCount="1" colPageCount="1"/>
  <pivotFields count="31">
    <pivotField showAll="0"/>
    <pivotField showAll="0"/>
    <pivotField axis="axisRow" showAll="0" measureFilter="1" sortType="ascending">
      <items count="351">
        <item x="262"/>
        <item x="159"/>
        <item x="261"/>
        <item x="66"/>
        <item x="335"/>
        <item x="295"/>
        <item x="249"/>
        <item x="53"/>
        <item x="125"/>
        <item x="282"/>
        <item x="3"/>
        <item x="307"/>
        <item x="156"/>
        <item x="175"/>
        <item x="177"/>
        <item x="171"/>
        <item x="18"/>
        <item x="258"/>
        <item x="49"/>
        <item x="106"/>
        <item x="2"/>
        <item x="120"/>
        <item x="16"/>
        <item x="345"/>
        <item x="98"/>
        <item x="275"/>
        <item x="47"/>
        <item x="92"/>
        <item x="180"/>
        <item x="93"/>
        <item x="280"/>
        <item x="243"/>
        <item x="340"/>
        <item x="101"/>
        <item x="198"/>
        <item x="88"/>
        <item x="140"/>
        <item x="233"/>
        <item x="290"/>
        <item x="246"/>
        <item x="315"/>
        <item x="40"/>
        <item x="272"/>
        <item x="218"/>
        <item x="31"/>
        <item x="230"/>
        <item x="84"/>
        <item x="149"/>
        <item x="167"/>
        <item x="287"/>
        <item x="14"/>
        <item x="242"/>
        <item x="19"/>
        <item x="136"/>
        <item x="11"/>
        <item x="329"/>
        <item x="227"/>
        <item x="29"/>
        <item x="121"/>
        <item x="109"/>
        <item x="292"/>
        <item x="111"/>
        <item x="96"/>
        <item x="199"/>
        <item x="37"/>
        <item x="13"/>
        <item x="1"/>
        <item x="330"/>
        <item x="278"/>
        <item x="74"/>
        <item x="342"/>
        <item x="328"/>
        <item x="174"/>
        <item x="317"/>
        <item x="184"/>
        <item x="314"/>
        <item x="52"/>
        <item x="320"/>
        <item x="347"/>
        <item x="72"/>
        <item x="276"/>
        <item x="308"/>
        <item x="289"/>
        <item x="161"/>
        <item x="0"/>
        <item x="179"/>
        <item x="208"/>
        <item x="41"/>
        <item x="346"/>
        <item x="331"/>
        <item x="148"/>
        <item x="119"/>
        <item x="232"/>
        <item x="20"/>
        <item x="268"/>
        <item x="202"/>
        <item x="102"/>
        <item x="241"/>
        <item x="337"/>
        <item x="12"/>
        <item x="255"/>
        <item x="95"/>
        <item x="211"/>
        <item x="151"/>
        <item x="250"/>
        <item x="10"/>
        <item x="203"/>
        <item x="99"/>
        <item x="28"/>
        <item x="64"/>
        <item x="234"/>
        <item x="46"/>
        <item x="114"/>
        <item x="323"/>
        <item x="237"/>
        <item x="300"/>
        <item x="142"/>
        <item x="196"/>
        <item x="338"/>
        <item x="138"/>
        <item x="260"/>
        <item x="293"/>
        <item x="195"/>
        <item x="324"/>
        <item x="224"/>
        <item x="89"/>
        <item x="327"/>
        <item x="9"/>
        <item x="170"/>
        <item x="147"/>
        <item x="162"/>
        <item x="305"/>
        <item x="251"/>
        <item x="110"/>
        <item x="82"/>
        <item x="122"/>
        <item x="30"/>
        <item x="90"/>
        <item x="4"/>
        <item x="309"/>
        <item x="58"/>
        <item x="259"/>
        <item x="164"/>
        <item x="160"/>
        <item x="279"/>
        <item x="248"/>
        <item x="112"/>
        <item x="193"/>
        <item x="62"/>
        <item x="190"/>
        <item x="173"/>
        <item x="6"/>
        <item x="322"/>
        <item x="298"/>
        <item x="185"/>
        <item x="168"/>
        <item x="32"/>
        <item x="97"/>
        <item x="215"/>
        <item x="223"/>
        <item x="265"/>
        <item x="129"/>
        <item x="209"/>
        <item x="73"/>
        <item x="172"/>
        <item x="22"/>
        <item x="59"/>
        <item x="297"/>
        <item x="144"/>
        <item x="91"/>
        <item x="284"/>
        <item x="210"/>
        <item x="54"/>
        <item x="206"/>
        <item x="145"/>
        <item x="71"/>
        <item x="296"/>
        <item x="267"/>
        <item x="312"/>
        <item x="60"/>
        <item x="225"/>
        <item x="212"/>
        <item x="50"/>
        <item x="77"/>
        <item x="130"/>
        <item x="220"/>
        <item x="8"/>
        <item x="244"/>
        <item x="182"/>
        <item x="236"/>
        <item x="51"/>
        <item x="321"/>
        <item x="124"/>
        <item x="103"/>
        <item x="135"/>
        <item x="70"/>
        <item x="343"/>
        <item x="319"/>
        <item x="326"/>
        <item x="341"/>
        <item x="105"/>
        <item x="192"/>
        <item x="24"/>
        <item x="115"/>
        <item x="229"/>
        <item x="33"/>
        <item x="165"/>
        <item x="176"/>
        <item x="68"/>
        <item x="123"/>
        <item x="222"/>
        <item x="189"/>
        <item x="205"/>
        <item x="285"/>
        <item x="141"/>
        <item x="45"/>
        <item x="104"/>
        <item x="247"/>
        <item x="283"/>
        <item x="34"/>
        <item x="291"/>
        <item x="42"/>
        <item x="238"/>
        <item x="61"/>
        <item x="132"/>
        <item x="15"/>
        <item x="194"/>
        <item x="126"/>
        <item x="281"/>
        <item x="245"/>
        <item x="35"/>
        <item x="201"/>
        <item x="310"/>
        <item x="301"/>
        <item x="303"/>
        <item x="108"/>
        <item x="269"/>
        <item x="150"/>
        <item x="152"/>
        <item x="188"/>
        <item x="17"/>
        <item x="43"/>
        <item x="85"/>
        <item x="216"/>
        <item x="137"/>
        <item x="39"/>
        <item x="299"/>
        <item x="318"/>
        <item x="48"/>
        <item x="181"/>
        <item x="25"/>
        <item x="263"/>
        <item x="36"/>
        <item x="240"/>
        <item x="94"/>
        <item x="257"/>
        <item x="186"/>
        <item x="44"/>
        <item x="235"/>
        <item x="166"/>
        <item x="134"/>
        <item x="311"/>
        <item x="252"/>
        <item x="274"/>
        <item x="231"/>
        <item x="143"/>
        <item x="336"/>
        <item x="154"/>
        <item x="217"/>
        <item x="155"/>
        <item x="69"/>
        <item x="333"/>
        <item x="81"/>
        <item x="344"/>
        <item x="79"/>
        <item x="158"/>
        <item x="221"/>
        <item x="226"/>
        <item x="56"/>
        <item x="23"/>
        <item x="306"/>
        <item x="197"/>
        <item x="348"/>
        <item x="183"/>
        <item x="78"/>
        <item x="80"/>
        <item x="21"/>
        <item x="288"/>
        <item x="294"/>
        <item x="191"/>
        <item x="256"/>
        <item x="264"/>
        <item x="313"/>
        <item x="55"/>
        <item x="325"/>
        <item x="332"/>
        <item x="157"/>
        <item x="118"/>
        <item x="27"/>
        <item x="63"/>
        <item x="304"/>
        <item x="228"/>
        <item x="100"/>
        <item x="213"/>
        <item x="169"/>
        <item x="83"/>
        <item x="200"/>
        <item x="178"/>
        <item x="334"/>
        <item x="113"/>
        <item x="128"/>
        <item x="127"/>
        <item x="302"/>
        <item x="75"/>
        <item x="65"/>
        <item x="57"/>
        <item x="131"/>
        <item x="116"/>
        <item x="86"/>
        <item x="204"/>
        <item x="349"/>
        <item x="87"/>
        <item x="67"/>
        <item x="286"/>
        <item x="187"/>
        <item x="5"/>
        <item x="207"/>
        <item x="38"/>
        <item x="133"/>
        <item x="277"/>
        <item x="26"/>
        <item x="139"/>
        <item x="76"/>
        <item x="153"/>
        <item x="214"/>
        <item x="163"/>
        <item x="271"/>
        <item x="339"/>
        <item x="239"/>
        <item x="254"/>
        <item x="219"/>
        <item x="107"/>
        <item x="273"/>
        <item x="146"/>
        <item x="7"/>
        <item x="316"/>
        <item x="117"/>
        <item x="270"/>
        <item x="253"/>
        <item x="2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4">
        <item x="2"/>
        <item x="1"/>
        <item h="1" x="0"/>
        <item t="default"/>
      </items>
    </pivotField>
    <pivotField showAll="0"/>
    <pivotField showAll="0"/>
    <pivotField numFmtId="166" showAll="0"/>
    <pivotField numFmtId="166" showAll="0">
      <items count="333">
        <item x="41"/>
        <item x="151"/>
        <item x="143"/>
        <item x="235"/>
        <item x="108"/>
        <item x="272"/>
        <item x="15"/>
        <item x="182"/>
        <item x="283"/>
        <item x="202"/>
        <item x="58"/>
        <item x="156"/>
        <item x="282"/>
        <item x="76"/>
        <item x="137"/>
        <item x="226"/>
        <item x="207"/>
        <item x="251"/>
        <item x="258"/>
        <item x="188"/>
        <item x="13"/>
        <item x="147"/>
        <item x="35"/>
        <item x="180"/>
        <item x="40"/>
        <item x="72"/>
        <item x="319"/>
        <item x="322"/>
        <item x="50"/>
        <item x="305"/>
        <item x="81"/>
        <item x="241"/>
        <item x="170"/>
        <item x="287"/>
        <item x="324"/>
        <item x="80"/>
        <item x="42"/>
        <item x="11"/>
        <item x="109"/>
        <item x="315"/>
        <item x="135"/>
        <item x="14"/>
        <item x="145"/>
        <item x="168"/>
        <item x="99"/>
        <item x="268"/>
        <item x="280"/>
        <item x="221"/>
        <item x="190"/>
        <item x="224"/>
        <item x="73"/>
        <item x="118"/>
        <item x="90"/>
        <item x="79"/>
        <item x="325"/>
        <item x="166"/>
        <item x="133"/>
        <item x="228"/>
        <item x="110"/>
        <item x="214"/>
        <item x="112"/>
        <item x="292"/>
        <item x="261"/>
        <item x="178"/>
        <item x="293"/>
        <item x="243"/>
        <item x="204"/>
        <item x="278"/>
        <item x="281"/>
        <item x="212"/>
        <item x="294"/>
        <item x="104"/>
        <item x="288"/>
        <item x="138"/>
        <item x="115"/>
        <item x="1"/>
        <item x="47"/>
        <item x="246"/>
        <item x="142"/>
        <item x="253"/>
        <item x="183"/>
        <item x="240"/>
        <item x="65"/>
        <item x="308"/>
        <item x="75"/>
        <item x="20"/>
        <item x="313"/>
        <item x="134"/>
        <item x="10"/>
        <item x="8"/>
        <item x="276"/>
        <item x="217"/>
        <item x="149"/>
        <item x="223"/>
        <item x="158"/>
        <item x="314"/>
        <item x="25"/>
        <item x="327"/>
        <item x="301"/>
        <item x="46"/>
        <item x="123"/>
        <item x="68"/>
        <item x="74"/>
        <item x="255"/>
        <item x="227"/>
        <item x="236"/>
        <item x="289"/>
        <item x="159"/>
        <item x="125"/>
        <item x="71"/>
        <item x="197"/>
        <item x="126"/>
        <item x="88"/>
        <item x="219"/>
        <item x="177"/>
        <item x="124"/>
        <item x="329"/>
        <item x="103"/>
        <item x="17"/>
        <item x="24"/>
        <item x="12"/>
        <item x="309"/>
        <item x="100"/>
        <item x="22"/>
        <item x="60"/>
        <item x="78"/>
        <item x="55"/>
        <item x="67"/>
        <item x="285"/>
        <item x="23"/>
        <item x="107"/>
        <item x="191"/>
        <item x="48"/>
        <item x="298"/>
        <item x="331"/>
        <item x="303"/>
        <item x="84"/>
        <item x="184"/>
        <item x="200"/>
        <item x="259"/>
        <item x="19"/>
        <item x="174"/>
        <item x="4"/>
        <item x="274"/>
        <item x="179"/>
        <item x="229"/>
        <item x="167"/>
        <item x="139"/>
        <item x="216"/>
        <item x="270"/>
        <item x="323"/>
        <item x="5"/>
        <item x="300"/>
        <item x="173"/>
        <item x="195"/>
        <item x="93"/>
        <item x="254"/>
        <item x="242"/>
        <item x="271"/>
        <item x="59"/>
        <item x="16"/>
        <item x="279"/>
        <item x="69"/>
        <item x="30"/>
        <item x="321"/>
        <item x="163"/>
        <item x="196"/>
        <item x="38"/>
        <item x="297"/>
        <item x="238"/>
        <item x="222"/>
        <item x="39"/>
        <item x="140"/>
        <item x="64"/>
        <item x="213"/>
        <item x="256"/>
        <item x="95"/>
        <item x="317"/>
        <item x="291"/>
        <item x="269"/>
        <item x="230"/>
        <item x="262"/>
        <item x="233"/>
        <item x="89"/>
        <item x="155"/>
        <item x="286"/>
        <item x="295"/>
        <item x="192"/>
        <item x="85"/>
        <item x="326"/>
        <item x="264"/>
        <item x="218"/>
        <item x="205"/>
        <item x="86"/>
        <item x="198"/>
        <item x="273"/>
        <item x="77"/>
        <item x="53"/>
        <item x="94"/>
        <item x="37"/>
        <item x="249"/>
        <item x="199"/>
        <item x="127"/>
        <item x="33"/>
        <item x="51"/>
        <item x="206"/>
        <item x="311"/>
        <item x="129"/>
        <item x="96"/>
        <item x="171"/>
        <item x="57"/>
        <item x="36"/>
        <item x="161"/>
        <item x="43"/>
        <item x="172"/>
        <item x="66"/>
        <item x="307"/>
        <item x="252"/>
        <item x="263"/>
        <item x="304"/>
        <item x="52"/>
        <item x="98"/>
        <item x="63"/>
        <item x="209"/>
        <item x="148"/>
        <item x="92"/>
        <item x="193"/>
        <item x="220"/>
        <item x="210"/>
        <item x="153"/>
        <item x="28"/>
        <item x="119"/>
        <item x="56"/>
        <item x="32"/>
        <item x="316"/>
        <item x="105"/>
        <item x="82"/>
        <item x="9"/>
        <item x="150"/>
        <item x="169"/>
        <item x="181"/>
        <item x="208"/>
        <item x="260"/>
        <item x="245"/>
        <item x="116"/>
        <item x="187"/>
        <item x="44"/>
        <item x="176"/>
        <item x="306"/>
        <item x="136"/>
        <item x="29"/>
        <item x="157"/>
        <item x="113"/>
        <item x="26"/>
        <item x="266"/>
        <item x="234"/>
        <item x="70"/>
        <item x="215"/>
        <item x="18"/>
        <item x="211"/>
        <item x="114"/>
        <item x="203"/>
        <item x="320"/>
        <item x="61"/>
        <item x="132"/>
        <item x="83"/>
        <item x="87"/>
        <item x="62"/>
        <item x="165"/>
        <item x="3"/>
        <item x="152"/>
        <item x="144"/>
        <item x="239"/>
        <item x="244"/>
        <item x="146"/>
        <item x="31"/>
        <item x="121"/>
        <item x="2"/>
        <item x="21"/>
        <item x="130"/>
        <item x="318"/>
        <item x="111"/>
        <item x="162"/>
        <item x="275"/>
        <item x="201"/>
        <item x="117"/>
        <item x="284"/>
        <item x="0"/>
        <item x="27"/>
        <item x="141"/>
        <item x="97"/>
        <item x="154"/>
        <item x="277"/>
        <item x="120"/>
        <item x="330"/>
        <item x="54"/>
        <item x="128"/>
        <item x="189"/>
        <item x="186"/>
        <item x="185"/>
        <item x="328"/>
        <item x="302"/>
        <item x="91"/>
        <item x="49"/>
        <item x="34"/>
        <item x="231"/>
        <item x="296"/>
        <item x="6"/>
        <item x="267"/>
        <item x="45"/>
        <item x="299"/>
        <item x="237"/>
        <item x="247"/>
        <item x="101"/>
        <item x="290"/>
        <item x="232"/>
        <item x="164"/>
        <item x="265"/>
        <item x="257"/>
        <item x="194"/>
        <item x="310"/>
        <item x="102"/>
        <item x="225"/>
        <item x="131"/>
        <item x="160"/>
        <item x="175"/>
        <item x="122"/>
        <item x="248"/>
        <item x="106"/>
        <item x="312"/>
        <item x="7"/>
        <item x="250"/>
        <item t="default"/>
      </items>
    </pivotField>
    <pivotField showAll="0"/>
    <pivotField numFmtId="166" showAll="0"/>
    <pivotField numFmtId="166" showAll="0"/>
    <pivotField dataField="1" numFmtId="1" showAll="0"/>
    <pivotField numFmtId="14" showAll="0"/>
    <pivotField numFmtId="2" showAll="0"/>
    <pivotField numFmtId="8" showAll="0"/>
    <pivotField showAll="0"/>
    <pivotField showAll="0"/>
    <pivotField showAll="0"/>
    <pivotField numFmtId="8" showAll="0"/>
    <pivotField showAll="0"/>
    <pivotField numFmtId="43" showAll="0"/>
    <pivotField numFmtId="43" showAll="0"/>
    <pivotField showAll="0"/>
    <pivotField showAll="0"/>
    <pivotField numFmtId="8" showAll="0"/>
    <pivotField numFmtId="10" showAll="0"/>
    <pivotField numFmtId="8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1">
    <i>
      <x v="105"/>
    </i>
    <i>
      <x v="213"/>
    </i>
    <i>
      <x v="320"/>
    </i>
    <i>
      <x v="23"/>
    </i>
    <i>
      <x v="77"/>
    </i>
    <i>
      <x v="87"/>
    </i>
    <i>
      <x v="79"/>
    </i>
    <i>
      <x v="42"/>
    </i>
    <i>
      <x v="72"/>
    </i>
    <i>
      <x v="68"/>
    </i>
    <i t="grand">
      <x/>
    </i>
  </rowItems>
  <colItems count="1">
    <i/>
  </colItems>
  <pageFields count="1">
    <pageField fld="4" hier="-1"/>
  </pageFields>
  <dataFields count="1">
    <dataField name="Average of LeadTime" fld="12" subtotal="average" baseField="2" baseItem="0" numFmtId="1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966416-0155-4713-9C31-6416007BC69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4" firstHeaderRow="1" firstDataRow="1" firstDataCol="1" rowPageCount="1" colPageCount="1"/>
  <pivotFields count="31">
    <pivotField showAll="0"/>
    <pivotField showAll="0"/>
    <pivotField axis="axisRow" showAll="0" measureFilter="1" sortType="ascending">
      <items count="351">
        <item x="262"/>
        <item x="159"/>
        <item x="261"/>
        <item x="66"/>
        <item x="335"/>
        <item x="295"/>
        <item x="249"/>
        <item x="53"/>
        <item x="125"/>
        <item x="282"/>
        <item x="3"/>
        <item x="307"/>
        <item x="156"/>
        <item x="175"/>
        <item x="177"/>
        <item x="171"/>
        <item x="18"/>
        <item x="258"/>
        <item x="49"/>
        <item x="106"/>
        <item x="2"/>
        <item x="120"/>
        <item x="16"/>
        <item x="345"/>
        <item x="98"/>
        <item x="275"/>
        <item x="47"/>
        <item x="92"/>
        <item x="180"/>
        <item x="93"/>
        <item x="280"/>
        <item x="243"/>
        <item x="340"/>
        <item x="101"/>
        <item x="198"/>
        <item x="88"/>
        <item x="140"/>
        <item x="233"/>
        <item x="290"/>
        <item x="246"/>
        <item x="315"/>
        <item x="40"/>
        <item x="272"/>
        <item x="218"/>
        <item x="31"/>
        <item x="230"/>
        <item x="84"/>
        <item x="149"/>
        <item x="167"/>
        <item x="287"/>
        <item x="14"/>
        <item x="242"/>
        <item x="19"/>
        <item x="136"/>
        <item x="11"/>
        <item x="329"/>
        <item x="227"/>
        <item x="29"/>
        <item x="121"/>
        <item x="109"/>
        <item x="292"/>
        <item x="111"/>
        <item x="96"/>
        <item x="199"/>
        <item x="37"/>
        <item x="13"/>
        <item x="1"/>
        <item x="330"/>
        <item x="278"/>
        <item x="74"/>
        <item x="342"/>
        <item x="328"/>
        <item x="174"/>
        <item x="317"/>
        <item x="184"/>
        <item x="314"/>
        <item x="52"/>
        <item x="320"/>
        <item x="347"/>
        <item x="72"/>
        <item x="276"/>
        <item x="308"/>
        <item x="289"/>
        <item x="161"/>
        <item x="0"/>
        <item x="179"/>
        <item x="208"/>
        <item x="41"/>
        <item x="346"/>
        <item x="331"/>
        <item x="148"/>
        <item x="119"/>
        <item x="232"/>
        <item x="20"/>
        <item x="268"/>
        <item x="202"/>
        <item x="102"/>
        <item x="241"/>
        <item x="337"/>
        <item x="12"/>
        <item x="255"/>
        <item x="95"/>
        <item x="211"/>
        <item x="151"/>
        <item x="250"/>
        <item x="10"/>
        <item x="203"/>
        <item x="99"/>
        <item x="28"/>
        <item x="64"/>
        <item x="234"/>
        <item x="46"/>
        <item x="114"/>
        <item x="323"/>
        <item x="237"/>
        <item x="300"/>
        <item x="142"/>
        <item x="196"/>
        <item x="338"/>
        <item x="138"/>
        <item x="260"/>
        <item x="293"/>
        <item x="195"/>
        <item x="324"/>
        <item x="224"/>
        <item x="89"/>
        <item x="327"/>
        <item x="9"/>
        <item x="170"/>
        <item x="147"/>
        <item x="162"/>
        <item x="305"/>
        <item x="251"/>
        <item x="110"/>
        <item x="82"/>
        <item x="122"/>
        <item x="30"/>
        <item x="90"/>
        <item x="4"/>
        <item x="309"/>
        <item x="58"/>
        <item x="259"/>
        <item x="164"/>
        <item x="160"/>
        <item x="279"/>
        <item x="248"/>
        <item x="112"/>
        <item x="193"/>
        <item x="62"/>
        <item x="190"/>
        <item x="173"/>
        <item x="6"/>
        <item x="322"/>
        <item x="298"/>
        <item x="185"/>
        <item x="168"/>
        <item x="32"/>
        <item x="97"/>
        <item x="215"/>
        <item x="223"/>
        <item x="265"/>
        <item x="129"/>
        <item x="209"/>
        <item x="73"/>
        <item x="172"/>
        <item x="22"/>
        <item x="59"/>
        <item x="297"/>
        <item x="144"/>
        <item x="91"/>
        <item x="284"/>
        <item x="210"/>
        <item x="54"/>
        <item x="206"/>
        <item x="145"/>
        <item x="71"/>
        <item x="296"/>
        <item x="267"/>
        <item x="312"/>
        <item x="60"/>
        <item x="225"/>
        <item x="212"/>
        <item x="50"/>
        <item x="77"/>
        <item x="130"/>
        <item x="220"/>
        <item x="8"/>
        <item x="244"/>
        <item x="182"/>
        <item x="236"/>
        <item x="51"/>
        <item x="321"/>
        <item x="124"/>
        <item x="103"/>
        <item x="135"/>
        <item x="70"/>
        <item x="343"/>
        <item x="319"/>
        <item x="326"/>
        <item x="341"/>
        <item x="105"/>
        <item x="192"/>
        <item x="24"/>
        <item x="115"/>
        <item x="229"/>
        <item x="33"/>
        <item x="165"/>
        <item x="176"/>
        <item x="68"/>
        <item x="123"/>
        <item x="222"/>
        <item x="189"/>
        <item x="205"/>
        <item x="285"/>
        <item x="141"/>
        <item x="45"/>
        <item x="104"/>
        <item x="247"/>
        <item x="283"/>
        <item x="34"/>
        <item x="291"/>
        <item x="42"/>
        <item x="238"/>
        <item x="61"/>
        <item x="132"/>
        <item x="15"/>
        <item x="194"/>
        <item x="126"/>
        <item x="281"/>
        <item x="245"/>
        <item x="35"/>
        <item x="201"/>
        <item x="310"/>
        <item x="301"/>
        <item x="303"/>
        <item x="108"/>
        <item x="269"/>
        <item x="150"/>
        <item x="152"/>
        <item x="188"/>
        <item x="17"/>
        <item x="43"/>
        <item x="85"/>
        <item x="216"/>
        <item x="137"/>
        <item x="39"/>
        <item x="299"/>
        <item x="318"/>
        <item x="48"/>
        <item x="181"/>
        <item x="25"/>
        <item x="263"/>
        <item x="36"/>
        <item x="240"/>
        <item x="94"/>
        <item x="257"/>
        <item x="186"/>
        <item x="44"/>
        <item x="235"/>
        <item x="166"/>
        <item x="134"/>
        <item x="311"/>
        <item x="252"/>
        <item x="274"/>
        <item x="231"/>
        <item x="143"/>
        <item x="336"/>
        <item x="154"/>
        <item x="217"/>
        <item x="155"/>
        <item x="69"/>
        <item x="333"/>
        <item x="81"/>
        <item x="344"/>
        <item x="79"/>
        <item x="158"/>
        <item x="221"/>
        <item x="226"/>
        <item x="56"/>
        <item x="23"/>
        <item x="306"/>
        <item x="197"/>
        <item x="348"/>
        <item x="183"/>
        <item x="78"/>
        <item x="80"/>
        <item x="21"/>
        <item x="288"/>
        <item x="294"/>
        <item x="191"/>
        <item x="256"/>
        <item x="264"/>
        <item x="313"/>
        <item x="55"/>
        <item x="325"/>
        <item x="332"/>
        <item x="157"/>
        <item x="118"/>
        <item x="27"/>
        <item x="63"/>
        <item x="304"/>
        <item x="228"/>
        <item x="100"/>
        <item x="213"/>
        <item x="169"/>
        <item x="83"/>
        <item x="200"/>
        <item x="178"/>
        <item x="334"/>
        <item x="113"/>
        <item x="128"/>
        <item x="127"/>
        <item x="302"/>
        <item x="75"/>
        <item x="65"/>
        <item x="57"/>
        <item x="131"/>
        <item x="116"/>
        <item x="86"/>
        <item x="204"/>
        <item x="349"/>
        <item x="87"/>
        <item x="67"/>
        <item x="286"/>
        <item x="187"/>
        <item x="5"/>
        <item x="207"/>
        <item x="38"/>
        <item x="133"/>
        <item x="277"/>
        <item x="26"/>
        <item x="139"/>
        <item x="76"/>
        <item x="153"/>
        <item x="214"/>
        <item x="163"/>
        <item x="271"/>
        <item x="339"/>
        <item x="239"/>
        <item x="254"/>
        <item x="219"/>
        <item x="107"/>
        <item x="273"/>
        <item x="146"/>
        <item x="7"/>
        <item x="316"/>
        <item x="117"/>
        <item x="270"/>
        <item x="253"/>
        <item x="2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4">
        <item x="2"/>
        <item x="1"/>
        <item h="1" x="0"/>
        <item t="default"/>
      </items>
    </pivotField>
    <pivotField showAll="0"/>
    <pivotField showAll="0"/>
    <pivotField numFmtId="166" showAll="0"/>
    <pivotField numFmtId="166" showAll="0">
      <items count="333">
        <item x="41"/>
        <item x="151"/>
        <item x="143"/>
        <item x="235"/>
        <item x="108"/>
        <item x="272"/>
        <item x="15"/>
        <item x="182"/>
        <item x="283"/>
        <item x="202"/>
        <item x="58"/>
        <item x="156"/>
        <item x="282"/>
        <item x="76"/>
        <item x="137"/>
        <item x="226"/>
        <item x="207"/>
        <item x="251"/>
        <item x="258"/>
        <item x="188"/>
        <item x="13"/>
        <item x="147"/>
        <item x="35"/>
        <item x="180"/>
        <item x="40"/>
        <item x="72"/>
        <item x="319"/>
        <item x="322"/>
        <item x="50"/>
        <item x="305"/>
        <item x="81"/>
        <item x="241"/>
        <item x="170"/>
        <item x="287"/>
        <item x="324"/>
        <item x="80"/>
        <item x="42"/>
        <item x="11"/>
        <item x="109"/>
        <item x="315"/>
        <item x="135"/>
        <item x="14"/>
        <item x="145"/>
        <item x="168"/>
        <item x="99"/>
        <item x="268"/>
        <item x="280"/>
        <item x="221"/>
        <item x="190"/>
        <item x="224"/>
        <item x="73"/>
        <item x="118"/>
        <item x="90"/>
        <item x="79"/>
        <item x="325"/>
        <item x="166"/>
        <item x="133"/>
        <item x="228"/>
        <item x="110"/>
        <item x="214"/>
        <item x="112"/>
        <item x="292"/>
        <item x="261"/>
        <item x="178"/>
        <item x="293"/>
        <item x="243"/>
        <item x="204"/>
        <item x="278"/>
        <item x="281"/>
        <item x="212"/>
        <item x="294"/>
        <item x="104"/>
        <item x="288"/>
        <item x="138"/>
        <item x="115"/>
        <item x="1"/>
        <item x="47"/>
        <item x="246"/>
        <item x="142"/>
        <item x="253"/>
        <item x="183"/>
        <item x="240"/>
        <item x="65"/>
        <item x="308"/>
        <item x="75"/>
        <item x="20"/>
        <item x="313"/>
        <item x="134"/>
        <item x="10"/>
        <item x="8"/>
        <item x="276"/>
        <item x="217"/>
        <item x="149"/>
        <item x="223"/>
        <item x="158"/>
        <item x="314"/>
        <item x="25"/>
        <item x="327"/>
        <item x="301"/>
        <item x="46"/>
        <item x="123"/>
        <item x="68"/>
        <item x="74"/>
        <item x="255"/>
        <item x="227"/>
        <item x="236"/>
        <item x="289"/>
        <item x="159"/>
        <item x="125"/>
        <item x="71"/>
        <item x="197"/>
        <item x="126"/>
        <item x="88"/>
        <item x="219"/>
        <item x="177"/>
        <item x="124"/>
        <item x="329"/>
        <item x="103"/>
        <item x="17"/>
        <item x="24"/>
        <item x="12"/>
        <item x="309"/>
        <item x="100"/>
        <item x="22"/>
        <item x="60"/>
        <item x="78"/>
        <item x="55"/>
        <item x="67"/>
        <item x="285"/>
        <item x="23"/>
        <item x="107"/>
        <item x="191"/>
        <item x="48"/>
        <item x="298"/>
        <item x="331"/>
        <item x="303"/>
        <item x="84"/>
        <item x="184"/>
        <item x="200"/>
        <item x="259"/>
        <item x="19"/>
        <item x="174"/>
        <item x="4"/>
        <item x="274"/>
        <item x="179"/>
        <item x="229"/>
        <item x="167"/>
        <item x="139"/>
        <item x="216"/>
        <item x="270"/>
        <item x="323"/>
        <item x="5"/>
        <item x="300"/>
        <item x="173"/>
        <item x="195"/>
        <item x="93"/>
        <item x="254"/>
        <item x="242"/>
        <item x="271"/>
        <item x="59"/>
        <item x="16"/>
        <item x="279"/>
        <item x="69"/>
        <item x="30"/>
        <item x="321"/>
        <item x="163"/>
        <item x="196"/>
        <item x="38"/>
        <item x="297"/>
        <item x="238"/>
        <item x="222"/>
        <item x="39"/>
        <item x="140"/>
        <item x="64"/>
        <item x="213"/>
        <item x="256"/>
        <item x="95"/>
        <item x="317"/>
        <item x="291"/>
        <item x="269"/>
        <item x="230"/>
        <item x="262"/>
        <item x="233"/>
        <item x="89"/>
        <item x="155"/>
        <item x="286"/>
        <item x="295"/>
        <item x="192"/>
        <item x="85"/>
        <item x="326"/>
        <item x="264"/>
        <item x="218"/>
        <item x="205"/>
        <item x="86"/>
        <item x="198"/>
        <item x="273"/>
        <item x="77"/>
        <item x="53"/>
        <item x="94"/>
        <item x="37"/>
        <item x="249"/>
        <item x="199"/>
        <item x="127"/>
        <item x="33"/>
        <item x="51"/>
        <item x="206"/>
        <item x="311"/>
        <item x="129"/>
        <item x="96"/>
        <item x="171"/>
        <item x="57"/>
        <item x="36"/>
        <item x="161"/>
        <item x="43"/>
        <item x="172"/>
        <item x="66"/>
        <item x="307"/>
        <item x="252"/>
        <item x="263"/>
        <item x="304"/>
        <item x="52"/>
        <item x="98"/>
        <item x="63"/>
        <item x="209"/>
        <item x="148"/>
        <item x="92"/>
        <item x="193"/>
        <item x="220"/>
        <item x="210"/>
        <item x="153"/>
        <item x="28"/>
        <item x="119"/>
        <item x="56"/>
        <item x="32"/>
        <item x="316"/>
        <item x="105"/>
        <item x="82"/>
        <item x="9"/>
        <item x="150"/>
        <item x="169"/>
        <item x="181"/>
        <item x="208"/>
        <item x="260"/>
        <item x="245"/>
        <item x="116"/>
        <item x="187"/>
        <item x="44"/>
        <item x="176"/>
        <item x="306"/>
        <item x="136"/>
        <item x="29"/>
        <item x="157"/>
        <item x="113"/>
        <item x="26"/>
        <item x="266"/>
        <item x="234"/>
        <item x="70"/>
        <item x="215"/>
        <item x="18"/>
        <item x="211"/>
        <item x="114"/>
        <item x="203"/>
        <item x="320"/>
        <item x="61"/>
        <item x="132"/>
        <item x="83"/>
        <item x="87"/>
        <item x="62"/>
        <item x="165"/>
        <item x="3"/>
        <item x="152"/>
        <item x="144"/>
        <item x="239"/>
        <item x="244"/>
        <item x="146"/>
        <item x="31"/>
        <item x="121"/>
        <item x="2"/>
        <item x="21"/>
        <item x="130"/>
        <item x="318"/>
        <item x="111"/>
        <item x="162"/>
        <item x="275"/>
        <item x="201"/>
        <item x="117"/>
        <item x="284"/>
        <item x="0"/>
        <item x="27"/>
        <item x="141"/>
        <item x="97"/>
        <item x="154"/>
        <item x="277"/>
        <item x="120"/>
        <item x="330"/>
        <item x="54"/>
        <item x="128"/>
        <item x="189"/>
        <item x="186"/>
        <item x="185"/>
        <item x="328"/>
        <item x="302"/>
        <item x="91"/>
        <item x="49"/>
        <item x="34"/>
        <item x="231"/>
        <item x="296"/>
        <item x="6"/>
        <item x="267"/>
        <item x="45"/>
        <item x="299"/>
        <item x="237"/>
        <item x="247"/>
        <item x="101"/>
        <item x="290"/>
        <item x="232"/>
        <item x="164"/>
        <item x="265"/>
        <item x="257"/>
        <item x="194"/>
        <item x="310"/>
        <item x="102"/>
        <item x="225"/>
        <item x="131"/>
        <item x="160"/>
        <item x="175"/>
        <item x="122"/>
        <item x="248"/>
        <item x="106"/>
        <item x="312"/>
        <item x="7"/>
        <item x="250"/>
        <item t="default"/>
      </items>
    </pivotField>
    <pivotField showAll="0"/>
    <pivotField numFmtId="166" showAll="0"/>
    <pivotField numFmtId="166" showAll="0"/>
    <pivotField dataField="1" numFmtId="1" showAll="0"/>
    <pivotField numFmtId="14" showAll="0"/>
    <pivotField numFmtId="2" showAll="0"/>
    <pivotField numFmtId="8" showAll="0"/>
    <pivotField showAll="0"/>
    <pivotField showAll="0"/>
    <pivotField showAll="0"/>
    <pivotField numFmtId="8" showAll="0"/>
    <pivotField showAll="0"/>
    <pivotField numFmtId="43" showAll="0"/>
    <pivotField numFmtId="43" showAll="0"/>
    <pivotField showAll="0"/>
    <pivotField showAll="0"/>
    <pivotField numFmtId="8" showAll="0"/>
    <pivotField numFmtId="10" showAll="0"/>
    <pivotField numFmtId="8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1">
    <i>
      <x v="45"/>
    </i>
    <i>
      <x v="92"/>
    </i>
    <i>
      <x v="300"/>
    </i>
    <i>
      <x v="169"/>
    </i>
    <i>
      <x v="244"/>
    </i>
    <i>
      <x v="340"/>
    </i>
    <i>
      <x v="312"/>
    </i>
    <i>
      <x v="254"/>
    </i>
    <i>
      <x v="187"/>
    </i>
    <i>
      <x v="176"/>
    </i>
    <i t="grand">
      <x/>
    </i>
  </rowItems>
  <colItems count="1">
    <i/>
  </colItems>
  <pageFields count="1">
    <pageField fld="4" hier="-1"/>
  </pageFields>
  <dataFields count="1">
    <dataField name="Average of LeadTime" fld="12" subtotal="average" baseField="2" baseItem="205" numFmtId="1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D5C0F5-3050-4654-8B1D-5E15AD987165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95:B1011" firstHeaderRow="1" firstDataRow="1" firstDataCol="1" rowPageCount="1" colPageCount="1"/>
  <pivotFields count="31">
    <pivotField showAll="0"/>
    <pivotField showAll="0"/>
    <pivotField axis="axisRow" showAll="0">
      <items count="351">
        <item x="262"/>
        <item x="159"/>
        <item x="261"/>
        <item x="66"/>
        <item x="335"/>
        <item x="295"/>
        <item x="249"/>
        <item x="53"/>
        <item x="125"/>
        <item x="282"/>
        <item x="3"/>
        <item x="307"/>
        <item x="156"/>
        <item x="175"/>
        <item x="177"/>
        <item x="171"/>
        <item x="18"/>
        <item x="258"/>
        <item x="49"/>
        <item x="106"/>
        <item x="2"/>
        <item x="120"/>
        <item x="16"/>
        <item x="345"/>
        <item x="98"/>
        <item x="275"/>
        <item x="47"/>
        <item x="92"/>
        <item x="180"/>
        <item x="93"/>
        <item x="280"/>
        <item x="243"/>
        <item x="340"/>
        <item x="101"/>
        <item x="198"/>
        <item x="88"/>
        <item x="140"/>
        <item x="233"/>
        <item x="290"/>
        <item x="246"/>
        <item x="315"/>
        <item x="40"/>
        <item x="272"/>
        <item x="218"/>
        <item x="31"/>
        <item x="230"/>
        <item x="84"/>
        <item x="149"/>
        <item x="167"/>
        <item x="287"/>
        <item x="14"/>
        <item x="242"/>
        <item x="19"/>
        <item x="136"/>
        <item x="11"/>
        <item x="329"/>
        <item x="227"/>
        <item x="29"/>
        <item x="121"/>
        <item x="109"/>
        <item x="292"/>
        <item x="111"/>
        <item x="96"/>
        <item x="199"/>
        <item x="37"/>
        <item x="13"/>
        <item x="1"/>
        <item x="330"/>
        <item x="278"/>
        <item x="74"/>
        <item x="342"/>
        <item x="328"/>
        <item x="174"/>
        <item x="317"/>
        <item x="184"/>
        <item x="314"/>
        <item x="52"/>
        <item x="320"/>
        <item x="347"/>
        <item x="72"/>
        <item x="276"/>
        <item x="308"/>
        <item x="289"/>
        <item x="161"/>
        <item x="0"/>
        <item x="179"/>
        <item x="208"/>
        <item x="41"/>
        <item x="346"/>
        <item x="331"/>
        <item x="148"/>
        <item x="119"/>
        <item x="232"/>
        <item x="20"/>
        <item x="268"/>
        <item x="202"/>
        <item x="102"/>
        <item x="241"/>
        <item x="337"/>
        <item x="12"/>
        <item x="255"/>
        <item x="95"/>
        <item x="211"/>
        <item x="151"/>
        <item x="250"/>
        <item x="10"/>
        <item x="203"/>
        <item x="99"/>
        <item x="28"/>
        <item x="64"/>
        <item x="234"/>
        <item x="46"/>
        <item x="114"/>
        <item x="323"/>
        <item x="237"/>
        <item x="300"/>
        <item x="142"/>
        <item x="196"/>
        <item x="338"/>
        <item x="138"/>
        <item x="260"/>
        <item x="293"/>
        <item x="195"/>
        <item x="324"/>
        <item x="224"/>
        <item x="89"/>
        <item x="327"/>
        <item x="9"/>
        <item x="170"/>
        <item x="147"/>
        <item x="162"/>
        <item x="305"/>
        <item x="251"/>
        <item x="110"/>
        <item x="82"/>
        <item x="122"/>
        <item x="30"/>
        <item x="90"/>
        <item x="4"/>
        <item x="309"/>
        <item x="58"/>
        <item x="259"/>
        <item x="164"/>
        <item x="160"/>
        <item x="279"/>
        <item x="248"/>
        <item x="112"/>
        <item x="193"/>
        <item x="62"/>
        <item x="190"/>
        <item x="173"/>
        <item x="6"/>
        <item x="322"/>
        <item x="298"/>
        <item x="185"/>
        <item x="168"/>
        <item x="32"/>
        <item x="97"/>
        <item x="215"/>
        <item x="223"/>
        <item x="265"/>
        <item x="129"/>
        <item x="209"/>
        <item x="73"/>
        <item x="172"/>
        <item x="22"/>
        <item x="59"/>
        <item x="297"/>
        <item x="144"/>
        <item x="91"/>
        <item x="284"/>
        <item x="210"/>
        <item x="54"/>
        <item x="206"/>
        <item x="145"/>
        <item x="71"/>
        <item x="296"/>
        <item x="267"/>
        <item x="312"/>
        <item x="60"/>
        <item x="225"/>
        <item x="212"/>
        <item x="50"/>
        <item x="77"/>
        <item x="130"/>
        <item x="220"/>
        <item x="8"/>
        <item x="244"/>
        <item x="182"/>
        <item x="236"/>
        <item x="51"/>
        <item x="321"/>
        <item x="124"/>
        <item x="103"/>
        <item x="135"/>
        <item x="70"/>
        <item x="343"/>
        <item x="319"/>
        <item x="326"/>
        <item x="341"/>
        <item x="105"/>
        <item x="192"/>
        <item x="24"/>
        <item x="115"/>
        <item x="229"/>
        <item x="33"/>
        <item x="165"/>
        <item x="176"/>
        <item x="68"/>
        <item x="123"/>
        <item x="222"/>
        <item x="189"/>
        <item x="205"/>
        <item x="285"/>
        <item x="141"/>
        <item x="45"/>
        <item x="104"/>
        <item x="247"/>
        <item x="283"/>
        <item x="34"/>
        <item x="291"/>
        <item x="42"/>
        <item x="238"/>
        <item x="61"/>
        <item x="132"/>
        <item x="15"/>
        <item x="194"/>
        <item x="126"/>
        <item x="281"/>
        <item x="245"/>
        <item x="35"/>
        <item x="201"/>
        <item x="310"/>
        <item x="301"/>
        <item x="303"/>
        <item x="108"/>
        <item x="269"/>
        <item x="150"/>
        <item x="152"/>
        <item x="188"/>
        <item x="17"/>
        <item x="43"/>
        <item x="85"/>
        <item x="216"/>
        <item x="137"/>
        <item x="39"/>
        <item x="299"/>
        <item x="318"/>
        <item x="48"/>
        <item x="181"/>
        <item x="25"/>
        <item x="263"/>
        <item x="36"/>
        <item x="240"/>
        <item x="94"/>
        <item x="257"/>
        <item x="186"/>
        <item x="44"/>
        <item x="235"/>
        <item x="166"/>
        <item x="134"/>
        <item x="311"/>
        <item x="252"/>
        <item x="274"/>
        <item x="231"/>
        <item x="143"/>
        <item x="336"/>
        <item x="154"/>
        <item x="217"/>
        <item x="155"/>
        <item x="69"/>
        <item x="333"/>
        <item x="81"/>
        <item x="344"/>
        <item x="79"/>
        <item x="158"/>
        <item x="221"/>
        <item x="226"/>
        <item x="56"/>
        <item x="23"/>
        <item x="306"/>
        <item x="197"/>
        <item x="348"/>
        <item x="183"/>
        <item x="78"/>
        <item x="80"/>
        <item x="21"/>
        <item x="288"/>
        <item x="294"/>
        <item x="191"/>
        <item x="256"/>
        <item x="264"/>
        <item x="313"/>
        <item x="55"/>
        <item x="325"/>
        <item x="332"/>
        <item x="157"/>
        <item x="118"/>
        <item x="27"/>
        <item x="63"/>
        <item x="304"/>
        <item x="228"/>
        <item x="100"/>
        <item x="213"/>
        <item x="169"/>
        <item x="83"/>
        <item x="200"/>
        <item x="178"/>
        <item x="334"/>
        <item x="113"/>
        <item x="128"/>
        <item x="127"/>
        <item x="302"/>
        <item x="75"/>
        <item x="65"/>
        <item x="57"/>
        <item x="131"/>
        <item x="116"/>
        <item x="86"/>
        <item x="204"/>
        <item x="349"/>
        <item x="87"/>
        <item x="67"/>
        <item x="286"/>
        <item x="187"/>
        <item x="5"/>
        <item x="207"/>
        <item x="38"/>
        <item x="133"/>
        <item x="277"/>
        <item x="26"/>
        <item x="139"/>
        <item x="76"/>
        <item x="153"/>
        <item x="214"/>
        <item x="163"/>
        <item x="271"/>
        <item x="339"/>
        <item x="239"/>
        <item x="254"/>
        <item x="219"/>
        <item x="107"/>
        <item x="273"/>
        <item x="146"/>
        <item x="7"/>
        <item x="316"/>
        <item x="117"/>
        <item x="270"/>
        <item x="253"/>
        <item x="266"/>
        <item t="default"/>
      </items>
    </pivotField>
    <pivotField showAll="0"/>
    <pivotField axis="axisPage" multipleItemSelectionAllowed="1" showAll="0">
      <items count="4">
        <item x="2"/>
        <item x="1"/>
        <item h="1" x="0"/>
        <item t="default"/>
      </items>
    </pivotField>
    <pivotField showAll="0"/>
    <pivotField showAll="0"/>
    <pivotField numFmtId="166" showAll="0"/>
    <pivotField numFmtId="166" showAll="0">
      <items count="333">
        <item x="41"/>
        <item x="151"/>
        <item x="143"/>
        <item x="235"/>
        <item x="108"/>
        <item x="272"/>
        <item x="15"/>
        <item x="182"/>
        <item x="283"/>
        <item x="202"/>
        <item x="58"/>
        <item x="156"/>
        <item x="282"/>
        <item x="76"/>
        <item x="137"/>
        <item x="226"/>
        <item x="207"/>
        <item x="251"/>
        <item x="258"/>
        <item x="188"/>
        <item x="13"/>
        <item x="147"/>
        <item x="35"/>
        <item x="180"/>
        <item x="40"/>
        <item x="72"/>
        <item x="319"/>
        <item x="322"/>
        <item x="50"/>
        <item x="305"/>
        <item x="81"/>
        <item x="241"/>
        <item x="170"/>
        <item x="287"/>
        <item x="324"/>
        <item x="80"/>
        <item x="42"/>
        <item x="11"/>
        <item x="109"/>
        <item x="315"/>
        <item x="135"/>
        <item x="14"/>
        <item x="145"/>
        <item x="168"/>
        <item x="99"/>
        <item x="268"/>
        <item x="280"/>
        <item x="221"/>
        <item x="190"/>
        <item x="224"/>
        <item x="73"/>
        <item x="118"/>
        <item x="90"/>
        <item x="79"/>
        <item x="325"/>
        <item x="166"/>
        <item x="133"/>
        <item x="228"/>
        <item x="110"/>
        <item x="214"/>
        <item x="112"/>
        <item x="292"/>
        <item x="261"/>
        <item x="178"/>
        <item x="293"/>
        <item x="243"/>
        <item x="204"/>
        <item x="278"/>
        <item x="281"/>
        <item x="212"/>
        <item x="294"/>
        <item x="104"/>
        <item x="288"/>
        <item x="138"/>
        <item x="115"/>
        <item x="1"/>
        <item x="47"/>
        <item x="246"/>
        <item x="142"/>
        <item x="253"/>
        <item x="183"/>
        <item x="240"/>
        <item x="65"/>
        <item x="308"/>
        <item x="75"/>
        <item x="20"/>
        <item x="313"/>
        <item x="134"/>
        <item x="10"/>
        <item x="8"/>
        <item x="276"/>
        <item x="217"/>
        <item x="149"/>
        <item x="223"/>
        <item x="158"/>
        <item x="314"/>
        <item x="25"/>
        <item x="327"/>
        <item x="301"/>
        <item x="46"/>
        <item x="123"/>
        <item x="68"/>
        <item x="74"/>
        <item x="255"/>
        <item x="227"/>
        <item x="236"/>
        <item x="289"/>
        <item x="159"/>
        <item x="125"/>
        <item x="71"/>
        <item x="197"/>
        <item x="126"/>
        <item x="88"/>
        <item x="219"/>
        <item x="177"/>
        <item x="124"/>
        <item x="329"/>
        <item x="103"/>
        <item x="17"/>
        <item x="24"/>
        <item x="12"/>
        <item x="309"/>
        <item x="100"/>
        <item x="22"/>
        <item x="60"/>
        <item x="78"/>
        <item x="55"/>
        <item x="67"/>
        <item x="285"/>
        <item x="23"/>
        <item x="107"/>
        <item x="191"/>
        <item x="48"/>
        <item x="298"/>
        <item x="331"/>
        <item x="303"/>
        <item x="84"/>
        <item x="184"/>
        <item x="200"/>
        <item x="259"/>
        <item x="19"/>
        <item x="174"/>
        <item x="4"/>
        <item x="274"/>
        <item x="179"/>
        <item x="229"/>
        <item x="167"/>
        <item x="139"/>
        <item x="216"/>
        <item x="270"/>
        <item x="323"/>
        <item x="5"/>
        <item x="300"/>
        <item x="173"/>
        <item x="195"/>
        <item x="93"/>
        <item x="254"/>
        <item x="242"/>
        <item x="271"/>
        <item x="59"/>
        <item x="16"/>
        <item x="279"/>
        <item x="69"/>
        <item x="30"/>
        <item x="321"/>
        <item x="163"/>
        <item x="196"/>
        <item x="38"/>
        <item x="297"/>
        <item x="238"/>
        <item x="222"/>
        <item x="39"/>
        <item x="140"/>
        <item x="64"/>
        <item x="213"/>
        <item x="256"/>
        <item x="95"/>
        <item x="317"/>
        <item x="291"/>
        <item x="269"/>
        <item x="230"/>
        <item x="262"/>
        <item x="233"/>
        <item x="89"/>
        <item x="155"/>
        <item x="286"/>
        <item x="295"/>
        <item x="192"/>
        <item x="85"/>
        <item x="326"/>
        <item x="264"/>
        <item x="218"/>
        <item x="205"/>
        <item x="86"/>
        <item x="198"/>
        <item x="273"/>
        <item x="77"/>
        <item x="53"/>
        <item x="94"/>
        <item x="37"/>
        <item x="249"/>
        <item x="199"/>
        <item x="127"/>
        <item x="33"/>
        <item x="51"/>
        <item x="206"/>
        <item x="311"/>
        <item x="129"/>
        <item x="96"/>
        <item x="171"/>
        <item x="57"/>
        <item x="36"/>
        <item x="161"/>
        <item x="43"/>
        <item x="172"/>
        <item x="66"/>
        <item x="307"/>
        <item x="252"/>
        <item x="263"/>
        <item x="304"/>
        <item x="52"/>
        <item x="98"/>
        <item x="63"/>
        <item x="209"/>
        <item x="148"/>
        <item x="92"/>
        <item x="193"/>
        <item x="220"/>
        <item x="210"/>
        <item x="153"/>
        <item x="28"/>
        <item x="119"/>
        <item x="56"/>
        <item x="32"/>
        <item x="316"/>
        <item x="105"/>
        <item x="82"/>
        <item x="9"/>
        <item x="150"/>
        <item x="169"/>
        <item x="181"/>
        <item x="208"/>
        <item x="260"/>
        <item x="245"/>
        <item x="116"/>
        <item x="187"/>
        <item x="44"/>
        <item x="176"/>
        <item x="306"/>
        <item x="136"/>
        <item x="29"/>
        <item x="157"/>
        <item x="113"/>
        <item x="26"/>
        <item x="266"/>
        <item x="234"/>
        <item x="70"/>
        <item x="215"/>
        <item x="18"/>
        <item x="211"/>
        <item x="114"/>
        <item x="203"/>
        <item x="320"/>
        <item x="61"/>
        <item x="132"/>
        <item x="83"/>
        <item x="87"/>
        <item x="62"/>
        <item x="165"/>
        <item x="3"/>
        <item x="152"/>
        <item x="144"/>
        <item x="239"/>
        <item x="244"/>
        <item x="146"/>
        <item x="31"/>
        <item x="121"/>
        <item x="2"/>
        <item x="21"/>
        <item x="130"/>
        <item x="318"/>
        <item x="111"/>
        <item x="162"/>
        <item x="275"/>
        <item x="201"/>
        <item x="117"/>
        <item x="284"/>
        <item x="0"/>
        <item x="27"/>
        <item x="141"/>
        <item x="97"/>
        <item x="154"/>
        <item x="277"/>
        <item x="120"/>
        <item x="330"/>
        <item x="54"/>
        <item x="128"/>
        <item x="189"/>
        <item x="186"/>
        <item x="185"/>
        <item x="328"/>
        <item x="302"/>
        <item x="91"/>
        <item x="49"/>
        <item x="34"/>
        <item x="231"/>
        <item x="296"/>
        <item x="6"/>
        <item x="267"/>
        <item x="45"/>
        <item x="299"/>
        <item x="237"/>
        <item x="247"/>
        <item x="101"/>
        <item x="290"/>
        <item x="232"/>
        <item x="164"/>
        <item x="265"/>
        <item x="257"/>
        <item x="194"/>
        <item x="310"/>
        <item x="102"/>
        <item x="225"/>
        <item x="131"/>
        <item x="160"/>
        <item x="175"/>
        <item x="122"/>
        <item x="248"/>
        <item x="106"/>
        <item x="312"/>
        <item x="7"/>
        <item x="250"/>
        <item t="default"/>
      </items>
    </pivotField>
    <pivotField showAll="0"/>
    <pivotField numFmtId="166" showAll="0"/>
    <pivotField numFmtId="166" showAll="0"/>
    <pivotField dataField="1" numFmtId="1" showAll="0"/>
    <pivotField numFmtId="14" showAll="0"/>
    <pivotField numFmtId="2" showAll="0"/>
    <pivotField numFmtId="8" showAll="0"/>
    <pivotField showAll="0"/>
    <pivotField showAll="0"/>
    <pivotField showAll="0"/>
    <pivotField numFmtId="8" showAll="0"/>
    <pivotField showAll="0"/>
    <pivotField numFmtId="43" showAll="0"/>
    <pivotField numFmtId="43" showAll="0"/>
    <pivotField showAll="0"/>
    <pivotField showAll="0"/>
    <pivotField numFmtId="8" showAll="0"/>
    <pivotField numFmtId="10" showAll="0"/>
    <pivotField numFmtId="8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316">
    <i>
      <x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2"/>
    </i>
    <i>
      <x v="53"/>
    </i>
    <i>
      <x v="54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2"/>
    </i>
    <i>
      <x v="75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2"/>
    </i>
    <i>
      <x v="213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1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5"/>
    </i>
    <i>
      <x v="306"/>
    </i>
    <i>
      <x v="307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3"/>
    </i>
    <i>
      <x v="344"/>
    </i>
    <i>
      <x v="347"/>
    </i>
    <i>
      <x v="348"/>
    </i>
    <i>
      <x v="349"/>
    </i>
    <i t="grand">
      <x/>
    </i>
  </rowItems>
  <colItems count="1">
    <i/>
  </colItems>
  <pageFields count="1">
    <pageField fld="4" hier="-1"/>
  </pageFields>
  <dataFields count="1">
    <dataField name="Average of LeadTime" fld="12" subtotal="average" baseField="2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9B50D-EC83-4227-90DA-F93827BB6C80}" name="GroDB3" displayName="GroDB3" ref="A1:T992" totalsRowCount="1" headerRowDxfId="330" headerRowBorderDxfId="329" tableBorderDxfId="328" totalsRowBorderDxfId="327">
  <autoFilter ref="A1:T991" xr:uid="{1D793564-A278-448C-9CF4-49D3E430418A}"/>
  <tableColumns count="20">
    <tableColumn id="1" xr3:uid="{CA615914-9CDB-49D4-962C-CB4B0C4653D9}" name="Product_Name" dataDxfId="326" totalsRowDxfId="325"/>
    <tableColumn id="2" xr3:uid="{8EE27FB2-D2FF-403C-9330-AC9B07A3AF3D}" name="Catagory" dataDxfId="324" totalsRowDxfId="323"/>
    <tableColumn id="3" xr3:uid="{335B4477-E219-4153-A6B2-9B409EDB191D}" name="Supplier_Name" dataDxfId="322" totalsRowDxfId="321"/>
    <tableColumn id="4" xr3:uid="{A6EB0CEA-59DC-463F-B1D1-931B189BCFB2}" name="Warehouse_Location" dataDxfId="320" totalsRowDxfId="319"/>
    <tableColumn id="5" xr3:uid="{11C7F42F-DB4B-45EE-8F60-69BA439053E7}" name="Status" dataDxfId="318" totalsRowDxfId="317"/>
    <tableColumn id="6" xr3:uid="{9A99F878-73BF-4E18-9BAB-9BC5B054A651}" name="Product_ID" dataDxfId="316" totalsRowDxfId="315"/>
    <tableColumn id="7" xr3:uid="{4BBC5B53-95F5-4B39-B457-FFE875AB51DE}" name="Supplier_ID" dataDxfId="314" totalsRowDxfId="313"/>
    <tableColumn id="8" xr3:uid="{7C99B8BE-35AC-4703-AA3A-4722D3BABA4A}" name="Date_Received" dataDxfId="312" totalsRowDxfId="311"/>
    <tableColumn id="9" xr3:uid="{2F1094C2-A159-4B6D-9B78-3A9E6930B2E5}" name="Last_Order_Date" dataDxfId="310" totalsRowDxfId="309"/>
    <tableColumn id="22" xr3:uid="{648FE6F7-28E4-4330-8502-614709FECDC4}" name="Column1" dataDxfId="308" totalsRowDxfId="307">
      <calculatedColumnFormula>IF(GroDB3[[#This Row],[Last_Order_Date]]&lt;=GroDB3[[#This Row],[Date_Received]], "Yes", "No")</calculatedColumnFormula>
    </tableColumn>
    <tableColumn id="23" xr3:uid="{0B98CCD1-F0B7-4C4D-A451-8CE6D6CC07C1}" name="Date_Received1" dataDxfId="306" totalsRowDxfId="305">
      <calculatedColumnFormula>IF(GroDB3[[#This Row],[Column1]]="No",GroDB3[[#This Row],[Last_Order_Date]],GroDB3[[#This Row],[Date_Received]])</calculatedColumnFormula>
    </tableColumn>
    <tableColumn id="24" xr3:uid="{6EAB51A1-3AB8-4174-8FFA-6ADBF8AFBBA0}" name="Procurement_Date" dataDxfId="304" totalsRowDxfId="303">
      <calculatedColumnFormula>IF(GroDB3[[#This Row],[Column1]]="No",GroDB3[[#This Row],[Date_Received]],GroDB3[[#This Row],[Last_Order_Date]])</calculatedColumnFormula>
    </tableColumn>
    <tableColumn id="10" xr3:uid="{76E8523C-9F0F-4DBA-BB0C-A67102EB6C70}" name="Expiration_Date" dataDxfId="302" totalsRowDxfId="301"/>
    <tableColumn id="11" xr3:uid="{A918FA5E-C89D-4208-B4E0-C9161E22F788}" name="Stock_Quantity" dataDxfId="300" totalsRowDxfId="299"/>
    <tableColumn id="12" xr3:uid="{81FB7770-780F-4D89-ADE6-F3F462F809F2}" name="Reorder_Level" dataDxfId="298" totalsRowDxfId="297"/>
    <tableColumn id="13" xr3:uid="{741958C2-8F86-46A1-B554-ED165C1880F5}" name="Reorder_Quantity" dataDxfId="296" totalsRowDxfId="295"/>
    <tableColumn id="14" xr3:uid="{A32DBE6C-18F5-4571-A192-5E2BB48CC782}" name="Unit_Price" dataDxfId="294" totalsRowDxfId="293"/>
    <tableColumn id="15" xr3:uid="{0C91A625-C4EA-4AC0-A998-DDF4810BBB11}" name="Sales_Volume" dataDxfId="292" totalsRowDxfId="291"/>
    <tableColumn id="16" xr3:uid="{BF0A59CC-3C62-4C22-842F-2978A4E43544}" name="Inventory_Turnover_Rate" dataDxfId="290" totalsRowDxfId="289"/>
    <tableColumn id="17" xr3:uid="{A8FE2306-5641-40DB-9382-10638647F3B6}" name="percentage" dataDxfId="288" totalsRowDxfId="2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93564-A278-448C-9CF4-49D3E430418A}" name="GroDB" displayName="GroDB" ref="A2:AB993" totalsRowCount="1" headerRowDxfId="286" headerRowBorderDxfId="285" tableBorderDxfId="284" totalsRowBorderDxfId="283">
  <autoFilter ref="A2:AB992" xr:uid="{1D793564-A278-448C-9CF4-49D3E430418A}"/>
  <tableColumns count="28">
    <tableColumn id="1" xr3:uid="{2DCD2A70-E806-4081-8B16-305A4DF82108}" name="Product_Name" dataDxfId="282" totalsRowDxfId="281"/>
    <tableColumn id="2" xr3:uid="{ACBF5C92-F32D-4496-AD8A-62B62593887A}" name="Catagory" dataDxfId="280" totalsRowDxfId="279"/>
    <tableColumn id="3" xr3:uid="{AD001A5D-9F12-4438-85E4-F165BF40E660}" name="Supplier_Name" dataDxfId="278" totalsRowDxfId="277"/>
    <tableColumn id="4" xr3:uid="{2238FA24-8233-40F4-A82B-BF86DDD4B16A}" name="Warehouse_Location" dataDxfId="276" totalsRowDxfId="275"/>
    <tableColumn id="5" xr3:uid="{2505BBB4-86E6-40E2-9EC4-90F9C50142D2}" name="Status" dataDxfId="274" totalsRowDxfId="273"/>
    <tableColumn id="6" xr3:uid="{BC6D0B4D-60D3-49C6-847B-8A32F8034A86}" name="Product_ID" dataDxfId="272" totalsRowDxfId="271"/>
    <tableColumn id="7" xr3:uid="{1B5EBD32-931D-412F-95DC-AE9C01E1A3E7}" name="Supplier_ID" dataDxfId="270" totalsRowDxfId="269"/>
    <tableColumn id="8" xr3:uid="{BD9B844F-1497-4AD9-8F9A-02C412E01E24}" name="Date_Received" dataDxfId="268" totalsRowDxfId="267"/>
    <tableColumn id="9" xr3:uid="{3E10872C-7A6B-4CA4-B836-EEADEE957C5E}" name="Last_Order_Date" dataDxfId="266" totalsRowDxfId="265"/>
    <tableColumn id="22" xr3:uid="{93EF191E-1CED-4BDE-8D5A-A63B112AB4A9}" name="Column1" dataDxfId="264" totalsRowDxfId="263">
      <calculatedColumnFormula>IF(GroDB[[#This Row],[Last_Order_Date]]&lt;=GroDB[[#This Row],[Date_Received]], "Yes", "No")</calculatedColumnFormula>
    </tableColumn>
    <tableColumn id="23" xr3:uid="{29F9A8DC-DAED-404B-89B2-3916CF422187}" name="Date_Received1" dataDxfId="262" totalsRowDxfId="261">
      <calculatedColumnFormula>IF(GroDB[[#This Row],[Column1]]="No",GroDB[[#This Row],[Last_Order_Date]],GroDB[[#This Row],[Date_Received]])</calculatedColumnFormula>
    </tableColumn>
    <tableColumn id="24" xr3:uid="{63FDF301-3534-4A86-862D-FAD64B316B1F}" name="Procurement_Date" dataDxfId="260" totalsRowDxfId="259">
      <calculatedColumnFormula>IF(GroDB[[#This Row],[Column1]]="No",GroDB[[#This Row],[Date_Received]],GroDB[[#This Row],[Last_Order_Date]])</calculatedColumnFormula>
    </tableColumn>
    <tableColumn id="21" xr3:uid="{9123DD25-179D-4337-953A-1A38B6F11CF8}" name="LeadTime" dataDxfId="258" totalsRowDxfId="257">
      <calculatedColumnFormula>GroDB[[#This Row],[Date_Received1]]-GroDB[[#This Row],[Procurement_Date]]</calculatedColumnFormula>
    </tableColumn>
    <tableColumn id="10" xr3:uid="{4ABF503A-C7E2-41DC-94A4-36C6D368FD6E}" name="Expiration_Date" dataDxfId="256" totalsRowDxfId="255"/>
    <tableColumn id="25" xr3:uid="{8C464816-33F9-4D56-9DA3-5325E9CDB8E9}" name="Shelf Life" dataDxfId="254" totalsRowDxfId="253">
      <calculatedColumnFormula>GroDB[[#This Row],[Expiration_Date]]-GroDB[[#This Row],[Date_Received1]]</calculatedColumnFormula>
    </tableColumn>
    <tableColumn id="20" xr3:uid="{F97232D2-9E66-47E5-825F-95FBE341B651}" name="Ordering Cost" dataDxfId="252" totalsRowDxfId="251"/>
    <tableColumn id="11" xr3:uid="{C0CFA372-F569-4C3E-8E10-B50BAD09184C}" name="Stock_Quantity" dataDxfId="250" totalsRowDxfId="249"/>
    <tableColumn id="12" xr3:uid="{6227C4A5-2CE6-4C85-BB6B-CFC710D1E938}" name="Reorder_Level" dataDxfId="248" totalsRowDxfId="247"/>
    <tableColumn id="13" xr3:uid="{ECE0BD55-E222-4A99-BFD2-DF446B8C570E}" name="Reorder_Quantity" dataDxfId="246" totalsRowDxfId="245"/>
    <tableColumn id="14" xr3:uid="{8A29FF01-8B79-498D-8653-C6E5D2D29285}" name="Unit_Price" dataDxfId="244" totalsRowDxfId="243"/>
    <tableColumn id="15" xr3:uid="{87D5B0E9-CF2C-4BC0-B9A2-8B97358E2A1F}" name="Sales_Volume" dataDxfId="242" totalsRowDxfId="241"/>
    <tableColumn id="27" xr3:uid="{61AA02D8-1952-44D5-9275-982C2D74ACD3}" name="Daily Sales" dataDxfId="240" totalsRowDxfId="239" dataCellStyle="Comma">
      <calculatedColumnFormula>IF(GroDB[[#This Row],[LeadTime]]=0,GroDB[[#This Row],[Sales_Volume]],GroDB[[#This Row],[Sales_Volume]]/GroDB[[#This Row],[LeadTime]])</calculatedColumnFormula>
    </tableColumn>
    <tableColumn id="26" xr3:uid="{B9131566-27DE-48BF-A2AD-A8EE627C37BF}" name="Stdev.p Sales Volume" dataDxfId="238" totalsRowDxfId="237" dataCellStyle="Comma">
      <calculatedColumnFormula>_xlfn.STDEV.S(GroDB[Daily Sales])</calculatedColumnFormula>
    </tableColumn>
    <tableColumn id="16" xr3:uid="{883DD9F6-E254-466A-918C-DCD2FC455714}" name="Inventory_Turnover_Rate" dataDxfId="236" totalsRowDxfId="235"/>
    <tableColumn id="17" xr3:uid="{AD56D3D0-B416-4194-B946-DFAAEEFC0AF6}" name="percentage" dataDxfId="234" totalsRowDxfId="233"/>
    <tableColumn id="18" xr3:uid="{2B0E55F0-F346-48AB-B206-D5209100EA47}" name="ADU" totalsRowFunction="custom" dataDxfId="232" totalsRowDxfId="231">
      <calculatedColumnFormula>GroDB[[#This Row],[Unit_Price]]*GroDB[[#This Row],[Sales_Volume]]</calculatedColumnFormula>
      <totalsRowFormula>SUM(GroDB[ADU])</totalsRowFormula>
    </tableColumn>
    <tableColumn id="19" xr3:uid="{D3AC9286-4DBC-465E-9478-D4B76A0C3A11}" name="% Usage" dataDxfId="230" totalsRowDxfId="229" dataCellStyle="Percent">
      <calculatedColumnFormula>GroDB[[#This Row],[ADU]]/GroDB[[#Totals],[ADU]]</calculatedColumnFormula>
    </tableColumn>
    <tableColumn id="28" xr3:uid="{9C7638BD-2F06-41C2-B28E-16B460BE213B}" name="COGS" dataDxfId="228" totalsRowDxfId="227">
      <calculatedColumnFormula>GroDB[[#This Row],[Sales_Volume]]*GroDB[[#This Row],[Ordering Cost]]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7B44-7D17-41FF-BCF3-FA13E9DE9413}">
  <dimension ref="A1:T992"/>
  <sheetViews>
    <sheetView topLeftCell="E1" workbookViewId="0">
      <selection activeCell="G14" sqref="G14"/>
    </sheetView>
  </sheetViews>
  <sheetFormatPr defaultRowHeight="14.5" x14ac:dyDescent="0.35"/>
  <cols>
    <col min="1" max="1" width="17.81640625" bestFit="1" customWidth="1"/>
    <col min="2" max="2" width="16.81640625" bestFit="1" customWidth="1"/>
    <col min="3" max="3" width="15.54296875" customWidth="1"/>
    <col min="4" max="4" width="28" bestFit="1" customWidth="1"/>
    <col min="5" max="5" width="15.54296875" customWidth="1"/>
    <col min="6" max="6" width="14.54296875" customWidth="1"/>
    <col min="7" max="7" width="15.26953125" customWidth="1"/>
    <col min="8" max="8" width="15.1796875" hidden="1" customWidth="1"/>
    <col min="9" max="9" width="17.08984375" hidden="1" customWidth="1"/>
    <col min="10" max="10" width="16.36328125" style="19" hidden="1" customWidth="1"/>
    <col min="11" max="12" width="16.36328125" customWidth="1"/>
    <col min="13" max="13" width="15.7265625" customWidth="1"/>
    <col min="14" max="14" width="17.90625" customWidth="1"/>
    <col min="15" max="15" width="11.453125" customWidth="1"/>
    <col min="16" max="16" width="14.453125" customWidth="1"/>
    <col min="17" max="17" width="11.36328125" customWidth="1"/>
    <col min="18" max="18" width="12.26953125" customWidth="1"/>
    <col min="19" max="19" width="14.6328125" customWidth="1"/>
    <col min="20" max="20" width="13.6328125" style="22" customWidth="1"/>
  </cols>
  <sheetData>
    <row r="1" spans="1:20" s="19" customFormat="1" x14ac:dyDescent="0.3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3491</v>
      </c>
      <c r="K1" s="17" t="s">
        <v>3500</v>
      </c>
      <c r="L1" s="17" t="s">
        <v>3501</v>
      </c>
      <c r="M1" s="17" t="s">
        <v>9</v>
      </c>
      <c r="N1" s="17" t="s">
        <v>10</v>
      </c>
      <c r="O1" s="17" t="s">
        <v>11</v>
      </c>
      <c r="P1" s="17" t="s">
        <v>12</v>
      </c>
      <c r="Q1" s="17" t="s">
        <v>13</v>
      </c>
      <c r="R1" s="17" t="s">
        <v>14</v>
      </c>
      <c r="S1" s="17" t="s">
        <v>15</v>
      </c>
      <c r="T1" s="18" t="s">
        <v>16</v>
      </c>
    </row>
    <row r="2" spans="1:20" x14ac:dyDescent="0.35">
      <c r="A2" s="5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43">
        <v>45352</v>
      </c>
      <c r="I2" s="43">
        <v>45663</v>
      </c>
      <c r="J2" s="47" t="str">
        <f>IF(GroDB3[[#This Row],[Last_Order_Date]]&lt;=GroDB3[[#This Row],[Date_Received]], "Yes", "No")</f>
        <v>No</v>
      </c>
      <c r="K2" s="43">
        <f>IF(GroDB3[[#This Row],[Column1]]="No",GroDB3[[#This Row],[Last_Order_Date]],GroDB3[[#This Row],[Date_Received]])</f>
        <v>45663</v>
      </c>
      <c r="L2" s="43">
        <f>IF(GroDB3[[#This Row],[Column1]]="No",GroDB3[[#This Row],[Date_Received]],GroDB3[[#This Row],[Last_Order_Date]])</f>
        <v>45352</v>
      </c>
      <c r="M2" s="43">
        <v>45688</v>
      </c>
      <c r="N2" s="3">
        <v>46</v>
      </c>
      <c r="O2" s="3">
        <v>64</v>
      </c>
      <c r="P2" s="3">
        <v>17</v>
      </c>
      <c r="Q2" s="4">
        <v>4.5999999999999996</v>
      </c>
      <c r="R2" s="3">
        <v>96</v>
      </c>
      <c r="S2" s="3">
        <v>55</v>
      </c>
      <c r="T2" s="6">
        <v>1.9599999999999999E-2</v>
      </c>
    </row>
    <row r="3" spans="1:20" x14ac:dyDescent="0.35">
      <c r="A3" s="5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43">
        <v>45383</v>
      </c>
      <c r="I3" s="43">
        <v>45431</v>
      </c>
      <c r="J3" s="47" t="str">
        <f>IF(GroDB3[[#This Row],[Last_Order_Date]]&lt;=GroDB3[[#This Row],[Date_Received]], "Yes", "No")</f>
        <v>No</v>
      </c>
      <c r="K3" s="43">
        <f>IF(GroDB3[[#This Row],[Column1]]="No",GroDB3[[#This Row],[Last_Order_Date]],GroDB3[[#This Row],[Date_Received]])</f>
        <v>45431</v>
      </c>
      <c r="L3" s="43">
        <f>IF(GroDB3[[#This Row],[Column1]]="No",GroDB3[[#This Row],[Date_Received]],GroDB3[[#This Row],[Last_Order_Date]])</f>
        <v>45383</v>
      </c>
      <c r="M3" s="43">
        <v>45454</v>
      </c>
      <c r="N3" s="3">
        <v>51</v>
      </c>
      <c r="O3" s="3">
        <v>87</v>
      </c>
      <c r="P3" s="3">
        <v>86</v>
      </c>
      <c r="Q3" s="4">
        <v>2</v>
      </c>
      <c r="R3" s="3">
        <v>24</v>
      </c>
      <c r="S3" s="3">
        <v>83</v>
      </c>
      <c r="T3" s="6">
        <v>9.1000000000000004E-3</v>
      </c>
    </row>
    <row r="4" spans="1:20" x14ac:dyDescent="0.35">
      <c r="A4" s="5" t="s">
        <v>31</v>
      </c>
      <c r="B4" s="3" t="s">
        <v>32</v>
      </c>
      <c r="C4" s="3" t="s">
        <v>33</v>
      </c>
      <c r="D4" s="3" t="s">
        <v>34</v>
      </c>
      <c r="E4" s="3" t="s">
        <v>21</v>
      </c>
      <c r="F4" s="3" t="s">
        <v>35</v>
      </c>
      <c r="G4" s="3" t="s">
        <v>36</v>
      </c>
      <c r="H4" s="43">
        <v>45383</v>
      </c>
      <c r="I4" s="43">
        <v>45647</v>
      </c>
      <c r="J4" s="47" t="str">
        <f>IF(GroDB3[[#This Row],[Last_Order_Date]]&lt;=GroDB3[[#This Row],[Date_Received]], "Yes", "No")</f>
        <v>No</v>
      </c>
      <c r="K4" s="43">
        <f>IF(GroDB3[[#This Row],[Column1]]="No",GroDB3[[#This Row],[Last_Order_Date]],GroDB3[[#This Row],[Date_Received]])</f>
        <v>45647</v>
      </c>
      <c r="L4" s="43">
        <f>IF(GroDB3[[#This Row],[Column1]]="No",GroDB3[[#This Row],[Date_Received]],GroDB3[[#This Row],[Last_Order_Date]])</f>
        <v>45383</v>
      </c>
      <c r="M4" s="43">
        <v>45390</v>
      </c>
      <c r="N4" s="3">
        <v>38</v>
      </c>
      <c r="O4" s="3">
        <v>67</v>
      </c>
      <c r="P4" s="3">
        <v>66</v>
      </c>
      <c r="Q4" s="4">
        <v>12</v>
      </c>
      <c r="R4" s="3">
        <v>35</v>
      </c>
      <c r="S4" s="3">
        <v>24</v>
      </c>
      <c r="T4" s="6">
        <v>1.3599999999999999E-2</v>
      </c>
    </row>
    <row r="5" spans="1:20" x14ac:dyDescent="0.35">
      <c r="A5" s="5" t="s">
        <v>37</v>
      </c>
      <c r="B5" s="3" t="s">
        <v>18</v>
      </c>
      <c r="C5" s="3" t="s">
        <v>38</v>
      </c>
      <c r="D5" s="3" t="s">
        <v>39</v>
      </c>
      <c r="E5" s="3" t="s">
        <v>21</v>
      </c>
      <c r="F5" s="3" t="s">
        <v>40</v>
      </c>
      <c r="G5" s="3" t="s">
        <v>41</v>
      </c>
      <c r="H5" s="43">
        <v>45413</v>
      </c>
      <c r="I5" s="43">
        <v>45638</v>
      </c>
      <c r="J5" s="47" t="str">
        <f>IF(GroDB3[[#This Row],[Last_Order_Date]]&lt;=GroDB3[[#This Row],[Date_Received]], "Yes", "No")</f>
        <v>No</v>
      </c>
      <c r="K5" s="43">
        <f>IF(GroDB3[[#This Row],[Column1]]="No",GroDB3[[#This Row],[Last_Order_Date]],GroDB3[[#This Row],[Date_Received]])</f>
        <v>45638</v>
      </c>
      <c r="L5" s="43">
        <f>IF(GroDB3[[#This Row],[Column1]]="No",GroDB3[[#This Row],[Date_Received]],GroDB3[[#This Row],[Last_Order_Date]])</f>
        <v>45413</v>
      </c>
      <c r="M5" s="43">
        <v>45561</v>
      </c>
      <c r="N5" s="3">
        <v>51</v>
      </c>
      <c r="O5" s="3">
        <v>60</v>
      </c>
      <c r="P5" s="3">
        <v>98</v>
      </c>
      <c r="Q5" s="4">
        <v>1.5</v>
      </c>
      <c r="R5" s="3">
        <v>44</v>
      </c>
      <c r="S5" s="3">
        <v>95</v>
      </c>
      <c r="T5" s="6">
        <v>1.3599999999999999E-2</v>
      </c>
    </row>
    <row r="6" spans="1:20" x14ac:dyDescent="0.35">
      <c r="A6" s="5" t="s">
        <v>42</v>
      </c>
      <c r="B6" s="3" t="s">
        <v>18</v>
      </c>
      <c r="C6" s="3" t="s">
        <v>43</v>
      </c>
      <c r="D6" s="3" t="s">
        <v>44</v>
      </c>
      <c r="E6" s="3" t="s">
        <v>21</v>
      </c>
      <c r="F6" s="3" t="s">
        <v>45</v>
      </c>
      <c r="G6" s="3" t="s">
        <v>46</v>
      </c>
      <c r="H6" s="43">
        <v>45413</v>
      </c>
      <c r="I6" s="43">
        <v>45501</v>
      </c>
      <c r="J6" s="47" t="str">
        <f>IF(GroDB3[[#This Row],[Last_Order_Date]]&lt;=GroDB3[[#This Row],[Date_Received]], "Yes", "No")</f>
        <v>No</v>
      </c>
      <c r="K6" s="43">
        <f>IF(GroDB3[[#This Row],[Column1]]="No",GroDB3[[#This Row],[Last_Order_Date]],GroDB3[[#This Row],[Date_Received]])</f>
        <v>45501</v>
      </c>
      <c r="L6" s="43">
        <f>IF(GroDB3[[#This Row],[Column1]]="No",GroDB3[[#This Row],[Date_Received]],GroDB3[[#This Row],[Last_Order_Date]])</f>
        <v>45413</v>
      </c>
      <c r="M6" s="43">
        <v>45432</v>
      </c>
      <c r="N6" s="3">
        <v>27</v>
      </c>
      <c r="O6" s="3">
        <v>22</v>
      </c>
      <c r="P6" s="3">
        <v>89</v>
      </c>
      <c r="Q6" s="4">
        <v>7</v>
      </c>
      <c r="R6" s="3">
        <v>91</v>
      </c>
      <c r="S6" s="3">
        <v>77</v>
      </c>
      <c r="T6" s="6">
        <v>2.1700000000000001E-2</v>
      </c>
    </row>
    <row r="7" spans="1:20" x14ac:dyDescent="0.35">
      <c r="A7" s="5" t="s">
        <v>47</v>
      </c>
      <c r="B7" s="3" t="s">
        <v>18</v>
      </c>
      <c r="C7" s="3" t="s">
        <v>48</v>
      </c>
      <c r="D7" s="3" t="s">
        <v>49</v>
      </c>
      <c r="E7" s="3" t="s">
        <v>28</v>
      </c>
      <c r="F7" s="3" t="s">
        <v>50</v>
      </c>
      <c r="G7" s="3" t="s">
        <v>51</v>
      </c>
      <c r="H7" s="43">
        <v>45413</v>
      </c>
      <c r="I7" s="43">
        <v>45511</v>
      </c>
      <c r="J7" s="47" t="str">
        <f>IF(GroDB3[[#This Row],[Last_Order_Date]]&lt;=GroDB3[[#This Row],[Date_Received]], "Yes", "No")</f>
        <v>No</v>
      </c>
      <c r="K7" s="43">
        <f>IF(GroDB3[[#This Row],[Column1]]="No",GroDB3[[#This Row],[Last_Order_Date]],GroDB3[[#This Row],[Date_Received]])</f>
        <v>45511</v>
      </c>
      <c r="L7" s="43">
        <f>IF(GroDB3[[#This Row],[Column1]]="No",GroDB3[[#This Row],[Date_Received]],GroDB3[[#This Row],[Last_Order_Date]])</f>
        <v>45413</v>
      </c>
      <c r="M7" s="43">
        <v>45510</v>
      </c>
      <c r="N7" s="3">
        <v>91</v>
      </c>
      <c r="O7" s="3">
        <v>6</v>
      </c>
      <c r="P7" s="3">
        <v>37</v>
      </c>
      <c r="Q7" s="4">
        <v>2.4</v>
      </c>
      <c r="R7" s="3">
        <v>38</v>
      </c>
      <c r="S7" s="3">
        <v>70</v>
      </c>
      <c r="T7" s="6">
        <v>2.5600000000000001E-2</v>
      </c>
    </row>
    <row r="8" spans="1:20" x14ac:dyDescent="0.35">
      <c r="A8" s="5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 t="s">
        <v>58</v>
      </c>
      <c r="H8" s="43">
        <v>45413</v>
      </c>
      <c r="I8" s="43">
        <v>45686</v>
      </c>
      <c r="J8" s="47" t="str">
        <f>IF(GroDB3[[#This Row],[Last_Order_Date]]&lt;=GroDB3[[#This Row],[Date_Received]], "Yes", "No")</f>
        <v>No</v>
      </c>
      <c r="K8" s="43">
        <f>IF(GroDB3[[#This Row],[Column1]]="No",GroDB3[[#This Row],[Last_Order_Date]],GroDB3[[#This Row],[Date_Received]])</f>
        <v>45686</v>
      </c>
      <c r="L8" s="43">
        <f>IF(GroDB3[[#This Row],[Column1]]="No",GroDB3[[#This Row],[Date_Received]],GroDB3[[#This Row],[Last_Order_Date]])</f>
        <v>45413</v>
      </c>
      <c r="M8" s="43">
        <v>45381</v>
      </c>
      <c r="N8" s="3">
        <v>17</v>
      </c>
      <c r="O8" s="3">
        <v>85</v>
      </c>
      <c r="P8" s="3">
        <v>74</v>
      </c>
      <c r="Q8" s="4">
        <v>5</v>
      </c>
      <c r="R8" s="3">
        <v>76</v>
      </c>
      <c r="S8" s="3">
        <v>89</v>
      </c>
      <c r="T8" s="6">
        <v>2.3400000000000001E-2</v>
      </c>
    </row>
    <row r="9" spans="1:20" x14ac:dyDescent="0.35">
      <c r="A9" s="5" t="s">
        <v>59</v>
      </c>
      <c r="B9" s="3" t="s">
        <v>60</v>
      </c>
      <c r="C9" s="3" t="s">
        <v>61</v>
      </c>
      <c r="D9" s="3" t="s">
        <v>62</v>
      </c>
      <c r="E9" s="3" t="s">
        <v>21</v>
      </c>
      <c r="F9" s="3" t="s">
        <v>63</v>
      </c>
      <c r="G9" s="3" t="s">
        <v>64</v>
      </c>
      <c r="H9" s="43">
        <v>45444</v>
      </c>
      <c r="I9" s="43">
        <v>45711</v>
      </c>
      <c r="J9" s="47" t="str">
        <f>IF(GroDB3[[#This Row],[Last_Order_Date]]&lt;=GroDB3[[#This Row],[Date_Received]], "Yes", "No")</f>
        <v>No</v>
      </c>
      <c r="K9" s="43">
        <f>IF(GroDB3[[#This Row],[Column1]]="No",GroDB3[[#This Row],[Last_Order_Date]],GroDB3[[#This Row],[Date_Received]])</f>
        <v>45711</v>
      </c>
      <c r="L9" s="43">
        <f>IF(GroDB3[[#This Row],[Column1]]="No",GroDB3[[#This Row],[Date_Received]],GroDB3[[#This Row],[Last_Order_Date]])</f>
        <v>45444</v>
      </c>
      <c r="M9" s="43">
        <v>45526</v>
      </c>
      <c r="N9" s="3">
        <v>81</v>
      </c>
      <c r="O9" s="3">
        <v>22</v>
      </c>
      <c r="P9" s="3">
        <v>20</v>
      </c>
      <c r="Q9" s="4">
        <v>10</v>
      </c>
      <c r="R9" s="3">
        <v>95</v>
      </c>
      <c r="S9" s="3">
        <v>77</v>
      </c>
      <c r="T9" s="6">
        <v>2.1299999999999999E-2</v>
      </c>
    </row>
    <row r="10" spans="1:20" x14ac:dyDescent="0.35">
      <c r="A10" s="5" t="s">
        <v>65</v>
      </c>
      <c r="B10" s="3" t="s">
        <v>32</v>
      </c>
      <c r="C10" s="3" t="s">
        <v>66</v>
      </c>
      <c r="D10" s="3" t="s">
        <v>67</v>
      </c>
      <c r="E10" s="3" t="s">
        <v>56</v>
      </c>
      <c r="F10" s="3" t="s">
        <v>68</v>
      </c>
      <c r="G10" s="3" t="s">
        <v>69</v>
      </c>
      <c r="H10" s="43">
        <v>45444</v>
      </c>
      <c r="I10" s="43">
        <v>45446</v>
      </c>
      <c r="J10" s="47" t="str">
        <f>IF(GroDB3[[#This Row],[Last_Order_Date]]&lt;=GroDB3[[#This Row],[Date_Received]], "Yes", "No")</f>
        <v>No</v>
      </c>
      <c r="K10" s="43">
        <f>IF(GroDB3[[#This Row],[Column1]]="No",GroDB3[[#This Row],[Last_Order_Date]],GroDB3[[#This Row],[Date_Received]])</f>
        <v>45446</v>
      </c>
      <c r="L10" s="43">
        <f>IF(GroDB3[[#This Row],[Column1]]="No",GroDB3[[#This Row],[Date_Received]],GroDB3[[#This Row],[Last_Order_Date]])</f>
        <v>45444</v>
      </c>
      <c r="M10" s="43">
        <v>45358</v>
      </c>
      <c r="N10" s="3">
        <v>78</v>
      </c>
      <c r="O10" s="3">
        <v>24</v>
      </c>
      <c r="P10" s="3">
        <v>31</v>
      </c>
      <c r="Q10" s="4">
        <v>9</v>
      </c>
      <c r="R10" s="3">
        <v>60</v>
      </c>
      <c r="S10" s="3">
        <v>41</v>
      </c>
      <c r="T10" s="6">
        <v>2.7400000000000001E-2</v>
      </c>
    </row>
    <row r="11" spans="1:20" x14ac:dyDescent="0.35">
      <c r="A11" s="5" t="s">
        <v>70</v>
      </c>
      <c r="B11" s="3" t="s">
        <v>32</v>
      </c>
      <c r="C11" s="3" t="s">
        <v>71</v>
      </c>
      <c r="D11" s="3" t="s">
        <v>72</v>
      </c>
      <c r="E11" s="3" t="s">
        <v>28</v>
      </c>
      <c r="F11" s="3" t="s">
        <v>73</v>
      </c>
      <c r="G11" s="3" t="s">
        <v>74</v>
      </c>
      <c r="H11" s="43">
        <v>45444</v>
      </c>
      <c r="I11" s="43">
        <v>45605</v>
      </c>
      <c r="J11" s="47" t="str">
        <f>IF(GroDB3[[#This Row],[Last_Order_Date]]&lt;=GroDB3[[#This Row],[Date_Received]], "Yes", "No")</f>
        <v>No</v>
      </c>
      <c r="K11" s="43">
        <f>IF(GroDB3[[#This Row],[Column1]]="No",GroDB3[[#This Row],[Last_Order_Date]],GroDB3[[#This Row],[Date_Received]])</f>
        <v>45605</v>
      </c>
      <c r="L11" s="43">
        <f>IF(GroDB3[[#This Row],[Column1]]="No",GroDB3[[#This Row],[Date_Received]],GroDB3[[#This Row],[Last_Order_Date]])</f>
        <v>45444</v>
      </c>
      <c r="M11" s="43">
        <v>45590</v>
      </c>
      <c r="N11" s="3">
        <v>55</v>
      </c>
      <c r="O11" s="3">
        <v>50</v>
      </c>
      <c r="P11" s="3">
        <v>56</v>
      </c>
      <c r="Q11" s="4">
        <v>1.7</v>
      </c>
      <c r="R11" s="3">
        <v>62</v>
      </c>
      <c r="S11" s="3">
        <v>26</v>
      </c>
      <c r="T11" s="6">
        <v>2.5600000000000001E-2</v>
      </c>
    </row>
    <row r="12" spans="1:20" x14ac:dyDescent="0.35">
      <c r="A12" s="5" t="s">
        <v>75</v>
      </c>
      <c r="B12" s="3" t="s">
        <v>32</v>
      </c>
      <c r="C12" s="3" t="s">
        <v>76</v>
      </c>
      <c r="D12" s="3" t="s">
        <v>77</v>
      </c>
      <c r="E12" s="3" t="s">
        <v>56</v>
      </c>
      <c r="F12" s="3" t="s">
        <v>78</v>
      </c>
      <c r="G12" s="3" t="s">
        <v>79</v>
      </c>
      <c r="H12" s="43">
        <v>45444</v>
      </c>
      <c r="I12" s="43">
        <v>45445</v>
      </c>
      <c r="J12" s="47" t="str">
        <f>IF(GroDB3[[#This Row],[Last_Order_Date]]&lt;=GroDB3[[#This Row],[Date_Received]], "Yes", "No")</f>
        <v>No</v>
      </c>
      <c r="K12" s="43">
        <f>IF(GroDB3[[#This Row],[Column1]]="No",GroDB3[[#This Row],[Last_Order_Date]],GroDB3[[#This Row],[Date_Received]])</f>
        <v>45445</v>
      </c>
      <c r="L12" s="43">
        <f>IF(GroDB3[[#This Row],[Column1]]="No",GroDB3[[#This Row],[Date_Received]],GroDB3[[#This Row],[Last_Order_Date]])</f>
        <v>45444</v>
      </c>
      <c r="M12" s="43">
        <v>45570</v>
      </c>
      <c r="N12" s="3">
        <v>60</v>
      </c>
      <c r="O12" s="3">
        <v>9</v>
      </c>
      <c r="P12" s="3">
        <v>89</v>
      </c>
      <c r="Q12" s="4">
        <v>9</v>
      </c>
      <c r="R12" s="3">
        <v>95</v>
      </c>
      <c r="S12" s="3">
        <v>63</v>
      </c>
      <c r="T12" s="6">
        <v>2.8299999999999999E-2</v>
      </c>
    </row>
    <row r="13" spans="1:20" x14ac:dyDescent="0.35">
      <c r="A13" s="5" t="s">
        <v>80</v>
      </c>
      <c r="B13" s="3" t="s">
        <v>25</v>
      </c>
      <c r="C13" s="3" t="s">
        <v>81</v>
      </c>
      <c r="D13" s="3" t="s">
        <v>82</v>
      </c>
      <c r="E13" s="3" t="s">
        <v>28</v>
      </c>
      <c r="F13" s="3" t="s">
        <v>83</v>
      </c>
      <c r="G13" s="3" t="s">
        <v>84</v>
      </c>
      <c r="H13" s="43">
        <v>45474</v>
      </c>
      <c r="I13" s="43">
        <v>45388</v>
      </c>
      <c r="J13" s="47" t="str">
        <f>IF(GroDB3[[#This Row],[Last_Order_Date]]&lt;=GroDB3[[#This Row],[Date_Received]], "Yes", "No")</f>
        <v>Yes</v>
      </c>
      <c r="K13" s="43">
        <f>IF(GroDB3[[#This Row],[Column1]]="No",GroDB3[[#This Row],[Last_Order_Date]],GroDB3[[#This Row],[Date_Received]])</f>
        <v>45474</v>
      </c>
      <c r="L13" s="43">
        <f>IF(GroDB3[[#This Row],[Column1]]="No",GroDB3[[#This Row],[Date_Received]],GroDB3[[#This Row],[Last_Order_Date]])</f>
        <v>45388</v>
      </c>
      <c r="M13" s="43">
        <v>45571</v>
      </c>
      <c r="N13" s="3">
        <v>53</v>
      </c>
      <c r="O13" s="3">
        <v>89</v>
      </c>
      <c r="P13" s="3">
        <v>100</v>
      </c>
      <c r="Q13" s="4">
        <v>10</v>
      </c>
      <c r="R13" s="3">
        <v>22</v>
      </c>
      <c r="S13" s="3">
        <v>83</v>
      </c>
      <c r="T13" s="6">
        <v>2.7900000000000001E-2</v>
      </c>
    </row>
    <row r="14" spans="1:20" x14ac:dyDescent="0.35">
      <c r="A14" s="5" t="s">
        <v>85</v>
      </c>
      <c r="B14" s="3" t="s">
        <v>18</v>
      </c>
      <c r="C14" s="3" t="s">
        <v>86</v>
      </c>
      <c r="D14" s="3" t="s">
        <v>87</v>
      </c>
      <c r="E14" s="3" t="s">
        <v>28</v>
      </c>
      <c r="F14" s="3" t="s">
        <v>88</v>
      </c>
      <c r="G14" s="3" t="s">
        <v>89</v>
      </c>
      <c r="H14" s="43">
        <v>45505</v>
      </c>
      <c r="I14" s="43">
        <v>45478</v>
      </c>
      <c r="J14" s="47" t="str">
        <f>IF(GroDB3[[#This Row],[Last_Order_Date]]&lt;=GroDB3[[#This Row],[Date_Received]], "Yes", "No")</f>
        <v>Yes</v>
      </c>
      <c r="K14" s="43">
        <f>IF(GroDB3[[#This Row],[Column1]]="No",GroDB3[[#This Row],[Last_Order_Date]],GroDB3[[#This Row],[Date_Received]])</f>
        <v>45505</v>
      </c>
      <c r="L14" s="43">
        <f>IF(GroDB3[[#This Row],[Column1]]="No",GroDB3[[#This Row],[Date_Received]],GroDB3[[#This Row],[Last_Order_Date]])</f>
        <v>45478</v>
      </c>
      <c r="M14" s="43">
        <v>45645</v>
      </c>
      <c r="N14" s="3">
        <v>94</v>
      </c>
      <c r="O14" s="3">
        <v>58</v>
      </c>
      <c r="P14" s="3">
        <v>17</v>
      </c>
      <c r="Q14" s="4">
        <v>2.9</v>
      </c>
      <c r="R14" s="3">
        <v>57</v>
      </c>
      <c r="S14" s="3">
        <v>74</v>
      </c>
      <c r="T14" s="6">
        <v>2.3599999999999999E-2</v>
      </c>
    </row>
    <row r="15" spans="1:20" x14ac:dyDescent="0.35">
      <c r="A15" s="5" t="s">
        <v>90</v>
      </c>
      <c r="B15" s="3" t="s">
        <v>91</v>
      </c>
      <c r="C15" s="3" t="s">
        <v>92</v>
      </c>
      <c r="D15" s="3" t="s">
        <v>93</v>
      </c>
      <c r="E15" s="3" t="s">
        <v>28</v>
      </c>
      <c r="F15" s="3" t="s">
        <v>94</v>
      </c>
      <c r="G15" s="3" t="s">
        <v>95</v>
      </c>
      <c r="H15" s="43">
        <v>45536</v>
      </c>
      <c r="I15" s="43">
        <v>45368</v>
      </c>
      <c r="J15" s="47" t="str">
        <f>IF(GroDB3[[#This Row],[Last_Order_Date]]&lt;=GroDB3[[#This Row],[Date_Received]], "Yes", "No")</f>
        <v>Yes</v>
      </c>
      <c r="K15" s="43">
        <f>IF(GroDB3[[#This Row],[Column1]]="No",GroDB3[[#This Row],[Last_Order_Date]],GroDB3[[#This Row],[Date_Received]])</f>
        <v>45536</v>
      </c>
      <c r="L15" s="43">
        <f>IF(GroDB3[[#This Row],[Column1]]="No",GroDB3[[#This Row],[Date_Received]],GroDB3[[#This Row],[Last_Order_Date]])</f>
        <v>45368</v>
      </c>
      <c r="M15" s="43">
        <v>45504</v>
      </c>
      <c r="N15" s="3">
        <v>77</v>
      </c>
      <c r="O15" s="3">
        <v>79</v>
      </c>
      <c r="P15" s="3">
        <v>65</v>
      </c>
      <c r="Q15" s="4">
        <v>4</v>
      </c>
      <c r="R15" s="3">
        <v>62</v>
      </c>
      <c r="S15" s="3">
        <v>75</v>
      </c>
      <c r="T15" s="6">
        <v>2.69E-2</v>
      </c>
    </row>
    <row r="16" spans="1:20" x14ac:dyDescent="0.35">
      <c r="A16" s="5" t="s">
        <v>96</v>
      </c>
      <c r="B16" s="3" t="s">
        <v>18</v>
      </c>
      <c r="C16" s="3" t="s">
        <v>97</v>
      </c>
      <c r="D16" s="3" t="s">
        <v>98</v>
      </c>
      <c r="E16" s="3" t="s">
        <v>56</v>
      </c>
      <c r="F16" s="3" t="s">
        <v>99</v>
      </c>
      <c r="G16" s="3" t="s">
        <v>100</v>
      </c>
      <c r="H16" s="43">
        <v>45536</v>
      </c>
      <c r="I16" s="43">
        <v>45392</v>
      </c>
      <c r="J16" s="47" t="str">
        <f>IF(GroDB3[[#This Row],[Last_Order_Date]]&lt;=GroDB3[[#This Row],[Date_Received]], "Yes", "No")</f>
        <v>Yes</v>
      </c>
      <c r="K16" s="43">
        <f>IF(GroDB3[[#This Row],[Column1]]="No",GroDB3[[#This Row],[Last_Order_Date]],GroDB3[[#This Row],[Date_Received]])</f>
        <v>45536</v>
      </c>
      <c r="L16" s="43">
        <f>IF(GroDB3[[#This Row],[Column1]]="No",GroDB3[[#This Row],[Date_Received]],GroDB3[[#This Row],[Last_Order_Date]])</f>
        <v>45392</v>
      </c>
      <c r="M16" s="43">
        <v>45653</v>
      </c>
      <c r="N16" s="3">
        <v>34</v>
      </c>
      <c r="O16" s="3">
        <v>92</v>
      </c>
      <c r="P16" s="3">
        <v>26</v>
      </c>
      <c r="Q16" s="4">
        <v>2.5</v>
      </c>
      <c r="R16" s="3">
        <v>28</v>
      </c>
      <c r="S16" s="3">
        <v>71</v>
      </c>
      <c r="T16" s="6">
        <v>2.6100000000000002E-2</v>
      </c>
    </row>
    <row r="17" spans="1:20" x14ac:dyDescent="0.35">
      <c r="A17" s="5" t="s">
        <v>101</v>
      </c>
      <c r="B17" s="3" t="s">
        <v>18</v>
      </c>
      <c r="C17" s="3" t="s">
        <v>102</v>
      </c>
      <c r="D17" s="3" t="s">
        <v>103</v>
      </c>
      <c r="E17" s="3" t="s">
        <v>21</v>
      </c>
      <c r="F17" s="3" t="s">
        <v>104</v>
      </c>
      <c r="G17" s="3" t="s">
        <v>105</v>
      </c>
      <c r="H17" s="43">
        <v>45536</v>
      </c>
      <c r="I17" s="43">
        <v>45353</v>
      </c>
      <c r="J17" s="47" t="str">
        <f>IF(GroDB3[[#This Row],[Last_Order_Date]]&lt;=GroDB3[[#This Row],[Date_Received]], "Yes", "No")</f>
        <v>Yes</v>
      </c>
      <c r="K17" s="43">
        <f>IF(GroDB3[[#This Row],[Column1]]="No",GroDB3[[#This Row],[Last_Order_Date]],GroDB3[[#This Row],[Date_Received]])</f>
        <v>45536</v>
      </c>
      <c r="L17" s="43">
        <f>IF(GroDB3[[#This Row],[Column1]]="No",GroDB3[[#This Row],[Date_Received]],GroDB3[[#This Row],[Last_Order_Date]])</f>
        <v>45353</v>
      </c>
      <c r="M17" s="43">
        <v>45381</v>
      </c>
      <c r="N17" s="3">
        <v>79</v>
      </c>
      <c r="O17" s="3">
        <v>37</v>
      </c>
      <c r="P17" s="3">
        <v>98</v>
      </c>
      <c r="Q17" s="4">
        <v>4.5</v>
      </c>
      <c r="R17" s="3">
        <v>33</v>
      </c>
      <c r="S17" s="3">
        <v>20</v>
      </c>
      <c r="T17" s="6">
        <v>2.5399999999999999E-2</v>
      </c>
    </row>
    <row r="18" spans="1:20" x14ac:dyDescent="0.35">
      <c r="A18" s="5" t="s">
        <v>106</v>
      </c>
      <c r="B18" s="3" t="s">
        <v>32</v>
      </c>
      <c r="C18" s="3" t="s">
        <v>107</v>
      </c>
      <c r="D18" s="3" t="s">
        <v>108</v>
      </c>
      <c r="E18" s="3" t="s">
        <v>28</v>
      </c>
      <c r="F18" s="3" t="s">
        <v>109</v>
      </c>
      <c r="G18" s="3" t="s">
        <v>110</v>
      </c>
      <c r="H18" s="43">
        <v>45566</v>
      </c>
      <c r="I18" s="43">
        <v>45521</v>
      </c>
      <c r="J18" s="47" t="str">
        <f>IF(GroDB3[[#This Row],[Last_Order_Date]]&lt;=GroDB3[[#This Row],[Date_Received]], "Yes", "No")</f>
        <v>Yes</v>
      </c>
      <c r="K18" s="43">
        <f>IF(GroDB3[[#This Row],[Column1]]="No",GroDB3[[#This Row],[Last_Order_Date]],GroDB3[[#This Row],[Date_Received]])</f>
        <v>45566</v>
      </c>
      <c r="L18" s="43">
        <f>IF(GroDB3[[#This Row],[Column1]]="No",GroDB3[[#This Row],[Date_Received]],GroDB3[[#This Row],[Last_Order_Date]])</f>
        <v>45521</v>
      </c>
      <c r="M18" s="43">
        <v>45438</v>
      </c>
      <c r="N18" s="3">
        <v>76</v>
      </c>
      <c r="O18" s="3">
        <v>54</v>
      </c>
      <c r="P18" s="3">
        <v>76</v>
      </c>
      <c r="Q18" s="4">
        <v>2.5</v>
      </c>
      <c r="R18" s="3">
        <v>69</v>
      </c>
      <c r="S18" s="3">
        <v>27</v>
      </c>
      <c r="T18" s="6">
        <v>2.58E-2</v>
      </c>
    </row>
    <row r="19" spans="1:20" x14ac:dyDescent="0.35">
      <c r="A19" s="5" t="s">
        <v>111</v>
      </c>
      <c r="B19" s="3" t="s">
        <v>32</v>
      </c>
      <c r="C19" s="3" t="s">
        <v>112</v>
      </c>
      <c r="D19" s="3" t="s">
        <v>113</v>
      </c>
      <c r="E19" s="3" t="s">
        <v>56</v>
      </c>
      <c r="F19" s="3" t="s">
        <v>114</v>
      </c>
      <c r="G19" s="3" t="s">
        <v>115</v>
      </c>
      <c r="H19" s="43">
        <v>45566</v>
      </c>
      <c r="I19" s="43">
        <v>45476</v>
      </c>
      <c r="J19" s="47" t="str">
        <f>IF(GroDB3[[#This Row],[Last_Order_Date]]&lt;=GroDB3[[#This Row],[Date_Received]], "Yes", "No")</f>
        <v>Yes</v>
      </c>
      <c r="K19" s="43">
        <f>IF(GroDB3[[#This Row],[Column1]]="No",GroDB3[[#This Row],[Last_Order_Date]],GroDB3[[#This Row],[Date_Received]])</f>
        <v>45566</v>
      </c>
      <c r="L19" s="43">
        <f>IF(GroDB3[[#This Row],[Column1]]="No",GroDB3[[#This Row],[Date_Received]],GroDB3[[#This Row],[Last_Order_Date]])</f>
        <v>45476</v>
      </c>
      <c r="M19" s="43">
        <v>45504</v>
      </c>
      <c r="N19" s="3">
        <v>50</v>
      </c>
      <c r="O19" s="3">
        <v>46</v>
      </c>
      <c r="P19" s="3">
        <v>38</v>
      </c>
      <c r="Q19" s="4">
        <v>6.2</v>
      </c>
      <c r="R19" s="3">
        <v>88</v>
      </c>
      <c r="S19" s="3">
        <v>70</v>
      </c>
      <c r="T19" s="6">
        <v>2.3199999999999998E-2</v>
      </c>
    </row>
    <row r="20" spans="1:20" x14ac:dyDescent="0.35">
      <c r="A20" s="5" t="s">
        <v>116</v>
      </c>
      <c r="B20" s="3" t="s">
        <v>18</v>
      </c>
      <c r="C20" s="3" t="s">
        <v>117</v>
      </c>
      <c r="D20" s="3" t="s">
        <v>118</v>
      </c>
      <c r="E20" s="3" t="s">
        <v>28</v>
      </c>
      <c r="F20" s="3" t="s">
        <v>119</v>
      </c>
      <c r="G20" s="3" t="s">
        <v>120</v>
      </c>
      <c r="H20" s="43">
        <v>45566</v>
      </c>
      <c r="I20" s="43">
        <v>45627</v>
      </c>
      <c r="J20" s="47" t="str">
        <f>IF(GroDB3[[#This Row],[Last_Order_Date]]&lt;=GroDB3[[#This Row],[Date_Received]], "Yes", "No")</f>
        <v>No</v>
      </c>
      <c r="K20" s="43">
        <f>IF(GroDB3[[#This Row],[Column1]]="No",GroDB3[[#This Row],[Last_Order_Date]],GroDB3[[#This Row],[Date_Received]])</f>
        <v>45627</v>
      </c>
      <c r="L20" s="43">
        <f>IF(GroDB3[[#This Row],[Column1]]="No",GroDB3[[#This Row],[Date_Received]],GroDB3[[#This Row],[Last_Order_Date]])</f>
        <v>45566</v>
      </c>
      <c r="M20" s="43">
        <v>45542</v>
      </c>
      <c r="N20" s="3">
        <v>25</v>
      </c>
      <c r="O20" s="3">
        <v>62</v>
      </c>
      <c r="P20" s="3">
        <v>11</v>
      </c>
      <c r="Q20" s="4">
        <v>3</v>
      </c>
      <c r="R20" s="3">
        <v>57</v>
      </c>
      <c r="S20" s="3">
        <v>98</v>
      </c>
      <c r="T20" s="6">
        <v>2.6700000000000002E-2</v>
      </c>
    </row>
    <row r="21" spans="1:20" x14ac:dyDescent="0.35">
      <c r="A21" s="5" t="s">
        <v>121</v>
      </c>
      <c r="B21" s="3" t="s">
        <v>53</v>
      </c>
      <c r="C21" s="3" t="s">
        <v>122</v>
      </c>
      <c r="D21" s="3" t="s">
        <v>123</v>
      </c>
      <c r="E21" s="3" t="s">
        <v>28</v>
      </c>
      <c r="F21" s="3" t="s">
        <v>124</v>
      </c>
      <c r="G21" s="3" t="s">
        <v>125</v>
      </c>
      <c r="H21" s="43">
        <v>45566</v>
      </c>
      <c r="I21" s="43">
        <v>45499</v>
      </c>
      <c r="J21" s="47" t="str">
        <f>IF(GroDB3[[#This Row],[Last_Order_Date]]&lt;=GroDB3[[#This Row],[Date_Received]], "Yes", "No")</f>
        <v>Yes</v>
      </c>
      <c r="K21" s="43">
        <f>IF(GroDB3[[#This Row],[Column1]]="No",GroDB3[[#This Row],[Last_Order_Date]],GroDB3[[#This Row],[Date_Received]])</f>
        <v>45566</v>
      </c>
      <c r="L21" s="43">
        <f>IF(GroDB3[[#This Row],[Column1]]="No",GroDB3[[#This Row],[Date_Received]],GroDB3[[#This Row],[Last_Order_Date]])</f>
        <v>45499</v>
      </c>
      <c r="M21" s="43">
        <v>45550</v>
      </c>
      <c r="N21" s="3">
        <v>38</v>
      </c>
      <c r="O21" s="3">
        <v>43</v>
      </c>
      <c r="P21" s="3">
        <v>28</v>
      </c>
      <c r="Q21" s="4">
        <v>2.7</v>
      </c>
      <c r="R21" s="3">
        <v>34</v>
      </c>
      <c r="S21" s="3">
        <v>54</v>
      </c>
      <c r="T21" s="6">
        <v>2.6100000000000002E-2</v>
      </c>
    </row>
    <row r="22" spans="1:20" x14ac:dyDescent="0.35">
      <c r="A22" s="5" t="s">
        <v>126</v>
      </c>
      <c r="B22" s="3" t="s">
        <v>127</v>
      </c>
      <c r="C22" s="3" t="s">
        <v>128</v>
      </c>
      <c r="D22" s="3" t="s">
        <v>129</v>
      </c>
      <c r="E22" s="3" t="s">
        <v>21</v>
      </c>
      <c r="F22" s="3" t="s">
        <v>130</v>
      </c>
      <c r="G22" s="3" t="s">
        <v>131</v>
      </c>
      <c r="H22" s="43">
        <v>45597</v>
      </c>
      <c r="I22" s="43">
        <v>45441</v>
      </c>
      <c r="J22" s="47" t="str">
        <f>IF(GroDB3[[#This Row],[Last_Order_Date]]&lt;=GroDB3[[#This Row],[Date_Received]], "Yes", "No")</f>
        <v>Yes</v>
      </c>
      <c r="K22" s="43">
        <f>IF(GroDB3[[#This Row],[Column1]]="No",GroDB3[[#This Row],[Last_Order_Date]],GroDB3[[#This Row],[Date_Received]])</f>
        <v>45597</v>
      </c>
      <c r="L22" s="43">
        <f>IF(GroDB3[[#This Row],[Column1]]="No",GroDB3[[#This Row],[Date_Received]],GroDB3[[#This Row],[Last_Order_Date]])</f>
        <v>45441</v>
      </c>
      <c r="M22" s="43">
        <v>45420</v>
      </c>
      <c r="N22" s="3">
        <v>45</v>
      </c>
      <c r="O22" s="3">
        <v>77</v>
      </c>
      <c r="P22" s="3">
        <v>2</v>
      </c>
      <c r="Q22" s="4">
        <v>20</v>
      </c>
      <c r="R22" s="3">
        <v>85</v>
      </c>
      <c r="S22" s="3">
        <v>1</v>
      </c>
      <c r="T22" s="6">
        <v>2.5499999999999998E-2</v>
      </c>
    </row>
    <row r="23" spans="1:20" x14ac:dyDescent="0.35">
      <c r="A23" s="5" t="s">
        <v>132</v>
      </c>
      <c r="B23" s="3" t="s">
        <v>18</v>
      </c>
      <c r="C23" s="3" t="s">
        <v>133</v>
      </c>
      <c r="D23" s="3" t="s">
        <v>134</v>
      </c>
      <c r="E23" s="3" t="s">
        <v>56</v>
      </c>
      <c r="F23" s="3" t="s">
        <v>135</v>
      </c>
      <c r="G23" s="3" t="s">
        <v>136</v>
      </c>
      <c r="H23" s="43">
        <v>45627</v>
      </c>
      <c r="I23" s="43">
        <v>45649</v>
      </c>
      <c r="J23" s="47" t="str">
        <f>IF(GroDB3[[#This Row],[Last_Order_Date]]&lt;=GroDB3[[#This Row],[Date_Received]], "Yes", "No")</f>
        <v>No</v>
      </c>
      <c r="K23" s="43">
        <f>IF(GroDB3[[#This Row],[Column1]]="No",GroDB3[[#This Row],[Last_Order_Date]],GroDB3[[#This Row],[Date_Received]])</f>
        <v>45649</v>
      </c>
      <c r="L23" s="43">
        <f>IF(GroDB3[[#This Row],[Column1]]="No",GroDB3[[#This Row],[Date_Received]],GroDB3[[#This Row],[Last_Order_Date]])</f>
        <v>45627</v>
      </c>
      <c r="M23" s="43">
        <v>45614</v>
      </c>
      <c r="N23" s="3">
        <v>49</v>
      </c>
      <c r="O23" s="3">
        <v>1</v>
      </c>
      <c r="P23" s="3">
        <v>28</v>
      </c>
      <c r="Q23" s="4">
        <v>2</v>
      </c>
      <c r="R23" s="3">
        <v>97</v>
      </c>
      <c r="S23" s="3">
        <v>95</v>
      </c>
      <c r="T23" s="6">
        <v>2.5600000000000001E-2</v>
      </c>
    </row>
    <row r="24" spans="1:20" x14ac:dyDescent="0.35">
      <c r="A24" s="5" t="s">
        <v>137</v>
      </c>
      <c r="B24" s="3" t="s">
        <v>18</v>
      </c>
      <c r="C24" s="3" t="s">
        <v>138</v>
      </c>
      <c r="D24" s="3" t="s">
        <v>139</v>
      </c>
      <c r="E24" s="3" t="s">
        <v>28</v>
      </c>
      <c r="F24" s="3" t="s">
        <v>140</v>
      </c>
      <c r="G24" s="3" t="s">
        <v>141</v>
      </c>
      <c r="H24" s="43">
        <v>45353</v>
      </c>
      <c r="I24" s="43">
        <v>45481</v>
      </c>
      <c r="J24" s="47" t="str">
        <f>IF(GroDB3[[#This Row],[Last_Order_Date]]&lt;=GroDB3[[#This Row],[Date_Received]], "Yes", "No")</f>
        <v>No</v>
      </c>
      <c r="K24" s="43">
        <f>IF(GroDB3[[#This Row],[Column1]]="No",GroDB3[[#This Row],[Last_Order_Date]],GroDB3[[#This Row],[Date_Received]])</f>
        <v>45481</v>
      </c>
      <c r="L24" s="43">
        <f>IF(GroDB3[[#This Row],[Column1]]="No",GroDB3[[#This Row],[Date_Received]],GroDB3[[#This Row],[Last_Order_Date]])</f>
        <v>45353</v>
      </c>
      <c r="M24" s="43">
        <v>45607</v>
      </c>
      <c r="N24" s="3">
        <v>89</v>
      </c>
      <c r="O24" s="3">
        <v>92</v>
      </c>
      <c r="P24" s="3">
        <v>62</v>
      </c>
      <c r="Q24" s="4">
        <v>4.8</v>
      </c>
      <c r="R24" s="3">
        <v>46</v>
      </c>
      <c r="S24" s="3">
        <v>11</v>
      </c>
      <c r="T24" s="6">
        <v>2.5700000000000001E-2</v>
      </c>
    </row>
    <row r="25" spans="1:20" x14ac:dyDescent="0.35">
      <c r="A25" s="5" t="s">
        <v>142</v>
      </c>
      <c r="B25" s="3" t="s">
        <v>18</v>
      </c>
      <c r="C25" s="3" t="s">
        <v>117</v>
      </c>
      <c r="D25" s="3" t="s">
        <v>143</v>
      </c>
      <c r="E25" s="3" t="s">
        <v>28</v>
      </c>
      <c r="F25" s="3" t="s">
        <v>144</v>
      </c>
      <c r="G25" s="3" t="s">
        <v>145</v>
      </c>
      <c r="H25" s="43">
        <v>45353</v>
      </c>
      <c r="I25" s="43">
        <v>45487</v>
      </c>
      <c r="J25" s="47" t="str">
        <f>IF(GroDB3[[#This Row],[Last_Order_Date]]&lt;=GroDB3[[#This Row],[Date_Received]], "Yes", "No")</f>
        <v>No</v>
      </c>
      <c r="K25" s="43">
        <f>IF(GroDB3[[#This Row],[Column1]]="No",GroDB3[[#This Row],[Last_Order_Date]],GroDB3[[#This Row],[Date_Received]])</f>
        <v>45487</v>
      </c>
      <c r="L25" s="43">
        <f>IF(GroDB3[[#This Row],[Column1]]="No",GroDB3[[#This Row],[Date_Received]],GroDB3[[#This Row],[Last_Order_Date]])</f>
        <v>45353</v>
      </c>
      <c r="M25" s="43">
        <v>45446</v>
      </c>
      <c r="N25" s="3">
        <v>47</v>
      </c>
      <c r="O25" s="3">
        <v>22</v>
      </c>
      <c r="P25" s="3">
        <v>69</v>
      </c>
      <c r="Q25" s="4">
        <v>4</v>
      </c>
      <c r="R25" s="3">
        <v>26</v>
      </c>
      <c r="S25" s="3">
        <v>59</v>
      </c>
      <c r="T25" s="6">
        <v>2.6200000000000001E-2</v>
      </c>
    </row>
    <row r="26" spans="1:20" x14ac:dyDescent="0.35">
      <c r="A26" s="5" t="s">
        <v>146</v>
      </c>
      <c r="B26" s="3" t="s">
        <v>53</v>
      </c>
      <c r="C26" s="3" t="s">
        <v>147</v>
      </c>
      <c r="D26" s="3" t="s">
        <v>148</v>
      </c>
      <c r="E26" s="3" t="s">
        <v>56</v>
      </c>
      <c r="F26" s="3" t="s">
        <v>149</v>
      </c>
      <c r="G26" s="3" t="s">
        <v>150</v>
      </c>
      <c r="H26" s="43">
        <v>45353</v>
      </c>
      <c r="I26" s="43">
        <v>45477</v>
      </c>
      <c r="J26" s="47" t="str">
        <f>IF(GroDB3[[#This Row],[Last_Order_Date]]&lt;=GroDB3[[#This Row],[Date_Received]], "Yes", "No")</f>
        <v>No</v>
      </c>
      <c r="K26" s="43">
        <f>IF(GroDB3[[#This Row],[Column1]]="No",GroDB3[[#This Row],[Last_Order_Date]],GroDB3[[#This Row],[Date_Received]])</f>
        <v>45477</v>
      </c>
      <c r="L26" s="43">
        <f>IF(GroDB3[[#This Row],[Column1]]="No",GroDB3[[#This Row],[Date_Received]],GroDB3[[#This Row],[Last_Order_Date]])</f>
        <v>45353</v>
      </c>
      <c r="M26" s="43">
        <v>45357</v>
      </c>
      <c r="N26" s="3">
        <v>53</v>
      </c>
      <c r="O26" s="3">
        <v>26</v>
      </c>
      <c r="P26" s="3">
        <v>3</v>
      </c>
      <c r="Q26" s="4">
        <v>4.75</v>
      </c>
      <c r="R26" s="3">
        <v>100</v>
      </c>
      <c r="S26" s="3">
        <v>94</v>
      </c>
      <c r="T26" s="6">
        <v>2.53E-2</v>
      </c>
    </row>
    <row r="27" spans="1:20" x14ac:dyDescent="0.35">
      <c r="A27" s="5" t="s">
        <v>151</v>
      </c>
      <c r="B27" s="3" t="s">
        <v>91</v>
      </c>
      <c r="C27" s="3" t="s">
        <v>152</v>
      </c>
      <c r="D27" s="3" t="s">
        <v>153</v>
      </c>
      <c r="E27" s="3" t="s">
        <v>21</v>
      </c>
      <c r="F27" s="3" t="s">
        <v>154</v>
      </c>
      <c r="G27" s="3" t="s">
        <v>155</v>
      </c>
      <c r="H27" s="43">
        <v>45384</v>
      </c>
      <c r="I27" s="43">
        <v>45453</v>
      </c>
      <c r="J27" s="47" t="str">
        <f>IF(GroDB3[[#This Row],[Last_Order_Date]]&lt;=GroDB3[[#This Row],[Date_Received]], "Yes", "No")</f>
        <v>No</v>
      </c>
      <c r="K27" s="43">
        <f>IF(GroDB3[[#This Row],[Column1]]="No",GroDB3[[#This Row],[Last_Order_Date]],GroDB3[[#This Row],[Date_Received]])</f>
        <v>45453</v>
      </c>
      <c r="L27" s="43">
        <f>IF(GroDB3[[#This Row],[Column1]]="No",GroDB3[[#This Row],[Date_Received]],GroDB3[[#This Row],[Last_Order_Date]])</f>
        <v>45384</v>
      </c>
      <c r="M27" s="43">
        <v>45582</v>
      </c>
      <c r="N27" s="3">
        <v>65</v>
      </c>
      <c r="O27" s="3">
        <v>79</v>
      </c>
      <c r="P27" s="3">
        <v>49</v>
      </c>
      <c r="Q27" s="4">
        <v>4</v>
      </c>
      <c r="R27" s="3">
        <v>100</v>
      </c>
      <c r="S27" s="3">
        <v>9</v>
      </c>
      <c r="T27" s="6">
        <v>2.5000000000000001E-2</v>
      </c>
    </row>
    <row r="28" spans="1:20" x14ac:dyDescent="0.35">
      <c r="A28" s="5" t="s">
        <v>156</v>
      </c>
      <c r="B28" s="3" t="s">
        <v>127</v>
      </c>
      <c r="C28" s="3" t="s">
        <v>157</v>
      </c>
      <c r="D28" s="3" t="s">
        <v>158</v>
      </c>
      <c r="E28" s="3" t="s">
        <v>28</v>
      </c>
      <c r="F28" s="3" t="s">
        <v>159</v>
      </c>
      <c r="G28" s="3" t="s">
        <v>160</v>
      </c>
      <c r="H28" s="43">
        <v>45384</v>
      </c>
      <c r="I28" s="43">
        <v>45622</v>
      </c>
      <c r="J28" s="47" t="str">
        <f>IF(GroDB3[[#This Row],[Last_Order_Date]]&lt;=GroDB3[[#This Row],[Date_Received]], "Yes", "No")</f>
        <v>No</v>
      </c>
      <c r="K28" s="43">
        <f>IF(GroDB3[[#This Row],[Column1]]="No",GroDB3[[#This Row],[Last_Order_Date]],GroDB3[[#This Row],[Date_Received]])</f>
        <v>45622</v>
      </c>
      <c r="L28" s="43">
        <f>IF(GroDB3[[#This Row],[Column1]]="No",GroDB3[[#This Row],[Date_Received]],GroDB3[[#This Row],[Last_Order_Date]])</f>
        <v>45384</v>
      </c>
      <c r="M28" s="43">
        <v>45595</v>
      </c>
      <c r="N28" s="3">
        <v>90</v>
      </c>
      <c r="O28" s="3">
        <v>68</v>
      </c>
      <c r="P28" s="3">
        <v>74</v>
      </c>
      <c r="Q28" s="4">
        <v>12</v>
      </c>
      <c r="R28" s="3">
        <v>81</v>
      </c>
      <c r="S28" s="3">
        <v>26</v>
      </c>
      <c r="T28" s="6">
        <v>2.4299999999999999E-2</v>
      </c>
    </row>
    <row r="29" spans="1:20" x14ac:dyDescent="0.35">
      <c r="A29" s="5" t="s">
        <v>126</v>
      </c>
      <c r="B29" s="3" t="s">
        <v>127</v>
      </c>
      <c r="C29" s="3" t="s">
        <v>161</v>
      </c>
      <c r="D29" s="3" t="s">
        <v>162</v>
      </c>
      <c r="E29" s="3" t="s">
        <v>28</v>
      </c>
      <c r="F29" s="3" t="s">
        <v>163</v>
      </c>
      <c r="G29" s="3" t="s">
        <v>164</v>
      </c>
      <c r="H29" s="43">
        <v>45384</v>
      </c>
      <c r="I29" s="43">
        <v>45664</v>
      </c>
      <c r="J29" s="47" t="str">
        <f>IF(GroDB3[[#This Row],[Last_Order_Date]]&lt;=GroDB3[[#This Row],[Date_Received]], "Yes", "No")</f>
        <v>No</v>
      </c>
      <c r="K29" s="43">
        <f>IF(GroDB3[[#This Row],[Column1]]="No",GroDB3[[#This Row],[Last_Order_Date]],GroDB3[[#This Row],[Date_Received]])</f>
        <v>45664</v>
      </c>
      <c r="L29" s="43">
        <f>IF(GroDB3[[#This Row],[Column1]]="No",GroDB3[[#This Row],[Date_Received]],GroDB3[[#This Row],[Last_Order_Date]])</f>
        <v>45384</v>
      </c>
      <c r="M29" s="43">
        <v>45380</v>
      </c>
      <c r="N29" s="3">
        <v>65</v>
      </c>
      <c r="O29" s="3">
        <v>63</v>
      </c>
      <c r="P29" s="3">
        <v>41</v>
      </c>
      <c r="Q29" s="4">
        <v>20</v>
      </c>
      <c r="R29" s="3">
        <v>28</v>
      </c>
      <c r="S29" s="3">
        <v>26</v>
      </c>
      <c r="T29" s="6">
        <v>2.58E-2</v>
      </c>
    </row>
    <row r="30" spans="1:20" x14ac:dyDescent="0.35">
      <c r="A30" s="5" t="s">
        <v>165</v>
      </c>
      <c r="B30" s="3" t="s">
        <v>60</v>
      </c>
      <c r="C30" s="3" t="s">
        <v>166</v>
      </c>
      <c r="D30" s="3" t="s">
        <v>167</v>
      </c>
      <c r="E30" s="3" t="s">
        <v>56</v>
      </c>
      <c r="F30" s="3" t="s">
        <v>168</v>
      </c>
      <c r="G30" s="3" t="s">
        <v>169</v>
      </c>
      <c r="H30" s="43">
        <v>45414</v>
      </c>
      <c r="I30" s="43">
        <v>45663</v>
      </c>
      <c r="J30" s="47" t="str">
        <f>IF(GroDB3[[#This Row],[Last_Order_Date]]&lt;=GroDB3[[#This Row],[Date_Received]], "Yes", "No")</f>
        <v>No</v>
      </c>
      <c r="K30" s="43">
        <f>IF(GroDB3[[#This Row],[Column1]]="No",GroDB3[[#This Row],[Last_Order_Date]],GroDB3[[#This Row],[Date_Received]])</f>
        <v>45663</v>
      </c>
      <c r="L30" s="43">
        <f>IF(GroDB3[[#This Row],[Column1]]="No",GroDB3[[#This Row],[Date_Received]],GroDB3[[#This Row],[Last_Order_Date]])</f>
        <v>45414</v>
      </c>
      <c r="M30" s="43">
        <v>45484</v>
      </c>
      <c r="N30" s="3">
        <v>30</v>
      </c>
      <c r="O30" s="3">
        <v>42</v>
      </c>
      <c r="P30" s="3">
        <v>8</v>
      </c>
      <c r="Q30" s="4">
        <v>7</v>
      </c>
      <c r="R30" s="3">
        <v>48</v>
      </c>
      <c r="S30" s="3">
        <v>23</v>
      </c>
      <c r="T30" s="6">
        <v>2.5700000000000001E-2</v>
      </c>
    </row>
    <row r="31" spans="1:20" x14ac:dyDescent="0.35">
      <c r="A31" s="5" t="s">
        <v>170</v>
      </c>
      <c r="B31" s="3" t="s">
        <v>53</v>
      </c>
      <c r="C31" s="3" t="s">
        <v>171</v>
      </c>
      <c r="D31" s="3" t="s">
        <v>172</v>
      </c>
      <c r="E31" s="3" t="s">
        <v>56</v>
      </c>
      <c r="F31" s="3" t="s">
        <v>173</v>
      </c>
      <c r="G31" s="3" t="s">
        <v>174</v>
      </c>
      <c r="H31" s="43">
        <v>45414</v>
      </c>
      <c r="I31" s="43">
        <v>45598</v>
      </c>
      <c r="J31" s="47" t="str">
        <f>IF(GroDB3[[#This Row],[Last_Order_Date]]&lt;=GroDB3[[#This Row],[Date_Received]], "Yes", "No")</f>
        <v>No</v>
      </c>
      <c r="K31" s="43">
        <f>IF(GroDB3[[#This Row],[Column1]]="No",GroDB3[[#This Row],[Last_Order_Date]],GroDB3[[#This Row],[Date_Received]])</f>
        <v>45598</v>
      </c>
      <c r="L31" s="43">
        <f>IF(GroDB3[[#This Row],[Column1]]="No",GroDB3[[#This Row],[Date_Received]],GroDB3[[#This Row],[Last_Order_Date]])</f>
        <v>45414</v>
      </c>
      <c r="M31" s="43">
        <v>45695</v>
      </c>
      <c r="N31" s="3">
        <v>34</v>
      </c>
      <c r="O31" s="3">
        <v>32</v>
      </c>
      <c r="P31" s="3">
        <v>22</v>
      </c>
      <c r="Q31" s="4">
        <v>4.5</v>
      </c>
      <c r="R31" s="3">
        <v>42</v>
      </c>
      <c r="S31" s="3">
        <v>27</v>
      </c>
      <c r="T31" s="6">
        <v>2.4500000000000001E-2</v>
      </c>
    </row>
    <row r="32" spans="1:20" x14ac:dyDescent="0.35">
      <c r="A32" s="5" t="s">
        <v>175</v>
      </c>
      <c r="B32" s="3" t="s">
        <v>53</v>
      </c>
      <c r="C32" s="3" t="s">
        <v>176</v>
      </c>
      <c r="D32" s="3" t="s">
        <v>177</v>
      </c>
      <c r="E32" s="3" t="s">
        <v>28</v>
      </c>
      <c r="F32" s="3" t="s">
        <v>178</v>
      </c>
      <c r="G32" s="3" t="s">
        <v>179</v>
      </c>
      <c r="H32" s="43">
        <v>45414</v>
      </c>
      <c r="I32" s="43">
        <v>45619</v>
      </c>
      <c r="J32" s="47" t="str">
        <f>IF(GroDB3[[#This Row],[Last_Order_Date]]&lt;=GroDB3[[#This Row],[Date_Received]], "Yes", "No")</f>
        <v>No</v>
      </c>
      <c r="K32" s="43">
        <f>IF(GroDB3[[#This Row],[Column1]]="No",GroDB3[[#This Row],[Last_Order_Date]],GroDB3[[#This Row],[Date_Received]])</f>
        <v>45619</v>
      </c>
      <c r="L32" s="43">
        <f>IF(GroDB3[[#This Row],[Column1]]="No",GroDB3[[#This Row],[Date_Received]],GroDB3[[#This Row],[Last_Order_Date]])</f>
        <v>45414</v>
      </c>
      <c r="M32" s="43">
        <v>45478</v>
      </c>
      <c r="N32" s="3">
        <v>54</v>
      </c>
      <c r="O32" s="3">
        <v>78</v>
      </c>
      <c r="P32" s="3">
        <v>81</v>
      </c>
      <c r="Q32" s="4">
        <v>1.5</v>
      </c>
      <c r="R32" s="3">
        <v>41</v>
      </c>
      <c r="S32" s="3">
        <v>63</v>
      </c>
      <c r="T32" s="6">
        <v>2.3599999999999999E-2</v>
      </c>
    </row>
    <row r="33" spans="1:20" x14ac:dyDescent="0.35">
      <c r="A33" s="5" t="s">
        <v>180</v>
      </c>
      <c r="B33" s="3" t="s">
        <v>18</v>
      </c>
      <c r="C33" s="3" t="s">
        <v>181</v>
      </c>
      <c r="D33" s="3" t="s">
        <v>182</v>
      </c>
      <c r="E33" s="3" t="s">
        <v>56</v>
      </c>
      <c r="F33" s="3" t="s">
        <v>183</v>
      </c>
      <c r="G33" s="3" t="s">
        <v>184</v>
      </c>
      <c r="H33" s="43">
        <v>45414</v>
      </c>
      <c r="I33" s="43">
        <v>45524</v>
      </c>
      <c r="J33" s="47" t="str">
        <f>IF(GroDB3[[#This Row],[Last_Order_Date]]&lt;=GroDB3[[#This Row],[Date_Received]], "Yes", "No")</f>
        <v>No</v>
      </c>
      <c r="K33" s="43">
        <f>IF(GroDB3[[#This Row],[Column1]]="No",GroDB3[[#This Row],[Last_Order_Date]],GroDB3[[#This Row],[Date_Received]])</f>
        <v>45524</v>
      </c>
      <c r="L33" s="43">
        <f>IF(GroDB3[[#This Row],[Column1]]="No",GroDB3[[#This Row],[Date_Received]],GroDB3[[#This Row],[Last_Order_Date]])</f>
        <v>45414</v>
      </c>
      <c r="M33" s="43">
        <v>45581</v>
      </c>
      <c r="N33" s="3">
        <v>67</v>
      </c>
      <c r="O33" s="3">
        <v>14</v>
      </c>
      <c r="P33" s="3">
        <v>25</v>
      </c>
      <c r="Q33" s="4">
        <v>1.8</v>
      </c>
      <c r="R33" s="3">
        <v>81</v>
      </c>
      <c r="S33" s="3">
        <v>77</v>
      </c>
      <c r="T33" s="6">
        <v>2.3400000000000001E-2</v>
      </c>
    </row>
    <row r="34" spans="1:20" x14ac:dyDescent="0.35">
      <c r="A34" s="5" t="s">
        <v>65</v>
      </c>
      <c r="B34" s="3" t="s">
        <v>32</v>
      </c>
      <c r="C34" s="3" t="s">
        <v>19</v>
      </c>
      <c r="D34" s="3" t="s">
        <v>185</v>
      </c>
      <c r="E34" s="3" t="s">
        <v>28</v>
      </c>
      <c r="F34" s="3" t="s">
        <v>186</v>
      </c>
      <c r="G34" s="3" t="s">
        <v>187</v>
      </c>
      <c r="H34" s="43">
        <v>45445</v>
      </c>
      <c r="I34" s="43">
        <v>45645</v>
      </c>
      <c r="J34" s="47" t="str">
        <f>IF(GroDB3[[#This Row],[Last_Order_Date]]&lt;=GroDB3[[#This Row],[Date_Received]], "Yes", "No")</f>
        <v>No</v>
      </c>
      <c r="K34" s="43">
        <f>IF(GroDB3[[#This Row],[Column1]]="No",GroDB3[[#This Row],[Last_Order_Date]],GroDB3[[#This Row],[Date_Received]])</f>
        <v>45645</v>
      </c>
      <c r="L34" s="43">
        <f>IF(GroDB3[[#This Row],[Column1]]="No",GroDB3[[#This Row],[Date_Received]],GroDB3[[#This Row],[Last_Order_Date]])</f>
        <v>45445</v>
      </c>
      <c r="M34" s="43">
        <v>45543</v>
      </c>
      <c r="N34" s="3">
        <v>50</v>
      </c>
      <c r="O34" s="3">
        <v>14</v>
      </c>
      <c r="P34" s="3">
        <v>6</v>
      </c>
      <c r="Q34" s="4">
        <v>9.1999999999999993</v>
      </c>
      <c r="R34" s="3">
        <v>60</v>
      </c>
      <c r="S34" s="3">
        <v>72</v>
      </c>
      <c r="T34" s="6">
        <v>2.2200000000000001E-2</v>
      </c>
    </row>
    <row r="35" spans="1:20" x14ac:dyDescent="0.35">
      <c r="A35" s="5" t="s">
        <v>188</v>
      </c>
      <c r="B35" s="3" t="s">
        <v>32</v>
      </c>
      <c r="C35" s="3" t="s">
        <v>189</v>
      </c>
      <c r="D35" s="3" t="s">
        <v>190</v>
      </c>
      <c r="E35" s="3" t="s">
        <v>28</v>
      </c>
      <c r="F35" s="3" t="s">
        <v>191</v>
      </c>
      <c r="G35" s="3" t="s">
        <v>192</v>
      </c>
      <c r="H35" s="43">
        <v>45445</v>
      </c>
      <c r="I35" s="43">
        <v>45601</v>
      </c>
      <c r="J35" s="47" t="str">
        <f>IF(GroDB3[[#This Row],[Last_Order_Date]]&lt;=GroDB3[[#This Row],[Date_Received]], "Yes", "No")</f>
        <v>No</v>
      </c>
      <c r="K35" s="43">
        <f>IF(GroDB3[[#This Row],[Column1]]="No",GroDB3[[#This Row],[Last_Order_Date]],GroDB3[[#This Row],[Date_Received]])</f>
        <v>45601</v>
      </c>
      <c r="L35" s="43">
        <f>IF(GroDB3[[#This Row],[Column1]]="No",GroDB3[[#This Row],[Date_Received]],GroDB3[[#This Row],[Last_Order_Date]])</f>
        <v>45445</v>
      </c>
      <c r="M35" s="43">
        <v>45553</v>
      </c>
      <c r="N35" s="3">
        <v>13</v>
      </c>
      <c r="O35" s="3">
        <v>39</v>
      </c>
      <c r="P35" s="3">
        <v>98</v>
      </c>
      <c r="Q35" s="4">
        <v>0.9</v>
      </c>
      <c r="R35" s="3">
        <v>46</v>
      </c>
      <c r="S35" s="3">
        <v>46</v>
      </c>
      <c r="T35" s="6">
        <v>1.9900000000000001E-2</v>
      </c>
    </row>
    <row r="36" spans="1:20" x14ac:dyDescent="0.35">
      <c r="A36" s="5" t="s">
        <v>193</v>
      </c>
      <c r="B36" s="3" t="s">
        <v>18</v>
      </c>
      <c r="C36" s="3" t="s">
        <v>194</v>
      </c>
      <c r="D36" s="3" t="s">
        <v>195</v>
      </c>
      <c r="E36" s="3" t="s">
        <v>28</v>
      </c>
      <c r="F36" s="3" t="s">
        <v>196</v>
      </c>
      <c r="G36" s="3" t="s">
        <v>197</v>
      </c>
      <c r="H36" s="43">
        <v>45445</v>
      </c>
      <c r="I36" s="43">
        <v>45568</v>
      </c>
      <c r="J36" s="47" t="str">
        <f>IF(GroDB3[[#This Row],[Last_Order_Date]]&lt;=GroDB3[[#This Row],[Date_Received]], "Yes", "No")</f>
        <v>No</v>
      </c>
      <c r="K36" s="43">
        <f>IF(GroDB3[[#This Row],[Column1]]="No",GroDB3[[#This Row],[Last_Order_Date]],GroDB3[[#This Row],[Date_Received]])</f>
        <v>45568</v>
      </c>
      <c r="L36" s="43">
        <f>IF(GroDB3[[#This Row],[Column1]]="No",GroDB3[[#This Row],[Date_Received]],GroDB3[[#This Row],[Last_Order_Date]])</f>
        <v>45445</v>
      </c>
      <c r="M36" s="43">
        <v>45401</v>
      </c>
      <c r="N36" s="3">
        <v>18</v>
      </c>
      <c r="O36" s="3">
        <v>8</v>
      </c>
      <c r="P36" s="3">
        <v>68</v>
      </c>
      <c r="Q36" s="4">
        <v>2</v>
      </c>
      <c r="R36" s="3">
        <v>54</v>
      </c>
      <c r="S36" s="3">
        <v>45</v>
      </c>
      <c r="T36" s="6">
        <v>1.9900000000000001E-2</v>
      </c>
    </row>
    <row r="37" spans="1:20" x14ac:dyDescent="0.35">
      <c r="A37" s="5" t="s">
        <v>198</v>
      </c>
      <c r="B37" s="3" t="s">
        <v>53</v>
      </c>
      <c r="C37" s="3" t="s">
        <v>199</v>
      </c>
      <c r="D37" s="3" t="s">
        <v>200</v>
      </c>
      <c r="E37" s="3" t="s">
        <v>56</v>
      </c>
      <c r="F37" s="3" t="s">
        <v>201</v>
      </c>
      <c r="G37" s="3" t="s">
        <v>202</v>
      </c>
      <c r="H37" s="43">
        <v>45445</v>
      </c>
      <c r="I37" s="43">
        <v>45682</v>
      </c>
      <c r="J37" s="47" t="str">
        <f>IF(GroDB3[[#This Row],[Last_Order_Date]]&lt;=GroDB3[[#This Row],[Date_Received]], "Yes", "No")</f>
        <v>No</v>
      </c>
      <c r="K37" s="43">
        <f>IF(GroDB3[[#This Row],[Column1]]="No",GroDB3[[#This Row],[Last_Order_Date]],GroDB3[[#This Row],[Date_Received]])</f>
        <v>45682</v>
      </c>
      <c r="L37" s="43">
        <f>IF(GroDB3[[#This Row],[Column1]]="No",GroDB3[[#This Row],[Date_Received]],GroDB3[[#This Row],[Last_Order_Date]])</f>
        <v>45445</v>
      </c>
      <c r="M37" s="43">
        <v>45540</v>
      </c>
      <c r="N37" s="3">
        <v>24</v>
      </c>
      <c r="O37" s="3">
        <v>2</v>
      </c>
      <c r="P37" s="3">
        <v>49</v>
      </c>
      <c r="Q37" s="4">
        <v>2</v>
      </c>
      <c r="R37" s="3">
        <v>98</v>
      </c>
      <c r="S37" s="3">
        <v>82</v>
      </c>
      <c r="T37" s="6">
        <v>1.9E-2</v>
      </c>
    </row>
    <row r="38" spans="1:20" x14ac:dyDescent="0.35">
      <c r="A38" s="5" t="s">
        <v>151</v>
      </c>
      <c r="B38" s="3" t="s">
        <v>91</v>
      </c>
      <c r="C38" s="3" t="s">
        <v>203</v>
      </c>
      <c r="D38" s="3" t="s">
        <v>204</v>
      </c>
      <c r="E38" s="3" t="s">
        <v>56</v>
      </c>
      <c r="F38" s="3" t="s">
        <v>205</v>
      </c>
      <c r="G38" s="3" t="s">
        <v>206</v>
      </c>
      <c r="H38" s="43">
        <v>45475</v>
      </c>
      <c r="I38" s="43">
        <v>45370</v>
      </c>
      <c r="J38" s="47" t="str">
        <f>IF(GroDB3[[#This Row],[Last_Order_Date]]&lt;=GroDB3[[#This Row],[Date_Received]], "Yes", "No")</f>
        <v>Yes</v>
      </c>
      <c r="K38" s="43">
        <f>IF(GroDB3[[#This Row],[Column1]]="No",GroDB3[[#This Row],[Last_Order_Date]],GroDB3[[#This Row],[Date_Received]])</f>
        <v>45475</v>
      </c>
      <c r="L38" s="43">
        <f>IF(GroDB3[[#This Row],[Column1]]="No",GroDB3[[#This Row],[Date_Received]],GroDB3[[#This Row],[Last_Order_Date]])</f>
        <v>45370</v>
      </c>
      <c r="M38" s="43">
        <v>45426</v>
      </c>
      <c r="N38" s="3">
        <v>40</v>
      </c>
      <c r="O38" s="3">
        <v>30</v>
      </c>
      <c r="P38" s="3">
        <v>65</v>
      </c>
      <c r="Q38" s="4">
        <v>4.5</v>
      </c>
      <c r="R38" s="3">
        <v>54</v>
      </c>
      <c r="S38" s="3">
        <v>29</v>
      </c>
      <c r="T38" s="6">
        <v>1.84E-2</v>
      </c>
    </row>
    <row r="39" spans="1:20" x14ac:dyDescent="0.35">
      <c r="A39" s="5" t="s">
        <v>65</v>
      </c>
      <c r="B39" s="3" t="s">
        <v>32</v>
      </c>
      <c r="C39" s="3" t="s">
        <v>207</v>
      </c>
      <c r="D39" s="3" t="s">
        <v>208</v>
      </c>
      <c r="E39" s="3" t="s">
        <v>56</v>
      </c>
      <c r="F39" s="3" t="s">
        <v>209</v>
      </c>
      <c r="G39" s="3" t="s">
        <v>210</v>
      </c>
      <c r="H39" s="43">
        <v>45506</v>
      </c>
      <c r="I39" s="43">
        <v>45577</v>
      </c>
      <c r="J39" s="47" t="str">
        <f>IF(GroDB3[[#This Row],[Last_Order_Date]]&lt;=GroDB3[[#This Row],[Date_Received]], "Yes", "No")</f>
        <v>No</v>
      </c>
      <c r="K39" s="43">
        <f>IF(GroDB3[[#This Row],[Column1]]="No",GroDB3[[#This Row],[Last_Order_Date]],GroDB3[[#This Row],[Date_Received]])</f>
        <v>45577</v>
      </c>
      <c r="L39" s="43">
        <f>IF(GroDB3[[#This Row],[Column1]]="No",GroDB3[[#This Row],[Date_Received]],GroDB3[[#This Row],[Last_Order_Date]])</f>
        <v>45506</v>
      </c>
      <c r="M39" s="43">
        <v>45371</v>
      </c>
      <c r="N39" s="3">
        <v>53</v>
      </c>
      <c r="O39" s="3">
        <v>63</v>
      </c>
      <c r="P39" s="3">
        <v>2</v>
      </c>
      <c r="Q39" s="4">
        <v>9</v>
      </c>
      <c r="R39" s="3">
        <v>56</v>
      </c>
      <c r="S39" s="3">
        <v>95</v>
      </c>
      <c r="T39" s="6">
        <v>1.83E-2</v>
      </c>
    </row>
    <row r="40" spans="1:20" x14ac:dyDescent="0.35">
      <c r="A40" s="5" t="s">
        <v>211</v>
      </c>
      <c r="B40" s="3" t="s">
        <v>32</v>
      </c>
      <c r="C40" s="3" t="s">
        <v>212</v>
      </c>
      <c r="D40" s="3" t="s">
        <v>213</v>
      </c>
      <c r="E40" s="3" t="s">
        <v>56</v>
      </c>
      <c r="F40" s="3" t="s">
        <v>214</v>
      </c>
      <c r="G40" s="3" t="s">
        <v>215</v>
      </c>
      <c r="H40" s="43">
        <v>45506</v>
      </c>
      <c r="I40" s="43">
        <v>45564</v>
      </c>
      <c r="J40" s="47" t="str">
        <f>IF(GroDB3[[#This Row],[Last_Order_Date]]&lt;=GroDB3[[#This Row],[Date_Received]], "Yes", "No")</f>
        <v>No</v>
      </c>
      <c r="K40" s="43">
        <f>IF(GroDB3[[#This Row],[Column1]]="No",GroDB3[[#This Row],[Last_Order_Date]],GroDB3[[#This Row],[Date_Received]])</f>
        <v>45564</v>
      </c>
      <c r="L40" s="43">
        <f>IF(GroDB3[[#This Row],[Column1]]="No",GroDB3[[#This Row],[Date_Received]],GroDB3[[#This Row],[Last_Order_Date]])</f>
        <v>45506</v>
      </c>
      <c r="M40" s="43">
        <v>45640</v>
      </c>
      <c r="N40" s="3">
        <v>11</v>
      </c>
      <c r="O40" s="3">
        <v>30</v>
      </c>
      <c r="P40" s="3">
        <v>4</v>
      </c>
      <c r="Q40" s="4">
        <v>4</v>
      </c>
      <c r="R40" s="3">
        <v>84</v>
      </c>
      <c r="S40" s="3">
        <v>4</v>
      </c>
      <c r="T40" s="6">
        <v>1.77E-2</v>
      </c>
    </row>
    <row r="41" spans="1:20" x14ac:dyDescent="0.35">
      <c r="A41" s="5" t="s">
        <v>216</v>
      </c>
      <c r="B41" s="3" t="s">
        <v>91</v>
      </c>
      <c r="C41" s="3" t="s">
        <v>54</v>
      </c>
      <c r="D41" s="3" t="s">
        <v>217</v>
      </c>
      <c r="E41" s="3" t="s">
        <v>28</v>
      </c>
      <c r="F41" s="3" t="s">
        <v>218</v>
      </c>
      <c r="G41" s="3" t="s">
        <v>219</v>
      </c>
      <c r="H41" s="43">
        <v>45506</v>
      </c>
      <c r="I41" s="43">
        <v>45528</v>
      </c>
      <c r="J41" s="47" t="str">
        <f>IF(GroDB3[[#This Row],[Last_Order_Date]]&lt;=GroDB3[[#This Row],[Date_Received]], "Yes", "No")</f>
        <v>No</v>
      </c>
      <c r="K41" s="43">
        <f>IF(GroDB3[[#This Row],[Column1]]="No",GroDB3[[#This Row],[Last_Order_Date]],GroDB3[[#This Row],[Date_Received]])</f>
        <v>45528</v>
      </c>
      <c r="L41" s="43">
        <f>IF(GroDB3[[#This Row],[Column1]]="No",GroDB3[[#This Row],[Date_Received]],GroDB3[[#This Row],[Last_Order_Date]])</f>
        <v>45506</v>
      </c>
      <c r="M41" s="43">
        <v>45653</v>
      </c>
      <c r="N41" s="3">
        <v>17</v>
      </c>
      <c r="O41" s="3">
        <v>63</v>
      </c>
      <c r="P41" s="3">
        <v>3</v>
      </c>
      <c r="Q41" s="4">
        <v>3.5</v>
      </c>
      <c r="R41" s="3">
        <v>93</v>
      </c>
      <c r="S41" s="3">
        <v>26</v>
      </c>
      <c r="T41" s="6">
        <v>1.66E-2</v>
      </c>
    </row>
    <row r="42" spans="1:20" x14ac:dyDescent="0.35">
      <c r="A42" s="5" t="s">
        <v>220</v>
      </c>
      <c r="B42" s="3" t="s">
        <v>127</v>
      </c>
      <c r="C42" s="3" t="s">
        <v>221</v>
      </c>
      <c r="D42" s="3" t="s">
        <v>222</v>
      </c>
      <c r="E42" s="3" t="s">
        <v>21</v>
      </c>
      <c r="F42" s="3" t="s">
        <v>223</v>
      </c>
      <c r="G42" s="3" t="s">
        <v>224</v>
      </c>
      <c r="H42" s="43">
        <v>45506</v>
      </c>
      <c r="I42" s="43">
        <v>45532</v>
      </c>
      <c r="J42" s="47" t="str">
        <f>IF(GroDB3[[#This Row],[Last_Order_Date]]&lt;=GroDB3[[#This Row],[Date_Received]], "Yes", "No")</f>
        <v>No</v>
      </c>
      <c r="K42" s="43">
        <f>IF(GroDB3[[#This Row],[Column1]]="No",GroDB3[[#This Row],[Last_Order_Date]],GroDB3[[#This Row],[Date_Received]])</f>
        <v>45532</v>
      </c>
      <c r="L42" s="43">
        <f>IF(GroDB3[[#This Row],[Column1]]="No",GroDB3[[#This Row],[Date_Received]],GroDB3[[#This Row],[Last_Order_Date]])</f>
        <v>45506</v>
      </c>
      <c r="M42" s="43">
        <v>45536</v>
      </c>
      <c r="N42" s="3">
        <v>14</v>
      </c>
      <c r="O42" s="3">
        <v>77</v>
      </c>
      <c r="P42" s="3">
        <v>78</v>
      </c>
      <c r="Q42" s="4">
        <v>10</v>
      </c>
      <c r="R42" s="3">
        <v>32</v>
      </c>
      <c r="S42" s="3">
        <v>24</v>
      </c>
      <c r="T42" s="6">
        <v>1.52E-2</v>
      </c>
    </row>
    <row r="43" spans="1:20" x14ac:dyDescent="0.35">
      <c r="A43" s="5" t="s">
        <v>225</v>
      </c>
      <c r="B43" s="3" t="s">
        <v>91</v>
      </c>
      <c r="C43" s="3" t="s">
        <v>226</v>
      </c>
      <c r="D43" s="3" t="s">
        <v>227</v>
      </c>
      <c r="E43" s="3" t="s">
        <v>56</v>
      </c>
      <c r="F43" s="3" t="s">
        <v>228</v>
      </c>
      <c r="G43" s="3" t="s">
        <v>229</v>
      </c>
      <c r="H43" s="43">
        <v>45506</v>
      </c>
      <c r="I43" s="43">
        <v>45372</v>
      </c>
      <c r="J43" s="47" t="str">
        <f>IF(GroDB3[[#This Row],[Last_Order_Date]]&lt;=GroDB3[[#This Row],[Date_Received]], "Yes", "No")</f>
        <v>Yes</v>
      </c>
      <c r="K43" s="43">
        <f>IF(GroDB3[[#This Row],[Column1]]="No",GroDB3[[#This Row],[Last_Order_Date]],GroDB3[[#This Row],[Date_Received]])</f>
        <v>45506</v>
      </c>
      <c r="L43" s="43">
        <f>IF(GroDB3[[#This Row],[Column1]]="No",GroDB3[[#This Row],[Date_Received]],GroDB3[[#This Row],[Last_Order_Date]])</f>
        <v>45372</v>
      </c>
      <c r="M43" s="43">
        <v>45492</v>
      </c>
      <c r="N43" s="3">
        <v>100</v>
      </c>
      <c r="O43" s="3">
        <v>1</v>
      </c>
      <c r="P43" s="3">
        <v>26</v>
      </c>
      <c r="Q43" s="4">
        <v>5</v>
      </c>
      <c r="R43" s="3">
        <v>47</v>
      </c>
      <c r="S43" s="3">
        <v>79</v>
      </c>
      <c r="T43" s="6">
        <v>1.32E-2</v>
      </c>
    </row>
    <row r="44" spans="1:20" x14ac:dyDescent="0.35">
      <c r="A44" s="5" t="s">
        <v>230</v>
      </c>
      <c r="B44" s="3" t="s">
        <v>25</v>
      </c>
      <c r="C44" s="3" t="s">
        <v>231</v>
      </c>
      <c r="D44" s="3" t="s">
        <v>232</v>
      </c>
      <c r="E44" s="3" t="s">
        <v>56</v>
      </c>
      <c r="F44" s="3" t="s">
        <v>233</v>
      </c>
      <c r="G44" s="3" t="s">
        <v>234</v>
      </c>
      <c r="H44" s="43">
        <v>45506</v>
      </c>
      <c r="I44" s="43">
        <v>45392</v>
      </c>
      <c r="J44" s="47" t="str">
        <f>IF(GroDB3[[#This Row],[Last_Order_Date]]&lt;=GroDB3[[#This Row],[Date_Received]], "Yes", "No")</f>
        <v>Yes</v>
      </c>
      <c r="K44" s="43">
        <f>IF(GroDB3[[#This Row],[Column1]]="No",GroDB3[[#This Row],[Last_Order_Date]],GroDB3[[#This Row],[Date_Received]])</f>
        <v>45506</v>
      </c>
      <c r="L44" s="43">
        <f>IF(GroDB3[[#This Row],[Column1]]="No",GroDB3[[#This Row],[Date_Received]],GroDB3[[#This Row],[Last_Order_Date]])</f>
        <v>45392</v>
      </c>
      <c r="M44" s="43">
        <v>45439</v>
      </c>
      <c r="N44" s="3">
        <v>67</v>
      </c>
      <c r="O44" s="3">
        <v>57</v>
      </c>
      <c r="P44" s="3">
        <v>36</v>
      </c>
      <c r="Q44" s="4">
        <v>1.8</v>
      </c>
      <c r="R44" s="3">
        <v>78</v>
      </c>
      <c r="S44" s="3">
        <v>60</v>
      </c>
      <c r="T44" s="6">
        <v>1.21E-2</v>
      </c>
    </row>
    <row r="45" spans="1:20" x14ac:dyDescent="0.35">
      <c r="A45" s="5" t="s">
        <v>59</v>
      </c>
      <c r="B45" s="3" t="s">
        <v>60</v>
      </c>
      <c r="C45" s="3" t="s">
        <v>235</v>
      </c>
      <c r="D45" s="3" t="s">
        <v>236</v>
      </c>
      <c r="E45" s="3" t="s">
        <v>21</v>
      </c>
      <c r="F45" s="3" t="s">
        <v>237</v>
      </c>
      <c r="G45" s="3" t="s">
        <v>238</v>
      </c>
      <c r="H45" s="43">
        <v>45537</v>
      </c>
      <c r="I45" s="43">
        <v>45347</v>
      </c>
      <c r="J45" s="47" t="str">
        <f>IF(GroDB3[[#This Row],[Last_Order_Date]]&lt;=GroDB3[[#This Row],[Date_Received]], "Yes", "No")</f>
        <v>Yes</v>
      </c>
      <c r="K45" s="43">
        <f>IF(GroDB3[[#This Row],[Column1]]="No",GroDB3[[#This Row],[Last_Order_Date]],GroDB3[[#This Row],[Date_Received]])</f>
        <v>45537</v>
      </c>
      <c r="L45" s="43">
        <f>IF(GroDB3[[#This Row],[Column1]]="No",GroDB3[[#This Row],[Date_Received]],GroDB3[[#This Row],[Last_Order_Date]])</f>
        <v>45347</v>
      </c>
      <c r="M45" s="43">
        <v>45703</v>
      </c>
      <c r="N45" s="3">
        <v>60</v>
      </c>
      <c r="O45" s="3">
        <v>64</v>
      </c>
      <c r="P45" s="3">
        <v>36</v>
      </c>
      <c r="Q45" s="4">
        <v>10</v>
      </c>
      <c r="R45" s="3">
        <v>34</v>
      </c>
      <c r="S45" s="3">
        <v>48</v>
      </c>
      <c r="T45" s="6">
        <v>1.14E-2</v>
      </c>
    </row>
    <row r="46" spans="1:20" x14ac:dyDescent="0.35">
      <c r="A46" s="5" t="s">
        <v>239</v>
      </c>
      <c r="B46" s="3" t="s">
        <v>25</v>
      </c>
      <c r="C46" s="3" t="s">
        <v>81</v>
      </c>
      <c r="D46" s="3" t="s">
        <v>240</v>
      </c>
      <c r="E46" s="3" t="s">
        <v>21</v>
      </c>
      <c r="F46" s="3" t="s">
        <v>241</v>
      </c>
      <c r="G46" s="3" t="s">
        <v>242</v>
      </c>
      <c r="H46" s="43">
        <v>45537</v>
      </c>
      <c r="I46" s="43">
        <v>45387</v>
      </c>
      <c r="J46" s="47" t="str">
        <f>IF(GroDB3[[#This Row],[Last_Order_Date]]&lt;=GroDB3[[#This Row],[Date_Received]], "Yes", "No")</f>
        <v>Yes</v>
      </c>
      <c r="K46" s="43">
        <f>IF(GroDB3[[#This Row],[Column1]]="No",GroDB3[[#This Row],[Last_Order_Date]],GroDB3[[#This Row],[Date_Received]])</f>
        <v>45537</v>
      </c>
      <c r="L46" s="43">
        <f>IF(GroDB3[[#This Row],[Column1]]="No",GroDB3[[#This Row],[Date_Received]],GroDB3[[#This Row],[Last_Order_Date]])</f>
        <v>45387</v>
      </c>
      <c r="M46" s="43">
        <v>45530</v>
      </c>
      <c r="N46" s="3">
        <v>45</v>
      </c>
      <c r="O46" s="3">
        <v>7</v>
      </c>
      <c r="P46" s="3">
        <v>58</v>
      </c>
      <c r="Q46" s="4">
        <v>6.5</v>
      </c>
      <c r="R46" s="3">
        <v>86</v>
      </c>
      <c r="S46" s="3">
        <v>77</v>
      </c>
      <c r="T46" s="6">
        <v>9.9000000000000008E-3</v>
      </c>
    </row>
    <row r="47" spans="1:20" x14ac:dyDescent="0.35">
      <c r="A47" s="5" t="s">
        <v>243</v>
      </c>
      <c r="B47" s="3" t="s">
        <v>18</v>
      </c>
      <c r="C47" s="3" t="s">
        <v>244</v>
      </c>
      <c r="D47" s="3" t="s">
        <v>245</v>
      </c>
      <c r="E47" s="3" t="s">
        <v>56</v>
      </c>
      <c r="F47" s="3" t="s">
        <v>246</v>
      </c>
      <c r="G47" s="3" t="s">
        <v>247</v>
      </c>
      <c r="H47" s="43">
        <v>45567</v>
      </c>
      <c r="I47" s="43">
        <v>45579</v>
      </c>
      <c r="J47" s="47" t="str">
        <f>IF(GroDB3[[#This Row],[Last_Order_Date]]&lt;=GroDB3[[#This Row],[Date_Received]], "Yes", "No")</f>
        <v>No</v>
      </c>
      <c r="K47" s="43">
        <f>IF(GroDB3[[#This Row],[Column1]]="No",GroDB3[[#This Row],[Last_Order_Date]],GroDB3[[#This Row],[Date_Received]])</f>
        <v>45579</v>
      </c>
      <c r="L47" s="43">
        <f>IF(GroDB3[[#This Row],[Column1]]="No",GroDB3[[#This Row],[Date_Received]],GroDB3[[#This Row],[Last_Order_Date]])</f>
        <v>45567</v>
      </c>
      <c r="M47" s="43">
        <v>45388</v>
      </c>
      <c r="N47" s="3">
        <v>58</v>
      </c>
      <c r="O47" s="3">
        <v>5</v>
      </c>
      <c r="P47" s="3">
        <v>1</v>
      </c>
      <c r="Q47" s="4">
        <v>2</v>
      </c>
      <c r="R47" s="3">
        <v>53</v>
      </c>
      <c r="S47" s="3">
        <v>80</v>
      </c>
      <c r="T47" s="6">
        <v>8.0000000000000002E-3</v>
      </c>
    </row>
    <row r="48" spans="1:20" x14ac:dyDescent="0.35">
      <c r="A48" s="5" t="s">
        <v>248</v>
      </c>
      <c r="B48" s="3" t="s">
        <v>32</v>
      </c>
      <c r="C48" s="3" t="s">
        <v>249</v>
      </c>
      <c r="D48" s="3" t="s">
        <v>250</v>
      </c>
      <c r="E48" s="3" t="s">
        <v>21</v>
      </c>
      <c r="F48" s="3" t="s">
        <v>251</v>
      </c>
      <c r="G48" s="3" t="s">
        <v>252</v>
      </c>
      <c r="H48" s="43">
        <v>45567</v>
      </c>
      <c r="I48" s="43">
        <v>45615</v>
      </c>
      <c r="J48" s="47" t="str">
        <f>IF(GroDB3[[#This Row],[Last_Order_Date]]&lt;=GroDB3[[#This Row],[Date_Received]], "Yes", "No")</f>
        <v>No</v>
      </c>
      <c r="K48" s="43">
        <f>IF(GroDB3[[#This Row],[Column1]]="No",GroDB3[[#This Row],[Last_Order_Date]],GroDB3[[#This Row],[Date_Received]])</f>
        <v>45615</v>
      </c>
      <c r="L48" s="43">
        <f>IF(GroDB3[[#This Row],[Column1]]="No",GroDB3[[#This Row],[Date_Received]],GroDB3[[#This Row],[Last_Order_Date]])</f>
        <v>45567</v>
      </c>
      <c r="M48" s="43">
        <v>45509</v>
      </c>
      <c r="N48" s="3">
        <v>98</v>
      </c>
      <c r="O48" s="3">
        <v>77</v>
      </c>
      <c r="P48" s="3">
        <v>7</v>
      </c>
      <c r="Q48" s="4">
        <v>7</v>
      </c>
      <c r="R48" s="3">
        <v>92</v>
      </c>
      <c r="S48" s="3">
        <v>29</v>
      </c>
      <c r="T48" s="6">
        <v>6.1999999999999998E-3</v>
      </c>
    </row>
    <row r="49" spans="1:20" x14ac:dyDescent="0.35">
      <c r="A49" s="5" t="s">
        <v>253</v>
      </c>
      <c r="B49" s="3" t="s">
        <v>18</v>
      </c>
      <c r="C49" s="3" t="s">
        <v>254</v>
      </c>
      <c r="D49" s="3" t="s">
        <v>255</v>
      </c>
      <c r="E49" s="3" t="s">
        <v>28</v>
      </c>
      <c r="F49" s="3" t="s">
        <v>256</v>
      </c>
      <c r="G49" s="3" t="s">
        <v>257</v>
      </c>
      <c r="H49" s="43">
        <v>45628</v>
      </c>
      <c r="I49" s="43">
        <v>45688</v>
      </c>
      <c r="J49" s="47" t="str">
        <f>IF(GroDB3[[#This Row],[Last_Order_Date]]&lt;=GroDB3[[#This Row],[Date_Received]], "Yes", "No")</f>
        <v>No</v>
      </c>
      <c r="K49" s="43">
        <f>IF(GroDB3[[#This Row],[Column1]]="No",GroDB3[[#This Row],[Last_Order_Date]],GroDB3[[#This Row],[Date_Received]])</f>
        <v>45688</v>
      </c>
      <c r="L49" s="43">
        <f>IF(GroDB3[[#This Row],[Column1]]="No",GroDB3[[#This Row],[Date_Received]],GroDB3[[#This Row],[Last_Order_Date]])</f>
        <v>45628</v>
      </c>
      <c r="M49" s="43">
        <v>45564</v>
      </c>
      <c r="N49" s="3">
        <v>42</v>
      </c>
      <c r="O49" s="3">
        <v>61</v>
      </c>
      <c r="P49" s="3">
        <v>52</v>
      </c>
      <c r="Q49" s="4">
        <v>5</v>
      </c>
      <c r="R49" s="3">
        <v>86</v>
      </c>
      <c r="S49" s="3">
        <v>99</v>
      </c>
      <c r="T49" s="6">
        <v>4.7000000000000002E-3</v>
      </c>
    </row>
    <row r="50" spans="1:20" x14ac:dyDescent="0.35">
      <c r="A50" s="5" t="s">
        <v>258</v>
      </c>
      <c r="B50" s="3" t="s">
        <v>25</v>
      </c>
      <c r="C50" s="3" t="s">
        <v>259</v>
      </c>
      <c r="D50" s="3" t="s">
        <v>260</v>
      </c>
      <c r="E50" s="3" t="s">
        <v>21</v>
      </c>
      <c r="F50" s="3" t="s">
        <v>261</v>
      </c>
      <c r="G50" s="3" t="s">
        <v>262</v>
      </c>
      <c r="H50" s="43">
        <v>45628</v>
      </c>
      <c r="I50" s="43">
        <v>45638</v>
      </c>
      <c r="J50" s="47" t="str">
        <f>IF(GroDB3[[#This Row],[Last_Order_Date]]&lt;=GroDB3[[#This Row],[Date_Received]], "Yes", "No")</f>
        <v>No</v>
      </c>
      <c r="K50" s="43">
        <f>IF(GroDB3[[#This Row],[Column1]]="No",GroDB3[[#This Row],[Last_Order_Date]],GroDB3[[#This Row],[Date_Received]])</f>
        <v>45638</v>
      </c>
      <c r="L50" s="43">
        <f>IF(GroDB3[[#This Row],[Column1]]="No",GroDB3[[#This Row],[Date_Received]],GroDB3[[#This Row],[Last_Order_Date]])</f>
        <v>45628</v>
      </c>
      <c r="M50" s="43">
        <v>45609</v>
      </c>
      <c r="N50" s="3">
        <v>38</v>
      </c>
      <c r="O50" s="3">
        <v>62</v>
      </c>
      <c r="P50" s="3">
        <v>47</v>
      </c>
      <c r="Q50" s="4">
        <v>4</v>
      </c>
      <c r="R50" s="3">
        <v>41</v>
      </c>
      <c r="S50" s="3">
        <v>34</v>
      </c>
      <c r="T50" s="6">
        <v>3.7000000000000002E-3</v>
      </c>
    </row>
    <row r="51" spans="1:20" x14ac:dyDescent="0.35">
      <c r="A51" s="5" t="s">
        <v>263</v>
      </c>
      <c r="B51" s="3" t="s">
        <v>25</v>
      </c>
      <c r="C51" s="3" t="s">
        <v>264</v>
      </c>
      <c r="D51" s="3" t="s">
        <v>265</v>
      </c>
      <c r="E51" s="3" t="s">
        <v>21</v>
      </c>
      <c r="F51" s="3" t="s">
        <v>266</v>
      </c>
      <c r="G51" s="3" t="s">
        <v>267</v>
      </c>
      <c r="H51" s="43">
        <v>45354</v>
      </c>
      <c r="I51" s="43">
        <v>45456</v>
      </c>
      <c r="J51" s="47" t="str">
        <f>IF(GroDB3[[#This Row],[Last_Order_Date]]&lt;=GroDB3[[#This Row],[Date_Received]], "Yes", "No")</f>
        <v>No</v>
      </c>
      <c r="K51" s="43">
        <f>IF(GroDB3[[#This Row],[Column1]]="No",GroDB3[[#This Row],[Last_Order_Date]],GroDB3[[#This Row],[Date_Received]])</f>
        <v>45456</v>
      </c>
      <c r="L51" s="43">
        <f>IF(GroDB3[[#This Row],[Column1]]="No",GroDB3[[#This Row],[Date_Received]],GroDB3[[#This Row],[Last_Order_Date]])</f>
        <v>45354</v>
      </c>
      <c r="M51" s="43">
        <v>45639</v>
      </c>
      <c r="N51" s="3">
        <v>36</v>
      </c>
      <c r="O51" s="3">
        <v>3</v>
      </c>
      <c r="P51" s="3">
        <v>54</v>
      </c>
      <c r="Q51" s="4">
        <v>6</v>
      </c>
      <c r="R51" s="3">
        <v>74</v>
      </c>
      <c r="S51" s="3">
        <v>8</v>
      </c>
      <c r="T51" s="6">
        <v>2.0999999999999999E-3</v>
      </c>
    </row>
    <row r="52" spans="1:20" x14ac:dyDescent="0.35">
      <c r="A52" s="5" t="s">
        <v>121</v>
      </c>
      <c r="B52" s="3" t="s">
        <v>53</v>
      </c>
      <c r="C52" s="3" t="s">
        <v>268</v>
      </c>
      <c r="D52" s="3" t="s">
        <v>269</v>
      </c>
      <c r="E52" s="3" t="s">
        <v>56</v>
      </c>
      <c r="F52" s="3" t="s">
        <v>270</v>
      </c>
      <c r="G52" s="3" t="s">
        <v>271</v>
      </c>
      <c r="H52" s="43">
        <v>45385</v>
      </c>
      <c r="I52" s="43">
        <v>45432</v>
      </c>
      <c r="J52" s="47" t="str">
        <f>IF(GroDB3[[#This Row],[Last_Order_Date]]&lt;=GroDB3[[#This Row],[Date_Received]], "Yes", "No")</f>
        <v>No</v>
      </c>
      <c r="K52" s="43">
        <f>IF(GroDB3[[#This Row],[Column1]]="No",GroDB3[[#This Row],[Last_Order_Date]],GroDB3[[#This Row],[Date_Received]])</f>
        <v>45432</v>
      </c>
      <c r="L52" s="43">
        <f>IF(GroDB3[[#This Row],[Column1]]="No",GroDB3[[#This Row],[Date_Received]],GroDB3[[#This Row],[Last_Order_Date]])</f>
        <v>45385</v>
      </c>
      <c r="M52" s="43">
        <v>45541</v>
      </c>
      <c r="N52" s="3">
        <v>67</v>
      </c>
      <c r="O52" s="3">
        <v>60</v>
      </c>
      <c r="P52" s="3">
        <v>21</v>
      </c>
      <c r="Q52" s="4">
        <v>2.75</v>
      </c>
      <c r="R52" s="3">
        <v>30</v>
      </c>
      <c r="S52" s="3">
        <v>6</v>
      </c>
      <c r="T52" s="7">
        <v>0.89</v>
      </c>
    </row>
    <row r="53" spans="1:20" x14ac:dyDescent="0.35">
      <c r="A53" s="5" t="s">
        <v>272</v>
      </c>
      <c r="B53" s="3" t="s">
        <v>32</v>
      </c>
      <c r="C53" s="3" t="s">
        <v>43</v>
      </c>
      <c r="D53" s="3" t="s">
        <v>273</v>
      </c>
      <c r="E53" s="3" t="s">
        <v>28</v>
      </c>
      <c r="F53" s="3" t="s">
        <v>274</v>
      </c>
      <c r="G53" s="3" t="s">
        <v>275</v>
      </c>
      <c r="H53" s="43">
        <v>45385</v>
      </c>
      <c r="I53" s="43">
        <v>45490</v>
      </c>
      <c r="J53" s="47" t="str">
        <f>IF(GroDB3[[#This Row],[Last_Order_Date]]&lt;=GroDB3[[#This Row],[Date_Received]], "Yes", "No")</f>
        <v>No</v>
      </c>
      <c r="K53" s="43">
        <f>IF(GroDB3[[#This Row],[Column1]]="No",GroDB3[[#This Row],[Last_Order_Date]],GroDB3[[#This Row],[Date_Received]])</f>
        <v>45490</v>
      </c>
      <c r="L53" s="43">
        <f>IF(GroDB3[[#This Row],[Column1]]="No",GroDB3[[#This Row],[Date_Received]],GroDB3[[#This Row],[Last_Order_Date]])</f>
        <v>45385</v>
      </c>
      <c r="M53" s="43">
        <v>45372</v>
      </c>
      <c r="N53" s="3">
        <v>37</v>
      </c>
      <c r="O53" s="3">
        <v>53</v>
      </c>
      <c r="P53" s="3">
        <v>61</v>
      </c>
      <c r="Q53" s="4">
        <v>1</v>
      </c>
      <c r="R53" s="3">
        <v>90</v>
      </c>
      <c r="S53" s="3">
        <v>89</v>
      </c>
      <c r="T53" s="7">
        <v>0.8</v>
      </c>
    </row>
    <row r="54" spans="1:20" x14ac:dyDescent="0.35">
      <c r="A54" s="5" t="s">
        <v>276</v>
      </c>
      <c r="B54" s="3" t="s">
        <v>18</v>
      </c>
      <c r="C54" s="3" t="s">
        <v>277</v>
      </c>
      <c r="D54" s="3" t="s">
        <v>278</v>
      </c>
      <c r="E54" s="3" t="s">
        <v>56</v>
      </c>
      <c r="F54" s="3" t="s">
        <v>279</v>
      </c>
      <c r="G54" s="3" t="s">
        <v>280</v>
      </c>
      <c r="H54" s="43">
        <v>45385</v>
      </c>
      <c r="I54" s="43">
        <v>45681</v>
      </c>
      <c r="J54" s="47" t="str">
        <f>IF(GroDB3[[#This Row],[Last_Order_Date]]&lt;=GroDB3[[#This Row],[Date_Received]], "Yes", "No")</f>
        <v>No</v>
      </c>
      <c r="K54" s="43">
        <f>IF(GroDB3[[#This Row],[Column1]]="No",GroDB3[[#This Row],[Last_Order_Date]],GroDB3[[#This Row],[Date_Received]])</f>
        <v>45681</v>
      </c>
      <c r="L54" s="43">
        <f>IF(GroDB3[[#This Row],[Column1]]="No",GroDB3[[#This Row],[Date_Received]],GroDB3[[#This Row],[Last_Order_Date]])</f>
        <v>45385</v>
      </c>
      <c r="M54" s="43">
        <v>45700</v>
      </c>
      <c r="N54" s="3">
        <v>20</v>
      </c>
      <c r="O54" s="3">
        <v>51</v>
      </c>
      <c r="P54" s="3">
        <v>33</v>
      </c>
      <c r="Q54" s="4">
        <v>3.5</v>
      </c>
      <c r="R54" s="3">
        <v>80</v>
      </c>
      <c r="S54" s="3">
        <v>41</v>
      </c>
      <c r="T54" s="7">
        <v>0.01</v>
      </c>
    </row>
    <row r="55" spans="1:20" x14ac:dyDescent="0.35">
      <c r="A55" s="5" t="s">
        <v>146</v>
      </c>
      <c r="B55" s="3" t="s">
        <v>53</v>
      </c>
      <c r="C55" s="3" t="s">
        <v>281</v>
      </c>
      <c r="D55" s="3" t="s">
        <v>282</v>
      </c>
      <c r="E55" s="3" t="s">
        <v>21</v>
      </c>
      <c r="F55" s="3" t="s">
        <v>283</v>
      </c>
      <c r="G55" s="3" t="s">
        <v>284</v>
      </c>
      <c r="H55" s="43">
        <v>45385</v>
      </c>
      <c r="I55" s="43">
        <v>45392</v>
      </c>
      <c r="J55" s="47" t="str">
        <f>IF(GroDB3[[#This Row],[Last_Order_Date]]&lt;=GroDB3[[#This Row],[Date_Received]], "Yes", "No")</f>
        <v>No</v>
      </c>
      <c r="K55" s="43">
        <f>IF(GroDB3[[#This Row],[Column1]]="No",GroDB3[[#This Row],[Last_Order_Date]],GroDB3[[#This Row],[Date_Received]])</f>
        <v>45392</v>
      </c>
      <c r="L55" s="43">
        <f>IF(GroDB3[[#This Row],[Column1]]="No",GroDB3[[#This Row],[Date_Received]],GroDB3[[#This Row],[Last_Order_Date]])</f>
        <v>45385</v>
      </c>
      <c r="M55" s="43">
        <v>45439</v>
      </c>
      <c r="N55" s="3">
        <v>62</v>
      </c>
      <c r="O55" s="3">
        <v>36</v>
      </c>
      <c r="P55" s="3">
        <v>96</v>
      </c>
      <c r="Q55" s="4">
        <v>4.75</v>
      </c>
      <c r="R55" s="3">
        <v>31</v>
      </c>
      <c r="S55" s="3">
        <v>25</v>
      </c>
      <c r="T55" s="7">
        <v>0.49</v>
      </c>
    </row>
    <row r="56" spans="1:20" x14ac:dyDescent="0.35">
      <c r="A56" s="5" t="s">
        <v>180</v>
      </c>
      <c r="B56" s="3" t="s">
        <v>18</v>
      </c>
      <c r="C56" s="3" t="s">
        <v>277</v>
      </c>
      <c r="D56" s="3" t="s">
        <v>285</v>
      </c>
      <c r="E56" s="3" t="s">
        <v>28</v>
      </c>
      <c r="F56" s="3" t="s">
        <v>286</v>
      </c>
      <c r="G56" s="3" t="s">
        <v>287</v>
      </c>
      <c r="H56" s="43">
        <v>45415</v>
      </c>
      <c r="I56" s="43">
        <v>45379</v>
      </c>
      <c r="J56" s="47" t="str">
        <f>IF(GroDB3[[#This Row],[Last_Order_Date]]&lt;=GroDB3[[#This Row],[Date_Received]], "Yes", "No")</f>
        <v>Yes</v>
      </c>
      <c r="K56" s="43">
        <f>IF(GroDB3[[#This Row],[Column1]]="No",GroDB3[[#This Row],[Last_Order_Date]],GroDB3[[#This Row],[Date_Received]])</f>
        <v>45415</v>
      </c>
      <c r="L56" s="43">
        <f>IF(GroDB3[[#This Row],[Column1]]="No",GroDB3[[#This Row],[Date_Received]],GroDB3[[#This Row],[Last_Order_Date]])</f>
        <v>45379</v>
      </c>
      <c r="M56" s="43">
        <v>45357</v>
      </c>
      <c r="N56" s="3">
        <v>19</v>
      </c>
      <c r="O56" s="3">
        <v>36</v>
      </c>
      <c r="P56" s="3">
        <v>72</v>
      </c>
      <c r="Q56" s="4">
        <v>1.75</v>
      </c>
      <c r="R56" s="3">
        <v>31</v>
      </c>
      <c r="S56" s="3">
        <v>81</v>
      </c>
      <c r="T56" s="7">
        <v>0.19</v>
      </c>
    </row>
    <row r="57" spans="1:20" x14ac:dyDescent="0.35">
      <c r="A57" s="5" t="s">
        <v>288</v>
      </c>
      <c r="B57" s="3" t="s">
        <v>60</v>
      </c>
      <c r="C57" s="3" t="s">
        <v>289</v>
      </c>
      <c r="D57" s="3" t="s">
        <v>290</v>
      </c>
      <c r="E57" s="3" t="s">
        <v>56</v>
      </c>
      <c r="F57" s="3" t="s">
        <v>291</v>
      </c>
      <c r="G57" s="3" t="s">
        <v>292</v>
      </c>
      <c r="H57" s="43">
        <v>45415</v>
      </c>
      <c r="I57" s="43">
        <v>45622</v>
      </c>
      <c r="J57" s="47" t="str">
        <f>IF(GroDB3[[#This Row],[Last_Order_Date]]&lt;=GroDB3[[#This Row],[Date_Received]], "Yes", "No")</f>
        <v>No</v>
      </c>
      <c r="K57" s="43">
        <f>IF(GroDB3[[#This Row],[Column1]]="No",GroDB3[[#This Row],[Last_Order_Date]],GroDB3[[#This Row],[Date_Received]])</f>
        <v>45622</v>
      </c>
      <c r="L57" s="43">
        <f>IF(GroDB3[[#This Row],[Column1]]="No",GroDB3[[#This Row],[Date_Received]],GroDB3[[#This Row],[Last_Order_Date]])</f>
        <v>45415</v>
      </c>
      <c r="M57" s="43">
        <v>45666</v>
      </c>
      <c r="N57" s="3">
        <v>29</v>
      </c>
      <c r="O57" s="3">
        <v>72</v>
      </c>
      <c r="P57" s="3">
        <v>96</v>
      </c>
      <c r="Q57" s="4">
        <v>12</v>
      </c>
      <c r="R57" s="3">
        <v>85</v>
      </c>
      <c r="S57" s="3">
        <v>52</v>
      </c>
      <c r="T57" s="7">
        <v>-1.61</v>
      </c>
    </row>
    <row r="58" spans="1:20" x14ac:dyDescent="0.35">
      <c r="A58" s="5" t="s">
        <v>293</v>
      </c>
      <c r="B58" s="3" t="s">
        <v>18</v>
      </c>
      <c r="C58" s="3" t="s">
        <v>294</v>
      </c>
      <c r="D58" s="3" t="s">
        <v>295</v>
      </c>
      <c r="E58" s="3" t="s">
        <v>21</v>
      </c>
      <c r="F58" s="3" t="s">
        <v>296</v>
      </c>
      <c r="G58" s="3" t="s">
        <v>297</v>
      </c>
      <c r="H58" s="43">
        <v>45415</v>
      </c>
      <c r="I58" s="43">
        <v>45569</v>
      </c>
      <c r="J58" s="47" t="str">
        <f>IF(GroDB3[[#This Row],[Last_Order_Date]]&lt;=GroDB3[[#This Row],[Date_Received]], "Yes", "No")</f>
        <v>No</v>
      </c>
      <c r="K58" s="43">
        <f>IF(GroDB3[[#This Row],[Column1]]="No",GroDB3[[#This Row],[Last_Order_Date]],GroDB3[[#This Row],[Date_Received]])</f>
        <v>45569</v>
      </c>
      <c r="L58" s="43">
        <f>IF(GroDB3[[#This Row],[Column1]]="No",GroDB3[[#This Row],[Date_Received]],GroDB3[[#This Row],[Last_Order_Date]])</f>
        <v>45415</v>
      </c>
      <c r="M58" s="43">
        <v>45618</v>
      </c>
      <c r="N58" s="3">
        <v>34</v>
      </c>
      <c r="O58" s="3">
        <v>29</v>
      </c>
      <c r="P58" s="3">
        <v>65</v>
      </c>
      <c r="Q58" s="4">
        <v>2</v>
      </c>
      <c r="R58" s="3">
        <v>90</v>
      </c>
      <c r="S58" s="3">
        <v>23</v>
      </c>
      <c r="T58" s="7">
        <v>0.39</v>
      </c>
    </row>
    <row r="59" spans="1:20" x14ac:dyDescent="0.35">
      <c r="A59" s="5" t="s">
        <v>298</v>
      </c>
      <c r="B59" s="3" t="s">
        <v>32</v>
      </c>
      <c r="C59" s="3" t="s">
        <v>299</v>
      </c>
      <c r="D59" s="3" t="s">
        <v>300</v>
      </c>
      <c r="E59" s="3" t="s">
        <v>21</v>
      </c>
      <c r="F59" s="3" t="s">
        <v>301</v>
      </c>
      <c r="G59" s="3" t="s">
        <v>302</v>
      </c>
      <c r="H59" s="43">
        <v>45446</v>
      </c>
      <c r="I59" s="43">
        <v>45587</v>
      </c>
      <c r="J59" s="47" t="str">
        <f>IF(GroDB3[[#This Row],[Last_Order_Date]]&lt;=GroDB3[[#This Row],[Date_Received]], "Yes", "No")</f>
        <v>No</v>
      </c>
      <c r="K59" s="43">
        <f>IF(GroDB3[[#This Row],[Column1]]="No",GroDB3[[#This Row],[Last_Order_Date]],GroDB3[[#This Row],[Date_Received]])</f>
        <v>45587</v>
      </c>
      <c r="L59" s="43">
        <f>IF(GroDB3[[#This Row],[Column1]]="No",GroDB3[[#This Row],[Date_Received]],GroDB3[[#This Row],[Last_Order_Date]])</f>
        <v>45446</v>
      </c>
      <c r="M59" s="43">
        <v>45372</v>
      </c>
      <c r="N59" s="3">
        <v>92</v>
      </c>
      <c r="O59" s="3">
        <v>52</v>
      </c>
      <c r="P59" s="3">
        <v>80</v>
      </c>
      <c r="Q59" s="4">
        <v>2.5</v>
      </c>
      <c r="R59" s="3">
        <v>72</v>
      </c>
      <c r="S59" s="3">
        <v>96</v>
      </c>
      <c r="T59" s="7">
        <v>0.74</v>
      </c>
    </row>
    <row r="60" spans="1:20" x14ac:dyDescent="0.35">
      <c r="A60" s="5" t="s">
        <v>303</v>
      </c>
      <c r="B60" s="3" t="s">
        <v>60</v>
      </c>
      <c r="C60" s="3" t="s">
        <v>304</v>
      </c>
      <c r="D60" s="3" t="s">
        <v>305</v>
      </c>
      <c r="E60" s="3" t="s">
        <v>21</v>
      </c>
      <c r="F60" s="3" t="s">
        <v>306</v>
      </c>
      <c r="G60" s="3" t="s">
        <v>307</v>
      </c>
      <c r="H60" s="43">
        <v>45446</v>
      </c>
      <c r="I60" s="43">
        <v>45561</v>
      </c>
      <c r="J60" s="47" t="str">
        <f>IF(GroDB3[[#This Row],[Last_Order_Date]]&lt;=GroDB3[[#This Row],[Date_Received]], "Yes", "No")</f>
        <v>No</v>
      </c>
      <c r="K60" s="43">
        <f>IF(GroDB3[[#This Row],[Column1]]="No",GroDB3[[#This Row],[Last_Order_Date]],GroDB3[[#This Row],[Date_Received]])</f>
        <v>45561</v>
      </c>
      <c r="L60" s="43">
        <f>IF(GroDB3[[#This Row],[Column1]]="No",GroDB3[[#This Row],[Date_Received]],GroDB3[[#This Row],[Last_Order_Date]])</f>
        <v>45446</v>
      </c>
      <c r="M60" s="43">
        <v>45491</v>
      </c>
      <c r="N60" s="3">
        <v>33</v>
      </c>
      <c r="O60" s="3">
        <v>18</v>
      </c>
      <c r="P60" s="3">
        <v>92</v>
      </c>
      <c r="Q60" s="4">
        <v>6</v>
      </c>
      <c r="R60" s="3">
        <v>98</v>
      </c>
      <c r="S60" s="3">
        <v>56</v>
      </c>
      <c r="T60" s="7">
        <v>-0.33</v>
      </c>
    </row>
    <row r="61" spans="1:20" x14ac:dyDescent="0.35">
      <c r="A61" s="5" t="s">
        <v>151</v>
      </c>
      <c r="B61" s="3" t="s">
        <v>91</v>
      </c>
      <c r="C61" s="3" t="s">
        <v>308</v>
      </c>
      <c r="D61" s="3" t="s">
        <v>309</v>
      </c>
      <c r="E61" s="3" t="s">
        <v>28</v>
      </c>
      <c r="F61" s="3" t="s">
        <v>310</v>
      </c>
      <c r="G61" s="3" t="s">
        <v>311</v>
      </c>
      <c r="H61" s="43">
        <v>45446</v>
      </c>
      <c r="I61" s="43">
        <v>45673</v>
      </c>
      <c r="J61" s="47" t="str">
        <f>IF(GroDB3[[#This Row],[Last_Order_Date]]&lt;=GroDB3[[#This Row],[Date_Received]], "Yes", "No")</f>
        <v>No</v>
      </c>
      <c r="K61" s="43">
        <f>IF(GroDB3[[#This Row],[Column1]]="No",GroDB3[[#This Row],[Last_Order_Date]],GroDB3[[#This Row],[Date_Received]])</f>
        <v>45673</v>
      </c>
      <c r="L61" s="43">
        <f>IF(GroDB3[[#This Row],[Column1]]="No",GroDB3[[#This Row],[Date_Received]],GroDB3[[#This Row],[Last_Order_Date]])</f>
        <v>45446</v>
      </c>
      <c r="M61" s="43">
        <v>45509</v>
      </c>
      <c r="N61" s="3">
        <v>12</v>
      </c>
      <c r="O61" s="3">
        <v>59</v>
      </c>
      <c r="P61" s="3">
        <v>62</v>
      </c>
      <c r="Q61" s="4">
        <v>4.5</v>
      </c>
      <c r="R61" s="3">
        <v>75</v>
      </c>
      <c r="S61" s="3">
        <v>92</v>
      </c>
      <c r="T61" s="7">
        <v>0.43</v>
      </c>
    </row>
    <row r="62" spans="1:20" x14ac:dyDescent="0.35">
      <c r="A62" s="5" t="s">
        <v>59</v>
      </c>
      <c r="B62" s="3" t="s">
        <v>60</v>
      </c>
      <c r="C62" s="3" t="s">
        <v>312</v>
      </c>
      <c r="D62" s="3" t="s">
        <v>313</v>
      </c>
      <c r="E62" s="3" t="s">
        <v>56</v>
      </c>
      <c r="F62" s="3" t="s">
        <v>314</v>
      </c>
      <c r="G62" s="3" t="s">
        <v>315</v>
      </c>
      <c r="H62" s="43">
        <v>45446</v>
      </c>
      <c r="I62" s="43">
        <v>45484</v>
      </c>
      <c r="J62" s="47" t="str">
        <f>IF(GroDB3[[#This Row],[Last_Order_Date]]&lt;=GroDB3[[#This Row],[Date_Received]], "Yes", "No")</f>
        <v>No</v>
      </c>
      <c r="K62" s="43">
        <f>IF(GroDB3[[#This Row],[Column1]]="No",GroDB3[[#This Row],[Last_Order_Date]],GroDB3[[#This Row],[Date_Received]])</f>
        <v>45484</v>
      </c>
      <c r="L62" s="43">
        <f>IF(GroDB3[[#This Row],[Column1]]="No",GroDB3[[#This Row],[Date_Received]],GroDB3[[#This Row],[Last_Order_Date]])</f>
        <v>45446</v>
      </c>
      <c r="M62" s="43">
        <v>45382</v>
      </c>
      <c r="N62" s="3">
        <v>83</v>
      </c>
      <c r="O62" s="3">
        <v>17</v>
      </c>
      <c r="P62" s="3">
        <v>39</v>
      </c>
      <c r="Q62" s="4">
        <v>10</v>
      </c>
      <c r="R62" s="3">
        <v>33</v>
      </c>
      <c r="S62" s="3">
        <v>20</v>
      </c>
      <c r="T62" s="7">
        <v>-0.23</v>
      </c>
    </row>
    <row r="63" spans="1:20" x14ac:dyDescent="0.35">
      <c r="A63" s="5" t="s">
        <v>258</v>
      </c>
      <c r="B63" s="3" t="s">
        <v>25</v>
      </c>
      <c r="C63" s="3" t="s">
        <v>316</v>
      </c>
      <c r="D63" s="3" t="s">
        <v>317</v>
      </c>
      <c r="E63" s="3" t="s">
        <v>28</v>
      </c>
      <c r="F63" s="3" t="s">
        <v>318</v>
      </c>
      <c r="G63" s="3" t="s">
        <v>319</v>
      </c>
      <c r="H63" s="43">
        <v>45446</v>
      </c>
      <c r="I63" s="43">
        <v>45600</v>
      </c>
      <c r="J63" s="47" t="str">
        <f>IF(GroDB3[[#This Row],[Last_Order_Date]]&lt;=GroDB3[[#This Row],[Date_Received]], "Yes", "No")</f>
        <v>No</v>
      </c>
      <c r="K63" s="43">
        <f>IF(GroDB3[[#This Row],[Column1]]="No",GroDB3[[#This Row],[Last_Order_Date]],GroDB3[[#This Row],[Date_Received]])</f>
        <v>45600</v>
      </c>
      <c r="L63" s="43">
        <f>IF(GroDB3[[#This Row],[Column1]]="No",GroDB3[[#This Row],[Date_Received]],GroDB3[[#This Row],[Last_Order_Date]])</f>
        <v>45446</v>
      </c>
      <c r="M63" s="43">
        <v>45658</v>
      </c>
      <c r="N63" s="3">
        <v>21</v>
      </c>
      <c r="O63" s="3">
        <v>52</v>
      </c>
      <c r="P63" s="3">
        <v>80</v>
      </c>
      <c r="Q63" s="4">
        <v>4</v>
      </c>
      <c r="R63" s="3">
        <v>49</v>
      </c>
      <c r="S63" s="3">
        <v>37</v>
      </c>
      <c r="T63" s="7">
        <v>0.39</v>
      </c>
    </row>
    <row r="64" spans="1:20" x14ac:dyDescent="0.35">
      <c r="A64" s="5" t="s">
        <v>320</v>
      </c>
      <c r="B64" s="3" t="s">
        <v>18</v>
      </c>
      <c r="C64" s="3" t="s">
        <v>321</v>
      </c>
      <c r="D64" s="3" t="s">
        <v>322</v>
      </c>
      <c r="E64" s="3" t="s">
        <v>28</v>
      </c>
      <c r="F64" s="3" t="s">
        <v>323</v>
      </c>
      <c r="G64" s="3" t="s">
        <v>324</v>
      </c>
      <c r="H64" s="43">
        <v>45476</v>
      </c>
      <c r="I64" s="43">
        <v>45576</v>
      </c>
      <c r="J64" s="47" t="str">
        <f>IF(GroDB3[[#This Row],[Last_Order_Date]]&lt;=GroDB3[[#This Row],[Date_Received]], "Yes", "No")</f>
        <v>No</v>
      </c>
      <c r="K64" s="43">
        <f>IF(GroDB3[[#This Row],[Column1]]="No",GroDB3[[#This Row],[Last_Order_Date]],GroDB3[[#This Row],[Date_Received]])</f>
        <v>45576</v>
      </c>
      <c r="L64" s="43">
        <f>IF(GroDB3[[#This Row],[Column1]]="No",GroDB3[[#This Row],[Date_Received]],GroDB3[[#This Row],[Last_Order_Date]])</f>
        <v>45476</v>
      </c>
      <c r="M64" s="43">
        <v>45570</v>
      </c>
      <c r="N64" s="3">
        <v>37</v>
      </c>
      <c r="O64" s="3">
        <v>30</v>
      </c>
      <c r="P64" s="3">
        <v>74</v>
      </c>
      <c r="Q64" s="4">
        <v>4</v>
      </c>
      <c r="R64" s="3">
        <v>62</v>
      </c>
      <c r="S64" s="3">
        <v>25</v>
      </c>
      <c r="T64" s="7">
        <v>0.24</v>
      </c>
    </row>
    <row r="65" spans="1:20" x14ac:dyDescent="0.35">
      <c r="A65" s="5" t="s">
        <v>325</v>
      </c>
      <c r="B65" s="3" t="s">
        <v>53</v>
      </c>
      <c r="C65" s="3" t="s">
        <v>43</v>
      </c>
      <c r="D65" s="3" t="s">
        <v>326</v>
      </c>
      <c r="E65" s="3" t="s">
        <v>28</v>
      </c>
      <c r="F65" s="3" t="s">
        <v>327</v>
      </c>
      <c r="G65" s="3" t="s">
        <v>328</v>
      </c>
      <c r="H65" s="43">
        <v>45476</v>
      </c>
      <c r="I65" s="43">
        <v>45357</v>
      </c>
      <c r="J65" s="47" t="str">
        <f>IF(GroDB3[[#This Row],[Last_Order_Date]]&lt;=GroDB3[[#This Row],[Date_Received]], "Yes", "No")</f>
        <v>Yes</v>
      </c>
      <c r="K65" s="43">
        <f>IF(GroDB3[[#This Row],[Column1]]="No",GroDB3[[#This Row],[Last_Order_Date]],GroDB3[[#This Row],[Date_Received]])</f>
        <v>45476</v>
      </c>
      <c r="L65" s="43">
        <f>IF(GroDB3[[#This Row],[Column1]]="No",GroDB3[[#This Row],[Date_Received]],GroDB3[[#This Row],[Last_Order_Date]])</f>
        <v>45357</v>
      </c>
      <c r="M65" s="43">
        <v>45601</v>
      </c>
      <c r="N65" s="3">
        <v>77</v>
      </c>
      <c r="O65" s="3">
        <v>20</v>
      </c>
      <c r="P65" s="3">
        <v>37</v>
      </c>
      <c r="Q65" s="4">
        <v>4.25</v>
      </c>
      <c r="R65" s="3">
        <v>42</v>
      </c>
      <c r="S65" s="3">
        <v>19</v>
      </c>
      <c r="T65" s="7">
        <v>0.6</v>
      </c>
    </row>
    <row r="66" spans="1:20" x14ac:dyDescent="0.35">
      <c r="A66" s="5" t="s">
        <v>329</v>
      </c>
      <c r="B66" s="3" t="s">
        <v>53</v>
      </c>
      <c r="C66" s="3" t="s">
        <v>166</v>
      </c>
      <c r="D66" s="3" t="s">
        <v>330</v>
      </c>
      <c r="E66" s="3" t="s">
        <v>28</v>
      </c>
      <c r="F66" s="3" t="s">
        <v>331</v>
      </c>
      <c r="G66" s="3" t="s">
        <v>332</v>
      </c>
      <c r="H66" s="43">
        <v>45507</v>
      </c>
      <c r="I66" s="43">
        <v>45453</v>
      </c>
      <c r="J66" s="47" t="str">
        <f>IF(GroDB3[[#This Row],[Last_Order_Date]]&lt;=GroDB3[[#This Row],[Date_Received]], "Yes", "No")</f>
        <v>Yes</v>
      </c>
      <c r="K66" s="43">
        <f>IF(GroDB3[[#This Row],[Column1]]="No",GroDB3[[#This Row],[Last_Order_Date]],GroDB3[[#This Row],[Date_Received]])</f>
        <v>45507</v>
      </c>
      <c r="L66" s="43">
        <f>IF(GroDB3[[#This Row],[Column1]]="No",GroDB3[[#This Row],[Date_Received]],GroDB3[[#This Row],[Last_Order_Date]])</f>
        <v>45453</v>
      </c>
      <c r="M66" s="43">
        <v>45557</v>
      </c>
      <c r="N66" s="3">
        <v>30</v>
      </c>
      <c r="O66" s="3">
        <v>38</v>
      </c>
      <c r="P66" s="3">
        <v>83</v>
      </c>
      <c r="Q66" s="4">
        <v>6</v>
      </c>
      <c r="R66" s="3">
        <v>31</v>
      </c>
      <c r="S66" s="3">
        <v>34</v>
      </c>
      <c r="T66" s="7">
        <v>0.55000000000000004</v>
      </c>
    </row>
    <row r="67" spans="1:20" x14ac:dyDescent="0.35">
      <c r="A67" s="5" t="s">
        <v>333</v>
      </c>
      <c r="B67" s="3" t="s">
        <v>53</v>
      </c>
      <c r="C67" s="3" t="s">
        <v>334</v>
      </c>
      <c r="D67" s="3" t="s">
        <v>335</v>
      </c>
      <c r="E67" s="3" t="s">
        <v>21</v>
      </c>
      <c r="F67" s="3" t="s">
        <v>336</v>
      </c>
      <c r="G67" s="3" t="s">
        <v>337</v>
      </c>
      <c r="H67" s="43">
        <v>45507</v>
      </c>
      <c r="I67" s="43">
        <v>45520</v>
      </c>
      <c r="J67" s="47" t="str">
        <f>IF(GroDB3[[#This Row],[Last_Order_Date]]&lt;=GroDB3[[#This Row],[Date_Received]], "Yes", "No")</f>
        <v>No</v>
      </c>
      <c r="K67" s="43">
        <f>IF(GroDB3[[#This Row],[Column1]]="No",GroDB3[[#This Row],[Last_Order_Date]],GroDB3[[#This Row],[Date_Received]])</f>
        <v>45520</v>
      </c>
      <c r="L67" s="43">
        <f>IF(GroDB3[[#This Row],[Column1]]="No",GroDB3[[#This Row],[Date_Received]],GroDB3[[#This Row],[Last_Order_Date]])</f>
        <v>45507</v>
      </c>
      <c r="M67" s="43">
        <v>45414</v>
      </c>
      <c r="N67" s="3">
        <v>26</v>
      </c>
      <c r="O67" s="3">
        <v>21</v>
      </c>
      <c r="P67" s="3">
        <v>47</v>
      </c>
      <c r="Q67" s="4">
        <v>10</v>
      </c>
      <c r="R67" s="3">
        <v>40</v>
      </c>
      <c r="S67" s="3">
        <v>59</v>
      </c>
      <c r="T67" s="7">
        <v>-0.1</v>
      </c>
    </row>
    <row r="68" spans="1:20" x14ac:dyDescent="0.35">
      <c r="A68" s="5" t="s">
        <v>333</v>
      </c>
      <c r="B68" s="3" t="s">
        <v>53</v>
      </c>
      <c r="C68" s="3" t="s">
        <v>338</v>
      </c>
      <c r="D68" s="3" t="s">
        <v>339</v>
      </c>
      <c r="E68" s="3" t="s">
        <v>28</v>
      </c>
      <c r="F68" s="3" t="s">
        <v>340</v>
      </c>
      <c r="G68" s="3" t="s">
        <v>341</v>
      </c>
      <c r="H68" s="43">
        <v>45507</v>
      </c>
      <c r="I68" s="43">
        <v>45482</v>
      </c>
      <c r="J68" s="47" t="str">
        <f>IF(GroDB3[[#This Row],[Last_Order_Date]]&lt;=GroDB3[[#This Row],[Date_Received]], "Yes", "No")</f>
        <v>Yes</v>
      </c>
      <c r="K68" s="43">
        <f>IF(GroDB3[[#This Row],[Column1]]="No",GroDB3[[#This Row],[Last_Order_Date]],GroDB3[[#This Row],[Date_Received]])</f>
        <v>45507</v>
      </c>
      <c r="L68" s="43">
        <f>IF(GroDB3[[#This Row],[Column1]]="No",GroDB3[[#This Row],[Date_Received]],GroDB3[[#This Row],[Last_Order_Date]])</f>
        <v>45482</v>
      </c>
      <c r="M68" s="43">
        <v>45563</v>
      </c>
      <c r="N68" s="3">
        <v>72</v>
      </c>
      <c r="O68" s="3">
        <v>82</v>
      </c>
      <c r="P68" s="3">
        <v>52</v>
      </c>
      <c r="Q68" s="4">
        <v>9.75</v>
      </c>
      <c r="R68" s="3">
        <v>51</v>
      </c>
      <c r="S68" s="3">
        <v>95</v>
      </c>
      <c r="T68" s="7">
        <v>-0.48</v>
      </c>
    </row>
    <row r="69" spans="1:20" x14ac:dyDescent="0.35">
      <c r="A69" s="5" t="s">
        <v>342</v>
      </c>
      <c r="B69" s="3" t="s">
        <v>18</v>
      </c>
      <c r="C69" s="3" t="s">
        <v>343</v>
      </c>
      <c r="D69" s="3" t="s">
        <v>344</v>
      </c>
      <c r="E69" s="3" t="s">
        <v>56</v>
      </c>
      <c r="F69" s="3" t="s">
        <v>345</v>
      </c>
      <c r="G69" s="3" t="s">
        <v>346</v>
      </c>
      <c r="H69" s="43">
        <v>45538</v>
      </c>
      <c r="I69" s="43">
        <v>45568</v>
      </c>
      <c r="J69" s="47" t="str">
        <f>IF(GroDB3[[#This Row],[Last_Order_Date]]&lt;=GroDB3[[#This Row],[Date_Received]], "Yes", "No")</f>
        <v>No</v>
      </c>
      <c r="K69" s="43">
        <f>IF(GroDB3[[#This Row],[Column1]]="No",GroDB3[[#This Row],[Last_Order_Date]],GroDB3[[#This Row],[Date_Received]])</f>
        <v>45568</v>
      </c>
      <c r="L69" s="43">
        <f>IF(GroDB3[[#This Row],[Column1]]="No",GroDB3[[#This Row],[Date_Received]],GroDB3[[#This Row],[Last_Order_Date]])</f>
        <v>45538</v>
      </c>
      <c r="M69" s="43">
        <v>45504</v>
      </c>
      <c r="N69" s="3">
        <v>59</v>
      </c>
      <c r="O69" s="3">
        <v>79</v>
      </c>
      <c r="P69" s="3">
        <v>87</v>
      </c>
      <c r="Q69" s="4">
        <v>6</v>
      </c>
      <c r="R69" s="3">
        <v>47</v>
      </c>
      <c r="S69" s="3">
        <v>18</v>
      </c>
      <c r="T69" s="7">
        <v>-0.86</v>
      </c>
    </row>
    <row r="70" spans="1:20" x14ac:dyDescent="0.35">
      <c r="A70" s="5" t="s">
        <v>329</v>
      </c>
      <c r="B70" s="3" t="s">
        <v>53</v>
      </c>
      <c r="C70" s="3" t="s">
        <v>347</v>
      </c>
      <c r="D70" s="3" t="s">
        <v>348</v>
      </c>
      <c r="E70" s="3" t="s">
        <v>21</v>
      </c>
      <c r="F70" s="3" t="s">
        <v>349</v>
      </c>
      <c r="G70" s="3" t="s">
        <v>350</v>
      </c>
      <c r="H70" s="43">
        <v>45568</v>
      </c>
      <c r="I70" s="43">
        <v>45632</v>
      </c>
      <c r="J70" s="47" t="str">
        <f>IF(GroDB3[[#This Row],[Last_Order_Date]]&lt;=GroDB3[[#This Row],[Date_Received]], "Yes", "No")</f>
        <v>No</v>
      </c>
      <c r="K70" s="43">
        <f>IF(GroDB3[[#This Row],[Column1]]="No",GroDB3[[#This Row],[Last_Order_Date]],GroDB3[[#This Row],[Date_Received]])</f>
        <v>45632</v>
      </c>
      <c r="L70" s="43">
        <f>IF(GroDB3[[#This Row],[Column1]]="No",GroDB3[[#This Row],[Date_Received]],GroDB3[[#This Row],[Last_Order_Date]])</f>
        <v>45568</v>
      </c>
      <c r="M70" s="43">
        <v>45672</v>
      </c>
      <c r="N70" s="3">
        <v>34</v>
      </c>
      <c r="O70" s="3">
        <v>96</v>
      </c>
      <c r="P70" s="3">
        <v>76</v>
      </c>
      <c r="Q70" s="4">
        <v>6.15</v>
      </c>
      <c r="R70" s="3">
        <v>90</v>
      </c>
      <c r="S70" s="3">
        <v>34</v>
      </c>
      <c r="T70" s="7">
        <v>0.62</v>
      </c>
    </row>
    <row r="71" spans="1:20" x14ac:dyDescent="0.35">
      <c r="A71" s="5" t="s">
        <v>298</v>
      </c>
      <c r="B71" s="3" t="s">
        <v>32</v>
      </c>
      <c r="C71" s="3" t="s">
        <v>351</v>
      </c>
      <c r="D71" s="3" t="s">
        <v>352</v>
      </c>
      <c r="E71" s="3" t="s">
        <v>56</v>
      </c>
      <c r="F71" s="3" t="s">
        <v>353</v>
      </c>
      <c r="G71" s="3" t="s">
        <v>354</v>
      </c>
      <c r="H71" s="43">
        <v>45568</v>
      </c>
      <c r="I71" s="43">
        <v>45636</v>
      </c>
      <c r="J71" s="47" t="str">
        <f>IF(GroDB3[[#This Row],[Last_Order_Date]]&lt;=GroDB3[[#This Row],[Date_Received]], "Yes", "No")</f>
        <v>No</v>
      </c>
      <c r="K71" s="43">
        <f>IF(GroDB3[[#This Row],[Column1]]="No",GroDB3[[#This Row],[Last_Order_Date]],GroDB3[[#This Row],[Date_Received]])</f>
        <v>45636</v>
      </c>
      <c r="L71" s="43">
        <f>IF(GroDB3[[#This Row],[Column1]]="No",GroDB3[[#This Row],[Date_Received]],GroDB3[[#This Row],[Last_Order_Date]])</f>
        <v>45568</v>
      </c>
      <c r="M71" s="43">
        <v>45530</v>
      </c>
      <c r="N71" s="3">
        <v>82</v>
      </c>
      <c r="O71" s="3">
        <v>3</v>
      </c>
      <c r="P71" s="3">
        <v>82</v>
      </c>
      <c r="Q71" s="4">
        <v>2.4</v>
      </c>
      <c r="R71" s="3">
        <v>48</v>
      </c>
      <c r="S71" s="3">
        <v>31</v>
      </c>
      <c r="T71" s="7">
        <v>0.62</v>
      </c>
    </row>
    <row r="72" spans="1:20" x14ac:dyDescent="0.35">
      <c r="A72" s="5" t="s">
        <v>355</v>
      </c>
      <c r="B72" s="3" t="s">
        <v>18</v>
      </c>
      <c r="C72" s="3" t="s">
        <v>356</v>
      </c>
      <c r="D72" s="3" t="s">
        <v>357</v>
      </c>
      <c r="E72" s="3" t="s">
        <v>56</v>
      </c>
      <c r="F72" s="3" t="s">
        <v>358</v>
      </c>
      <c r="G72" s="3" t="s">
        <v>359</v>
      </c>
      <c r="H72" s="43">
        <v>45568</v>
      </c>
      <c r="I72" s="43">
        <v>45589</v>
      </c>
      <c r="J72" s="47" t="str">
        <f>IF(GroDB3[[#This Row],[Last_Order_Date]]&lt;=GroDB3[[#This Row],[Date_Received]], "Yes", "No")</f>
        <v>No</v>
      </c>
      <c r="K72" s="43">
        <f>IF(GroDB3[[#This Row],[Column1]]="No",GroDB3[[#This Row],[Last_Order_Date]],GroDB3[[#This Row],[Date_Received]])</f>
        <v>45589</v>
      </c>
      <c r="L72" s="43">
        <f>IF(GroDB3[[#This Row],[Column1]]="No",GroDB3[[#This Row],[Date_Received]],GroDB3[[#This Row],[Last_Order_Date]])</f>
        <v>45568</v>
      </c>
      <c r="M72" s="43">
        <v>45597</v>
      </c>
      <c r="N72" s="3">
        <v>94</v>
      </c>
      <c r="O72" s="3">
        <v>90</v>
      </c>
      <c r="P72" s="3">
        <v>12</v>
      </c>
      <c r="Q72" s="4">
        <v>0.9</v>
      </c>
      <c r="R72" s="3">
        <v>98</v>
      </c>
      <c r="S72" s="3">
        <v>71</v>
      </c>
      <c r="T72" s="7">
        <v>0.35</v>
      </c>
    </row>
    <row r="73" spans="1:20" x14ac:dyDescent="0.35">
      <c r="A73" s="5" t="s">
        <v>151</v>
      </c>
      <c r="B73" s="3" t="s">
        <v>91</v>
      </c>
      <c r="C73" s="3" t="s">
        <v>360</v>
      </c>
      <c r="D73" s="3" t="s">
        <v>361</v>
      </c>
      <c r="E73" s="3" t="s">
        <v>56</v>
      </c>
      <c r="F73" s="3" t="s">
        <v>362</v>
      </c>
      <c r="G73" s="3" t="s">
        <v>363</v>
      </c>
      <c r="H73" s="43">
        <v>45599</v>
      </c>
      <c r="I73" s="43">
        <v>45453</v>
      </c>
      <c r="J73" s="47" t="str">
        <f>IF(GroDB3[[#This Row],[Last_Order_Date]]&lt;=GroDB3[[#This Row],[Date_Received]], "Yes", "No")</f>
        <v>Yes</v>
      </c>
      <c r="K73" s="43">
        <f>IF(GroDB3[[#This Row],[Column1]]="No",GroDB3[[#This Row],[Last_Order_Date]],GroDB3[[#This Row],[Date_Received]])</f>
        <v>45599</v>
      </c>
      <c r="L73" s="43">
        <f>IF(GroDB3[[#This Row],[Column1]]="No",GroDB3[[#This Row],[Date_Received]],GroDB3[[#This Row],[Last_Order_Date]])</f>
        <v>45453</v>
      </c>
      <c r="M73" s="43">
        <v>45622</v>
      </c>
      <c r="N73" s="3">
        <v>59</v>
      </c>
      <c r="O73" s="3">
        <v>78</v>
      </c>
      <c r="P73" s="3">
        <v>6</v>
      </c>
      <c r="Q73" s="4">
        <v>4.5</v>
      </c>
      <c r="R73" s="3">
        <v>32</v>
      </c>
      <c r="S73" s="3">
        <v>3</v>
      </c>
      <c r="T73" s="7">
        <v>0.28000000000000003</v>
      </c>
    </row>
    <row r="74" spans="1:20" x14ac:dyDescent="0.35">
      <c r="A74" s="5" t="s">
        <v>37</v>
      </c>
      <c r="B74" s="3" t="s">
        <v>18</v>
      </c>
      <c r="C74" s="3" t="s">
        <v>364</v>
      </c>
      <c r="D74" s="3" t="s">
        <v>365</v>
      </c>
      <c r="E74" s="3" t="s">
        <v>56</v>
      </c>
      <c r="F74" s="3" t="s">
        <v>366</v>
      </c>
      <c r="G74" s="3" t="s">
        <v>367</v>
      </c>
      <c r="H74" s="43">
        <v>45599</v>
      </c>
      <c r="I74" s="43">
        <v>45534</v>
      </c>
      <c r="J74" s="47" t="str">
        <f>IF(GroDB3[[#This Row],[Last_Order_Date]]&lt;=GroDB3[[#This Row],[Date_Received]], "Yes", "No")</f>
        <v>Yes</v>
      </c>
      <c r="K74" s="43">
        <f>IF(GroDB3[[#This Row],[Column1]]="No",GroDB3[[#This Row],[Last_Order_Date]],GroDB3[[#This Row],[Date_Received]])</f>
        <v>45599</v>
      </c>
      <c r="L74" s="43">
        <f>IF(GroDB3[[#This Row],[Column1]]="No",GroDB3[[#This Row],[Date_Received]],GroDB3[[#This Row],[Last_Order_Date]])</f>
        <v>45534</v>
      </c>
      <c r="M74" s="43">
        <v>45707</v>
      </c>
      <c r="N74" s="3">
        <v>18</v>
      </c>
      <c r="O74" s="3">
        <v>50</v>
      </c>
      <c r="P74" s="3">
        <v>77</v>
      </c>
      <c r="Q74" s="4">
        <v>1.45</v>
      </c>
      <c r="R74" s="3">
        <v>44</v>
      </c>
      <c r="S74" s="3">
        <v>19</v>
      </c>
      <c r="T74" s="7">
        <v>0.91</v>
      </c>
    </row>
    <row r="75" spans="1:20" x14ac:dyDescent="0.35">
      <c r="A75" s="5" t="s">
        <v>368</v>
      </c>
      <c r="B75" s="3" t="s">
        <v>53</v>
      </c>
      <c r="C75" s="3" t="s">
        <v>122</v>
      </c>
      <c r="D75" s="3" t="s">
        <v>369</v>
      </c>
      <c r="E75" s="3" t="s">
        <v>21</v>
      </c>
      <c r="F75" s="3" t="s">
        <v>370</v>
      </c>
      <c r="G75" s="3" t="s">
        <v>371</v>
      </c>
      <c r="H75" s="43">
        <v>45629</v>
      </c>
      <c r="I75" s="43">
        <v>45438</v>
      </c>
      <c r="J75" s="47" t="str">
        <f>IF(GroDB3[[#This Row],[Last_Order_Date]]&lt;=GroDB3[[#This Row],[Date_Received]], "Yes", "No")</f>
        <v>Yes</v>
      </c>
      <c r="K75" s="43">
        <f>IF(GroDB3[[#This Row],[Column1]]="No",GroDB3[[#This Row],[Last_Order_Date]],GroDB3[[#This Row],[Date_Received]])</f>
        <v>45629</v>
      </c>
      <c r="L75" s="43">
        <f>IF(GroDB3[[#This Row],[Column1]]="No",GroDB3[[#This Row],[Date_Received]],GroDB3[[#This Row],[Last_Order_Date]])</f>
        <v>45438</v>
      </c>
      <c r="M75" s="43">
        <v>45540</v>
      </c>
      <c r="N75" s="3">
        <v>55</v>
      </c>
      <c r="O75" s="3">
        <v>33</v>
      </c>
      <c r="P75" s="3">
        <v>14</v>
      </c>
      <c r="Q75" s="4">
        <v>1.75</v>
      </c>
      <c r="R75" s="3">
        <v>34</v>
      </c>
      <c r="S75" s="3">
        <v>62</v>
      </c>
      <c r="T75" s="7">
        <v>0.56999999999999995</v>
      </c>
    </row>
    <row r="76" spans="1:20" x14ac:dyDescent="0.35">
      <c r="A76" s="5" t="s">
        <v>75</v>
      </c>
      <c r="B76" s="3" t="s">
        <v>32</v>
      </c>
      <c r="C76" s="3" t="s">
        <v>372</v>
      </c>
      <c r="D76" s="3" t="s">
        <v>373</v>
      </c>
      <c r="E76" s="3" t="s">
        <v>28</v>
      </c>
      <c r="F76" s="3" t="s">
        <v>374</v>
      </c>
      <c r="G76" s="3" t="s">
        <v>375</v>
      </c>
      <c r="H76" s="43">
        <v>45629</v>
      </c>
      <c r="I76" s="43">
        <v>45582</v>
      </c>
      <c r="J76" s="47" t="str">
        <f>IF(GroDB3[[#This Row],[Last_Order_Date]]&lt;=GroDB3[[#This Row],[Date_Received]], "Yes", "No")</f>
        <v>Yes</v>
      </c>
      <c r="K76" s="43">
        <f>IF(GroDB3[[#This Row],[Column1]]="No",GroDB3[[#This Row],[Last_Order_Date]],GroDB3[[#This Row],[Date_Received]])</f>
        <v>45629</v>
      </c>
      <c r="L76" s="43">
        <f>IF(GroDB3[[#This Row],[Column1]]="No",GroDB3[[#This Row],[Date_Received]],GroDB3[[#This Row],[Last_Order_Date]])</f>
        <v>45582</v>
      </c>
      <c r="M76" s="43">
        <v>45357</v>
      </c>
      <c r="N76" s="3">
        <v>31</v>
      </c>
      <c r="O76" s="3">
        <v>65</v>
      </c>
      <c r="P76" s="3">
        <v>94</v>
      </c>
      <c r="Q76" s="4">
        <v>9</v>
      </c>
      <c r="R76" s="3">
        <v>63</v>
      </c>
      <c r="S76" s="3">
        <v>7</v>
      </c>
      <c r="T76" s="7">
        <v>-0.82</v>
      </c>
    </row>
    <row r="77" spans="1:20" x14ac:dyDescent="0.35">
      <c r="A77" s="5" t="s">
        <v>156</v>
      </c>
      <c r="B77" s="3" t="s">
        <v>127</v>
      </c>
      <c r="C77" s="3" t="s">
        <v>376</v>
      </c>
      <c r="D77" s="3" t="s">
        <v>377</v>
      </c>
      <c r="E77" s="3" t="s">
        <v>21</v>
      </c>
      <c r="F77" s="3" t="s">
        <v>378</v>
      </c>
      <c r="G77" s="3" t="s">
        <v>379</v>
      </c>
      <c r="H77" s="43">
        <v>45355</v>
      </c>
      <c r="I77" s="43">
        <v>45485</v>
      </c>
      <c r="J77" s="47" t="str">
        <f>IF(GroDB3[[#This Row],[Last_Order_Date]]&lt;=GroDB3[[#This Row],[Date_Received]], "Yes", "No")</f>
        <v>No</v>
      </c>
      <c r="K77" s="43">
        <f>IF(GroDB3[[#This Row],[Column1]]="No",GroDB3[[#This Row],[Last_Order_Date]],GroDB3[[#This Row],[Date_Received]])</f>
        <v>45485</v>
      </c>
      <c r="L77" s="43">
        <f>IF(GroDB3[[#This Row],[Column1]]="No",GroDB3[[#This Row],[Date_Received]],GroDB3[[#This Row],[Last_Order_Date]])</f>
        <v>45355</v>
      </c>
      <c r="M77" s="43">
        <v>45378</v>
      </c>
      <c r="N77" s="3">
        <v>27</v>
      </c>
      <c r="O77" s="3">
        <v>12</v>
      </c>
      <c r="P77" s="3">
        <v>93</v>
      </c>
      <c r="Q77" s="4">
        <v>12</v>
      </c>
      <c r="R77" s="3">
        <v>88</v>
      </c>
      <c r="S77" s="3">
        <v>83</v>
      </c>
      <c r="T77" s="7">
        <v>0.89</v>
      </c>
    </row>
    <row r="78" spans="1:20" x14ac:dyDescent="0.35">
      <c r="A78" s="5" t="s">
        <v>380</v>
      </c>
      <c r="B78" s="3" t="s">
        <v>32</v>
      </c>
      <c r="C78" s="3" t="s">
        <v>381</v>
      </c>
      <c r="D78" s="3" t="s">
        <v>382</v>
      </c>
      <c r="E78" s="3" t="s">
        <v>56</v>
      </c>
      <c r="F78" s="3" t="s">
        <v>383</v>
      </c>
      <c r="G78" s="3" t="s">
        <v>384</v>
      </c>
      <c r="H78" s="43">
        <v>45355</v>
      </c>
      <c r="I78" s="43">
        <v>45636</v>
      </c>
      <c r="J78" s="47" t="str">
        <f>IF(GroDB3[[#This Row],[Last_Order_Date]]&lt;=GroDB3[[#This Row],[Date_Received]], "Yes", "No")</f>
        <v>No</v>
      </c>
      <c r="K78" s="43">
        <f>IF(GroDB3[[#This Row],[Column1]]="No",GroDB3[[#This Row],[Last_Order_Date]],GroDB3[[#This Row],[Date_Received]])</f>
        <v>45636</v>
      </c>
      <c r="L78" s="43">
        <f>IF(GroDB3[[#This Row],[Column1]]="No",GroDB3[[#This Row],[Date_Received]],GroDB3[[#This Row],[Last_Order_Date]])</f>
        <v>45355</v>
      </c>
      <c r="M78" s="43">
        <v>45543</v>
      </c>
      <c r="N78" s="3">
        <v>76</v>
      </c>
      <c r="O78" s="3">
        <v>81</v>
      </c>
      <c r="P78" s="3">
        <v>85</v>
      </c>
      <c r="Q78" s="4">
        <v>4</v>
      </c>
      <c r="R78" s="3">
        <v>65</v>
      </c>
      <c r="S78" s="3">
        <v>68</v>
      </c>
      <c r="T78" s="7">
        <v>0.06</v>
      </c>
    </row>
    <row r="79" spans="1:20" x14ac:dyDescent="0.35">
      <c r="A79" s="5" t="s">
        <v>320</v>
      </c>
      <c r="B79" s="3" t="s">
        <v>18</v>
      </c>
      <c r="C79" s="3" t="s">
        <v>312</v>
      </c>
      <c r="D79" s="3" t="s">
        <v>385</v>
      </c>
      <c r="E79" s="3" t="s">
        <v>21</v>
      </c>
      <c r="F79" s="3" t="s">
        <v>386</v>
      </c>
      <c r="G79" s="3" t="s">
        <v>387</v>
      </c>
      <c r="H79" s="43">
        <v>45355</v>
      </c>
      <c r="I79" s="43">
        <v>45458</v>
      </c>
      <c r="J79" s="47" t="str">
        <f>IF(GroDB3[[#This Row],[Last_Order_Date]]&lt;=GroDB3[[#This Row],[Date_Received]], "Yes", "No")</f>
        <v>No</v>
      </c>
      <c r="K79" s="43">
        <f>IF(GroDB3[[#This Row],[Column1]]="No",GroDB3[[#This Row],[Last_Order_Date]],GroDB3[[#This Row],[Date_Received]])</f>
        <v>45458</v>
      </c>
      <c r="L79" s="43">
        <f>IF(GroDB3[[#This Row],[Column1]]="No",GroDB3[[#This Row],[Date_Received]],GroDB3[[#This Row],[Last_Order_Date]])</f>
        <v>45355</v>
      </c>
      <c r="M79" s="43">
        <v>45467</v>
      </c>
      <c r="N79" s="3">
        <v>40</v>
      </c>
      <c r="O79" s="3">
        <v>3</v>
      </c>
      <c r="P79" s="3">
        <v>5</v>
      </c>
      <c r="Q79" s="4">
        <v>4</v>
      </c>
      <c r="R79" s="3">
        <v>45</v>
      </c>
      <c r="S79" s="3">
        <v>69</v>
      </c>
      <c r="T79" s="7">
        <v>-0.05</v>
      </c>
    </row>
    <row r="80" spans="1:20" x14ac:dyDescent="0.35">
      <c r="A80" s="5" t="s">
        <v>276</v>
      </c>
      <c r="B80" s="3" t="s">
        <v>18</v>
      </c>
      <c r="C80" s="3" t="s">
        <v>388</v>
      </c>
      <c r="D80" s="3" t="s">
        <v>389</v>
      </c>
      <c r="E80" s="3" t="s">
        <v>56</v>
      </c>
      <c r="F80" s="3" t="s">
        <v>390</v>
      </c>
      <c r="G80" s="3" t="s">
        <v>391</v>
      </c>
      <c r="H80" s="43">
        <v>45386</v>
      </c>
      <c r="I80" s="43">
        <v>45523</v>
      </c>
      <c r="J80" s="47" t="str">
        <f>IF(GroDB3[[#This Row],[Last_Order_Date]]&lt;=GroDB3[[#This Row],[Date_Received]], "Yes", "No")</f>
        <v>No</v>
      </c>
      <c r="K80" s="43">
        <f>IF(GroDB3[[#This Row],[Column1]]="No",GroDB3[[#This Row],[Last_Order_Date]],GroDB3[[#This Row],[Date_Received]])</f>
        <v>45523</v>
      </c>
      <c r="L80" s="43">
        <f>IF(GroDB3[[#This Row],[Column1]]="No",GroDB3[[#This Row],[Date_Received]],GroDB3[[#This Row],[Last_Order_Date]])</f>
        <v>45386</v>
      </c>
      <c r="M80" s="43">
        <v>45470</v>
      </c>
      <c r="N80" s="3">
        <v>68</v>
      </c>
      <c r="O80" s="3">
        <v>25</v>
      </c>
      <c r="P80" s="3">
        <v>16</v>
      </c>
      <c r="Q80" s="4">
        <v>3.5</v>
      </c>
      <c r="R80" s="3">
        <v>25</v>
      </c>
      <c r="S80" s="3">
        <v>83</v>
      </c>
      <c r="T80" s="7">
        <v>-0.53</v>
      </c>
    </row>
    <row r="81" spans="1:20" x14ac:dyDescent="0.35">
      <c r="A81" s="5" t="s">
        <v>392</v>
      </c>
      <c r="B81" s="3" t="s">
        <v>18</v>
      </c>
      <c r="C81" s="3" t="s">
        <v>393</v>
      </c>
      <c r="D81" s="3" t="s">
        <v>394</v>
      </c>
      <c r="E81" s="3" t="s">
        <v>21</v>
      </c>
      <c r="F81" s="3" t="s">
        <v>395</v>
      </c>
      <c r="G81" s="3" t="s">
        <v>396</v>
      </c>
      <c r="H81" s="43">
        <v>45386</v>
      </c>
      <c r="I81" s="43">
        <v>45625</v>
      </c>
      <c r="J81" s="47" t="str">
        <f>IF(GroDB3[[#This Row],[Last_Order_Date]]&lt;=GroDB3[[#This Row],[Date_Received]], "Yes", "No")</f>
        <v>No</v>
      </c>
      <c r="K81" s="43">
        <f>IF(GroDB3[[#This Row],[Column1]]="No",GroDB3[[#This Row],[Last_Order_Date]],GroDB3[[#This Row],[Date_Received]])</f>
        <v>45625</v>
      </c>
      <c r="L81" s="43">
        <f>IF(GroDB3[[#This Row],[Column1]]="No",GroDB3[[#This Row],[Date_Received]],GroDB3[[#This Row],[Last_Order_Date]])</f>
        <v>45386</v>
      </c>
      <c r="M81" s="43">
        <v>45658</v>
      </c>
      <c r="N81" s="3">
        <v>59</v>
      </c>
      <c r="O81" s="3">
        <v>29</v>
      </c>
      <c r="P81" s="3">
        <v>100</v>
      </c>
      <c r="Q81" s="4">
        <v>5.5</v>
      </c>
      <c r="R81" s="3">
        <v>74</v>
      </c>
      <c r="S81" s="3">
        <v>16</v>
      </c>
      <c r="T81" s="7">
        <v>-2.3199999999999998</v>
      </c>
    </row>
    <row r="82" spans="1:20" x14ac:dyDescent="0.35">
      <c r="A82" s="5" t="s">
        <v>397</v>
      </c>
      <c r="B82" s="3" t="s">
        <v>25</v>
      </c>
      <c r="C82" s="3" t="s">
        <v>398</v>
      </c>
      <c r="D82" s="3" t="s">
        <v>399</v>
      </c>
      <c r="E82" s="3" t="s">
        <v>28</v>
      </c>
      <c r="F82" s="3" t="s">
        <v>400</v>
      </c>
      <c r="G82" s="3" t="s">
        <v>401</v>
      </c>
      <c r="H82" s="43">
        <v>45416</v>
      </c>
      <c r="I82" s="43">
        <v>45467</v>
      </c>
      <c r="J82" s="47" t="str">
        <f>IF(GroDB3[[#This Row],[Last_Order_Date]]&lt;=GroDB3[[#This Row],[Date_Received]], "Yes", "No")</f>
        <v>No</v>
      </c>
      <c r="K82" s="43">
        <f>IF(GroDB3[[#This Row],[Column1]]="No",GroDB3[[#This Row],[Last_Order_Date]],GroDB3[[#This Row],[Date_Received]])</f>
        <v>45467</v>
      </c>
      <c r="L82" s="43">
        <f>IF(GroDB3[[#This Row],[Column1]]="No",GroDB3[[#This Row],[Date_Received]],GroDB3[[#This Row],[Last_Order_Date]])</f>
        <v>45416</v>
      </c>
      <c r="M82" s="43">
        <v>45627</v>
      </c>
      <c r="N82" s="3">
        <v>24</v>
      </c>
      <c r="O82" s="3">
        <v>35</v>
      </c>
      <c r="P82" s="3">
        <v>14</v>
      </c>
      <c r="Q82" s="4">
        <v>2.5</v>
      </c>
      <c r="R82" s="3">
        <v>91</v>
      </c>
      <c r="S82" s="3">
        <v>71</v>
      </c>
      <c r="T82" s="7">
        <v>0.78</v>
      </c>
    </row>
    <row r="83" spans="1:20" x14ac:dyDescent="0.35">
      <c r="A83" s="5" t="s">
        <v>47</v>
      </c>
      <c r="B83" s="3" t="s">
        <v>18</v>
      </c>
      <c r="C83" s="3" t="s">
        <v>189</v>
      </c>
      <c r="D83" s="3" t="s">
        <v>402</v>
      </c>
      <c r="E83" s="3" t="s">
        <v>21</v>
      </c>
      <c r="F83" s="3" t="s">
        <v>403</v>
      </c>
      <c r="G83" s="3" t="s">
        <v>404</v>
      </c>
      <c r="H83" s="43">
        <v>45416</v>
      </c>
      <c r="I83" s="43">
        <v>45376</v>
      </c>
      <c r="J83" s="47" t="str">
        <f>IF(GroDB3[[#This Row],[Last_Order_Date]]&lt;=GroDB3[[#This Row],[Date_Received]], "Yes", "No")</f>
        <v>Yes</v>
      </c>
      <c r="K83" s="43">
        <f>IF(GroDB3[[#This Row],[Column1]]="No",GroDB3[[#This Row],[Last_Order_Date]],GroDB3[[#This Row],[Date_Received]])</f>
        <v>45416</v>
      </c>
      <c r="L83" s="43">
        <f>IF(GroDB3[[#This Row],[Column1]]="No",GroDB3[[#This Row],[Date_Received]],GroDB3[[#This Row],[Last_Order_Date]])</f>
        <v>45376</v>
      </c>
      <c r="M83" s="43">
        <v>45354</v>
      </c>
      <c r="N83" s="3">
        <v>59</v>
      </c>
      <c r="O83" s="3">
        <v>82</v>
      </c>
      <c r="P83" s="3">
        <v>69</v>
      </c>
      <c r="Q83" s="4">
        <v>2.4500000000000002</v>
      </c>
      <c r="R83" s="3">
        <v>30</v>
      </c>
      <c r="S83" s="3">
        <v>34</v>
      </c>
      <c r="T83" s="7">
        <v>0.22</v>
      </c>
    </row>
    <row r="84" spans="1:20" x14ac:dyDescent="0.35">
      <c r="A84" s="5" t="s">
        <v>47</v>
      </c>
      <c r="B84" s="3" t="s">
        <v>18</v>
      </c>
      <c r="C84" s="3" t="s">
        <v>405</v>
      </c>
      <c r="D84" s="3" t="s">
        <v>406</v>
      </c>
      <c r="E84" s="3" t="s">
        <v>56</v>
      </c>
      <c r="F84" s="3" t="s">
        <v>407</v>
      </c>
      <c r="G84" s="3" t="s">
        <v>408</v>
      </c>
      <c r="H84" s="43">
        <v>45447</v>
      </c>
      <c r="I84" s="43">
        <v>45402</v>
      </c>
      <c r="J84" s="47" t="str">
        <f>IF(GroDB3[[#This Row],[Last_Order_Date]]&lt;=GroDB3[[#This Row],[Date_Received]], "Yes", "No")</f>
        <v>Yes</v>
      </c>
      <c r="K84" s="43">
        <f>IF(GroDB3[[#This Row],[Column1]]="No",GroDB3[[#This Row],[Last_Order_Date]],GroDB3[[#This Row],[Date_Received]])</f>
        <v>45447</v>
      </c>
      <c r="L84" s="43">
        <f>IF(GroDB3[[#This Row],[Column1]]="No",GroDB3[[#This Row],[Date_Received]],GroDB3[[#This Row],[Last_Order_Date]])</f>
        <v>45402</v>
      </c>
      <c r="M84" s="43">
        <v>45615</v>
      </c>
      <c r="N84" s="3">
        <v>63</v>
      </c>
      <c r="O84" s="3">
        <v>81</v>
      </c>
      <c r="P84" s="3">
        <v>94</v>
      </c>
      <c r="Q84" s="4">
        <v>2.5</v>
      </c>
      <c r="R84" s="3">
        <v>56</v>
      </c>
      <c r="S84" s="3">
        <v>2</v>
      </c>
      <c r="T84" s="7">
        <v>-0.13</v>
      </c>
    </row>
    <row r="85" spans="1:20" x14ac:dyDescent="0.35">
      <c r="A85" s="5" t="s">
        <v>258</v>
      </c>
      <c r="B85" s="3" t="s">
        <v>25</v>
      </c>
      <c r="C85" s="3" t="s">
        <v>409</v>
      </c>
      <c r="D85" s="3" t="s">
        <v>410</v>
      </c>
      <c r="E85" s="3" t="s">
        <v>28</v>
      </c>
      <c r="F85" s="3" t="s">
        <v>411</v>
      </c>
      <c r="G85" s="3" t="s">
        <v>412</v>
      </c>
      <c r="H85" s="43">
        <v>45447</v>
      </c>
      <c r="I85" s="43">
        <v>45459</v>
      </c>
      <c r="J85" s="47" t="str">
        <f>IF(GroDB3[[#This Row],[Last_Order_Date]]&lt;=GroDB3[[#This Row],[Date_Received]], "Yes", "No")</f>
        <v>No</v>
      </c>
      <c r="K85" s="43">
        <f>IF(GroDB3[[#This Row],[Column1]]="No",GroDB3[[#This Row],[Last_Order_Date]],GroDB3[[#This Row],[Date_Received]])</f>
        <v>45459</v>
      </c>
      <c r="L85" s="43">
        <f>IF(GroDB3[[#This Row],[Column1]]="No",GroDB3[[#This Row],[Date_Received]],GroDB3[[#This Row],[Last_Order_Date]])</f>
        <v>45447</v>
      </c>
      <c r="M85" s="43">
        <v>45379</v>
      </c>
      <c r="N85" s="3">
        <v>57</v>
      </c>
      <c r="O85" s="3">
        <v>36</v>
      </c>
      <c r="P85" s="3">
        <v>53</v>
      </c>
      <c r="Q85" s="4">
        <v>4</v>
      </c>
      <c r="R85" s="3">
        <v>56</v>
      </c>
      <c r="S85" s="3">
        <v>32</v>
      </c>
      <c r="T85" s="7">
        <v>0.96</v>
      </c>
    </row>
    <row r="86" spans="1:20" x14ac:dyDescent="0.35">
      <c r="A86" s="5" t="s">
        <v>106</v>
      </c>
      <c r="B86" s="3" t="s">
        <v>32</v>
      </c>
      <c r="C86" s="3" t="s">
        <v>388</v>
      </c>
      <c r="D86" s="3" t="s">
        <v>413</v>
      </c>
      <c r="E86" s="3" t="s">
        <v>28</v>
      </c>
      <c r="F86" s="3" t="s">
        <v>414</v>
      </c>
      <c r="G86" s="3" t="s">
        <v>415</v>
      </c>
      <c r="H86" s="43">
        <v>45447</v>
      </c>
      <c r="I86" s="43">
        <v>45440</v>
      </c>
      <c r="J86" s="47" t="str">
        <f>IF(GroDB3[[#This Row],[Last_Order_Date]]&lt;=GroDB3[[#This Row],[Date_Received]], "Yes", "No")</f>
        <v>Yes</v>
      </c>
      <c r="K86" s="43">
        <f>IF(GroDB3[[#This Row],[Column1]]="No",GroDB3[[#This Row],[Last_Order_Date]],GroDB3[[#This Row],[Date_Received]])</f>
        <v>45447</v>
      </c>
      <c r="L86" s="43">
        <f>IF(GroDB3[[#This Row],[Column1]]="No",GroDB3[[#This Row],[Date_Received]],GroDB3[[#This Row],[Last_Order_Date]])</f>
        <v>45440</v>
      </c>
      <c r="M86" s="43">
        <v>45660</v>
      </c>
      <c r="N86" s="3">
        <v>39</v>
      </c>
      <c r="O86" s="3">
        <v>93</v>
      </c>
      <c r="P86" s="3">
        <v>57</v>
      </c>
      <c r="Q86" s="4">
        <v>2.5</v>
      </c>
      <c r="R86" s="3">
        <v>26</v>
      </c>
      <c r="S86" s="3">
        <v>44</v>
      </c>
      <c r="T86" s="7">
        <v>0.43</v>
      </c>
    </row>
    <row r="87" spans="1:20" x14ac:dyDescent="0.35">
      <c r="A87" s="5" t="s">
        <v>416</v>
      </c>
      <c r="B87" s="3" t="s">
        <v>53</v>
      </c>
      <c r="C87" s="3" t="s">
        <v>43</v>
      </c>
      <c r="D87" s="3" t="s">
        <v>417</v>
      </c>
      <c r="E87" s="3" t="s">
        <v>28</v>
      </c>
      <c r="F87" s="3" t="s">
        <v>418</v>
      </c>
      <c r="G87" s="3" t="s">
        <v>419</v>
      </c>
      <c r="H87" s="43">
        <v>45477</v>
      </c>
      <c r="I87" s="43">
        <v>45569</v>
      </c>
      <c r="J87" s="47" t="str">
        <f>IF(GroDB3[[#This Row],[Last_Order_Date]]&lt;=GroDB3[[#This Row],[Date_Received]], "Yes", "No")</f>
        <v>No</v>
      </c>
      <c r="K87" s="43">
        <f>IF(GroDB3[[#This Row],[Column1]]="No",GroDB3[[#This Row],[Last_Order_Date]],GroDB3[[#This Row],[Date_Received]])</f>
        <v>45569</v>
      </c>
      <c r="L87" s="43">
        <f>IF(GroDB3[[#This Row],[Column1]]="No",GroDB3[[#This Row],[Date_Received]],GroDB3[[#This Row],[Last_Order_Date]])</f>
        <v>45477</v>
      </c>
      <c r="M87" s="43">
        <v>45427</v>
      </c>
      <c r="N87" s="3">
        <v>41</v>
      </c>
      <c r="O87" s="3">
        <v>36</v>
      </c>
      <c r="P87" s="3">
        <v>78</v>
      </c>
      <c r="Q87" s="4">
        <v>4.5</v>
      </c>
      <c r="R87" s="3">
        <v>38</v>
      </c>
      <c r="S87" s="3">
        <v>75</v>
      </c>
      <c r="T87" s="7">
        <v>-0.69</v>
      </c>
    </row>
    <row r="88" spans="1:20" x14ac:dyDescent="0.35">
      <c r="A88" s="5" t="s">
        <v>420</v>
      </c>
      <c r="B88" s="3" t="s">
        <v>60</v>
      </c>
      <c r="C88" s="3" t="s">
        <v>421</v>
      </c>
      <c r="D88" s="3" t="s">
        <v>422</v>
      </c>
      <c r="E88" s="3" t="s">
        <v>56</v>
      </c>
      <c r="F88" s="3" t="s">
        <v>423</v>
      </c>
      <c r="G88" s="3" t="s">
        <v>424</v>
      </c>
      <c r="H88" s="43">
        <v>45477</v>
      </c>
      <c r="I88" s="43">
        <v>45360</v>
      </c>
      <c r="J88" s="47" t="str">
        <f>IF(GroDB3[[#This Row],[Last_Order_Date]]&lt;=GroDB3[[#This Row],[Date_Received]], "Yes", "No")</f>
        <v>Yes</v>
      </c>
      <c r="K88" s="43">
        <f>IF(GroDB3[[#This Row],[Column1]]="No",GroDB3[[#This Row],[Last_Order_Date]],GroDB3[[#This Row],[Date_Received]])</f>
        <v>45477</v>
      </c>
      <c r="L88" s="43">
        <f>IF(GroDB3[[#This Row],[Column1]]="No",GroDB3[[#This Row],[Date_Received]],GroDB3[[#This Row],[Last_Order_Date]])</f>
        <v>45360</v>
      </c>
      <c r="M88" s="43">
        <v>45536</v>
      </c>
      <c r="N88" s="3">
        <v>25</v>
      </c>
      <c r="O88" s="3">
        <v>44</v>
      </c>
      <c r="P88" s="3">
        <v>96</v>
      </c>
      <c r="Q88" s="4">
        <v>18</v>
      </c>
      <c r="R88" s="3">
        <v>36</v>
      </c>
      <c r="S88" s="3">
        <v>16</v>
      </c>
      <c r="T88" s="7">
        <v>-0.97</v>
      </c>
    </row>
    <row r="89" spans="1:20" x14ac:dyDescent="0.35">
      <c r="A89" s="5" t="s">
        <v>96</v>
      </c>
      <c r="B89" s="3" t="s">
        <v>18</v>
      </c>
      <c r="C89" s="3" t="s">
        <v>425</v>
      </c>
      <c r="D89" s="3" t="s">
        <v>426</v>
      </c>
      <c r="E89" s="3" t="s">
        <v>21</v>
      </c>
      <c r="F89" s="3" t="s">
        <v>427</v>
      </c>
      <c r="G89" s="3" t="s">
        <v>428</v>
      </c>
      <c r="H89" s="43">
        <v>45477</v>
      </c>
      <c r="I89" s="43">
        <v>45560</v>
      </c>
      <c r="J89" s="47" t="str">
        <f>IF(GroDB3[[#This Row],[Last_Order_Date]]&lt;=GroDB3[[#This Row],[Date_Received]], "Yes", "No")</f>
        <v>No</v>
      </c>
      <c r="K89" s="43">
        <f>IF(GroDB3[[#This Row],[Column1]]="No",GroDB3[[#This Row],[Last_Order_Date]],GroDB3[[#This Row],[Date_Received]])</f>
        <v>45560</v>
      </c>
      <c r="L89" s="43">
        <f>IF(GroDB3[[#This Row],[Column1]]="No",GroDB3[[#This Row],[Date_Received]],GroDB3[[#This Row],[Last_Order_Date]])</f>
        <v>45477</v>
      </c>
      <c r="M89" s="43">
        <v>45468</v>
      </c>
      <c r="N89" s="3">
        <v>87</v>
      </c>
      <c r="O89" s="3">
        <v>91</v>
      </c>
      <c r="P89" s="3">
        <v>94</v>
      </c>
      <c r="Q89" s="4">
        <v>2.5</v>
      </c>
      <c r="R89" s="3">
        <v>47</v>
      </c>
      <c r="S89" s="3">
        <v>4</v>
      </c>
      <c r="T89" s="7">
        <v>0.56000000000000005</v>
      </c>
    </row>
    <row r="90" spans="1:20" x14ac:dyDescent="0.35">
      <c r="A90" s="5" t="s">
        <v>293</v>
      </c>
      <c r="B90" s="3" t="s">
        <v>18</v>
      </c>
      <c r="C90" s="3" t="s">
        <v>429</v>
      </c>
      <c r="D90" s="3" t="s">
        <v>430</v>
      </c>
      <c r="E90" s="3" t="s">
        <v>56</v>
      </c>
      <c r="F90" s="3" t="s">
        <v>431</v>
      </c>
      <c r="G90" s="3" t="s">
        <v>432</v>
      </c>
      <c r="H90" s="43">
        <v>45477</v>
      </c>
      <c r="I90" s="43">
        <v>45483</v>
      </c>
      <c r="J90" s="47" t="str">
        <f>IF(GroDB3[[#This Row],[Last_Order_Date]]&lt;=GroDB3[[#This Row],[Date_Received]], "Yes", "No")</f>
        <v>No</v>
      </c>
      <c r="K90" s="43">
        <f>IF(GroDB3[[#This Row],[Column1]]="No",GroDB3[[#This Row],[Last_Order_Date]],GroDB3[[#This Row],[Date_Received]])</f>
        <v>45483</v>
      </c>
      <c r="L90" s="43">
        <f>IF(GroDB3[[#This Row],[Column1]]="No",GroDB3[[#This Row],[Date_Received]],GroDB3[[#This Row],[Last_Order_Date]])</f>
        <v>45477</v>
      </c>
      <c r="M90" s="43">
        <v>45580</v>
      </c>
      <c r="N90" s="3">
        <v>20</v>
      </c>
      <c r="O90" s="3">
        <v>65</v>
      </c>
      <c r="P90" s="3">
        <v>61</v>
      </c>
      <c r="Q90" s="4">
        <v>2</v>
      </c>
      <c r="R90" s="3">
        <v>51</v>
      </c>
      <c r="S90" s="3">
        <v>78</v>
      </c>
      <c r="T90" s="7">
        <v>0.91</v>
      </c>
    </row>
    <row r="91" spans="1:20" x14ac:dyDescent="0.35">
      <c r="A91" s="5" t="s">
        <v>433</v>
      </c>
      <c r="B91" s="3" t="s">
        <v>18</v>
      </c>
      <c r="C91" s="3" t="s">
        <v>434</v>
      </c>
      <c r="D91" s="3" t="s">
        <v>435</v>
      </c>
      <c r="E91" s="3" t="s">
        <v>21</v>
      </c>
      <c r="F91" s="3" t="s">
        <v>436</v>
      </c>
      <c r="G91" s="3" t="s">
        <v>437</v>
      </c>
      <c r="H91" s="43">
        <v>45539</v>
      </c>
      <c r="I91" s="43">
        <v>45406</v>
      </c>
      <c r="J91" s="47" t="str">
        <f>IF(GroDB3[[#This Row],[Last_Order_Date]]&lt;=GroDB3[[#This Row],[Date_Received]], "Yes", "No")</f>
        <v>Yes</v>
      </c>
      <c r="K91" s="43">
        <f>IF(GroDB3[[#This Row],[Column1]]="No",GroDB3[[#This Row],[Last_Order_Date]],GroDB3[[#This Row],[Date_Received]])</f>
        <v>45539</v>
      </c>
      <c r="L91" s="43">
        <f>IF(GroDB3[[#This Row],[Column1]]="No",GroDB3[[#This Row],[Date_Received]],GroDB3[[#This Row],[Last_Order_Date]])</f>
        <v>45406</v>
      </c>
      <c r="M91" s="43">
        <v>45583</v>
      </c>
      <c r="N91" s="3">
        <v>95</v>
      </c>
      <c r="O91" s="3">
        <v>25</v>
      </c>
      <c r="P91" s="3">
        <v>91</v>
      </c>
      <c r="Q91" s="4">
        <v>53.82</v>
      </c>
      <c r="R91" s="3">
        <v>87</v>
      </c>
      <c r="S91" s="3">
        <v>5</v>
      </c>
      <c r="T91" s="7">
        <v>-0.53</v>
      </c>
    </row>
    <row r="92" spans="1:20" x14ac:dyDescent="0.35">
      <c r="A92" s="5" t="s">
        <v>438</v>
      </c>
      <c r="B92" s="3" t="s">
        <v>18</v>
      </c>
      <c r="C92" s="3" t="s">
        <v>43</v>
      </c>
      <c r="D92" s="3" t="s">
        <v>439</v>
      </c>
      <c r="E92" s="3" t="s">
        <v>28</v>
      </c>
      <c r="F92" s="3" t="s">
        <v>440</v>
      </c>
      <c r="G92" s="3" t="s">
        <v>441</v>
      </c>
      <c r="H92" s="43">
        <v>45539</v>
      </c>
      <c r="I92" s="43">
        <v>45386</v>
      </c>
      <c r="J92" s="47" t="str">
        <f>IF(GroDB3[[#This Row],[Last_Order_Date]]&lt;=GroDB3[[#This Row],[Date_Received]], "Yes", "No")</f>
        <v>Yes</v>
      </c>
      <c r="K92" s="43">
        <f>IF(GroDB3[[#This Row],[Column1]]="No",GroDB3[[#This Row],[Last_Order_Date]],GroDB3[[#This Row],[Date_Received]])</f>
        <v>45539</v>
      </c>
      <c r="L92" s="43">
        <f>IF(GroDB3[[#This Row],[Column1]]="No",GroDB3[[#This Row],[Date_Received]],GroDB3[[#This Row],[Last_Order_Date]])</f>
        <v>45386</v>
      </c>
      <c r="M92" s="43">
        <v>45433</v>
      </c>
      <c r="N92" s="3">
        <v>56</v>
      </c>
      <c r="O92" s="3">
        <v>75</v>
      </c>
      <c r="P92" s="3">
        <v>13</v>
      </c>
      <c r="Q92" s="4">
        <v>5</v>
      </c>
      <c r="R92" s="3">
        <v>42</v>
      </c>
      <c r="S92" s="3">
        <v>53</v>
      </c>
      <c r="T92" s="7">
        <v>0.94</v>
      </c>
    </row>
    <row r="93" spans="1:20" x14ac:dyDescent="0.35">
      <c r="A93" s="5" t="s">
        <v>175</v>
      </c>
      <c r="B93" s="3" t="s">
        <v>53</v>
      </c>
      <c r="C93" s="3" t="s">
        <v>442</v>
      </c>
      <c r="D93" s="3" t="s">
        <v>443</v>
      </c>
      <c r="E93" s="3" t="s">
        <v>21</v>
      </c>
      <c r="F93" s="3" t="s">
        <v>444</v>
      </c>
      <c r="G93" s="3" t="s">
        <v>445</v>
      </c>
      <c r="H93" s="43">
        <v>45569</v>
      </c>
      <c r="I93" s="43">
        <v>45381</v>
      </c>
      <c r="J93" s="47" t="str">
        <f>IF(GroDB3[[#This Row],[Last_Order_Date]]&lt;=GroDB3[[#This Row],[Date_Received]], "Yes", "No")</f>
        <v>Yes</v>
      </c>
      <c r="K93" s="43">
        <f>IF(GroDB3[[#This Row],[Column1]]="No",GroDB3[[#This Row],[Last_Order_Date]],GroDB3[[#This Row],[Date_Received]])</f>
        <v>45569</v>
      </c>
      <c r="L93" s="43">
        <f>IF(GroDB3[[#This Row],[Column1]]="No",GroDB3[[#This Row],[Date_Received]],GroDB3[[#This Row],[Last_Order_Date]])</f>
        <v>45381</v>
      </c>
      <c r="M93" s="43">
        <v>45442</v>
      </c>
      <c r="N93" s="3">
        <v>96</v>
      </c>
      <c r="O93" s="3">
        <v>83</v>
      </c>
      <c r="P93" s="3">
        <v>50</v>
      </c>
      <c r="Q93" s="4">
        <v>1.5</v>
      </c>
      <c r="R93" s="3">
        <v>81</v>
      </c>
      <c r="S93" s="3">
        <v>89</v>
      </c>
      <c r="T93" s="7">
        <v>-0.26</v>
      </c>
    </row>
    <row r="94" spans="1:20" x14ac:dyDescent="0.35">
      <c r="A94" s="5" t="s">
        <v>446</v>
      </c>
      <c r="B94" s="3" t="s">
        <v>53</v>
      </c>
      <c r="C94" s="3" t="s">
        <v>447</v>
      </c>
      <c r="D94" s="3" t="s">
        <v>448</v>
      </c>
      <c r="E94" s="3" t="s">
        <v>56</v>
      </c>
      <c r="F94" s="3" t="s">
        <v>449</v>
      </c>
      <c r="G94" s="3" t="s">
        <v>450</v>
      </c>
      <c r="H94" s="43">
        <v>45569</v>
      </c>
      <c r="I94" s="43">
        <v>45604</v>
      </c>
      <c r="J94" s="47" t="str">
        <f>IF(GroDB3[[#This Row],[Last_Order_Date]]&lt;=GroDB3[[#This Row],[Date_Received]], "Yes", "No")</f>
        <v>No</v>
      </c>
      <c r="K94" s="43">
        <f>IF(GroDB3[[#This Row],[Column1]]="No",GroDB3[[#This Row],[Last_Order_Date]],GroDB3[[#This Row],[Date_Received]])</f>
        <v>45604</v>
      </c>
      <c r="L94" s="43">
        <f>IF(GroDB3[[#This Row],[Column1]]="No",GroDB3[[#This Row],[Date_Received]],GroDB3[[#This Row],[Last_Order_Date]])</f>
        <v>45569</v>
      </c>
      <c r="M94" s="43">
        <v>45440</v>
      </c>
      <c r="N94" s="3">
        <v>76</v>
      </c>
      <c r="O94" s="3">
        <v>8</v>
      </c>
      <c r="P94" s="3">
        <v>2</v>
      </c>
      <c r="Q94" s="4">
        <v>9.5</v>
      </c>
      <c r="R94" s="3">
        <v>24</v>
      </c>
      <c r="S94" s="3">
        <v>53</v>
      </c>
      <c r="T94" s="7">
        <v>-0.1</v>
      </c>
    </row>
    <row r="95" spans="1:20" x14ac:dyDescent="0.35">
      <c r="A95" s="5" t="s">
        <v>146</v>
      </c>
      <c r="B95" s="3" t="s">
        <v>53</v>
      </c>
      <c r="C95" s="3" t="s">
        <v>451</v>
      </c>
      <c r="D95" s="3" t="s">
        <v>452</v>
      </c>
      <c r="E95" s="3" t="s">
        <v>21</v>
      </c>
      <c r="F95" s="3" t="s">
        <v>453</v>
      </c>
      <c r="G95" s="3" t="s">
        <v>454</v>
      </c>
      <c r="H95" s="43">
        <v>45569</v>
      </c>
      <c r="I95" s="43">
        <v>45634</v>
      </c>
      <c r="J95" s="47" t="str">
        <f>IF(GroDB3[[#This Row],[Last_Order_Date]]&lt;=GroDB3[[#This Row],[Date_Received]], "Yes", "No")</f>
        <v>No</v>
      </c>
      <c r="K95" s="43">
        <f>IF(GroDB3[[#This Row],[Column1]]="No",GroDB3[[#This Row],[Last_Order_Date]],GroDB3[[#This Row],[Date_Received]])</f>
        <v>45634</v>
      </c>
      <c r="L95" s="43">
        <f>IF(GroDB3[[#This Row],[Column1]]="No",GroDB3[[#This Row],[Date_Received]],GroDB3[[#This Row],[Last_Order_Date]])</f>
        <v>45569</v>
      </c>
      <c r="M95" s="43">
        <v>45496</v>
      </c>
      <c r="N95" s="3">
        <v>17</v>
      </c>
      <c r="O95" s="3">
        <v>19</v>
      </c>
      <c r="P95" s="3">
        <v>74</v>
      </c>
      <c r="Q95" s="4">
        <v>4.75</v>
      </c>
      <c r="R95" s="3">
        <v>58</v>
      </c>
      <c r="S95" s="3">
        <v>27</v>
      </c>
      <c r="T95" s="7">
        <v>-1.21</v>
      </c>
    </row>
    <row r="96" spans="1:20" x14ac:dyDescent="0.35">
      <c r="A96" s="5" t="s">
        <v>80</v>
      </c>
      <c r="B96" s="3" t="s">
        <v>25</v>
      </c>
      <c r="C96" s="3" t="s">
        <v>122</v>
      </c>
      <c r="D96" s="3" t="s">
        <v>455</v>
      </c>
      <c r="E96" s="3" t="s">
        <v>56</v>
      </c>
      <c r="F96" s="3" t="s">
        <v>456</v>
      </c>
      <c r="G96" s="3" t="s">
        <v>457</v>
      </c>
      <c r="H96" s="43">
        <v>45569</v>
      </c>
      <c r="I96" s="43">
        <v>45682</v>
      </c>
      <c r="J96" s="47" t="str">
        <f>IF(GroDB3[[#This Row],[Last_Order_Date]]&lt;=GroDB3[[#This Row],[Date_Received]], "Yes", "No")</f>
        <v>No</v>
      </c>
      <c r="K96" s="43">
        <f>IF(GroDB3[[#This Row],[Column1]]="No",GroDB3[[#This Row],[Last_Order_Date]],GroDB3[[#This Row],[Date_Received]])</f>
        <v>45682</v>
      </c>
      <c r="L96" s="43">
        <f>IF(GroDB3[[#This Row],[Column1]]="No",GroDB3[[#This Row],[Date_Received]],GroDB3[[#This Row],[Last_Order_Date]])</f>
        <v>45569</v>
      </c>
      <c r="M96" s="43">
        <v>45474</v>
      </c>
      <c r="N96" s="3">
        <v>14</v>
      </c>
      <c r="O96" s="3">
        <v>75</v>
      </c>
      <c r="P96" s="3">
        <v>10</v>
      </c>
      <c r="Q96" s="4">
        <v>10</v>
      </c>
      <c r="R96" s="3">
        <v>65</v>
      </c>
      <c r="S96" s="3">
        <v>62</v>
      </c>
      <c r="T96" s="7">
        <v>0.53</v>
      </c>
    </row>
    <row r="97" spans="1:20" x14ac:dyDescent="0.35">
      <c r="A97" s="5" t="s">
        <v>225</v>
      </c>
      <c r="B97" s="3" t="s">
        <v>91</v>
      </c>
      <c r="C97" s="3" t="s">
        <v>458</v>
      </c>
      <c r="D97" s="3" t="s">
        <v>459</v>
      </c>
      <c r="E97" s="3" t="s">
        <v>56</v>
      </c>
      <c r="F97" s="3" t="s">
        <v>460</v>
      </c>
      <c r="G97" s="3" t="s">
        <v>461</v>
      </c>
      <c r="H97" s="43">
        <v>45600</v>
      </c>
      <c r="I97" s="43">
        <v>45386</v>
      </c>
      <c r="J97" s="47" t="str">
        <f>IF(GroDB3[[#This Row],[Last_Order_Date]]&lt;=GroDB3[[#This Row],[Date_Received]], "Yes", "No")</f>
        <v>Yes</v>
      </c>
      <c r="K97" s="43">
        <f>IF(GroDB3[[#This Row],[Column1]]="No",GroDB3[[#This Row],[Last_Order_Date]],GroDB3[[#This Row],[Date_Received]])</f>
        <v>45600</v>
      </c>
      <c r="L97" s="43">
        <f>IF(GroDB3[[#This Row],[Column1]]="No",GroDB3[[#This Row],[Date_Received]],GroDB3[[#This Row],[Last_Order_Date]])</f>
        <v>45386</v>
      </c>
      <c r="M97" s="43">
        <v>45683</v>
      </c>
      <c r="N97" s="3">
        <v>96</v>
      </c>
      <c r="O97" s="3">
        <v>16</v>
      </c>
      <c r="P97" s="3">
        <v>48</v>
      </c>
      <c r="Q97" s="4">
        <v>5</v>
      </c>
      <c r="R97" s="3">
        <v>45</v>
      </c>
      <c r="S97" s="3">
        <v>68</v>
      </c>
      <c r="T97" s="7">
        <v>0.05</v>
      </c>
    </row>
    <row r="98" spans="1:20" x14ac:dyDescent="0.35">
      <c r="A98" s="5" t="s">
        <v>329</v>
      </c>
      <c r="B98" s="3" t="s">
        <v>53</v>
      </c>
      <c r="C98" s="3" t="s">
        <v>33</v>
      </c>
      <c r="D98" s="3" t="s">
        <v>462</v>
      </c>
      <c r="E98" s="3" t="s">
        <v>28</v>
      </c>
      <c r="F98" s="3" t="s">
        <v>463</v>
      </c>
      <c r="G98" s="3" t="s">
        <v>464</v>
      </c>
      <c r="H98" s="43">
        <v>45600</v>
      </c>
      <c r="I98" s="43">
        <v>45645</v>
      </c>
      <c r="J98" s="47" t="str">
        <f>IF(GroDB3[[#This Row],[Last_Order_Date]]&lt;=GroDB3[[#This Row],[Date_Received]], "Yes", "No")</f>
        <v>No</v>
      </c>
      <c r="K98" s="43">
        <f>IF(GroDB3[[#This Row],[Column1]]="No",GroDB3[[#This Row],[Last_Order_Date]],GroDB3[[#This Row],[Date_Received]])</f>
        <v>45645</v>
      </c>
      <c r="L98" s="43">
        <f>IF(GroDB3[[#This Row],[Column1]]="No",GroDB3[[#This Row],[Date_Received]],GroDB3[[#This Row],[Last_Order_Date]])</f>
        <v>45600</v>
      </c>
      <c r="M98" s="43">
        <v>45404</v>
      </c>
      <c r="N98" s="3">
        <v>30</v>
      </c>
      <c r="O98" s="3">
        <v>34</v>
      </c>
      <c r="P98" s="3">
        <v>96</v>
      </c>
      <c r="Q98" s="4">
        <v>6.3</v>
      </c>
      <c r="R98" s="3">
        <v>61</v>
      </c>
      <c r="S98" s="3">
        <v>13</v>
      </c>
      <c r="T98" s="7">
        <v>-0.51</v>
      </c>
    </row>
    <row r="99" spans="1:20" x14ac:dyDescent="0.35">
      <c r="A99" s="5" t="s">
        <v>465</v>
      </c>
      <c r="B99" s="3" t="s">
        <v>32</v>
      </c>
      <c r="C99" s="3" t="s">
        <v>466</v>
      </c>
      <c r="D99" s="3" t="s">
        <v>467</v>
      </c>
      <c r="E99" s="3" t="s">
        <v>56</v>
      </c>
      <c r="F99" s="3" t="s">
        <v>468</v>
      </c>
      <c r="G99" s="3" t="s">
        <v>469</v>
      </c>
      <c r="H99" s="43">
        <v>45630</v>
      </c>
      <c r="I99" s="43">
        <v>45445</v>
      </c>
      <c r="J99" s="47" t="str">
        <f>IF(GroDB3[[#This Row],[Last_Order_Date]]&lt;=GroDB3[[#This Row],[Date_Received]], "Yes", "No")</f>
        <v>Yes</v>
      </c>
      <c r="K99" s="43">
        <f>IF(GroDB3[[#This Row],[Column1]]="No",GroDB3[[#This Row],[Last_Order_Date]],GroDB3[[#This Row],[Date_Received]])</f>
        <v>45630</v>
      </c>
      <c r="L99" s="43">
        <f>IF(GroDB3[[#This Row],[Column1]]="No",GroDB3[[#This Row],[Date_Received]],GroDB3[[#This Row],[Last_Order_Date]])</f>
        <v>45445</v>
      </c>
      <c r="M99" s="43">
        <v>45665</v>
      </c>
      <c r="N99" s="3">
        <v>91</v>
      </c>
      <c r="O99" s="3">
        <v>84</v>
      </c>
      <c r="P99" s="3">
        <v>11</v>
      </c>
      <c r="Q99" s="4">
        <v>3</v>
      </c>
      <c r="R99" s="3">
        <v>56</v>
      </c>
      <c r="S99" s="3">
        <v>90</v>
      </c>
      <c r="T99" s="7">
        <v>0.79</v>
      </c>
    </row>
    <row r="100" spans="1:20" x14ac:dyDescent="0.35">
      <c r="A100" s="5" t="s">
        <v>470</v>
      </c>
      <c r="B100" s="3" t="s">
        <v>18</v>
      </c>
      <c r="C100" s="3" t="s">
        <v>434</v>
      </c>
      <c r="D100" s="3" t="s">
        <v>471</v>
      </c>
      <c r="E100" s="3" t="s">
        <v>28</v>
      </c>
      <c r="F100" s="3" t="s">
        <v>472</v>
      </c>
      <c r="G100" s="3" t="s">
        <v>473</v>
      </c>
      <c r="H100" s="43">
        <v>45630</v>
      </c>
      <c r="I100" s="43">
        <v>45495</v>
      </c>
      <c r="J100" s="47" t="str">
        <f>IF(GroDB3[[#This Row],[Last_Order_Date]]&lt;=GroDB3[[#This Row],[Date_Received]], "Yes", "No")</f>
        <v>Yes</v>
      </c>
      <c r="K100" s="43">
        <f>IF(GroDB3[[#This Row],[Column1]]="No",GroDB3[[#This Row],[Last_Order_Date]],GroDB3[[#This Row],[Date_Received]])</f>
        <v>45630</v>
      </c>
      <c r="L100" s="43">
        <f>IF(GroDB3[[#This Row],[Column1]]="No",GroDB3[[#This Row],[Date_Received]],GroDB3[[#This Row],[Last_Order_Date]])</f>
        <v>45495</v>
      </c>
      <c r="M100" s="43">
        <v>45711</v>
      </c>
      <c r="N100" s="3">
        <v>47</v>
      </c>
      <c r="O100" s="3">
        <v>67</v>
      </c>
      <c r="P100" s="3">
        <v>57</v>
      </c>
      <c r="Q100" s="4">
        <v>4</v>
      </c>
      <c r="R100" s="3">
        <v>36</v>
      </c>
      <c r="S100" s="3">
        <v>48</v>
      </c>
      <c r="T100" s="7">
        <v>-0.61</v>
      </c>
    </row>
    <row r="101" spans="1:20" x14ac:dyDescent="0.35">
      <c r="A101" s="5" t="s">
        <v>225</v>
      </c>
      <c r="B101" s="3" t="s">
        <v>91</v>
      </c>
      <c r="C101" s="3" t="s">
        <v>474</v>
      </c>
      <c r="D101" s="3" t="s">
        <v>475</v>
      </c>
      <c r="E101" s="3" t="s">
        <v>21</v>
      </c>
      <c r="F101" s="3" t="s">
        <v>476</v>
      </c>
      <c r="G101" s="3" t="s">
        <v>477</v>
      </c>
      <c r="H101" s="43">
        <v>45356</v>
      </c>
      <c r="I101" s="43">
        <v>45551</v>
      </c>
      <c r="J101" s="47" t="str">
        <f>IF(GroDB3[[#This Row],[Last_Order_Date]]&lt;=GroDB3[[#This Row],[Date_Received]], "Yes", "No")</f>
        <v>No</v>
      </c>
      <c r="K101" s="43">
        <f>IF(GroDB3[[#This Row],[Column1]]="No",GroDB3[[#This Row],[Last_Order_Date]],GroDB3[[#This Row],[Date_Received]])</f>
        <v>45551</v>
      </c>
      <c r="L101" s="43">
        <f>IF(GroDB3[[#This Row],[Column1]]="No",GroDB3[[#This Row],[Date_Received]],GroDB3[[#This Row],[Last_Order_Date]])</f>
        <v>45356</v>
      </c>
      <c r="M101" s="43">
        <v>45347</v>
      </c>
      <c r="N101" s="3">
        <v>11</v>
      </c>
      <c r="O101" s="3">
        <v>6</v>
      </c>
      <c r="P101" s="3">
        <v>100</v>
      </c>
      <c r="Q101" s="4">
        <v>5</v>
      </c>
      <c r="R101" s="3">
        <v>88</v>
      </c>
      <c r="S101" s="3">
        <v>24</v>
      </c>
      <c r="T101" s="7">
        <v>-0.33</v>
      </c>
    </row>
    <row r="102" spans="1:20" x14ac:dyDescent="0.35">
      <c r="A102" s="5" t="s">
        <v>320</v>
      </c>
      <c r="B102" s="3" t="s">
        <v>18</v>
      </c>
      <c r="C102" s="3" t="s">
        <v>478</v>
      </c>
      <c r="D102" s="3" t="s">
        <v>479</v>
      </c>
      <c r="E102" s="3" t="s">
        <v>56</v>
      </c>
      <c r="F102" s="3" t="s">
        <v>480</v>
      </c>
      <c r="G102" s="3" t="s">
        <v>481</v>
      </c>
      <c r="H102" s="43">
        <v>45387</v>
      </c>
      <c r="I102" s="43">
        <v>45556</v>
      </c>
      <c r="J102" s="47" t="str">
        <f>IF(GroDB3[[#This Row],[Last_Order_Date]]&lt;=GroDB3[[#This Row],[Date_Received]], "Yes", "No")</f>
        <v>No</v>
      </c>
      <c r="K102" s="43">
        <f>IF(GroDB3[[#This Row],[Column1]]="No",GroDB3[[#This Row],[Last_Order_Date]],GroDB3[[#This Row],[Date_Received]])</f>
        <v>45556</v>
      </c>
      <c r="L102" s="43">
        <f>IF(GroDB3[[#This Row],[Column1]]="No",GroDB3[[#This Row],[Date_Received]],GroDB3[[#This Row],[Last_Order_Date]])</f>
        <v>45387</v>
      </c>
      <c r="M102" s="43">
        <v>45418</v>
      </c>
      <c r="N102" s="3">
        <v>95</v>
      </c>
      <c r="O102" s="3">
        <v>50</v>
      </c>
      <c r="P102" s="3">
        <v>76</v>
      </c>
      <c r="Q102" s="4">
        <v>4</v>
      </c>
      <c r="R102" s="3">
        <v>69</v>
      </c>
      <c r="S102" s="3">
        <v>5</v>
      </c>
      <c r="T102" s="7">
        <v>0.73</v>
      </c>
    </row>
    <row r="103" spans="1:20" x14ac:dyDescent="0.35">
      <c r="A103" s="5" t="s">
        <v>211</v>
      </c>
      <c r="B103" s="3" t="s">
        <v>32</v>
      </c>
      <c r="C103" s="3" t="s">
        <v>482</v>
      </c>
      <c r="D103" s="3" t="s">
        <v>483</v>
      </c>
      <c r="E103" s="3" t="s">
        <v>21</v>
      </c>
      <c r="F103" s="3" t="s">
        <v>484</v>
      </c>
      <c r="G103" s="3" t="s">
        <v>485</v>
      </c>
      <c r="H103" s="43">
        <v>45387</v>
      </c>
      <c r="I103" s="43">
        <v>45635</v>
      </c>
      <c r="J103" s="47" t="str">
        <f>IF(GroDB3[[#This Row],[Last_Order_Date]]&lt;=GroDB3[[#This Row],[Date_Received]], "Yes", "No")</f>
        <v>No</v>
      </c>
      <c r="K103" s="43">
        <f>IF(GroDB3[[#This Row],[Column1]]="No",GroDB3[[#This Row],[Last_Order_Date]],GroDB3[[#This Row],[Date_Received]])</f>
        <v>45635</v>
      </c>
      <c r="L103" s="43">
        <f>IF(GroDB3[[#This Row],[Column1]]="No",GroDB3[[#This Row],[Date_Received]],GroDB3[[#This Row],[Last_Order_Date]])</f>
        <v>45387</v>
      </c>
      <c r="M103" s="43">
        <v>45431</v>
      </c>
      <c r="N103" s="3">
        <v>92</v>
      </c>
      <c r="O103" s="3">
        <v>67</v>
      </c>
      <c r="P103" s="3">
        <v>51</v>
      </c>
      <c r="Q103" s="4">
        <v>4</v>
      </c>
      <c r="R103" s="3">
        <v>23</v>
      </c>
      <c r="S103" s="3">
        <v>78</v>
      </c>
      <c r="T103" s="7">
        <v>0.93</v>
      </c>
    </row>
    <row r="104" spans="1:20" x14ac:dyDescent="0.35">
      <c r="A104" s="5" t="s">
        <v>70</v>
      </c>
      <c r="B104" s="3" t="s">
        <v>32</v>
      </c>
      <c r="C104" s="3" t="s">
        <v>486</v>
      </c>
      <c r="D104" s="3" t="s">
        <v>487</v>
      </c>
      <c r="E104" s="3" t="s">
        <v>28</v>
      </c>
      <c r="F104" s="3" t="s">
        <v>488</v>
      </c>
      <c r="G104" s="3" t="s">
        <v>489</v>
      </c>
      <c r="H104" s="43">
        <v>45387</v>
      </c>
      <c r="I104" s="43">
        <v>45368</v>
      </c>
      <c r="J104" s="47" t="str">
        <f>IF(GroDB3[[#This Row],[Last_Order_Date]]&lt;=GroDB3[[#This Row],[Date_Received]], "Yes", "No")</f>
        <v>Yes</v>
      </c>
      <c r="K104" s="43">
        <f>IF(GroDB3[[#This Row],[Column1]]="No",GroDB3[[#This Row],[Last_Order_Date]],GroDB3[[#This Row],[Date_Received]])</f>
        <v>45387</v>
      </c>
      <c r="L104" s="43">
        <f>IF(GroDB3[[#This Row],[Column1]]="No",GroDB3[[#This Row],[Date_Received]],GroDB3[[#This Row],[Last_Order_Date]])</f>
        <v>45368</v>
      </c>
      <c r="M104" s="43">
        <v>45690</v>
      </c>
      <c r="N104" s="3">
        <v>85</v>
      </c>
      <c r="O104" s="3">
        <v>83</v>
      </c>
      <c r="P104" s="3">
        <v>13</v>
      </c>
      <c r="Q104" s="4">
        <v>1.75</v>
      </c>
      <c r="R104" s="3">
        <v>49</v>
      </c>
      <c r="S104" s="3">
        <v>75</v>
      </c>
      <c r="T104" s="7">
        <v>-2.39</v>
      </c>
    </row>
    <row r="105" spans="1:20" x14ac:dyDescent="0.35">
      <c r="A105" s="5" t="s">
        <v>490</v>
      </c>
      <c r="B105" s="3" t="s">
        <v>18</v>
      </c>
      <c r="C105" s="3" t="s">
        <v>491</v>
      </c>
      <c r="D105" s="3" t="s">
        <v>492</v>
      </c>
      <c r="E105" s="3" t="s">
        <v>28</v>
      </c>
      <c r="F105" s="3" t="s">
        <v>493</v>
      </c>
      <c r="G105" s="3" t="s">
        <v>494</v>
      </c>
      <c r="H105" s="43">
        <v>45387</v>
      </c>
      <c r="I105" s="43">
        <v>45347</v>
      </c>
      <c r="J105" s="47" t="str">
        <f>IF(GroDB3[[#This Row],[Last_Order_Date]]&lt;=GroDB3[[#This Row],[Date_Received]], "Yes", "No")</f>
        <v>Yes</v>
      </c>
      <c r="K105" s="43">
        <f>IF(GroDB3[[#This Row],[Column1]]="No",GroDB3[[#This Row],[Last_Order_Date]],GroDB3[[#This Row],[Date_Received]])</f>
        <v>45387</v>
      </c>
      <c r="L105" s="43">
        <f>IF(GroDB3[[#This Row],[Column1]]="No",GroDB3[[#This Row],[Date_Received]],GroDB3[[#This Row],[Last_Order_Date]])</f>
        <v>45347</v>
      </c>
      <c r="M105" s="43">
        <v>45645</v>
      </c>
      <c r="N105" s="3">
        <v>92</v>
      </c>
      <c r="O105" s="3">
        <v>3</v>
      </c>
      <c r="P105" s="3">
        <v>81</v>
      </c>
      <c r="Q105" s="4">
        <v>5</v>
      </c>
      <c r="R105" s="3">
        <v>62</v>
      </c>
      <c r="S105" s="3">
        <v>20</v>
      </c>
      <c r="T105" s="7">
        <v>-0.53</v>
      </c>
    </row>
    <row r="106" spans="1:20" x14ac:dyDescent="0.35">
      <c r="A106" s="5" t="s">
        <v>495</v>
      </c>
      <c r="B106" s="3" t="s">
        <v>18</v>
      </c>
      <c r="C106" s="3" t="s">
        <v>496</v>
      </c>
      <c r="D106" s="3" t="s">
        <v>497</v>
      </c>
      <c r="E106" s="3" t="s">
        <v>28</v>
      </c>
      <c r="F106" s="3" t="s">
        <v>498</v>
      </c>
      <c r="G106" s="3" t="s">
        <v>499</v>
      </c>
      <c r="H106" s="43">
        <v>45387</v>
      </c>
      <c r="I106" s="43">
        <v>45470</v>
      </c>
      <c r="J106" s="47" t="str">
        <f>IF(GroDB3[[#This Row],[Last_Order_Date]]&lt;=GroDB3[[#This Row],[Date_Received]], "Yes", "No")</f>
        <v>No</v>
      </c>
      <c r="K106" s="43">
        <f>IF(GroDB3[[#This Row],[Column1]]="No",GroDB3[[#This Row],[Last_Order_Date]],GroDB3[[#This Row],[Date_Received]])</f>
        <v>45470</v>
      </c>
      <c r="L106" s="43">
        <f>IF(GroDB3[[#This Row],[Column1]]="No",GroDB3[[#This Row],[Date_Received]],GroDB3[[#This Row],[Last_Order_Date]])</f>
        <v>45387</v>
      </c>
      <c r="M106" s="43">
        <v>45593</v>
      </c>
      <c r="N106" s="3">
        <v>24</v>
      </c>
      <c r="O106" s="3">
        <v>21</v>
      </c>
      <c r="P106" s="3">
        <v>4</v>
      </c>
      <c r="Q106" s="4">
        <v>6</v>
      </c>
      <c r="R106" s="3">
        <v>85</v>
      </c>
      <c r="S106" s="3">
        <v>17</v>
      </c>
      <c r="T106" s="7">
        <v>0.68</v>
      </c>
    </row>
    <row r="107" spans="1:20" x14ac:dyDescent="0.35">
      <c r="A107" s="5" t="s">
        <v>298</v>
      </c>
      <c r="B107" s="3" t="s">
        <v>32</v>
      </c>
      <c r="C107" s="3" t="s">
        <v>500</v>
      </c>
      <c r="D107" s="3" t="s">
        <v>501</v>
      </c>
      <c r="E107" s="3" t="s">
        <v>28</v>
      </c>
      <c r="F107" s="3" t="s">
        <v>502</v>
      </c>
      <c r="G107" s="3" t="s">
        <v>503</v>
      </c>
      <c r="H107" s="43">
        <v>45387</v>
      </c>
      <c r="I107" s="43">
        <v>45546</v>
      </c>
      <c r="J107" s="47" t="str">
        <f>IF(GroDB3[[#This Row],[Last_Order_Date]]&lt;=GroDB3[[#This Row],[Date_Received]], "Yes", "No")</f>
        <v>No</v>
      </c>
      <c r="K107" s="43">
        <f>IF(GroDB3[[#This Row],[Column1]]="No",GroDB3[[#This Row],[Last_Order_Date]],GroDB3[[#This Row],[Date_Received]])</f>
        <v>45546</v>
      </c>
      <c r="L107" s="43">
        <f>IF(GroDB3[[#This Row],[Column1]]="No",GroDB3[[#This Row],[Date_Received]],GroDB3[[#This Row],[Last_Order_Date]])</f>
        <v>45387</v>
      </c>
      <c r="M107" s="43">
        <v>45563</v>
      </c>
      <c r="N107" s="3">
        <v>21</v>
      </c>
      <c r="O107" s="3">
        <v>24</v>
      </c>
      <c r="P107" s="3">
        <v>2</v>
      </c>
      <c r="Q107" s="4">
        <v>2.35</v>
      </c>
      <c r="R107" s="3">
        <v>87</v>
      </c>
      <c r="S107" s="3">
        <v>36</v>
      </c>
      <c r="T107" s="7">
        <v>0.8</v>
      </c>
    </row>
    <row r="108" spans="1:20" x14ac:dyDescent="0.35">
      <c r="A108" s="5" t="s">
        <v>59</v>
      </c>
      <c r="B108" s="3" t="s">
        <v>60</v>
      </c>
      <c r="C108" s="3" t="s">
        <v>504</v>
      </c>
      <c r="D108" s="3" t="s">
        <v>505</v>
      </c>
      <c r="E108" s="3" t="s">
        <v>56</v>
      </c>
      <c r="F108" s="3" t="s">
        <v>506</v>
      </c>
      <c r="G108" s="3" t="s">
        <v>507</v>
      </c>
      <c r="H108" s="43">
        <v>45387</v>
      </c>
      <c r="I108" s="43">
        <v>45405</v>
      </c>
      <c r="J108" s="47" t="str">
        <f>IF(GroDB3[[#This Row],[Last_Order_Date]]&lt;=GroDB3[[#This Row],[Date_Received]], "Yes", "No")</f>
        <v>No</v>
      </c>
      <c r="K108" s="43">
        <f>IF(GroDB3[[#This Row],[Column1]]="No",GroDB3[[#This Row],[Last_Order_Date]],GroDB3[[#This Row],[Date_Received]])</f>
        <v>45405</v>
      </c>
      <c r="L108" s="43">
        <f>IF(GroDB3[[#This Row],[Column1]]="No",GroDB3[[#This Row],[Date_Received]],GroDB3[[#This Row],[Last_Order_Date]])</f>
        <v>45387</v>
      </c>
      <c r="M108" s="43">
        <v>45681</v>
      </c>
      <c r="N108" s="3">
        <v>64</v>
      </c>
      <c r="O108" s="3">
        <v>1</v>
      </c>
      <c r="P108" s="3">
        <v>92</v>
      </c>
      <c r="Q108" s="4">
        <v>10</v>
      </c>
      <c r="R108" s="3">
        <v>49</v>
      </c>
      <c r="S108" s="3">
        <v>15</v>
      </c>
      <c r="T108" s="7">
        <v>0.59</v>
      </c>
    </row>
    <row r="109" spans="1:20" x14ac:dyDescent="0.35">
      <c r="A109" s="5" t="s">
        <v>508</v>
      </c>
      <c r="B109" s="3" t="s">
        <v>127</v>
      </c>
      <c r="C109" s="3" t="s">
        <v>509</v>
      </c>
      <c r="D109" s="3" t="s">
        <v>510</v>
      </c>
      <c r="E109" s="3" t="s">
        <v>56</v>
      </c>
      <c r="F109" s="3" t="s">
        <v>511</v>
      </c>
      <c r="G109" s="3" t="s">
        <v>512</v>
      </c>
      <c r="H109" s="43">
        <v>45387</v>
      </c>
      <c r="I109" s="43">
        <v>45577</v>
      </c>
      <c r="J109" s="47" t="str">
        <f>IF(GroDB3[[#This Row],[Last_Order_Date]]&lt;=GroDB3[[#This Row],[Date_Received]], "Yes", "No")</f>
        <v>No</v>
      </c>
      <c r="K109" s="43">
        <f>IF(GroDB3[[#This Row],[Column1]]="No",GroDB3[[#This Row],[Last_Order_Date]],GroDB3[[#This Row],[Date_Received]])</f>
        <v>45577</v>
      </c>
      <c r="L109" s="43">
        <f>IF(GroDB3[[#This Row],[Column1]]="No",GroDB3[[#This Row],[Date_Received]],GroDB3[[#This Row],[Last_Order_Date]])</f>
        <v>45387</v>
      </c>
      <c r="M109" s="43">
        <v>45617</v>
      </c>
      <c r="N109" s="3">
        <v>35</v>
      </c>
      <c r="O109" s="3">
        <v>88</v>
      </c>
      <c r="P109" s="3">
        <v>87</v>
      </c>
      <c r="Q109" s="4">
        <v>4.7</v>
      </c>
      <c r="R109" s="3">
        <v>39</v>
      </c>
      <c r="S109" s="3">
        <v>62</v>
      </c>
      <c r="T109" s="7">
        <v>0.69</v>
      </c>
    </row>
    <row r="110" spans="1:20" x14ac:dyDescent="0.35">
      <c r="A110" s="5" t="s">
        <v>263</v>
      </c>
      <c r="B110" s="3" t="s">
        <v>25</v>
      </c>
      <c r="C110" s="3" t="s">
        <v>513</v>
      </c>
      <c r="D110" s="3" t="s">
        <v>514</v>
      </c>
      <c r="E110" s="3" t="s">
        <v>56</v>
      </c>
      <c r="F110" s="3" t="s">
        <v>515</v>
      </c>
      <c r="G110" s="3" t="s">
        <v>516</v>
      </c>
      <c r="H110" s="43">
        <v>45417</v>
      </c>
      <c r="I110" s="43">
        <v>45680</v>
      </c>
      <c r="J110" s="47" t="str">
        <f>IF(GroDB3[[#This Row],[Last_Order_Date]]&lt;=GroDB3[[#This Row],[Date_Received]], "Yes", "No")</f>
        <v>No</v>
      </c>
      <c r="K110" s="43">
        <f>IF(GroDB3[[#This Row],[Column1]]="No",GroDB3[[#This Row],[Last_Order_Date]],GroDB3[[#This Row],[Date_Received]])</f>
        <v>45680</v>
      </c>
      <c r="L110" s="43">
        <f>IF(GroDB3[[#This Row],[Column1]]="No",GroDB3[[#This Row],[Date_Received]],GroDB3[[#This Row],[Last_Order_Date]])</f>
        <v>45417</v>
      </c>
      <c r="M110" s="43">
        <v>45704</v>
      </c>
      <c r="N110" s="3">
        <v>100</v>
      </c>
      <c r="O110" s="3">
        <v>92</v>
      </c>
      <c r="P110" s="3">
        <v>26</v>
      </c>
      <c r="Q110" s="4">
        <v>6</v>
      </c>
      <c r="R110" s="3">
        <v>84</v>
      </c>
      <c r="S110" s="3">
        <v>9</v>
      </c>
      <c r="T110" s="7">
        <v>-0.59</v>
      </c>
    </row>
    <row r="111" spans="1:20" x14ac:dyDescent="0.35">
      <c r="A111" s="5" t="s">
        <v>517</v>
      </c>
      <c r="B111" s="3" t="s">
        <v>127</v>
      </c>
      <c r="C111" s="3" t="s">
        <v>518</v>
      </c>
      <c r="D111" s="3" t="s">
        <v>519</v>
      </c>
      <c r="E111" s="3" t="s">
        <v>28</v>
      </c>
      <c r="F111" s="3" t="s">
        <v>520</v>
      </c>
      <c r="G111" s="3" t="s">
        <v>521</v>
      </c>
      <c r="H111" s="43">
        <v>45417</v>
      </c>
      <c r="I111" s="43">
        <v>45592</v>
      </c>
      <c r="J111" s="47" t="str">
        <f>IF(GroDB3[[#This Row],[Last_Order_Date]]&lt;=GroDB3[[#This Row],[Date_Received]], "Yes", "No")</f>
        <v>No</v>
      </c>
      <c r="K111" s="43">
        <f>IF(GroDB3[[#This Row],[Column1]]="No",GroDB3[[#This Row],[Last_Order_Date]],GroDB3[[#This Row],[Date_Received]])</f>
        <v>45592</v>
      </c>
      <c r="L111" s="43">
        <f>IF(GroDB3[[#This Row],[Column1]]="No",GroDB3[[#This Row],[Date_Received]],GroDB3[[#This Row],[Last_Order_Date]])</f>
        <v>45417</v>
      </c>
      <c r="M111" s="43">
        <v>45514</v>
      </c>
      <c r="N111" s="3">
        <v>91</v>
      </c>
      <c r="O111" s="3">
        <v>78</v>
      </c>
      <c r="P111" s="3">
        <v>61</v>
      </c>
      <c r="Q111" s="4">
        <v>25</v>
      </c>
      <c r="R111" s="3">
        <v>63</v>
      </c>
      <c r="S111" s="3">
        <v>15</v>
      </c>
      <c r="T111" s="7">
        <v>0.89</v>
      </c>
    </row>
    <row r="112" spans="1:20" x14ac:dyDescent="0.35">
      <c r="A112" s="5" t="s">
        <v>24</v>
      </c>
      <c r="B112" s="3" t="s">
        <v>25</v>
      </c>
      <c r="C112" s="3" t="s">
        <v>522</v>
      </c>
      <c r="D112" s="3" t="s">
        <v>523</v>
      </c>
      <c r="E112" s="3" t="s">
        <v>56</v>
      </c>
      <c r="F112" s="3" t="s">
        <v>524</v>
      </c>
      <c r="G112" s="3" t="s">
        <v>525</v>
      </c>
      <c r="H112" s="43">
        <v>45417</v>
      </c>
      <c r="I112" s="43">
        <v>45516</v>
      </c>
      <c r="J112" s="47" t="str">
        <f>IF(GroDB3[[#This Row],[Last_Order_Date]]&lt;=GroDB3[[#This Row],[Date_Received]], "Yes", "No")</f>
        <v>No</v>
      </c>
      <c r="K112" s="43">
        <f>IF(GroDB3[[#This Row],[Column1]]="No",GroDB3[[#This Row],[Last_Order_Date]],GroDB3[[#This Row],[Date_Received]])</f>
        <v>45516</v>
      </c>
      <c r="L112" s="43">
        <f>IF(GroDB3[[#This Row],[Column1]]="No",GroDB3[[#This Row],[Date_Received]],GroDB3[[#This Row],[Last_Order_Date]])</f>
        <v>45417</v>
      </c>
      <c r="M112" s="43">
        <v>45463</v>
      </c>
      <c r="N112" s="3">
        <v>18</v>
      </c>
      <c r="O112" s="3">
        <v>72</v>
      </c>
      <c r="P112" s="3">
        <v>71</v>
      </c>
      <c r="Q112" s="4">
        <v>2</v>
      </c>
      <c r="R112" s="3">
        <v>25</v>
      </c>
      <c r="S112" s="3">
        <v>81</v>
      </c>
      <c r="T112" s="7">
        <v>0.76</v>
      </c>
    </row>
    <row r="113" spans="1:20" x14ac:dyDescent="0.35">
      <c r="A113" s="5" t="s">
        <v>526</v>
      </c>
      <c r="B113" s="3" t="s">
        <v>53</v>
      </c>
      <c r="C113" s="3" t="s">
        <v>527</v>
      </c>
      <c r="D113" s="3" t="s">
        <v>528</v>
      </c>
      <c r="E113" s="3" t="s">
        <v>21</v>
      </c>
      <c r="F113" s="3" t="s">
        <v>529</v>
      </c>
      <c r="G113" s="3" t="s">
        <v>530</v>
      </c>
      <c r="H113" s="43">
        <v>45417</v>
      </c>
      <c r="I113" s="43">
        <v>45495</v>
      </c>
      <c r="J113" s="47" t="str">
        <f>IF(GroDB3[[#This Row],[Last_Order_Date]]&lt;=GroDB3[[#This Row],[Date_Received]], "Yes", "No")</f>
        <v>No</v>
      </c>
      <c r="K113" s="43">
        <f>IF(GroDB3[[#This Row],[Column1]]="No",GroDB3[[#This Row],[Last_Order_Date]],GroDB3[[#This Row],[Date_Received]])</f>
        <v>45495</v>
      </c>
      <c r="L113" s="43">
        <f>IF(GroDB3[[#This Row],[Column1]]="No",GroDB3[[#This Row],[Date_Received]],GroDB3[[#This Row],[Last_Order_Date]])</f>
        <v>45417</v>
      </c>
      <c r="M113" s="43">
        <v>45712</v>
      </c>
      <c r="N113" s="3">
        <v>80</v>
      </c>
      <c r="O113" s="3">
        <v>86</v>
      </c>
      <c r="P113" s="3">
        <v>50</v>
      </c>
      <c r="Q113" s="4">
        <v>1.8</v>
      </c>
      <c r="R113" s="3">
        <v>46</v>
      </c>
      <c r="S113" s="3">
        <v>69</v>
      </c>
      <c r="T113" s="7">
        <v>-2.2400000000000002</v>
      </c>
    </row>
    <row r="114" spans="1:20" x14ac:dyDescent="0.35">
      <c r="A114" s="5" t="s">
        <v>531</v>
      </c>
      <c r="B114" s="3" t="s">
        <v>53</v>
      </c>
      <c r="C114" s="3" t="s">
        <v>532</v>
      </c>
      <c r="D114" s="3" t="s">
        <v>533</v>
      </c>
      <c r="E114" s="3" t="s">
        <v>21</v>
      </c>
      <c r="F114" s="3" t="s">
        <v>534</v>
      </c>
      <c r="G114" s="3" t="s">
        <v>535</v>
      </c>
      <c r="H114" s="43">
        <v>45448</v>
      </c>
      <c r="I114" s="43">
        <v>45562</v>
      </c>
      <c r="J114" s="47" t="str">
        <f>IF(GroDB3[[#This Row],[Last_Order_Date]]&lt;=GroDB3[[#This Row],[Date_Received]], "Yes", "No")</f>
        <v>No</v>
      </c>
      <c r="K114" s="43">
        <f>IF(GroDB3[[#This Row],[Column1]]="No",GroDB3[[#This Row],[Last_Order_Date]],GroDB3[[#This Row],[Date_Received]])</f>
        <v>45562</v>
      </c>
      <c r="L114" s="43">
        <f>IF(GroDB3[[#This Row],[Column1]]="No",GroDB3[[#This Row],[Date_Received]],GroDB3[[#This Row],[Last_Order_Date]])</f>
        <v>45448</v>
      </c>
      <c r="M114" s="43">
        <v>45506</v>
      </c>
      <c r="N114" s="3">
        <v>11</v>
      </c>
      <c r="O114" s="3">
        <v>10</v>
      </c>
      <c r="P114" s="3">
        <v>80</v>
      </c>
      <c r="Q114" s="4">
        <v>1.5</v>
      </c>
      <c r="R114" s="3">
        <v>48</v>
      </c>
      <c r="S114" s="3">
        <v>65</v>
      </c>
      <c r="T114" s="7">
        <v>-0.5</v>
      </c>
    </row>
    <row r="115" spans="1:20" x14ac:dyDescent="0.35">
      <c r="A115" s="5" t="s">
        <v>225</v>
      </c>
      <c r="B115" s="3" t="s">
        <v>91</v>
      </c>
      <c r="C115" s="3" t="s">
        <v>536</v>
      </c>
      <c r="D115" s="3" t="s">
        <v>537</v>
      </c>
      <c r="E115" s="3" t="s">
        <v>28</v>
      </c>
      <c r="F115" s="3" t="s">
        <v>538</v>
      </c>
      <c r="G115" s="3" t="s">
        <v>539</v>
      </c>
      <c r="H115" s="43">
        <v>45448</v>
      </c>
      <c r="I115" s="43">
        <v>45673</v>
      </c>
      <c r="J115" s="47" t="str">
        <f>IF(GroDB3[[#This Row],[Last_Order_Date]]&lt;=GroDB3[[#This Row],[Date_Received]], "Yes", "No")</f>
        <v>No</v>
      </c>
      <c r="K115" s="43">
        <f>IF(GroDB3[[#This Row],[Column1]]="No",GroDB3[[#This Row],[Last_Order_Date]],GroDB3[[#This Row],[Date_Received]])</f>
        <v>45673</v>
      </c>
      <c r="L115" s="43">
        <f>IF(GroDB3[[#This Row],[Column1]]="No",GroDB3[[#This Row],[Date_Received]],GroDB3[[#This Row],[Last_Order_Date]])</f>
        <v>45448</v>
      </c>
      <c r="M115" s="43">
        <v>45617</v>
      </c>
      <c r="N115" s="3">
        <v>99</v>
      </c>
      <c r="O115" s="3">
        <v>3</v>
      </c>
      <c r="P115" s="3">
        <v>79</v>
      </c>
      <c r="Q115" s="4">
        <v>5</v>
      </c>
      <c r="R115" s="3">
        <v>65</v>
      </c>
      <c r="S115" s="3">
        <v>16</v>
      </c>
      <c r="T115" s="7">
        <v>-0.35</v>
      </c>
    </row>
    <row r="116" spans="1:20" x14ac:dyDescent="0.35">
      <c r="A116" s="5" t="s">
        <v>470</v>
      </c>
      <c r="B116" s="3" t="s">
        <v>18</v>
      </c>
      <c r="C116" s="3" t="s">
        <v>540</v>
      </c>
      <c r="D116" s="3" t="s">
        <v>541</v>
      </c>
      <c r="E116" s="3" t="s">
        <v>56</v>
      </c>
      <c r="F116" s="3" t="s">
        <v>542</v>
      </c>
      <c r="G116" s="3" t="s">
        <v>543</v>
      </c>
      <c r="H116" s="43">
        <v>45448</v>
      </c>
      <c r="I116" s="43">
        <v>45538</v>
      </c>
      <c r="J116" s="47" t="str">
        <f>IF(GroDB3[[#This Row],[Last_Order_Date]]&lt;=GroDB3[[#This Row],[Date_Received]], "Yes", "No")</f>
        <v>No</v>
      </c>
      <c r="K116" s="43">
        <f>IF(GroDB3[[#This Row],[Column1]]="No",GroDB3[[#This Row],[Last_Order_Date]],GroDB3[[#This Row],[Date_Received]])</f>
        <v>45538</v>
      </c>
      <c r="L116" s="43">
        <f>IF(GroDB3[[#This Row],[Column1]]="No",GroDB3[[#This Row],[Date_Received]],GroDB3[[#This Row],[Last_Order_Date]])</f>
        <v>45448</v>
      </c>
      <c r="M116" s="43">
        <v>45459</v>
      </c>
      <c r="N116" s="3">
        <v>40</v>
      </c>
      <c r="O116" s="3">
        <v>83</v>
      </c>
      <c r="P116" s="3">
        <v>50</v>
      </c>
      <c r="Q116" s="4">
        <v>4</v>
      </c>
      <c r="R116" s="3">
        <v>92</v>
      </c>
      <c r="S116" s="3">
        <v>50</v>
      </c>
      <c r="T116" s="7">
        <v>0.75</v>
      </c>
    </row>
    <row r="117" spans="1:20" x14ac:dyDescent="0.35">
      <c r="A117" s="5" t="s">
        <v>544</v>
      </c>
      <c r="B117" s="3" t="s">
        <v>91</v>
      </c>
      <c r="C117" s="3" t="s">
        <v>545</v>
      </c>
      <c r="D117" s="3" t="s">
        <v>546</v>
      </c>
      <c r="E117" s="3" t="s">
        <v>28</v>
      </c>
      <c r="F117" s="3" t="s">
        <v>547</v>
      </c>
      <c r="G117" s="3" t="s">
        <v>548</v>
      </c>
      <c r="H117" s="43">
        <v>45478</v>
      </c>
      <c r="I117" s="43">
        <v>45499</v>
      </c>
      <c r="J117" s="47" t="str">
        <f>IF(GroDB3[[#This Row],[Last_Order_Date]]&lt;=GroDB3[[#This Row],[Date_Received]], "Yes", "No")</f>
        <v>No</v>
      </c>
      <c r="K117" s="43">
        <f>IF(GroDB3[[#This Row],[Column1]]="No",GroDB3[[#This Row],[Last_Order_Date]],GroDB3[[#This Row],[Date_Received]])</f>
        <v>45499</v>
      </c>
      <c r="L117" s="43">
        <f>IF(GroDB3[[#This Row],[Column1]]="No",GroDB3[[#This Row],[Date_Received]],GroDB3[[#This Row],[Last_Order_Date]])</f>
        <v>45478</v>
      </c>
      <c r="M117" s="43">
        <v>45390</v>
      </c>
      <c r="N117" s="3">
        <v>69</v>
      </c>
      <c r="O117" s="3">
        <v>65</v>
      </c>
      <c r="P117" s="3">
        <v>91</v>
      </c>
      <c r="Q117" s="4">
        <v>3</v>
      </c>
      <c r="R117" s="3">
        <v>98</v>
      </c>
      <c r="S117" s="3">
        <v>50</v>
      </c>
      <c r="T117" s="7">
        <v>0.46</v>
      </c>
    </row>
    <row r="118" spans="1:20" x14ac:dyDescent="0.35">
      <c r="A118" s="5" t="s">
        <v>549</v>
      </c>
      <c r="B118" s="3" t="s">
        <v>32</v>
      </c>
      <c r="C118" s="3" t="s">
        <v>550</v>
      </c>
      <c r="D118" s="3" t="s">
        <v>551</v>
      </c>
      <c r="E118" s="3" t="s">
        <v>56</v>
      </c>
      <c r="F118" s="3" t="s">
        <v>552</v>
      </c>
      <c r="G118" s="3" t="s">
        <v>553</v>
      </c>
      <c r="H118" s="43">
        <v>45478</v>
      </c>
      <c r="I118" s="43">
        <v>45569</v>
      </c>
      <c r="J118" s="47" t="str">
        <f>IF(GroDB3[[#This Row],[Last_Order_Date]]&lt;=GroDB3[[#This Row],[Date_Received]], "Yes", "No")</f>
        <v>No</v>
      </c>
      <c r="K118" s="43">
        <f>IF(GroDB3[[#This Row],[Column1]]="No",GroDB3[[#This Row],[Last_Order_Date]],GroDB3[[#This Row],[Date_Received]])</f>
        <v>45569</v>
      </c>
      <c r="L118" s="43">
        <f>IF(GroDB3[[#This Row],[Column1]]="No",GroDB3[[#This Row],[Date_Received]],GroDB3[[#This Row],[Last_Order_Date]])</f>
        <v>45478</v>
      </c>
      <c r="M118" s="43">
        <v>45482</v>
      </c>
      <c r="N118" s="3">
        <v>60</v>
      </c>
      <c r="O118" s="3">
        <v>43</v>
      </c>
      <c r="P118" s="3">
        <v>32</v>
      </c>
      <c r="Q118" s="4">
        <v>2.5</v>
      </c>
      <c r="R118" s="3">
        <v>77</v>
      </c>
      <c r="S118" s="3">
        <v>60</v>
      </c>
      <c r="T118" s="7">
        <v>0.49</v>
      </c>
    </row>
    <row r="119" spans="1:20" x14ac:dyDescent="0.35">
      <c r="A119" s="5" t="s">
        <v>554</v>
      </c>
      <c r="B119" s="3" t="s">
        <v>53</v>
      </c>
      <c r="C119" s="3" t="s">
        <v>555</v>
      </c>
      <c r="D119" s="3" t="s">
        <v>556</v>
      </c>
      <c r="E119" s="3" t="s">
        <v>21</v>
      </c>
      <c r="F119" s="3" t="s">
        <v>557</v>
      </c>
      <c r="G119" s="3" t="s">
        <v>558</v>
      </c>
      <c r="H119" s="43">
        <v>45478</v>
      </c>
      <c r="I119" s="43">
        <v>45573</v>
      </c>
      <c r="J119" s="47" t="str">
        <f>IF(GroDB3[[#This Row],[Last_Order_Date]]&lt;=GroDB3[[#This Row],[Date_Received]], "Yes", "No")</f>
        <v>No</v>
      </c>
      <c r="K119" s="43">
        <f>IF(GroDB3[[#This Row],[Column1]]="No",GroDB3[[#This Row],[Last_Order_Date]],GroDB3[[#This Row],[Date_Received]])</f>
        <v>45573</v>
      </c>
      <c r="L119" s="43">
        <f>IF(GroDB3[[#This Row],[Column1]]="No",GroDB3[[#This Row],[Date_Received]],GroDB3[[#This Row],[Last_Order_Date]])</f>
        <v>45478</v>
      </c>
      <c r="M119" s="43">
        <v>45536</v>
      </c>
      <c r="N119" s="3">
        <v>79</v>
      </c>
      <c r="O119" s="3">
        <v>38</v>
      </c>
      <c r="P119" s="3">
        <v>67</v>
      </c>
      <c r="Q119" s="4">
        <v>2.5</v>
      </c>
      <c r="R119" s="3">
        <v>43</v>
      </c>
      <c r="S119" s="3">
        <v>93</v>
      </c>
      <c r="T119" s="7">
        <v>0.22</v>
      </c>
    </row>
    <row r="120" spans="1:20" x14ac:dyDescent="0.35">
      <c r="A120" s="5" t="s">
        <v>490</v>
      </c>
      <c r="B120" s="3" t="s">
        <v>18</v>
      </c>
      <c r="C120" s="3" t="s">
        <v>264</v>
      </c>
      <c r="D120" s="3" t="s">
        <v>559</v>
      </c>
      <c r="E120" s="3" t="s">
        <v>28</v>
      </c>
      <c r="F120" s="3" t="s">
        <v>560</v>
      </c>
      <c r="G120" s="3" t="s">
        <v>561</v>
      </c>
      <c r="H120" s="43">
        <v>45509</v>
      </c>
      <c r="I120" s="43">
        <v>45668</v>
      </c>
      <c r="J120" s="47" t="str">
        <f>IF(GroDB3[[#This Row],[Last_Order_Date]]&lt;=GroDB3[[#This Row],[Date_Received]], "Yes", "No")</f>
        <v>No</v>
      </c>
      <c r="K120" s="43">
        <f>IF(GroDB3[[#This Row],[Column1]]="No",GroDB3[[#This Row],[Last_Order_Date]],GroDB3[[#This Row],[Date_Received]])</f>
        <v>45668</v>
      </c>
      <c r="L120" s="43">
        <f>IF(GroDB3[[#This Row],[Column1]]="No",GroDB3[[#This Row],[Date_Received]],GroDB3[[#This Row],[Last_Order_Date]])</f>
        <v>45509</v>
      </c>
      <c r="M120" s="43">
        <v>45477</v>
      </c>
      <c r="N120" s="3">
        <v>68</v>
      </c>
      <c r="O120" s="3">
        <v>12</v>
      </c>
      <c r="P120" s="3">
        <v>73</v>
      </c>
      <c r="Q120" s="4">
        <v>5</v>
      </c>
      <c r="R120" s="3">
        <v>84</v>
      </c>
      <c r="S120" s="3">
        <v>95</v>
      </c>
      <c r="T120" s="7">
        <v>-1.1599999999999999</v>
      </c>
    </row>
    <row r="121" spans="1:20" x14ac:dyDescent="0.35">
      <c r="A121" s="5" t="s">
        <v>303</v>
      </c>
      <c r="B121" s="3" t="s">
        <v>60</v>
      </c>
      <c r="C121" s="3" t="s">
        <v>562</v>
      </c>
      <c r="D121" s="3" t="s">
        <v>563</v>
      </c>
      <c r="E121" s="3" t="s">
        <v>56</v>
      </c>
      <c r="F121" s="3" t="s">
        <v>564</v>
      </c>
      <c r="G121" s="3" t="s">
        <v>565</v>
      </c>
      <c r="H121" s="43">
        <v>45540</v>
      </c>
      <c r="I121" s="43">
        <v>45556</v>
      </c>
      <c r="J121" s="47" t="str">
        <f>IF(GroDB3[[#This Row],[Last_Order_Date]]&lt;=GroDB3[[#This Row],[Date_Received]], "Yes", "No")</f>
        <v>No</v>
      </c>
      <c r="K121" s="43">
        <f>IF(GroDB3[[#This Row],[Column1]]="No",GroDB3[[#This Row],[Last_Order_Date]],GroDB3[[#This Row],[Date_Received]])</f>
        <v>45556</v>
      </c>
      <c r="L121" s="43">
        <f>IF(GroDB3[[#This Row],[Column1]]="No",GroDB3[[#This Row],[Date_Received]],GroDB3[[#This Row],[Last_Order_Date]])</f>
        <v>45540</v>
      </c>
      <c r="M121" s="43">
        <v>45375</v>
      </c>
      <c r="N121" s="3">
        <v>44</v>
      </c>
      <c r="O121" s="3">
        <v>67</v>
      </c>
      <c r="P121" s="3">
        <v>48</v>
      </c>
      <c r="Q121" s="4">
        <v>6</v>
      </c>
      <c r="R121" s="3">
        <v>90</v>
      </c>
      <c r="S121" s="3">
        <v>11</v>
      </c>
      <c r="T121" s="7">
        <v>-0.13</v>
      </c>
    </row>
    <row r="122" spans="1:20" x14ac:dyDescent="0.35">
      <c r="A122" s="5" t="s">
        <v>566</v>
      </c>
      <c r="B122" s="3" t="s">
        <v>127</v>
      </c>
      <c r="C122" s="3" t="s">
        <v>157</v>
      </c>
      <c r="D122" s="3" t="s">
        <v>567</v>
      </c>
      <c r="E122" s="3" t="s">
        <v>56</v>
      </c>
      <c r="F122" s="3" t="s">
        <v>568</v>
      </c>
      <c r="G122" s="3" t="s">
        <v>569</v>
      </c>
      <c r="H122" s="43">
        <v>45540</v>
      </c>
      <c r="I122" s="43">
        <v>45588</v>
      </c>
      <c r="J122" s="47" t="str">
        <f>IF(GroDB3[[#This Row],[Last_Order_Date]]&lt;=GroDB3[[#This Row],[Date_Received]], "Yes", "No")</f>
        <v>No</v>
      </c>
      <c r="K122" s="43">
        <f>IF(GroDB3[[#This Row],[Column1]]="No",GroDB3[[#This Row],[Last_Order_Date]],GroDB3[[#This Row],[Date_Received]])</f>
        <v>45588</v>
      </c>
      <c r="L122" s="43">
        <f>IF(GroDB3[[#This Row],[Column1]]="No",GroDB3[[#This Row],[Date_Received]],GroDB3[[#This Row],[Last_Order_Date]])</f>
        <v>45540</v>
      </c>
      <c r="M122" s="43">
        <v>45415</v>
      </c>
      <c r="N122" s="3">
        <v>40</v>
      </c>
      <c r="O122" s="3">
        <v>30</v>
      </c>
      <c r="P122" s="3">
        <v>60</v>
      </c>
      <c r="Q122" s="4">
        <v>15</v>
      </c>
      <c r="R122" s="3">
        <v>33</v>
      </c>
      <c r="S122" s="3">
        <v>84</v>
      </c>
      <c r="T122" s="7">
        <v>0.88</v>
      </c>
    </row>
    <row r="123" spans="1:20" x14ac:dyDescent="0.35">
      <c r="A123" s="5" t="s">
        <v>554</v>
      </c>
      <c r="B123" s="3" t="s">
        <v>53</v>
      </c>
      <c r="C123" s="3" t="s">
        <v>570</v>
      </c>
      <c r="D123" s="3" t="s">
        <v>571</v>
      </c>
      <c r="E123" s="3" t="s">
        <v>56</v>
      </c>
      <c r="F123" s="3" t="s">
        <v>572</v>
      </c>
      <c r="G123" s="3" t="s">
        <v>573</v>
      </c>
      <c r="H123" s="43">
        <v>45540</v>
      </c>
      <c r="I123" s="43">
        <v>45546</v>
      </c>
      <c r="J123" s="47" t="str">
        <f>IF(GroDB3[[#This Row],[Last_Order_Date]]&lt;=GroDB3[[#This Row],[Date_Received]], "Yes", "No")</f>
        <v>No</v>
      </c>
      <c r="K123" s="43">
        <f>IF(GroDB3[[#This Row],[Column1]]="No",GroDB3[[#This Row],[Last_Order_Date]],GroDB3[[#This Row],[Date_Received]])</f>
        <v>45546</v>
      </c>
      <c r="L123" s="43">
        <f>IF(GroDB3[[#This Row],[Column1]]="No",GroDB3[[#This Row],[Date_Received]],GroDB3[[#This Row],[Last_Order_Date]])</f>
        <v>45540</v>
      </c>
      <c r="M123" s="43">
        <v>45673</v>
      </c>
      <c r="N123" s="3">
        <v>46</v>
      </c>
      <c r="O123" s="3">
        <v>81</v>
      </c>
      <c r="P123" s="3">
        <v>47</v>
      </c>
      <c r="Q123" s="4">
        <v>2.5</v>
      </c>
      <c r="R123" s="3">
        <v>48</v>
      </c>
      <c r="S123" s="3">
        <v>48</v>
      </c>
      <c r="T123" s="7">
        <v>-1.55</v>
      </c>
    </row>
    <row r="124" spans="1:20" x14ac:dyDescent="0.35">
      <c r="A124" s="5" t="s">
        <v>574</v>
      </c>
      <c r="B124" s="3" t="s">
        <v>53</v>
      </c>
      <c r="C124" s="3" t="s">
        <v>176</v>
      </c>
      <c r="D124" s="3" t="s">
        <v>575</v>
      </c>
      <c r="E124" s="3" t="s">
        <v>28</v>
      </c>
      <c r="F124" s="3" t="s">
        <v>576</v>
      </c>
      <c r="G124" s="3" t="s">
        <v>577</v>
      </c>
      <c r="H124" s="43">
        <v>45570</v>
      </c>
      <c r="I124" s="43">
        <v>45395</v>
      </c>
      <c r="J124" s="47" t="str">
        <f>IF(GroDB3[[#This Row],[Last_Order_Date]]&lt;=GroDB3[[#This Row],[Date_Received]], "Yes", "No")</f>
        <v>Yes</v>
      </c>
      <c r="K124" s="43">
        <f>IF(GroDB3[[#This Row],[Column1]]="No",GroDB3[[#This Row],[Last_Order_Date]],GroDB3[[#This Row],[Date_Received]])</f>
        <v>45570</v>
      </c>
      <c r="L124" s="43">
        <f>IF(GroDB3[[#This Row],[Column1]]="No",GroDB3[[#This Row],[Date_Received]],GroDB3[[#This Row],[Last_Order_Date]])</f>
        <v>45395</v>
      </c>
      <c r="M124" s="43">
        <v>45649</v>
      </c>
      <c r="N124" s="3">
        <v>24</v>
      </c>
      <c r="O124" s="3">
        <v>69</v>
      </c>
      <c r="P124" s="3">
        <v>2</v>
      </c>
      <c r="Q124" s="4">
        <v>2</v>
      </c>
      <c r="R124" s="3">
        <v>20</v>
      </c>
      <c r="S124" s="3">
        <v>20</v>
      </c>
      <c r="T124" s="7">
        <v>0</v>
      </c>
    </row>
    <row r="125" spans="1:20" x14ac:dyDescent="0.35">
      <c r="A125" s="5" t="s">
        <v>156</v>
      </c>
      <c r="B125" s="3" t="s">
        <v>127</v>
      </c>
      <c r="C125" s="3" t="s">
        <v>578</v>
      </c>
      <c r="D125" s="3" t="s">
        <v>579</v>
      </c>
      <c r="E125" s="3" t="s">
        <v>56</v>
      </c>
      <c r="F125" s="3" t="s">
        <v>580</v>
      </c>
      <c r="G125" s="3" t="s">
        <v>581</v>
      </c>
      <c r="H125" s="43">
        <v>45570</v>
      </c>
      <c r="I125" s="43">
        <v>45483</v>
      </c>
      <c r="J125" s="47" t="str">
        <f>IF(GroDB3[[#This Row],[Last_Order_Date]]&lt;=GroDB3[[#This Row],[Date_Received]], "Yes", "No")</f>
        <v>Yes</v>
      </c>
      <c r="K125" s="43">
        <f>IF(GroDB3[[#This Row],[Column1]]="No",GroDB3[[#This Row],[Last_Order_Date]],GroDB3[[#This Row],[Date_Received]])</f>
        <v>45570</v>
      </c>
      <c r="L125" s="43">
        <f>IF(GroDB3[[#This Row],[Column1]]="No",GroDB3[[#This Row],[Date_Received]],GroDB3[[#This Row],[Last_Order_Date]])</f>
        <v>45483</v>
      </c>
      <c r="M125" s="43">
        <v>45520</v>
      </c>
      <c r="N125" s="3">
        <v>29</v>
      </c>
      <c r="O125" s="3">
        <v>91</v>
      </c>
      <c r="P125" s="3">
        <v>48</v>
      </c>
      <c r="Q125" s="4">
        <v>12</v>
      </c>
      <c r="R125" s="3">
        <v>28</v>
      </c>
      <c r="S125" s="3">
        <v>40</v>
      </c>
      <c r="T125" s="7">
        <v>0</v>
      </c>
    </row>
    <row r="126" spans="1:20" x14ac:dyDescent="0.35">
      <c r="A126" s="5" t="s">
        <v>582</v>
      </c>
      <c r="B126" s="3" t="s">
        <v>32</v>
      </c>
      <c r="C126" s="3" t="s">
        <v>583</v>
      </c>
      <c r="D126" s="3" t="s">
        <v>584</v>
      </c>
      <c r="E126" s="3" t="s">
        <v>21</v>
      </c>
      <c r="F126" s="3" t="s">
        <v>585</v>
      </c>
      <c r="G126" s="3" t="s">
        <v>586</v>
      </c>
      <c r="H126" s="43">
        <v>45601</v>
      </c>
      <c r="I126" s="43">
        <v>45480</v>
      </c>
      <c r="J126" s="47" t="str">
        <f>IF(GroDB3[[#This Row],[Last_Order_Date]]&lt;=GroDB3[[#This Row],[Date_Received]], "Yes", "No")</f>
        <v>Yes</v>
      </c>
      <c r="K126" s="43">
        <f>IF(GroDB3[[#This Row],[Column1]]="No",GroDB3[[#This Row],[Last_Order_Date]],GroDB3[[#This Row],[Date_Received]])</f>
        <v>45601</v>
      </c>
      <c r="L126" s="43">
        <f>IF(GroDB3[[#This Row],[Column1]]="No",GroDB3[[#This Row],[Date_Received]],GroDB3[[#This Row],[Last_Order_Date]])</f>
        <v>45480</v>
      </c>
      <c r="M126" s="43">
        <v>45469</v>
      </c>
      <c r="N126" s="3">
        <v>97</v>
      </c>
      <c r="O126" s="3">
        <v>88</v>
      </c>
      <c r="P126" s="3">
        <v>81</v>
      </c>
      <c r="Q126" s="4">
        <v>0.8</v>
      </c>
      <c r="R126" s="3">
        <v>97</v>
      </c>
      <c r="S126" s="3">
        <v>18</v>
      </c>
      <c r="T126" s="7">
        <v>-0.43</v>
      </c>
    </row>
    <row r="127" spans="1:20" x14ac:dyDescent="0.35">
      <c r="A127" s="5" t="s">
        <v>587</v>
      </c>
      <c r="B127" s="3" t="s">
        <v>127</v>
      </c>
      <c r="C127" s="3" t="s">
        <v>588</v>
      </c>
      <c r="D127" s="3" t="s">
        <v>589</v>
      </c>
      <c r="E127" s="3" t="s">
        <v>21</v>
      </c>
      <c r="F127" s="3" t="s">
        <v>590</v>
      </c>
      <c r="G127" s="3" t="s">
        <v>591</v>
      </c>
      <c r="H127" s="43">
        <v>45601</v>
      </c>
      <c r="I127" s="43">
        <v>45523</v>
      </c>
      <c r="J127" s="47" t="str">
        <f>IF(GroDB3[[#This Row],[Last_Order_Date]]&lt;=GroDB3[[#This Row],[Date_Received]], "Yes", "No")</f>
        <v>Yes</v>
      </c>
      <c r="K127" s="43">
        <f>IF(GroDB3[[#This Row],[Column1]]="No",GroDB3[[#This Row],[Last_Order_Date]],GroDB3[[#This Row],[Date_Received]])</f>
        <v>45601</v>
      </c>
      <c r="L127" s="43">
        <f>IF(GroDB3[[#This Row],[Column1]]="No",GroDB3[[#This Row],[Date_Received]],GroDB3[[#This Row],[Last_Order_Date]])</f>
        <v>45523</v>
      </c>
      <c r="M127" s="43">
        <v>45466</v>
      </c>
      <c r="N127" s="3">
        <v>77</v>
      </c>
      <c r="O127" s="3">
        <v>45</v>
      </c>
      <c r="P127" s="3">
        <v>75</v>
      </c>
      <c r="Q127" s="4">
        <v>30</v>
      </c>
      <c r="R127" s="3">
        <v>25</v>
      </c>
      <c r="S127" s="3">
        <v>37</v>
      </c>
      <c r="T127" s="7">
        <v>0.81</v>
      </c>
    </row>
    <row r="128" spans="1:20" x14ac:dyDescent="0.35">
      <c r="A128" s="5" t="s">
        <v>592</v>
      </c>
      <c r="B128" s="3" t="s">
        <v>25</v>
      </c>
      <c r="C128" s="3" t="s">
        <v>364</v>
      </c>
      <c r="D128" s="3" t="s">
        <v>593</v>
      </c>
      <c r="E128" s="3" t="s">
        <v>21</v>
      </c>
      <c r="F128" s="3" t="s">
        <v>594</v>
      </c>
      <c r="G128" s="3" t="s">
        <v>595</v>
      </c>
      <c r="H128" s="43">
        <v>45601</v>
      </c>
      <c r="I128" s="43">
        <v>45484</v>
      </c>
      <c r="J128" s="47" t="str">
        <f>IF(GroDB3[[#This Row],[Last_Order_Date]]&lt;=GroDB3[[#This Row],[Date_Received]], "Yes", "No")</f>
        <v>Yes</v>
      </c>
      <c r="K128" s="43">
        <f>IF(GroDB3[[#This Row],[Column1]]="No",GroDB3[[#This Row],[Last_Order_Date]],GroDB3[[#This Row],[Date_Received]])</f>
        <v>45601</v>
      </c>
      <c r="L128" s="43">
        <f>IF(GroDB3[[#This Row],[Column1]]="No",GroDB3[[#This Row],[Date_Received]],GroDB3[[#This Row],[Last_Order_Date]])</f>
        <v>45484</v>
      </c>
      <c r="M128" s="43">
        <v>45403</v>
      </c>
      <c r="N128" s="3">
        <v>33</v>
      </c>
      <c r="O128" s="3">
        <v>78</v>
      </c>
      <c r="P128" s="3">
        <v>79</v>
      </c>
      <c r="Q128" s="4">
        <v>5</v>
      </c>
      <c r="R128" s="3">
        <v>60</v>
      </c>
      <c r="S128" s="3">
        <v>25</v>
      </c>
      <c r="T128" s="7">
        <v>-0.48</v>
      </c>
    </row>
    <row r="129" spans="1:20" x14ac:dyDescent="0.35">
      <c r="A129" s="5" t="s">
        <v>272</v>
      </c>
      <c r="B129" s="3" t="s">
        <v>32</v>
      </c>
      <c r="C129" s="3" t="s">
        <v>596</v>
      </c>
      <c r="D129" s="3" t="s">
        <v>597</v>
      </c>
      <c r="E129" s="3" t="s">
        <v>21</v>
      </c>
      <c r="F129" s="3" t="s">
        <v>598</v>
      </c>
      <c r="G129" s="3" t="s">
        <v>599</v>
      </c>
      <c r="H129" s="43">
        <v>45601</v>
      </c>
      <c r="I129" s="43">
        <v>45693</v>
      </c>
      <c r="J129" s="47" t="str">
        <f>IF(GroDB3[[#This Row],[Last_Order_Date]]&lt;=GroDB3[[#This Row],[Date_Received]], "Yes", "No")</f>
        <v>No</v>
      </c>
      <c r="K129" s="43">
        <f>IF(GroDB3[[#This Row],[Column1]]="No",GroDB3[[#This Row],[Last_Order_Date]],GroDB3[[#This Row],[Date_Received]])</f>
        <v>45693</v>
      </c>
      <c r="L129" s="43">
        <f>IF(GroDB3[[#This Row],[Column1]]="No",GroDB3[[#This Row],[Date_Received]],GroDB3[[#This Row],[Last_Order_Date]])</f>
        <v>45601</v>
      </c>
      <c r="M129" s="43">
        <v>45372</v>
      </c>
      <c r="N129" s="3">
        <v>77</v>
      </c>
      <c r="O129" s="3">
        <v>1</v>
      </c>
      <c r="P129" s="3">
        <v>41</v>
      </c>
      <c r="Q129" s="4">
        <v>1</v>
      </c>
      <c r="R129" s="3">
        <v>58</v>
      </c>
      <c r="S129" s="3">
        <v>55</v>
      </c>
      <c r="T129" s="7">
        <v>0.57999999999999996</v>
      </c>
    </row>
    <row r="130" spans="1:20" x14ac:dyDescent="0.35">
      <c r="A130" s="5" t="s">
        <v>600</v>
      </c>
      <c r="B130" s="3" t="s">
        <v>32</v>
      </c>
      <c r="C130" s="3" t="s">
        <v>601</v>
      </c>
      <c r="D130" s="3" t="s">
        <v>602</v>
      </c>
      <c r="E130" s="3" t="s">
        <v>56</v>
      </c>
      <c r="F130" s="3" t="s">
        <v>603</v>
      </c>
      <c r="G130" s="3" t="s">
        <v>604</v>
      </c>
      <c r="H130" s="43">
        <v>45601</v>
      </c>
      <c r="I130" s="43">
        <v>45702</v>
      </c>
      <c r="J130" s="47" t="str">
        <f>IF(GroDB3[[#This Row],[Last_Order_Date]]&lt;=GroDB3[[#This Row],[Date_Received]], "Yes", "No")</f>
        <v>No</v>
      </c>
      <c r="K130" s="43">
        <f>IF(GroDB3[[#This Row],[Column1]]="No",GroDB3[[#This Row],[Last_Order_Date]],GroDB3[[#This Row],[Date_Received]])</f>
        <v>45702</v>
      </c>
      <c r="L130" s="43">
        <f>IF(GroDB3[[#This Row],[Column1]]="No",GroDB3[[#This Row],[Date_Received]],GroDB3[[#This Row],[Last_Order_Date]])</f>
        <v>45601</v>
      </c>
      <c r="M130" s="43">
        <v>45685</v>
      </c>
      <c r="N130" s="3">
        <v>28</v>
      </c>
      <c r="O130" s="3">
        <v>90</v>
      </c>
      <c r="P130" s="3">
        <v>70</v>
      </c>
      <c r="Q130" s="4">
        <v>2.4500000000000002</v>
      </c>
      <c r="R130" s="3">
        <v>76</v>
      </c>
      <c r="S130" s="3">
        <v>78</v>
      </c>
      <c r="T130" s="7">
        <v>0.05</v>
      </c>
    </row>
    <row r="131" spans="1:20" x14ac:dyDescent="0.35">
      <c r="A131" s="5" t="s">
        <v>420</v>
      </c>
      <c r="B131" s="3" t="s">
        <v>60</v>
      </c>
      <c r="C131" s="3" t="s">
        <v>264</v>
      </c>
      <c r="D131" s="3" t="s">
        <v>605</v>
      </c>
      <c r="E131" s="3" t="s">
        <v>21</v>
      </c>
      <c r="F131" s="3" t="s">
        <v>606</v>
      </c>
      <c r="G131" s="3" t="s">
        <v>607</v>
      </c>
      <c r="H131" s="43">
        <v>45601</v>
      </c>
      <c r="I131" s="43">
        <v>45475</v>
      </c>
      <c r="J131" s="47" t="str">
        <f>IF(GroDB3[[#This Row],[Last_Order_Date]]&lt;=GroDB3[[#This Row],[Date_Received]], "Yes", "No")</f>
        <v>Yes</v>
      </c>
      <c r="K131" s="43">
        <f>IF(GroDB3[[#This Row],[Column1]]="No",GroDB3[[#This Row],[Last_Order_Date]],GroDB3[[#This Row],[Date_Received]])</f>
        <v>45601</v>
      </c>
      <c r="L131" s="43">
        <f>IF(GroDB3[[#This Row],[Column1]]="No",GroDB3[[#This Row],[Date_Received]],GroDB3[[#This Row],[Last_Order_Date]])</f>
        <v>45475</v>
      </c>
      <c r="M131" s="43">
        <v>45390</v>
      </c>
      <c r="N131" s="3">
        <v>85</v>
      </c>
      <c r="O131" s="3">
        <v>17</v>
      </c>
      <c r="P131" s="3">
        <v>96</v>
      </c>
      <c r="Q131" s="4">
        <v>18</v>
      </c>
      <c r="R131" s="3">
        <v>92</v>
      </c>
      <c r="S131" s="3">
        <v>34</v>
      </c>
      <c r="T131" s="7">
        <v>-0.03</v>
      </c>
    </row>
    <row r="132" spans="1:20" x14ac:dyDescent="0.35">
      <c r="A132" s="5" t="s">
        <v>137</v>
      </c>
      <c r="B132" s="3" t="s">
        <v>18</v>
      </c>
      <c r="C132" s="3" t="s">
        <v>608</v>
      </c>
      <c r="D132" s="3" t="s">
        <v>609</v>
      </c>
      <c r="E132" s="3" t="s">
        <v>56</v>
      </c>
      <c r="F132" s="3" t="s">
        <v>610</v>
      </c>
      <c r="G132" s="3" t="s">
        <v>611</v>
      </c>
      <c r="H132" s="43">
        <v>45601</v>
      </c>
      <c r="I132" s="43">
        <v>45426</v>
      </c>
      <c r="J132" s="47" t="str">
        <f>IF(GroDB3[[#This Row],[Last_Order_Date]]&lt;=GroDB3[[#This Row],[Date_Received]], "Yes", "No")</f>
        <v>Yes</v>
      </c>
      <c r="K132" s="43">
        <f>IF(GroDB3[[#This Row],[Column1]]="No",GroDB3[[#This Row],[Last_Order_Date]],GroDB3[[#This Row],[Date_Received]])</f>
        <v>45601</v>
      </c>
      <c r="L132" s="43">
        <f>IF(GroDB3[[#This Row],[Column1]]="No",GroDB3[[#This Row],[Date_Received]],GroDB3[[#This Row],[Last_Order_Date]])</f>
        <v>45426</v>
      </c>
      <c r="M132" s="43">
        <v>45552</v>
      </c>
      <c r="N132" s="3">
        <v>73</v>
      </c>
      <c r="O132" s="3">
        <v>69</v>
      </c>
      <c r="P132" s="3">
        <v>1</v>
      </c>
      <c r="Q132" s="4">
        <v>5</v>
      </c>
      <c r="R132" s="3">
        <v>50</v>
      </c>
      <c r="S132" s="3">
        <v>67</v>
      </c>
      <c r="T132" s="7">
        <v>0.63</v>
      </c>
    </row>
    <row r="133" spans="1:20" x14ac:dyDescent="0.35">
      <c r="A133" s="5" t="s">
        <v>342</v>
      </c>
      <c r="B133" s="3" t="s">
        <v>18</v>
      </c>
      <c r="C133" s="3" t="s">
        <v>316</v>
      </c>
      <c r="D133" s="3" t="s">
        <v>612</v>
      </c>
      <c r="E133" s="3" t="s">
        <v>28</v>
      </c>
      <c r="F133" s="3" t="s">
        <v>613</v>
      </c>
      <c r="G133" s="3" t="s">
        <v>614</v>
      </c>
      <c r="H133" s="43">
        <v>45601</v>
      </c>
      <c r="I133" s="43">
        <v>45604</v>
      </c>
      <c r="J133" s="47" t="str">
        <f>IF(GroDB3[[#This Row],[Last_Order_Date]]&lt;=GroDB3[[#This Row],[Date_Received]], "Yes", "No")</f>
        <v>No</v>
      </c>
      <c r="K133" s="43">
        <f>IF(GroDB3[[#This Row],[Column1]]="No",GroDB3[[#This Row],[Last_Order_Date]],GroDB3[[#This Row],[Date_Received]])</f>
        <v>45604</v>
      </c>
      <c r="L133" s="43">
        <f>IF(GroDB3[[#This Row],[Column1]]="No",GroDB3[[#This Row],[Date_Received]],GroDB3[[#This Row],[Last_Order_Date]])</f>
        <v>45601</v>
      </c>
      <c r="M133" s="43">
        <v>45644</v>
      </c>
      <c r="N133" s="3">
        <v>88</v>
      </c>
      <c r="O133" s="3">
        <v>24</v>
      </c>
      <c r="P133" s="3">
        <v>44</v>
      </c>
      <c r="Q133" s="4">
        <v>6</v>
      </c>
      <c r="R133" s="3">
        <v>72</v>
      </c>
      <c r="S133" s="3">
        <v>88</v>
      </c>
      <c r="T133" s="7">
        <v>-0.34</v>
      </c>
    </row>
    <row r="134" spans="1:20" x14ac:dyDescent="0.35">
      <c r="A134" s="5" t="s">
        <v>615</v>
      </c>
      <c r="B134" s="3" t="s">
        <v>32</v>
      </c>
      <c r="C134" s="3" t="s">
        <v>616</v>
      </c>
      <c r="D134" s="3" t="s">
        <v>617</v>
      </c>
      <c r="E134" s="3" t="s">
        <v>56</v>
      </c>
      <c r="F134" s="3" t="s">
        <v>618</v>
      </c>
      <c r="G134" s="3" t="s">
        <v>619</v>
      </c>
      <c r="H134" s="43">
        <v>45601</v>
      </c>
      <c r="I134" s="43">
        <v>45603</v>
      </c>
      <c r="J134" s="47" t="str">
        <f>IF(GroDB3[[#This Row],[Last_Order_Date]]&lt;=GroDB3[[#This Row],[Date_Received]], "Yes", "No")</f>
        <v>No</v>
      </c>
      <c r="K134" s="43">
        <f>IF(GroDB3[[#This Row],[Column1]]="No",GroDB3[[#This Row],[Last_Order_Date]],GroDB3[[#This Row],[Date_Received]])</f>
        <v>45603</v>
      </c>
      <c r="L134" s="43">
        <f>IF(GroDB3[[#This Row],[Column1]]="No",GroDB3[[#This Row],[Date_Received]],GroDB3[[#This Row],[Last_Order_Date]])</f>
        <v>45601</v>
      </c>
      <c r="M134" s="43">
        <v>45349</v>
      </c>
      <c r="N134" s="3">
        <v>64</v>
      </c>
      <c r="O134" s="3">
        <v>28</v>
      </c>
      <c r="P134" s="3">
        <v>35</v>
      </c>
      <c r="Q134" s="4">
        <v>2</v>
      </c>
      <c r="R134" s="3">
        <v>74</v>
      </c>
      <c r="S134" s="3">
        <v>50</v>
      </c>
      <c r="T134" s="7">
        <v>-0.22</v>
      </c>
    </row>
    <row r="135" spans="1:20" x14ac:dyDescent="0.35">
      <c r="A135" s="5" t="s">
        <v>220</v>
      </c>
      <c r="B135" s="3" t="s">
        <v>127</v>
      </c>
      <c r="C135" s="3" t="s">
        <v>620</v>
      </c>
      <c r="D135" s="3" t="s">
        <v>621</v>
      </c>
      <c r="E135" s="3" t="s">
        <v>28</v>
      </c>
      <c r="F135" s="3" t="s">
        <v>622</v>
      </c>
      <c r="G135" s="3" t="s">
        <v>623</v>
      </c>
      <c r="H135" s="43">
        <v>45631</v>
      </c>
      <c r="I135" s="43">
        <v>45709</v>
      </c>
      <c r="J135" s="47" t="str">
        <f>IF(GroDB3[[#This Row],[Last_Order_Date]]&lt;=GroDB3[[#This Row],[Date_Received]], "Yes", "No")</f>
        <v>No</v>
      </c>
      <c r="K135" s="43">
        <f>IF(GroDB3[[#This Row],[Column1]]="No",GroDB3[[#This Row],[Last_Order_Date]],GroDB3[[#This Row],[Date_Received]])</f>
        <v>45709</v>
      </c>
      <c r="L135" s="43">
        <f>IF(GroDB3[[#This Row],[Column1]]="No",GroDB3[[#This Row],[Date_Received]],GroDB3[[#This Row],[Last_Order_Date]])</f>
        <v>45631</v>
      </c>
      <c r="M135" s="43">
        <v>45648</v>
      </c>
      <c r="N135" s="3">
        <v>68</v>
      </c>
      <c r="O135" s="3">
        <v>12</v>
      </c>
      <c r="P135" s="3">
        <v>42</v>
      </c>
      <c r="Q135" s="4">
        <v>10</v>
      </c>
      <c r="R135" s="3">
        <v>39</v>
      </c>
      <c r="S135" s="3">
        <v>6</v>
      </c>
      <c r="T135" s="7">
        <v>0.32</v>
      </c>
    </row>
    <row r="136" spans="1:20" x14ac:dyDescent="0.35">
      <c r="A136" s="5" t="s">
        <v>180</v>
      </c>
      <c r="B136" s="3" t="s">
        <v>18</v>
      </c>
      <c r="C136" s="3" t="s">
        <v>486</v>
      </c>
      <c r="D136" s="3" t="s">
        <v>624</v>
      </c>
      <c r="E136" s="3" t="s">
        <v>21</v>
      </c>
      <c r="F136" s="3" t="s">
        <v>625</v>
      </c>
      <c r="G136" s="3" t="s">
        <v>626</v>
      </c>
      <c r="H136" s="43">
        <v>45357</v>
      </c>
      <c r="I136" s="43">
        <v>45488</v>
      </c>
      <c r="J136" s="47" t="str">
        <f>IF(GroDB3[[#This Row],[Last_Order_Date]]&lt;=GroDB3[[#This Row],[Date_Received]], "Yes", "No")</f>
        <v>No</v>
      </c>
      <c r="K136" s="43">
        <f>IF(GroDB3[[#This Row],[Column1]]="No",GroDB3[[#This Row],[Last_Order_Date]],GroDB3[[#This Row],[Date_Received]])</f>
        <v>45488</v>
      </c>
      <c r="L136" s="43">
        <f>IF(GroDB3[[#This Row],[Column1]]="No",GroDB3[[#This Row],[Date_Received]],GroDB3[[#This Row],[Last_Order_Date]])</f>
        <v>45357</v>
      </c>
      <c r="M136" s="43">
        <v>45678</v>
      </c>
      <c r="N136" s="3">
        <v>85</v>
      </c>
      <c r="O136" s="3">
        <v>33</v>
      </c>
      <c r="P136" s="3">
        <v>50</v>
      </c>
      <c r="Q136" s="4">
        <v>1.8</v>
      </c>
      <c r="R136" s="3">
        <v>64</v>
      </c>
      <c r="S136" s="3">
        <v>38</v>
      </c>
      <c r="T136" s="7">
        <v>0.85</v>
      </c>
    </row>
    <row r="137" spans="1:20" x14ac:dyDescent="0.35">
      <c r="A137" s="5" t="s">
        <v>627</v>
      </c>
      <c r="B137" s="3" t="s">
        <v>53</v>
      </c>
      <c r="C137" s="3" t="s">
        <v>628</v>
      </c>
      <c r="D137" s="3" t="s">
        <v>629</v>
      </c>
      <c r="E137" s="3" t="s">
        <v>28</v>
      </c>
      <c r="F137" s="3" t="s">
        <v>630</v>
      </c>
      <c r="G137" s="3" t="s">
        <v>631</v>
      </c>
      <c r="H137" s="43">
        <v>45357</v>
      </c>
      <c r="I137" s="43">
        <v>45351</v>
      </c>
      <c r="J137" s="47" t="str">
        <f>IF(GroDB3[[#This Row],[Last_Order_Date]]&lt;=GroDB3[[#This Row],[Date_Received]], "Yes", "No")</f>
        <v>Yes</v>
      </c>
      <c r="K137" s="43">
        <f>IF(GroDB3[[#This Row],[Column1]]="No",GroDB3[[#This Row],[Last_Order_Date]],GroDB3[[#This Row],[Date_Received]])</f>
        <v>45357</v>
      </c>
      <c r="L137" s="43">
        <f>IF(GroDB3[[#This Row],[Column1]]="No",GroDB3[[#This Row],[Date_Received]],GroDB3[[#This Row],[Last_Order_Date]])</f>
        <v>45351</v>
      </c>
      <c r="M137" s="43">
        <v>45548</v>
      </c>
      <c r="N137" s="3">
        <v>46</v>
      </c>
      <c r="O137" s="3">
        <v>20</v>
      </c>
      <c r="P137" s="3">
        <v>30</v>
      </c>
      <c r="Q137" s="4">
        <v>2.5</v>
      </c>
      <c r="R137" s="3">
        <v>54</v>
      </c>
      <c r="S137" s="3">
        <v>24</v>
      </c>
      <c r="T137" s="7">
        <v>0.41</v>
      </c>
    </row>
    <row r="138" spans="1:20" x14ac:dyDescent="0.35">
      <c r="A138" s="5" t="s">
        <v>632</v>
      </c>
      <c r="B138" s="3" t="s">
        <v>60</v>
      </c>
      <c r="C138" s="3" t="s">
        <v>633</v>
      </c>
      <c r="D138" s="3" t="s">
        <v>634</v>
      </c>
      <c r="E138" s="3" t="s">
        <v>21</v>
      </c>
      <c r="F138" s="3" t="s">
        <v>635</v>
      </c>
      <c r="G138" s="3" t="s">
        <v>636</v>
      </c>
      <c r="H138" s="43">
        <v>45357</v>
      </c>
      <c r="I138" s="43">
        <v>45389</v>
      </c>
      <c r="J138" s="47" t="str">
        <f>IF(GroDB3[[#This Row],[Last_Order_Date]]&lt;=GroDB3[[#This Row],[Date_Received]], "Yes", "No")</f>
        <v>No</v>
      </c>
      <c r="K138" s="43">
        <f>IF(GroDB3[[#This Row],[Column1]]="No",GroDB3[[#This Row],[Last_Order_Date]],GroDB3[[#This Row],[Date_Received]])</f>
        <v>45389</v>
      </c>
      <c r="L138" s="43">
        <f>IF(GroDB3[[#This Row],[Column1]]="No",GroDB3[[#This Row],[Date_Received]],GroDB3[[#This Row],[Last_Order_Date]])</f>
        <v>45357</v>
      </c>
      <c r="M138" s="43">
        <v>45375</v>
      </c>
      <c r="N138" s="3">
        <v>72</v>
      </c>
      <c r="O138" s="3">
        <v>29</v>
      </c>
      <c r="P138" s="3">
        <v>10</v>
      </c>
      <c r="Q138" s="4">
        <v>8</v>
      </c>
      <c r="R138" s="3">
        <v>54</v>
      </c>
      <c r="S138" s="3">
        <v>38</v>
      </c>
      <c r="T138" s="7">
        <v>0.56000000000000005</v>
      </c>
    </row>
    <row r="139" spans="1:20" x14ac:dyDescent="0.35">
      <c r="A139" s="5" t="s">
        <v>531</v>
      </c>
      <c r="B139" s="3" t="s">
        <v>53</v>
      </c>
      <c r="C139" s="3" t="s">
        <v>637</v>
      </c>
      <c r="D139" s="3" t="s">
        <v>638</v>
      </c>
      <c r="E139" s="3" t="s">
        <v>21</v>
      </c>
      <c r="F139" s="3" t="s">
        <v>639</v>
      </c>
      <c r="G139" s="3" t="s">
        <v>640</v>
      </c>
      <c r="H139" s="43">
        <v>45388</v>
      </c>
      <c r="I139" s="43">
        <v>45413</v>
      </c>
      <c r="J139" s="47" t="str">
        <f>IF(GroDB3[[#This Row],[Last_Order_Date]]&lt;=GroDB3[[#This Row],[Date_Received]], "Yes", "No")</f>
        <v>No</v>
      </c>
      <c r="K139" s="43">
        <f>IF(GroDB3[[#This Row],[Column1]]="No",GroDB3[[#This Row],[Last_Order_Date]],GroDB3[[#This Row],[Date_Received]])</f>
        <v>45413</v>
      </c>
      <c r="L139" s="43">
        <f>IF(GroDB3[[#This Row],[Column1]]="No",GroDB3[[#This Row],[Date_Received]],GroDB3[[#This Row],[Last_Order_Date]])</f>
        <v>45388</v>
      </c>
      <c r="M139" s="43">
        <v>45613</v>
      </c>
      <c r="N139" s="3">
        <v>67</v>
      </c>
      <c r="O139" s="3">
        <v>88</v>
      </c>
      <c r="P139" s="3">
        <v>32</v>
      </c>
      <c r="Q139" s="4">
        <v>1.5</v>
      </c>
      <c r="R139" s="3">
        <v>66</v>
      </c>
      <c r="S139" s="3">
        <v>42</v>
      </c>
      <c r="T139" s="7">
        <v>0.3</v>
      </c>
    </row>
    <row r="140" spans="1:20" x14ac:dyDescent="0.35">
      <c r="A140" s="5" t="s">
        <v>101</v>
      </c>
      <c r="B140" s="3" t="s">
        <v>18</v>
      </c>
      <c r="C140" s="3" t="s">
        <v>641</v>
      </c>
      <c r="D140" s="3" t="s">
        <v>642</v>
      </c>
      <c r="E140" s="3" t="s">
        <v>28</v>
      </c>
      <c r="F140" s="3" t="s">
        <v>643</v>
      </c>
      <c r="G140" s="3" t="s">
        <v>644</v>
      </c>
      <c r="H140" s="43">
        <v>45388</v>
      </c>
      <c r="I140" s="43">
        <v>45406</v>
      </c>
      <c r="J140" s="47" t="str">
        <f>IF(GroDB3[[#This Row],[Last_Order_Date]]&lt;=GroDB3[[#This Row],[Date_Received]], "Yes", "No")</f>
        <v>No</v>
      </c>
      <c r="K140" s="43">
        <f>IF(GroDB3[[#This Row],[Column1]]="No",GroDB3[[#This Row],[Last_Order_Date]],GroDB3[[#This Row],[Date_Received]])</f>
        <v>45406</v>
      </c>
      <c r="L140" s="43">
        <f>IF(GroDB3[[#This Row],[Column1]]="No",GroDB3[[#This Row],[Date_Received]],GroDB3[[#This Row],[Last_Order_Date]])</f>
        <v>45388</v>
      </c>
      <c r="M140" s="43">
        <v>45578</v>
      </c>
      <c r="N140" s="3">
        <v>41</v>
      </c>
      <c r="O140" s="3">
        <v>52</v>
      </c>
      <c r="P140" s="3">
        <v>75</v>
      </c>
      <c r="Q140" s="4">
        <v>4.5</v>
      </c>
      <c r="R140" s="3">
        <v>57</v>
      </c>
      <c r="S140" s="3">
        <v>62</v>
      </c>
      <c r="T140" s="7">
        <v>0.36</v>
      </c>
    </row>
    <row r="141" spans="1:20" x14ac:dyDescent="0.35">
      <c r="A141" s="5" t="s">
        <v>96</v>
      </c>
      <c r="B141" s="3" t="s">
        <v>18</v>
      </c>
      <c r="C141" s="3" t="s">
        <v>254</v>
      </c>
      <c r="D141" s="3" t="s">
        <v>645</v>
      </c>
      <c r="E141" s="3" t="s">
        <v>28</v>
      </c>
      <c r="F141" s="3" t="s">
        <v>646</v>
      </c>
      <c r="G141" s="3" t="s">
        <v>647</v>
      </c>
      <c r="H141" s="43">
        <v>45388</v>
      </c>
      <c r="I141" s="43">
        <v>45654</v>
      </c>
      <c r="J141" s="47" t="str">
        <f>IF(GroDB3[[#This Row],[Last_Order_Date]]&lt;=GroDB3[[#This Row],[Date_Received]], "Yes", "No")</f>
        <v>No</v>
      </c>
      <c r="K141" s="43">
        <f>IF(GroDB3[[#This Row],[Column1]]="No",GroDB3[[#This Row],[Last_Order_Date]],GroDB3[[#This Row],[Date_Received]])</f>
        <v>45654</v>
      </c>
      <c r="L141" s="43">
        <f>IF(GroDB3[[#This Row],[Column1]]="No",GroDB3[[#This Row],[Date_Received]],GroDB3[[#This Row],[Last_Order_Date]])</f>
        <v>45388</v>
      </c>
      <c r="M141" s="43">
        <v>45390</v>
      </c>
      <c r="N141" s="3">
        <v>66</v>
      </c>
      <c r="O141" s="3">
        <v>31</v>
      </c>
      <c r="P141" s="3">
        <v>18</v>
      </c>
      <c r="Q141" s="4">
        <v>2.5</v>
      </c>
      <c r="R141" s="3">
        <v>85</v>
      </c>
      <c r="S141" s="3">
        <v>39</v>
      </c>
      <c r="T141" s="7">
        <v>-0.09</v>
      </c>
    </row>
    <row r="142" spans="1:20" x14ac:dyDescent="0.35">
      <c r="A142" s="5" t="s">
        <v>566</v>
      </c>
      <c r="B142" s="3" t="s">
        <v>127</v>
      </c>
      <c r="C142" s="3" t="s">
        <v>26</v>
      </c>
      <c r="D142" s="3" t="s">
        <v>648</v>
      </c>
      <c r="E142" s="3" t="s">
        <v>56</v>
      </c>
      <c r="F142" s="3" t="s">
        <v>649</v>
      </c>
      <c r="G142" s="3" t="s">
        <v>650</v>
      </c>
      <c r="H142" s="43">
        <v>45388</v>
      </c>
      <c r="I142" s="43">
        <v>45482</v>
      </c>
      <c r="J142" s="47" t="str">
        <f>IF(GroDB3[[#This Row],[Last_Order_Date]]&lt;=GroDB3[[#This Row],[Date_Received]], "Yes", "No")</f>
        <v>No</v>
      </c>
      <c r="K142" s="43">
        <f>IF(GroDB3[[#This Row],[Column1]]="No",GroDB3[[#This Row],[Last_Order_Date]],GroDB3[[#This Row],[Date_Received]])</f>
        <v>45482</v>
      </c>
      <c r="L142" s="43">
        <f>IF(GroDB3[[#This Row],[Column1]]="No",GroDB3[[#This Row],[Date_Received]],GroDB3[[#This Row],[Last_Order_Date]])</f>
        <v>45388</v>
      </c>
      <c r="M142" s="43">
        <v>45547</v>
      </c>
      <c r="N142" s="3">
        <v>78</v>
      </c>
      <c r="O142" s="3">
        <v>38</v>
      </c>
      <c r="P142" s="3">
        <v>27</v>
      </c>
      <c r="Q142" s="4">
        <v>15</v>
      </c>
      <c r="R142" s="3">
        <v>54</v>
      </c>
      <c r="S142" s="3">
        <v>42</v>
      </c>
      <c r="T142" s="7">
        <v>0.54</v>
      </c>
    </row>
    <row r="143" spans="1:20" x14ac:dyDescent="0.35">
      <c r="A143" s="5" t="s">
        <v>121</v>
      </c>
      <c r="B143" s="3" t="s">
        <v>53</v>
      </c>
      <c r="C143" s="3" t="s">
        <v>203</v>
      </c>
      <c r="D143" s="3" t="s">
        <v>651</v>
      </c>
      <c r="E143" s="3" t="s">
        <v>28</v>
      </c>
      <c r="F143" s="3" t="s">
        <v>652</v>
      </c>
      <c r="G143" s="3" t="s">
        <v>653</v>
      </c>
      <c r="H143" s="43">
        <v>45388</v>
      </c>
      <c r="I143" s="43">
        <v>45440</v>
      </c>
      <c r="J143" s="47" t="str">
        <f>IF(GroDB3[[#This Row],[Last_Order_Date]]&lt;=GroDB3[[#This Row],[Date_Received]], "Yes", "No")</f>
        <v>No</v>
      </c>
      <c r="K143" s="43">
        <f>IF(GroDB3[[#This Row],[Column1]]="No",GroDB3[[#This Row],[Last_Order_Date]],GroDB3[[#This Row],[Date_Received]])</f>
        <v>45440</v>
      </c>
      <c r="L143" s="43">
        <f>IF(GroDB3[[#This Row],[Column1]]="No",GroDB3[[#This Row],[Date_Received]],GroDB3[[#This Row],[Last_Order_Date]])</f>
        <v>45388</v>
      </c>
      <c r="M143" s="43">
        <v>45693</v>
      </c>
      <c r="N143" s="3">
        <v>86</v>
      </c>
      <c r="O143" s="3">
        <v>100</v>
      </c>
      <c r="P143" s="3">
        <v>78</v>
      </c>
      <c r="Q143" s="4">
        <v>2.75</v>
      </c>
      <c r="R143" s="3">
        <v>52</v>
      </c>
      <c r="S143" s="3">
        <v>91</v>
      </c>
      <c r="T143" s="7">
        <v>0.22</v>
      </c>
    </row>
    <row r="144" spans="1:20" x14ac:dyDescent="0.35">
      <c r="A144" s="5" t="s">
        <v>549</v>
      </c>
      <c r="B144" s="3" t="s">
        <v>32</v>
      </c>
      <c r="C144" s="3" t="s">
        <v>608</v>
      </c>
      <c r="D144" s="3" t="s">
        <v>654</v>
      </c>
      <c r="E144" s="3" t="s">
        <v>21</v>
      </c>
      <c r="F144" s="3" t="s">
        <v>655</v>
      </c>
      <c r="G144" s="3" t="s">
        <v>656</v>
      </c>
      <c r="H144" s="43">
        <v>45418</v>
      </c>
      <c r="I144" s="43">
        <v>45415</v>
      </c>
      <c r="J144" s="47" t="str">
        <f>IF(GroDB3[[#This Row],[Last_Order_Date]]&lt;=GroDB3[[#This Row],[Date_Received]], "Yes", "No")</f>
        <v>Yes</v>
      </c>
      <c r="K144" s="43">
        <f>IF(GroDB3[[#This Row],[Column1]]="No",GroDB3[[#This Row],[Last_Order_Date]],GroDB3[[#This Row],[Date_Received]])</f>
        <v>45418</v>
      </c>
      <c r="L144" s="43">
        <f>IF(GroDB3[[#This Row],[Column1]]="No",GroDB3[[#This Row],[Date_Received]],GroDB3[[#This Row],[Last_Order_Date]])</f>
        <v>45415</v>
      </c>
      <c r="M144" s="43">
        <v>45701</v>
      </c>
      <c r="N144" s="3">
        <v>90</v>
      </c>
      <c r="O144" s="3">
        <v>3</v>
      </c>
      <c r="P144" s="3">
        <v>49</v>
      </c>
      <c r="Q144" s="4">
        <v>2.5</v>
      </c>
      <c r="R144" s="3">
        <v>51</v>
      </c>
      <c r="S144" s="3">
        <v>87</v>
      </c>
      <c r="T144" s="7">
        <v>-0.75</v>
      </c>
    </row>
    <row r="145" spans="1:20" x14ac:dyDescent="0.35">
      <c r="A145" s="5" t="s">
        <v>333</v>
      </c>
      <c r="B145" s="3" t="s">
        <v>53</v>
      </c>
      <c r="C145" s="3" t="s">
        <v>657</v>
      </c>
      <c r="D145" s="3" t="s">
        <v>658</v>
      </c>
      <c r="E145" s="3" t="s">
        <v>56</v>
      </c>
      <c r="F145" s="3" t="s">
        <v>659</v>
      </c>
      <c r="G145" s="3" t="s">
        <v>660</v>
      </c>
      <c r="H145" s="43">
        <v>45418</v>
      </c>
      <c r="I145" s="43">
        <v>45621</v>
      </c>
      <c r="J145" s="47" t="str">
        <f>IF(GroDB3[[#This Row],[Last_Order_Date]]&lt;=GroDB3[[#This Row],[Date_Received]], "Yes", "No")</f>
        <v>No</v>
      </c>
      <c r="K145" s="43">
        <f>IF(GroDB3[[#This Row],[Column1]]="No",GroDB3[[#This Row],[Last_Order_Date]],GroDB3[[#This Row],[Date_Received]])</f>
        <v>45621</v>
      </c>
      <c r="L145" s="43">
        <f>IF(GroDB3[[#This Row],[Column1]]="No",GroDB3[[#This Row],[Date_Received]],GroDB3[[#This Row],[Last_Order_Date]])</f>
        <v>45418</v>
      </c>
      <c r="M145" s="43">
        <v>45351</v>
      </c>
      <c r="N145" s="3">
        <v>41</v>
      </c>
      <c r="O145" s="3">
        <v>56</v>
      </c>
      <c r="P145" s="3">
        <v>12</v>
      </c>
      <c r="Q145" s="4">
        <v>9.75</v>
      </c>
      <c r="R145" s="3">
        <v>93</v>
      </c>
      <c r="S145" s="3">
        <v>88</v>
      </c>
      <c r="T145" s="7">
        <v>-0.71</v>
      </c>
    </row>
    <row r="146" spans="1:20" x14ac:dyDescent="0.35">
      <c r="A146" s="5" t="s">
        <v>329</v>
      </c>
      <c r="B146" s="3" t="s">
        <v>53</v>
      </c>
      <c r="C146" s="3" t="s">
        <v>661</v>
      </c>
      <c r="D146" s="3" t="s">
        <v>662</v>
      </c>
      <c r="E146" s="3" t="s">
        <v>56</v>
      </c>
      <c r="F146" s="3" t="s">
        <v>663</v>
      </c>
      <c r="G146" s="3" t="s">
        <v>664</v>
      </c>
      <c r="H146" s="43">
        <v>45449</v>
      </c>
      <c r="I146" s="43">
        <v>45629</v>
      </c>
      <c r="J146" s="47" t="str">
        <f>IF(GroDB3[[#This Row],[Last_Order_Date]]&lt;=GroDB3[[#This Row],[Date_Received]], "Yes", "No")</f>
        <v>No</v>
      </c>
      <c r="K146" s="43">
        <f>IF(GroDB3[[#This Row],[Column1]]="No",GroDB3[[#This Row],[Last_Order_Date]],GroDB3[[#This Row],[Date_Received]])</f>
        <v>45629</v>
      </c>
      <c r="L146" s="43">
        <f>IF(GroDB3[[#This Row],[Column1]]="No",GroDB3[[#This Row],[Date_Received]],GroDB3[[#This Row],[Last_Order_Date]])</f>
        <v>45449</v>
      </c>
      <c r="M146" s="43">
        <v>45481</v>
      </c>
      <c r="N146" s="3">
        <v>11</v>
      </c>
      <c r="O146" s="3">
        <v>58</v>
      </c>
      <c r="P146" s="3">
        <v>26</v>
      </c>
      <c r="Q146" s="4">
        <v>6.2</v>
      </c>
      <c r="R146" s="3">
        <v>49</v>
      </c>
      <c r="S146" s="3">
        <v>34</v>
      </c>
      <c r="T146" s="7">
        <v>0.05</v>
      </c>
    </row>
    <row r="147" spans="1:20" x14ac:dyDescent="0.35">
      <c r="A147" s="5" t="s">
        <v>665</v>
      </c>
      <c r="B147" s="3" t="s">
        <v>18</v>
      </c>
      <c r="C147" s="3" t="s">
        <v>666</v>
      </c>
      <c r="D147" s="3" t="s">
        <v>667</v>
      </c>
      <c r="E147" s="3" t="s">
        <v>21</v>
      </c>
      <c r="F147" s="3" t="s">
        <v>668</v>
      </c>
      <c r="G147" s="3" t="s">
        <v>669</v>
      </c>
      <c r="H147" s="43">
        <v>45479</v>
      </c>
      <c r="I147" s="43">
        <v>45429</v>
      </c>
      <c r="J147" s="47" t="str">
        <f>IF(GroDB3[[#This Row],[Last_Order_Date]]&lt;=GroDB3[[#This Row],[Date_Received]], "Yes", "No")</f>
        <v>Yes</v>
      </c>
      <c r="K147" s="43">
        <f>IF(GroDB3[[#This Row],[Column1]]="No",GroDB3[[#This Row],[Last_Order_Date]],GroDB3[[#This Row],[Date_Received]])</f>
        <v>45479</v>
      </c>
      <c r="L147" s="43">
        <f>IF(GroDB3[[#This Row],[Column1]]="No",GroDB3[[#This Row],[Date_Received]],GroDB3[[#This Row],[Last_Order_Date]])</f>
        <v>45429</v>
      </c>
      <c r="M147" s="43">
        <v>45680</v>
      </c>
      <c r="N147" s="3">
        <v>37</v>
      </c>
      <c r="O147" s="3">
        <v>8</v>
      </c>
      <c r="P147" s="3">
        <v>50</v>
      </c>
      <c r="Q147" s="4">
        <v>6</v>
      </c>
      <c r="R147" s="3">
        <v>47</v>
      </c>
      <c r="S147" s="3">
        <v>62</v>
      </c>
      <c r="T147" s="7">
        <v>0.31</v>
      </c>
    </row>
    <row r="148" spans="1:20" x14ac:dyDescent="0.35">
      <c r="A148" s="5" t="s">
        <v>47</v>
      </c>
      <c r="B148" s="3" t="s">
        <v>18</v>
      </c>
      <c r="C148" s="3" t="s">
        <v>670</v>
      </c>
      <c r="D148" s="3" t="s">
        <v>671</v>
      </c>
      <c r="E148" s="3" t="s">
        <v>28</v>
      </c>
      <c r="F148" s="3" t="s">
        <v>672</v>
      </c>
      <c r="G148" s="3" t="s">
        <v>673</v>
      </c>
      <c r="H148" s="43">
        <v>45479</v>
      </c>
      <c r="I148" s="43">
        <v>45613</v>
      </c>
      <c r="J148" s="47" t="str">
        <f>IF(GroDB3[[#This Row],[Last_Order_Date]]&lt;=GroDB3[[#This Row],[Date_Received]], "Yes", "No")</f>
        <v>No</v>
      </c>
      <c r="K148" s="43">
        <f>IF(GroDB3[[#This Row],[Column1]]="No",GroDB3[[#This Row],[Last_Order_Date]],GroDB3[[#This Row],[Date_Received]])</f>
        <v>45613</v>
      </c>
      <c r="L148" s="43">
        <f>IF(GroDB3[[#This Row],[Column1]]="No",GroDB3[[#This Row],[Date_Received]],GroDB3[[#This Row],[Last_Order_Date]])</f>
        <v>45479</v>
      </c>
      <c r="M148" s="43">
        <v>45392</v>
      </c>
      <c r="N148" s="3">
        <v>72</v>
      </c>
      <c r="O148" s="3">
        <v>32</v>
      </c>
      <c r="P148" s="3">
        <v>80</v>
      </c>
      <c r="Q148" s="4">
        <v>2.4500000000000002</v>
      </c>
      <c r="R148" s="3">
        <v>25</v>
      </c>
      <c r="S148" s="3">
        <v>9</v>
      </c>
      <c r="T148" s="7">
        <v>-0.32</v>
      </c>
    </row>
    <row r="149" spans="1:20" x14ac:dyDescent="0.35">
      <c r="A149" s="5" t="s">
        <v>674</v>
      </c>
      <c r="B149" s="3" t="s">
        <v>60</v>
      </c>
      <c r="C149" s="3" t="s">
        <v>633</v>
      </c>
      <c r="D149" s="3" t="s">
        <v>675</v>
      </c>
      <c r="E149" s="3" t="s">
        <v>28</v>
      </c>
      <c r="F149" s="3" t="s">
        <v>676</v>
      </c>
      <c r="G149" s="3" t="s">
        <v>677</v>
      </c>
      <c r="H149" s="43">
        <v>45479</v>
      </c>
      <c r="I149" s="43">
        <v>45568</v>
      </c>
      <c r="J149" s="47" t="str">
        <f>IF(GroDB3[[#This Row],[Last_Order_Date]]&lt;=GroDB3[[#This Row],[Date_Received]], "Yes", "No")</f>
        <v>No</v>
      </c>
      <c r="K149" s="43">
        <f>IF(GroDB3[[#This Row],[Column1]]="No",GroDB3[[#This Row],[Last_Order_Date]],GroDB3[[#This Row],[Date_Received]])</f>
        <v>45568</v>
      </c>
      <c r="L149" s="43">
        <f>IF(GroDB3[[#This Row],[Column1]]="No",GroDB3[[#This Row],[Date_Received]],GroDB3[[#This Row],[Last_Order_Date]])</f>
        <v>45479</v>
      </c>
      <c r="M149" s="43">
        <v>45528</v>
      </c>
      <c r="N149" s="3">
        <v>75</v>
      </c>
      <c r="O149" s="3">
        <v>80</v>
      </c>
      <c r="P149" s="3">
        <v>87</v>
      </c>
      <c r="Q149" s="4">
        <v>9</v>
      </c>
      <c r="R149" s="3">
        <v>49</v>
      </c>
      <c r="S149" s="3">
        <v>40</v>
      </c>
      <c r="T149" s="7">
        <v>0.64</v>
      </c>
    </row>
    <row r="150" spans="1:20" x14ac:dyDescent="0.35">
      <c r="A150" s="5" t="s">
        <v>126</v>
      </c>
      <c r="B150" s="3" t="s">
        <v>127</v>
      </c>
      <c r="C150" s="3" t="s">
        <v>678</v>
      </c>
      <c r="D150" s="3" t="s">
        <v>679</v>
      </c>
      <c r="E150" s="3" t="s">
        <v>56</v>
      </c>
      <c r="F150" s="3" t="s">
        <v>680</v>
      </c>
      <c r="G150" s="3" t="s">
        <v>681</v>
      </c>
      <c r="H150" s="43">
        <v>45479</v>
      </c>
      <c r="I150" s="43">
        <v>45688</v>
      </c>
      <c r="J150" s="47" t="str">
        <f>IF(GroDB3[[#This Row],[Last_Order_Date]]&lt;=GroDB3[[#This Row],[Date_Received]], "Yes", "No")</f>
        <v>No</v>
      </c>
      <c r="K150" s="43">
        <f>IF(GroDB3[[#This Row],[Column1]]="No",GroDB3[[#This Row],[Last_Order_Date]],GroDB3[[#This Row],[Date_Received]])</f>
        <v>45688</v>
      </c>
      <c r="L150" s="43">
        <f>IF(GroDB3[[#This Row],[Column1]]="No",GroDB3[[#This Row],[Date_Received]],GroDB3[[#This Row],[Last_Order_Date]])</f>
        <v>45479</v>
      </c>
      <c r="M150" s="43">
        <v>45652</v>
      </c>
      <c r="N150" s="3">
        <v>98</v>
      </c>
      <c r="O150" s="3">
        <v>83</v>
      </c>
      <c r="P150" s="3">
        <v>5</v>
      </c>
      <c r="Q150" s="4">
        <v>20</v>
      </c>
      <c r="R150" s="3">
        <v>39</v>
      </c>
      <c r="S150" s="3">
        <v>79</v>
      </c>
      <c r="T150" s="7">
        <v>0.18</v>
      </c>
    </row>
    <row r="151" spans="1:20" x14ac:dyDescent="0.35">
      <c r="A151" s="5" t="s">
        <v>592</v>
      </c>
      <c r="B151" s="3" t="s">
        <v>25</v>
      </c>
      <c r="C151" s="3" t="s">
        <v>682</v>
      </c>
      <c r="D151" s="3" t="s">
        <v>683</v>
      </c>
      <c r="E151" s="3" t="s">
        <v>56</v>
      </c>
      <c r="F151" s="3" t="s">
        <v>684</v>
      </c>
      <c r="G151" s="3" t="s">
        <v>685</v>
      </c>
      <c r="H151" s="43">
        <v>45479</v>
      </c>
      <c r="I151" s="43">
        <v>45658</v>
      </c>
      <c r="J151" s="47" t="str">
        <f>IF(GroDB3[[#This Row],[Last_Order_Date]]&lt;=GroDB3[[#This Row],[Date_Received]], "Yes", "No")</f>
        <v>No</v>
      </c>
      <c r="K151" s="43">
        <f>IF(GroDB3[[#This Row],[Column1]]="No",GroDB3[[#This Row],[Last_Order_Date]],GroDB3[[#This Row],[Date_Received]])</f>
        <v>45658</v>
      </c>
      <c r="L151" s="43">
        <f>IF(GroDB3[[#This Row],[Column1]]="No",GroDB3[[#This Row],[Date_Received]],GroDB3[[#This Row],[Last_Order_Date]])</f>
        <v>45479</v>
      </c>
      <c r="M151" s="43">
        <v>45535</v>
      </c>
      <c r="N151" s="3">
        <v>90</v>
      </c>
      <c r="O151" s="3">
        <v>75</v>
      </c>
      <c r="P151" s="3">
        <v>6</v>
      </c>
      <c r="Q151" s="4">
        <v>5</v>
      </c>
      <c r="R151" s="3">
        <v>55</v>
      </c>
      <c r="S151" s="3">
        <v>64</v>
      </c>
      <c r="T151" s="7">
        <v>-1.03</v>
      </c>
    </row>
    <row r="152" spans="1:20" x14ac:dyDescent="0.35">
      <c r="A152" s="5" t="s">
        <v>686</v>
      </c>
      <c r="B152" s="3" t="s">
        <v>18</v>
      </c>
      <c r="C152" s="3" t="s">
        <v>687</v>
      </c>
      <c r="D152" s="3" t="s">
        <v>688</v>
      </c>
      <c r="E152" s="3" t="s">
        <v>21</v>
      </c>
      <c r="F152" s="3" t="s">
        <v>689</v>
      </c>
      <c r="G152" s="3" t="s">
        <v>690</v>
      </c>
      <c r="H152" s="43">
        <v>45479</v>
      </c>
      <c r="I152" s="43">
        <v>45404</v>
      </c>
      <c r="J152" s="47" t="str">
        <f>IF(GroDB3[[#This Row],[Last_Order_Date]]&lt;=GroDB3[[#This Row],[Date_Received]], "Yes", "No")</f>
        <v>Yes</v>
      </c>
      <c r="K152" s="43">
        <f>IF(GroDB3[[#This Row],[Column1]]="No",GroDB3[[#This Row],[Last_Order_Date]],GroDB3[[#This Row],[Date_Received]])</f>
        <v>45479</v>
      </c>
      <c r="L152" s="43">
        <f>IF(GroDB3[[#This Row],[Column1]]="No",GroDB3[[#This Row],[Date_Received]],GroDB3[[#This Row],[Last_Order_Date]])</f>
        <v>45404</v>
      </c>
      <c r="M152" s="43">
        <v>45439</v>
      </c>
      <c r="N152" s="3">
        <v>32</v>
      </c>
      <c r="O152" s="3">
        <v>49</v>
      </c>
      <c r="P152" s="3">
        <v>73</v>
      </c>
      <c r="Q152" s="4">
        <v>2.5</v>
      </c>
      <c r="R152" s="3">
        <v>80</v>
      </c>
      <c r="S152" s="3">
        <v>36</v>
      </c>
      <c r="T152" s="7">
        <v>-0.16</v>
      </c>
    </row>
    <row r="153" spans="1:20" x14ac:dyDescent="0.35">
      <c r="A153" s="5" t="s">
        <v>691</v>
      </c>
      <c r="B153" s="3" t="s">
        <v>32</v>
      </c>
      <c r="C153" s="3" t="s">
        <v>692</v>
      </c>
      <c r="D153" s="3" t="s">
        <v>693</v>
      </c>
      <c r="E153" s="3" t="s">
        <v>28</v>
      </c>
      <c r="F153" s="3" t="s">
        <v>694</v>
      </c>
      <c r="G153" s="3" t="s">
        <v>695</v>
      </c>
      <c r="H153" s="43">
        <v>45510</v>
      </c>
      <c r="I153" s="43">
        <v>45446</v>
      </c>
      <c r="J153" s="47" t="str">
        <f>IF(GroDB3[[#This Row],[Last_Order_Date]]&lt;=GroDB3[[#This Row],[Date_Received]], "Yes", "No")</f>
        <v>Yes</v>
      </c>
      <c r="K153" s="43">
        <f>IF(GroDB3[[#This Row],[Column1]]="No",GroDB3[[#This Row],[Last_Order_Date]],GroDB3[[#This Row],[Date_Received]])</f>
        <v>45510</v>
      </c>
      <c r="L153" s="43">
        <f>IF(GroDB3[[#This Row],[Column1]]="No",GroDB3[[#This Row],[Date_Received]],GroDB3[[#This Row],[Last_Order_Date]])</f>
        <v>45446</v>
      </c>
      <c r="M153" s="43">
        <v>45544</v>
      </c>
      <c r="N153" s="3">
        <v>68</v>
      </c>
      <c r="O153" s="3">
        <v>29</v>
      </c>
      <c r="P153" s="3">
        <v>31</v>
      </c>
      <c r="Q153" s="4">
        <v>7</v>
      </c>
      <c r="R153" s="3">
        <v>53</v>
      </c>
      <c r="S153" s="3">
        <v>20</v>
      </c>
      <c r="T153" s="7">
        <v>0.55000000000000004</v>
      </c>
    </row>
    <row r="154" spans="1:20" x14ac:dyDescent="0.35">
      <c r="A154" s="5" t="s">
        <v>325</v>
      </c>
      <c r="B154" s="3" t="s">
        <v>53</v>
      </c>
      <c r="C154" s="3" t="s">
        <v>696</v>
      </c>
      <c r="D154" s="3" t="s">
        <v>697</v>
      </c>
      <c r="E154" s="3" t="s">
        <v>28</v>
      </c>
      <c r="F154" s="3" t="s">
        <v>698</v>
      </c>
      <c r="G154" s="3" t="s">
        <v>699</v>
      </c>
      <c r="H154" s="43">
        <v>45541</v>
      </c>
      <c r="I154" s="43">
        <v>45599</v>
      </c>
      <c r="J154" s="47" t="str">
        <f>IF(GroDB3[[#This Row],[Last_Order_Date]]&lt;=GroDB3[[#This Row],[Date_Received]], "Yes", "No")</f>
        <v>No</v>
      </c>
      <c r="K154" s="43">
        <f>IF(GroDB3[[#This Row],[Column1]]="No",GroDB3[[#This Row],[Last_Order_Date]],GroDB3[[#This Row],[Date_Received]])</f>
        <v>45599</v>
      </c>
      <c r="L154" s="43">
        <f>IF(GroDB3[[#This Row],[Column1]]="No",GroDB3[[#This Row],[Date_Received]],GroDB3[[#This Row],[Last_Order_Date]])</f>
        <v>45541</v>
      </c>
      <c r="M154" s="43">
        <v>45434</v>
      </c>
      <c r="N154" s="3">
        <v>78</v>
      </c>
      <c r="O154" s="3">
        <v>94</v>
      </c>
      <c r="P154" s="3">
        <v>7</v>
      </c>
      <c r="Q154" s="4">
        <v>4.3499999999999996</v>
      </c>
      <c r="R154" s="3">
        <v>69</v>
      </c>
      <c r="S154" s="3">
        <v>40</v>
      </c>
      <c r="T154" s="7">
        <v>0.62</v>
      </c>
    </row>
    <row r="155" spans="1:20" x14ac:dyDescent="0.35">
      <c r="A155" s="5" t="s">
        <v>700</v>
      </c>
      <c r="B155" s="3" t="s">
        <v>18</v>
      </c>
      <c r="C155" s="3" t="s">
        <v>207</v>
      </c>
      <c r="D155" s="3" t="s">
        <v>701</v>
      </c>
      <c r="E155" s="3" t="s">
        <v>56</v>
      </c>
      <c r="F155" s="3" t="s">
        <v>702</v>
      </c>
      <c r="G155" s="3" t="s">
        <v>703</v>
      </c>
      <c r="H155" s="43">
        <v>45541</v>
      </c>
      <c r="I155" s="43">
        <v>45654</v>
      </c>
      <c r="J155" s="47" t="str">
        <f>IF(GroDB3[[#This Row],[Last_Order_Date]]&lt;=GroDB3[[#This Row],[Date_Received]], "Yes", "No")</f>
        <v>No</v>
      </c>
      <c r="K155" s="43">
        <f>IF(GroDB3[[#This Row],[Column1]]="No",GroDB3[[#This Row],[Last_Order_Date]],GroDB3[[#This Row],[Date_Received]])</f>
        <v>45654</v>
      </c>
      <c r="L155" s="43">
        <f>IF(GroDB3[[#This Row],[Column1]]="No",GroDB3[[#This Row],[Date_Received]],GroDB3[[#This Row],[Last_Order_Date]])</f>
        <v>45541</v>
      </c>
      <c r="M155" s="43">
        <v>45600</v>
      </c>
      <c r="N155" s="3">
        <v>88</v>
      </c>
      <c r="O155" s="3">
        <v>78</v>
      </c>
      <c r="P155" s="3">
        <v>17</v>
      </c>
      <c r="Q155" s="4">
        <v>2.5</v>
      </c>
      <c r="R155" s="3">
        <v>58</v>
      </c>
      <c r="S155" s="3">
        <v>21</v>
      </c>
      <c r="T155" s="7">
        <v>0.42</v>
      </c>
    </row>
    <row r="156" spans="1:20" x14ac:dyDescent="0.35">
      <c r="A156" s="5" t="s">
        <v>225</v>
      </c>
      <c r="B156" s="3" t="s">
        <v>91</v>
      </c>
      <c r="C156" s="3" t="s">
        <v>578</v>
      </c>
      <c r="D156" s="3" t="s">
        <v>704</v>
      </c>
      <c r="E156" s="3" t="s">
        <v>28</v>
      </c>
      <c r="F156" s="3" t="s">
        <v>705</v>
      </c>
      <c r="G156" s="3" t="s">
        <v>706</v>
      </c>
      <c r="H156" s="43">
        <v>45571</v>
      </c>
      <c r="I156" s="43">
        <v>45671</v>
      </c>
      <c r="J156" s="47" t="str">
        <f>IF(GroDB3[[#This Row],[Last_Order_Date]]&lt;=GroDB3[[#This Row],[Date_Received]], "Yes", "No")</f>
        <v>No</v>
      </c>
      <c r="K156" s="43">
        <f>IF(GroDB3[[#This Row],[Column1]]="No",GroDB3[[#This Row],[Last_Order_Date]],GroDB3[[#This Row],[Date_Received]])</f>
        <v>45671</v>
      </c>
      <c r="L156" s="43">
        <f>IF(GroDB3[[#This Row],[Column1]]="No",GroDB3[[#This Row],[Date_Received]],GroDB3[[#This Row],[Last_Order_Date]])</f>
        <v>45571</v>
      </c>
      <c r="M156" s="43">
        <v>45632</v>
      </c>
      <c r="N156" s="3">
        <v>37</v>
      </c>
      <c r="O156" s="3">
        <v>96</v>
      </c>
      <c r="P156" s="3">
        <v>82</v>
      </c>
      <c r="Q156" s="4">
        <v>5</v>
      </c>
      <c r="R156" s="3">
        <v>35</v>
      </c>
      <c r="S156" s="3">
        <v>23</v>
      </c>
      <c r="T156" s="7">
        <v>0.64</v>
      </c>
    </row>
    <row r="157" spans="1:20" x14ac:dyDescent="0.35">
      <c r="A157" s="5" t="s">
        <v>707</v>
      </c>
      <c r="B157" s="3" t="s">
        <v>25</v>
      </c>
      <c r="C157" s="3" t="s">
        <v>393</v>
      </c>
      <c r="D157" s="3" t="s">
        <v>708</v>
      </c>
      <c r="E157" s="3" t="s">
        <v>56</v>
      </c>
      <c r="F157" s="3" t="s">
        <v>709</v>
      </c>
      <c r="G157" s="3" t="s">
        <v>710</v>
      </c>
      <c r="H157" s="43">
        <v>45571</v>
      </c>
      <c r="I157" s="43">
        <v>45415</v>
      </c>
      <c r="J157" s="47" t="str">
        <f>IF(GroDB3[[#This Row],[Last_Order_Date]]&lt;=GroDB3[[#This Row],[Date_Received]], "Yes", "No")</f>
        <v>Yes</v>
      </c>
      <c r="K157" s="43">
        <f>IF(GroDB3[[#This Row],[Column1]]="No",GroDB3[[#This Row],[Last_Order_Date]],GroDB3[[#This Row],[Date_Received]])</f>
        <v>45571</v>
      </c>
      <c r="L157" s="43">
        <f>IF(GroDB3[[#This Row],[Column1]]="No",GroDB3[[#This Row],[Date_Received]],GroDB3[[#This Row],[Last_Order_Date]])</f>
        <v>45415</v>
      </c>
      <c r="M157" s="43">
        <v>45442</v>
      </c>
      <c r="N157" s="3">
        <v>97</v>
      </c>
      <c r="O157" s="3">
        <v>32</v>
      </c>
      <c r="P157" s="3">
        <v>43</v>
      </c>
      <c r="Q157" s="4">
        <v>2.2999999999999998</v>
      </c>
      <c r="R157" s="3">
        <v>82</v>
      </c>
      <c r="S157" s="3">
        <v>98</v>
      </c>
      <c r="T157" s="7">
        <v>0.34</v>
      </c>
    </row>
    <row r="158" spans="1:20" x14ac:dyDescent="0.35">
      <c r="A158" s="5" t="s">
        <v>188</v>
      </c>
      <c r="B158" s="3" t="s">
        <v>32</v>
      </c>
      <c r="C158" s="3" t="s">
        <v>504</v>
      </c>
      <c r="D158" s="3" t="s">
        <v>711</v>
      </c>
      <c r="E158" s="3" t="s">
        <v>28</v>
      </c>
      <c r="F158" s="3" t="s">
        <v>712</v>
      </c>
      <c r="G158" s="3" t="s">
        <v>713</v>
      </c>
      <c r="H158" s="43">
        <v>45602</v>
      </c>
      <c r="I158" s="43">
        <v>45646</v>
      </c>
      <c r="J158" s="47" t="str">
        <f>IF(GroDB3[[#This Row],[Last_Order_Date]]&lt;=GroDB3[[#This Row],[Date_Received]], "Yes", "No")</f>
        <v>No</v>
      </c>
      <c r="K158" s="43">
        <f>IF(GroDB3[[#This Row],[Column1]]="No",GroDB3[[#This Row],[Last_Order_Date]],GroDB3[[#This Row],[Date_Received]])</f>
        <v>45646</v>
      </c>
      <c r="L158" s="43">
        <f>IF(GroDB3[[#This Row],[Column1]]="No",GroDB3[[#This Row],[Date_Received]],GroDB3[[#This Row],[Last_Order_Date]])</f>
        <v>45602</v>
      </c>
      <c r="M158" s="43">
        <v>45403</v>
      </c>
      <c r="N158" s="3">
        <v>12</v>
      </c>
      <c r="O158" s="3">
        <v>54</v>
      </c>
      <c r="P158" s="3">
        <v>48</v>
      </c>
      <c r="Q158" s="4">
        <v>1</v>
      </c>
      <c r="R158" s="3">
        <v>31</v>
      </c>
      <c r="S158" s="3">
        <v>88</v>
      </c>
      <c r="T158" s="7">
        <v>-0.2</v>
      </c>
    </row>
    <row r="159" spans="1:20" x14ac:dyDescent="0.35">
      <c r="A159" s="5" t="s">
        <v>368</v>
      </c>
      <c r="B159" s="3" t="s">
        <v>53</v>
      </c>
      <c r="C159" s="3" t="s">
        <v>588</v>
      </c>
      <c r="D159" s="3" t="s">
        <v>714</v>
      </c>
      <c r="E159" s="3" t="s">
        <v>56</v>
      </c>
      <c r="F159" s="3" t="s">
        <v>715</v>
      </c>
      <c r="G159" s="3" t="s">
        <v>716</v>
      </c>
      <c r="H159" s="43">
        <v>45602</v>
      </c>
      <c r="I159" s="43">
        <v>45707</v>
      </c>
      <c r="J159" s="47" t="str">
        <f>IF(GroDB3[[#This Row],[Last_Order_Date]]&lt;=GroDB3[[#This Row],[Date_Received]], "Yes", "No")</f>
        <v>No</v>
      </c>
      <c r="K159" s="43">
        <f>IF(GroDB3[[#This Row],[Column1]]="No",GroDB3[[#This Row],[Last_Order_Date]],GroDB3[[#This Row],[Date_Received]])</f>
        <v>45707</v>
      </c>
      <c r="L159" s="43">
        <f>IF(GroDB3[[#This Row],[Column1]]="No",GroDB3[[#This Row],[Date_Received]],GroDB3[[#This Row],[Last_Order_Date]])</f>
        <v>45602</v>
      </c>
      <c r="M159" s="43">
        <v>45497</v>
      </c>
      <c r="N159" s="3">
        <v>50</v>
      </c>
      <c r="O159" s="3">
        <v>42</v>
      </c>
      <c r="P159" s="3">
        <v>20</v>
      </c>
      <c r="Q159" s="4">
        <v>1.75</v>
      </c>
      <c r="R159" s="3">
        <v>87</v>
      </c>
      <c r="S159" s="3">
        <v>59</v>
      </c>
      <c r="T159" s="7">
        <v>-1.84</v>
      </c>
    </row>
    <row r="160" spans="1:20" x14ac:dyDescent="0.35">
      <c r="A160" s="5" t="s">
        <v>717</v>
      </c>
      <c r="B160" s="3" t="s">
        <v>53</v>
      </c>
      <c r="C160" s="3" t="s">
        <v>181</v>
      </c>
      <c r="D160" s="3" t="s">
        <v>718</v>
      </c>
      <c r="E160" s="3" t="s">
        <v>21</v>
      </c>
      <c r="F160" s="3" t="s">
        <v>719</v>
      </c>
      <c r="G160" s="3" t="s">
        <v>720</v>
      </c>
      <c r="H160" s="43">
        <v>45632</v>
      </c>
      <c r="I160" s="43">
        <v>45457</v>
      </c>
      <c r="J160" s="47" t="str">
        <f>IF(GroDB3[[#This Row],[Last_Order_Date]]&lt;=GroDB3[[#This Row],[Date_Received]], "Yes", "No")</f>
        <v>Yes</v>
      </c>
      <c r="K160" s="43">
        <f>IF(GroDB3[[#This Row],[Column1]]="No",GroDB3[[#This Row],[Last_Order_Date]],GroDB3[[#This Row],[Date_Received]])</f>
        <v>45632</v>
      </c>
      <c r="L160" s="43">
        <f>IF(GroDB3[[#This Row],[Column1]]="No",GroDB3[[#This Row],[Date_Received]],GroDB3[[#This Row],[Last_Order_Date]])</f>
        <v>45457</v>
      </c>
      <c r="M160" s="43">
        <v>45549</v>
      </c>
      <c r="N160" s="3">
        <v>15</v>
      </c>
      <c r="O160" s="3">
        <v>49</v>
      </c>
      <c r="P160" s="3">
        <v>40</v>
      </c>
      <c r="Q160" s="4">
        <v>4.5</v>
      </c>
      <c r="R160" s="3">
        <v>68</v>
      </c>
      <c r="S160" s="3">
        <v>74</v>
      </c>
      <c r="T160" s="7">
        <v>0.32</v>
      </c>
    </row>
    <row r="161" spans="1:20" x14ac:dyDescent="0.35">
      <c r="A161" s="5" t="s">
        <v>508</v>
      </c>
      <c r="B161" s="3" t="s">
        <v>127</v>
      </c>
      <c r="C161" s="3" t="s">
        <v>721</v>
      </c>
      <c r="D161" s="3" t="s">
        <v>722</v>
      </c>
      <c r="E161" s="3" t="s">
        <v>21</v>
      </c>
      <c r="F161" s="3" t="s">
        <v>723</v>
      </c>
      <c r="G161" s="3" t="s">
        <v>724</v>
      </c>
      <c r="H161" s="43">
        <v>45632</v>
      </c>
      <c r="I161" s="43">
        <v>45473</v>
      </c>
      <c r="J161" s="47" t="str">
        <f>IF(GroDB3[[#This Row],[Last_Order_Date]]&lt;=GroDB3[[#This Row],[Date_Received]], "Yes", "No")</f>
        <v>Yes</v>
      </c>
      <c r="K161" s="43">
        <f>IF(GroDB3[[#This Row],[Column1]]="No",GroDB3[[#This Row],[Last_Order_Date]],GroDB3[[#This Row],[Date_Received]])</f>
        <v>45632</v>
      </c>
      <c r="L161" s="43">
        <f>IF(GroDB3[[#This Row],[Column1]]="No",GroDB3[[#This Row],[Date_Received]],GroDB3[[#This Row],[Last_Order_Date]])</f>
        <v>45473</v>
      </c>
      <c r="M161" s="43">
        <v>45455</v>
      </c>
      <c r="N161" s="3">
        <v>59</v>
      </c>
      <c r="O161" s="3">
        <v>20</v>
      </c>
      <c r="P161" s="3">
        <v>17</v>
      </c>
      <c r="Q161" s="4">
        <v>5</v>
      </c>
      <c r="R161" s="3">
        <v>45</v>
      </c>
      <c r="S161" s="3">
        <v>15</v>
      </c>
      <c r="T161" s="7">
        <v>-0.09</v>
      </c>
    </row>
    <row r="162" spans="1:20" x14ac:dyDescent="0.35">
      <c r="A162" s="5" t="s">
        <v>554</v>
      </c>
      <c r="B162" s="3" t="s">
        <v>53</v>
      </c>
      <c r="C162" s="3" t="s">
        <v>725</v>
      </c>
      <c r="D162" s="3" t="s">
        <v>726</v>
      </c>
      <c r="E162" s="3" t="s">
        <v>56</v>
      </c>
      <c r="F162" s="3" t="s">
        <v>727</v>
      </c>
      <c r="G162" s="3" t="s">
        <v>728</v>
      </c>
      <c r="H162" s="43">
        <v>45632</v>
      </c>
      <c r="I162" s="43">
        <v>45357</v>
      </c>
      <c r="J162" s="47" t="str">
        <f>IF(GroDB3[[#This Row],[Last_Order_Date]]&lt;=GroDB3[[#This Row],[Date_Received]], "Yes", "No")</f>
        <v>Yes</v>
      </c>
      <c r="K162" s="43">
        <f>IF(GroDB3[[#This Row],[Column1]]="No",GroDB3[[#This Row],[Last_Order_Date]],GroDB3[[#This Row],[Date_Received]])</f>
        <v>45632</v>
      </c>
      <c r="L162" s="43">
        <f>IF(GroDB3[[#This Row],[Column1]]="No",GroDB3[[#This Row],[Date_Received]],GroDB3[[#This Row],[Last_Order_Date]])</f>
        <v>45357</v>
      </c>
      <c r="M162" s="43">
        <v>45515</v>
      </c>
      <c r="N162" s="3">
        <v>39</v>
      </c>
      <c r="O162" s="3">
        <v>57</v>
      </c>
      <c r="P162" s="3">
        <v>54</v>
      </c>
      <c r="Q162" s="4">
        <v>2.5</v>
      </c>
      <c r="R162" s="3">
        <v>77</v>
      </c>
      <c r="S162" s="3">
        <v>32</v>
      </c>
      <c r="T162" s="7">
        <v>0.67</v>
      </c>
    </row>
    <row r="163" spans="1:20" x14ac:dyDescent="0.35">
      <c r="A163" s="5" t="s">
        <v>193</v>
      </c>
      <c r="B163" s="3" t="s">
        <v>18</v>
      </c>
      <c r="C163" s="3" t="s">
        <v>729</v>
      </c>
      <c r="D163" s="3" t="s">
        <v>730</v>
      </c>
      <c r="E163" s="3" t="s">
        <v>28</v>
      </c>
      <c r="F163" s="3" t="s">
        <v>731</v>
      </c>
      <c r="G163" s="3" t="s">
        <v>732</v>
      </c>
      <c r="H163" s="43">
        <v>45632</v>
      </c>
      <c r="I163" s="43">
        <v>45466</v>
      </c>
      <c r="J163" s="47" t="str">
        <f>IF(GroDB3[[#This Row],[Last_Order_Date]]&lt;=GroDB3[[#This Row],[Date_Received]], "Yes", "No")</f>
        <v>Yes</v>
      </c>
      <c r="K163" s="43">
        <f>IF(GroDB3[[#This Row],[Column1]]="No",GroDB3[[#This Row],[Last_Order_Date]],GroDB3[[#This Row],[Date_Received]])</f>
        <v>45632</v>
      </c>
      <c r="L163" s="43">
        <f>IF(GroDB3[[#This Row],[Column1]]="No",GroDB3[[#This Row],[Date_Received]],GroDB3[[#This Row],[Last_Order_Date]])</f>
        <v>45466</v>
      </c>
      <c r="M163" s="43">
        <v>45520</v>
      </c>
      <c r="N163" s="3">
        <v>76</v>
      </c>
      <c r="O163" s="3">
        <v>39</v>
      </c>
      <c r="P163" s="3">
        <v>15</v>
      </c>
      <c r="Q163" s="4">
        <v>2</v>
      </c>
      <c r="R163" s="3">
        <v>77</v>
      </c>
      <c r="S163" s="3">
        <v>70</v>
      </c>
      <c r="T163" s="7">
        <v>0.57999999999999996</v>
      </c>
    </row>
    <row r="164" spans="1:20" x14ac:dyDescent="0.35">
      <c r="A164" s="5" t="s">
        <v>470</v>
      </c>
      <c r="B164" s="3" t="s">
        <v>18</v>
      </c>
      <c r="C164" s="3" t="s">
        <v>562</v>
      </c>
      <c r="D164" s="3" t="s">
        <v>733</v>
      </c>
      <c r="E164" s="3" t="s">
        <v>28</v>
      </c>
      <c r="F164" s="3" t="s">
        <v>734</v>
      </c>
      <c r="G164" s="3" t="s">
        <v>735</v>
      </c>
      <c r="H164" s="43">
        <v>45632</v>
      </c>
      <c r="I164" s="43">
        <v>45469</v>
      </c>
      <c r="J164" s="47" t="str">
        <f>IF(GroDB3[[#This Row],[Last_Order_Date]]&lt;=GroDB3[[#This Row],[Date_Received]], "Yes", "No")</f>
        <v>Yes</v>
      </c>
      <c r="K164" s="43">
        <f>IF(GroDB3[[#This Row],[Column1]]="No",GroDB3[[#This Row],[Last_Order_Date]],GroDB3[[#This Row],[Date_Received]])</f>
        <v>45632</v>
      </c>
      <c r="L164" s="43">
        <f>IF(GroDB3[[#This Row],[Column1]]="No",GroDB3[[#This Row],[Date_Received]],GroDB3[[#This Row],[Last_Order_Date]])</f>
        <v>45469</v>
      </c>
      <c r="M164" s="43">
        <v>45611</v>
      </c>
      <c r="N164" s="3">
        <v>45</v>
      </c>
      <c r="O164" s="3">
        <v>79</v>
      </c>
      <c r="P164" s="3">
        <v>95</v>
      </c>
      <c r="Q164" s="4">
        <v>4</v>
      </c>
      <c r="R164" s="3">
        <v>84</v>
      </c>
      <c r="S164" s="3">
        <v>62</v>
      </c>
      <c r="T164" s="7">
        <v>0.09</v>
      </c>
    </row>
    <row r="165" spans="1:20" x14ac:dyDescent="0.35">
      <c r="A165" s="5" t="s">
        <v>736</v>
      </c>
      <c r="B165" s="3" t="s">
        <v>91</v>
      </c>
      <c r="C165" s="3" t="s">
        <v>633</v>
      </c>
      <c r="D165" s="3" t="s">
        <v>737</v>
      </c>
      <c r="E165" s="3" t="s">
        <v>56</v>
      </c>
      <c r="F165" s="3" t="s">
        <v>738</v>
      </c>
      <c r="G165" s="3" t="s">
        <v>739</v>
      </c>
      <c r="H165" s="43">
        <v>45358</v>
      </c>
      <c r="I165" s="43">
        <v>45658</v>
      </c>
      <c r="J165" s="47" t="str">
        <f>IF(GroDB3[[#This Row],[Last_Order_Date]]&lt;=GroDB3[[#This Row],[Date_Received]], "Yes", "No")</f>
        <v>No</v>
      </c>
      <c r="K165" s="43">
        <f>IF(GroDB3[[#This Row],[Column1]]="No",GroDB3[[#This Row],[Last_Order_Date]],GroDB3[[#This Row],[Date_Received]])</f>
        <v>45658</v>
      </c>
      <c r="L165" s="43">
        <f>IF(GroDB3[[#This Row],[Column1]]="No",GroDB3[[#This Row],[Date_Received]],GroDB3[[#This Row],[Last_Order_Date]])</f>
        <v>45358</v>
      </c>
      <c r="M165" s="43">
        <v>45408</v>
      </c>
      <c r="N165" s="3">
        <v>41</v>
      </c>
      <c r="O165" s="3">
        <v>21</v>
      </c>
      <c r="P165" s="3">
        <v>47</v>
      </c>
      <c r="Q165" s="4">
        <v>5</v>
      </c>
      <c r="R165" s="3">
        <v>50</v>
      </c>
      <c r="S165" s="3">
        <v>99</v>
      </c>
      <c r="T165" s="7">
        <v>0.26</v>
      </c>
    </row>
    <row r="166" spans="1:20" x14ac:dyDescent="0.35">
      <c r="A166" s="5" t="s">
        <v>587</v>
      </c>
      <c r="B166" s="3" t="s">
        <v>127</v>
      </c>
      <c r="C166" s="3" t="s">
        <v>740</v>
      </c>
      <c r="D166" s="3" t="s">
        <v>741</v>
      </c>
      <c r="E166" s="3" t="s">
        <v>56</v>
      </c>
      <c r="F166" s="3" t="s">
        <v>742</v>
      </c>
      <c r="G166" s="3" t="s">
        <v>743</v>
      </c>
      <c r="H166" s="43">
        <v>45358</v>
      </c>
      <c r="I166" s="43">
        <v>45567</v>
      </c>
      <c r="J166" s="47" t="str">
        <f>IF(GroDB3[[#This Row],[Last_Order_Date]]&lt;=GroDB3[[#This Row],[Date_Received]], "Yes", "No")</f>
        <v>No</v>
      </c>
      <c r="K166" s="43">
        <f>IF(GroDB3[[#This Row],[Column1]]="No",GroDB3[[#This Row],[Last_Order_Date]],GroDB3[[#This Row],[Date_Received]])</f>
        <v>45567</v>
      </c>
      <c r="L166" s="43">
        <f>IF(GroDB3[[#This Row],[Column1]]="No",GroDB3[[#This Row],[Date_Received]],GroDB3[[#This Row],[Last_Order_Date]])</f>
        <v>45358</v>
      </c>
      <c r="M166" s="43">
        <v>45605</v>
      </c>
      <c r="N166" s="3">
        <v>61</v>
      </c>
      <c r="O166" s="3">
        <v>22</v>
      </c>
      <c r="P166" s="3">
        <v>98</v>
      </c>
      <c r="Q166" s="4">
        <v>30</v>
      </c>
      <c r="R166" s="3">
        <v>90</v>
      </c>
      <c r="S166" s="3">
        <v>11</v>
      </c>
      <c r="T166" s="7">
        <v>-0.98</v>
      </c>
    </row>
    <row r="167" spans="1:20" x14ac:dyDescent="0.35">
      <c r="A167" s="5" t="s">
        <v>495</v>
      </c>
      <c r="B167" s="3" t="s">
        <v>18</v>
      </c>
      <c r="C167" s="3" t="s">
        <v>434</v>
      </c>
      <c r="D167" s="3" t="s">
        <v>744</v>
      </c>
      <c r="E167" s="3" t="s">
        <v>56</v>
      </c>
      <c r="F167" s="3" t="s">
        <v>745</v>
      </c>
      <c r="G167" s="3" t="s">
        <v>746</v>
      </c>
      <c r="H167" s="43">
        <v>45389</v>
      </c>
      <c r="I167" s="43">
        <v>45379</v>
      </c>
      <c r="J167" s="47" t="str">
        <f>IF(GroDB3[[#This Row],[Last_Order_Date]]&lt;=GroDB3[[#This Row],[Date_Received]], "Yes", "No")</f>
        <v>Yes</v>
      </c>
      <c r="K167" s="43">
        <f>IF(GroDB3[[#This Row],[Column1]]="No",GroDB3[[#This Row],[Last_Order_Date]],GroDB3[[#This Row],[Date_Received]])</f>
        <v>45389</v>
      </c>
      <c r="L167" s="43">
        <f>IF(GroDB3[[#This Row],[Column1]]="No",GroDB3[[#This Row],[Date_Received]],GroDB3[[#This Row],[Last_Order_Date]])</f>
        <v>45379</v>
      </c>
      <c r="M167" s="43">
        <v>45672</v>
      </c>
      <c r="N167" s="3">
        <v>51</v>
      </c>
      <c r="O167" s="3">
        <v>62</v>
      </c>
      <c r="P167" s="3">
        <v>95</v>
      </c>
      <c r="Q167" s="4">
        <v>6</v>
      </c>
      <c r="R167" s="3">
        <v>52</v>
      </c>
      <c r="S167" s="3">
        <v>21</v>
      </c>
      <c r="T167" s="7">
        <v>0.88</v>
      </c>
    </row>
    <row r="168" spans="1:20" x14ac:dyDescent="0.35">
      <c r="A168" s="5" t="s">
        <v>526</v>
      </c>
      <c r="B168" s="3" t="s">
        <v>53</v>
      </c>
      <c r="C168" s="3" t="s">
        <v>747</v>
      </c>
      <c r="D168" s="3" t="s">
        <v>748</v>
      </c>
      <c r="E168" s="3" t="s">
        <v>28</v>
      </c>
      <c r="F168" s="3" t="s">
        <v>749</v>
      </c>
      <c r="G168" s="3" t="s">
        <v>750</v>
      </c>
      <c r="H168" s="43">
        <v>45389</v>
      </c>
      <c r="I168" s="43">
        <v>45674</v>
      </c>
      <c r="J168" s="47" t="str">
        <f>IF(GroDB3[[#This Row],[Last_Order_Date]]&lt;=GroDB3[[#This Row],[Date_Received]], "Yes", "No")</f>
        <v>No</v>
      </c>
      <c r="K168" s="43">
        <f>IF(GroDB3[[#This Row],[Column1]]="No",GroDB3[[#This Row],[Last_Order_Date]],GroDB3[[#This Row],[Date_Received]])</f>
        <v>45674</v>
      </c>
      <c r="L168" s="43">
        <f>IF(GroDB3[[#This Row],[Column1]]="No",GroDB3[[#This Row],[Date_Received]],GroDB3[[#This Row],[Last_Order_Date]])</f>
        <v>45389</v>
      </c>
      <c r="M168" s="43">
        <v>45478</v>
      </c>
      <c r="N168" s="3">
        <v>54</v>
      </c>
      <c r="O168" s="3">
        <v>53</v>
      </c>
      <c r="P168" s="3">
        <v>33</v>
      </c>
      <c r="Q168" s="4">
        <v>1.8</v>
      </c>
      <c r="R168" s="3">
        <v>94</v>
      </c>
      <c r="S168" s="3">
        <v>82</v>
      </c>
      <c r="T168" s="7">
        <v>0.6</v>
      </c>
    </row>
    <row r="169" spans="1:20" x14ac:dyDescent="0.35">
      <c r="A169" s="5" t="s">
        <v>47</v>
      </c>
      <c r="B169" s="3" t="s">
        <v>18</v>
      </c>
      <c r="C169" s="3" t="s">
        <v>751</v>
      </c>
      <c r="D169" s="3" t="s">
        <v>752</v>
      </c>
      <c r="E169" s="3" t="s">
        <v>21</v>
      </c>
      <c r="F169" s="3" t="s">
        <v>753</v>
      </c>
      <c r="G169" s="3" t="s">
        <v>754</v>
      </c>
      <c r="H169" s="43">
        <v>45389</v>
      </c>
      <c r="I169" s="43">
        <v>45572</v>
      </c>
      <c r="J169" s="47" t="str">
        <f>IF(GroDB3[[#This Row],[Last_Order_Date]]&lt;=GroDB3[[#This Row],[Date_Received]], "Yes", "No")</f>
        <v>No</v>
      </c>
      <c r="K169" s="43">
        <f>IF(GroDB3[[#This Row],[Column1]]="No",GroDB3[[#This Row],[Last_Order_Date]],GroDB3[[#This Row],[Date_Received]])</f>
        <v>45572</v>
      </c>
      <c r="L169" s="43">
        <f>IF(GroDB3[[#This Row],[Column1]]="No",GroDB3[[#This Row],[Date_Received]],GroDB3[[#This Row],[Last_Order_Date]])</f>
        <v>45389</v>
      </c>
      <c r="M169" s="43">
        <v>45492</v>
      </c>
      <c r="N169" s="3">
        <v>87</v>
      </c>
      <c r="O169" s="3">
        <v>1</v>
      </c>
      <c r="P169" s="3">
        <v>98</v>
      </c>
      <c r="Q169" s="4">
        <v>2.5</v>
      </c>
      <c r="R169" s="3">
        <v>61</v>
      </c>
      <c r="S169" s="3">
        <v>84</v>
      </c>
      <c r="T169" s="7">
        <v>0.13</v>
      </c>
    </row>
    <row r="170" spans="1:20" x14ac:dyDescent="0.35">
      <c r="A170" s="5" t="s">
        <v>707</v>
      </c>
      <c r="B170" s="3" t="s">
        <v>25</v>
      </c>
      <c r="C170" s="3" t="s">
        <v>755</v>
      </c>
      <c r="D170" s="3" t="s">
        <v>756</v>
      </c>
      <c r="E170" s="3" t="s">
        <v>21</v>
      </c>
      <c r="F170" s="3" t="s">
        <v>757</v>
      </c>
      <c r="G170" s="3" t="s">
        <v>758</v>
      </c>
      <c r="H170" s="43">
        <v>45419</v>
      </c>
      <c r="I170" s="43">
        <v>45650</v>
      </c>
      <c r="J170" s="47" t="str">
        <f>IF(GroDB3[[#This Row],[Last_Order_Date]]&lt;=GroDB3[[#This Row],[Date_Received]], "Yes", "No")</f>
        <v>No</v>
      </c>
      <c r="K170" s="43">
        <f>IF(GroDB3[[#This Row],[Column1]]="No",GroDB3[[#This Row],[Last_Order_Date]],GroDB3[[#This Row],[Date_Received]])</f>
        <v>45650</v>
      </c>
      <c r="L170" s="43">
        <f>IF(GroDB3[[#This Row],[Column1]]="No",GroDB3[[#This Row],[Date_Received]],GroDB3[[#This Row],[Last_Order_Date]])</f>
        <v>45419</v>
      </c>
      <c r="M170" s="43">
        <v>45452</v>
      </c>
      <c r="N170" s="3">
        <v>46</v>
      </c>
      <c r="O170" s="3">
        <v>51</v>
      </c>
      <c r="P170" s="3">
        <v>92</v>
      </c>
      <c r="Q170" s="4">
        <v>2.2999999999999998</v>
      </c>
      <c r="R170" s="3">
        <v>47</v>
      </c>
      <c r="S170" s="3">
        <v>25</v>
      </c>
      <c r="T170" s="7">
        <v>-0.38</v>
      </c>
    </row>
    <row r="171" spans="1:20" x14ac:dyDescent="0.35">
      <c r="A171" s="5" t="s">
        <v>574</v>
      </c>
      <c r="B171" s="3" t="s">
        <v>53</v>
      </c>
      <c r="C171" s="3" t="s">
        <v>759</v>
      </c>
      <c r="D171" s="3" t="s">
        <v>760</v>
      </c>
      <c r="E171" s="3" t="s">
        <v>21</v>
      </c>
      <c r="F171" s="3" t="s">
        <v>761</v>
      </c>
      <c r="G171" s="3" t="s">
        <v>762</v>
      </c>
      <c r="H171" s="43">
        <v>45419</v>
      </c>
      <c r="I171" s="43">
        <v>45704</v>
      </c>
      <c r="J171" s="47" t="str">
        <f>IF(GroDB3[[#This Row],[Last_Order_Date]]&lt;=GroDB3[[#This Row],[Date_Received]], "Yes", "No")</f>
        <v>No</v>
      </c>
      <c r="K171" s="43">
        <f>IF(GroDB3[[#This Row],[Column1]]="No",GroDB3[[#This Row],[Last_Order_Date]],GroDB3[[#This Row],[Date_Received]])</f>
        <v>45704</v>
      </c>
      <c r="L171" s="43">
        <f>IF(GroDB3[[#This Row],[Column1]]="No",GroDB3[[#This Row],[Date_Received]],GroDB3[[#This Row],[Last_Order_Date]])</f>
        <v>45419</v>
      </c>
      <c r="M171" s="43">
        <v>45576</v>
      </c>
      <c r="N171" s="3">
        <v>13</v>
      </c>
      <c r="O171" s="3">
        <v>32</v>
      </c>
      <c r="P171" s="3">
        <v>79</v>
      </c>
      <c r="Q171" s="4">
        <v>2</v>
      </c>
      <c r="R171" s="3">
        <v>38</v>
      </c>
      <c r="S171" s="3">
        <v>61</v>
      </c>
      <c r="T171" s="7">
        <v>0.47</v>
      </c>
    </row>
    <row r="172" spans="1:20" x14ac:dyDescent="0.35">
      <c r="A172" s="5" t="s">
        <v>392</v>
      </c>
      <c r="B172" s="3" t="s">
        <v>18</v>
      </c>
      <c r="C172" s="3" t="s">
        <v>763</v>
      </c>
      <c r="D172" s="3" t="s">
        <v>764</v>
      </c>
      <c r="E172" s="3" t="s">
        <v>21</v>
      </c>
      <c r="F172" s="3" t="s">
        <v>765</v>
      </c>
      <c r="G172" s="3" t="s">
        <v>766</v>
      </c>
      <c r="H172" s="43">
        <v>45450</v>
      </c>
      <c r="I172" s="43">
        <v>45633</v>
      </c>
      <c r="J172" s="47" t="str">
        <f>IF(GroDB3[[#This Row],[Last_Order_Date]]&lt;=GroDB3[[#This Row],[Date_Received]], "Yes", "No")</f>
        <v>No</v>
      </c>
      <c r="K172" s="43">
        <f>IF(GroDB3[[#This Row],[Column1]]="No",GroDB3[[#This Row],[Last_Order_Date]],GroDB3[[#This Row],[Date_Received]])</f>
        <v>45633</v>
      </c>
      <c r="L172" s="43">
        <f>IF(GroDB3[[#This Row],[Column1]]="No",GroDB3[[#This Row],[Date_Received]],GroDB3[[#This Row],[Last_Order_Date]])</f>
        <v>45450</v>
      </c>
      <c r="M172" s="43">
        <v>45630</v>
      </c>
      <c r="N172" s="3">
        <v>25</v>
      </c>
      <c r="O172" s="3">
        <v>74</v>
      </c>
      <c r="P172" s="3">
        <v>100</v>
      </c>
      <c r="Q172" s="4">
        <v>5.5</v>
      </c>
      <c r="R172" s="3">
        <v>41</v>
      </c>
      <c r="S172" s="3">
        <v>59</v>
      </c>
      <c r="T172" s="7">
        <v>-0.61</v>
      </c>
    </row>
    <row r="173" spans="1:20" x14ac:dyDescent="0.35">
      <c r="A173" s="5" t="s">
        <v>142</v>
      </c>
      <c r="B173" s="3" t="s">
        <v>18</v>
      </c>
      <c r="C173" s="3" t="s">
        <v>92</v>
      </c>
      <c r="D173" s="3" t="s">
        <v>767</v>
      </c>
      <c r="E173" s="3" t="s">
        <v>21</v>
      </c>
      <c r="F173" s="3" t="s">
        <v>768</v>
      </c>
      <c r="G173" s="3" t="s">
        <v>769</v>
      </c>
      <c r="H173" s="43">
        <v>45450</v>
      </c>
      <c r="I173" s="43">
        <v>45709</v>
      </c>
      <c r="J173" s="47" t="str">
        <f>IF(GroDB3[[#This Row],[Last_Order_Date]]&lt;=GroDB3[[#This Row],[Date_Received]], "Yes", "No")</f>
        <v>No</v>
      </c>
      <c r="K173" s="43">
        <f>IF(GroDB3[[#This Row],[Column1]]="No",GroDB3[[#This Row],[Last_Order_Date]],GroDB3[[#This Row],[Date_Received]])</f>
        <v>45709</v>
      </c>
      <c r="L173" s="43">
        <f>IF(GroDB3[[#This Row],[Column1]]="No",GroDB3[[#This Row],[Date_Received]],GroDB3[[#This Row],[Last_Order_Date]])</f>
        <v>45450</v>
      </c>
      <c r="M173" s="43">
        <v>45393</v>
      </c>
      <c r="N173" s="3">
        <v>60</v>
      </c>
      <c r="O173" s="3">
        <v>15</v>
      </c>
      <c r="P173" s="3">
        <v>89</v>
      </c>
      <c r="Q173" s="4">
        <v>4</v>
      </c>
      <c r="R173" s="3">
        <v>21</v>
      </c>
      <c r="S173" s="3">
        <v>29</v>
      </c>
      <c r="T173" s="7">
        <v>-0.44</v>
      </c>
    </row>
    <row r="174" spans="1:20" x14ac:dyDescent="0.35">
      <c r="A174" s="5" t="s">
        <v>531</v>
      </c>
      <c r="B174" s="3" t="s">
        <v>53</v>
      </c>
      <c r="C174" s="3" t="s">
        <v>770</v>
      </c>
      <c r="D174" s="3" t="s">
        <v>771</v>
      </c>
      <c r="E174" s="3" t="s">
        <v>21</v>
      </c>
      <c r="F174" s="3" t="s">
        <v>772</v>
      </c>
      <c r="G174" s="3" t="s">
        <v>773</v>
      </c>
      <c r="H174" s="43">
        <v>45480</v>
      </c>
      <c r="I174" s="43">
        <v>45411</v>
      </c>
      <c r="J174" s="47" t="str">
        <f>IF(GroDB3[[#This Row],[Last_Order_Date]]&lt;=GroDB3[[#This Row],[Date_Received]], "Yes", "No")</f>
        <v>Yes</v>
      </c>
      <c r="K174" s="43">
        <f>IF(GroDB3[[#This Row],[Column1]]="No",GroDB3[[#This Row],[Last_Order_Date]],GroDB3[[#This Row],[Date_Received]])</f>
        <v>45480</v>
      </c>
      <c r="L174" s="43">
        <f>IF(GroDB3[[#This Row],[Column1]]="No",GroDB3[[#This Row],[Date_Received]],GroDB3[[#This Row],[Last_Order_Date]])</f>
        <v>45411</v>
      </c>
      <c r="M174" s="43">
        <v>45412</v>
      </c>
      <c r="N174" s="3">
        <v>69</v>
      </c>
      <c r="O174" s="3">
        <v>82</v>
      </c>
      <c r="P174" s="3">
        <v>58</v>
      </c>
      <c r="Q174" s="4">
        <v>1.5</v>
      </c>
      <c r="R174" s="3">
        <v>34</v>
      </c>
      <c r="S174" s="3">
        <v>22</v>
      </c>
      <c r="T174" s="7">
        <v>-0.38</v>
      </c>
    </row>
    <row r="175" spans="1:20" x14ac:dyDescent="0.35">
      <c r="A175" s="5" t="s">
        <v>325</v>
      </c>
      <c r="B175" s="3" t="s">
        <v>53</v>
      </c>
      <c r="C175" s="3" t="s">
        <v>774</v>
      </c>
      <c r="D175" s="3" t="s">
        <v>775</v>
      </c>
      <c r="E175" s="3" t="s">
        <v>21</v>
      </c>
      <c r="F175" s="3" t="s">
        <v>776</v>
      </c>
      <c r="G175" s="3" t="s">
        <v>777</v>
      </c>
      <c r="H175" s="43">
        <v>45480</v>
      </c>
      <c r="I175" s="43">
        <v>45646</v>
      </c>
      <c r="J175" s="47" t="str">
        <f>IF(GroDB3[[#This Row],[Last_Order_Date]]&lt;=GroDB3[[#This Row],[Date_Received]], "Yes", "No")</f>
        <v>No</v>
      </c>
      <c r="K175" s="43">
        <f>IF(GroDB3[[#This Row],[Column1]]="No",GroDB3[[#This Row],[Last_Order_Date]],GroDB3[[#This Row],[Date_Received]])</f>
        <v>45646</v>
      </c>
      <c r="L175" s="43">
        <f>IF(GroDB3[[#This Row],[Column1]]="No",GroDB3[[#This Row],[Date_Received]],GroDB3[[#This Row],[Last_Order_Date]])</f>
        <v>45480</v>
      </c>
      <c r="M175" s="43">
        <v>45535</v>
      </c>
      <c r="N175" s="3">
        <v>36</v>
      </c>
      <c r="O175" s="3">
        <v>81</v>
      </c>
      <c r="P175" s="3">
        <v>54</v>
      </c>
      <c r="Q175" s="4">
        <v>4.75</v>
      </c>
      <c r="R175" s="3">
        <v>73</v>
      </c>
      <c r="S175" s="3">
        <v>60</v>
      </c>
      <c r="T175" s="7">
        <v>0.35</v>
      </c>
    </row>
    <row r="176" spans="1:20" x14ac:dyDescent="0.35">
      <c r="A176" s="5" t="s">
        <v>216</v>
      </c>
      <c r="B176" s="3" t="s">
        <v>91</v>
      </c>
      <c r="C176" s="3" t="s">
        <v>778</v>
      </c>
      <c r="D176" s="3" t="s">
        <v>779</v>
      </c>
      <c r="E176" s="3" t="s">
        <v>28</v>
      </c>
      <c r="F176" s="3" t="s">
        <v>780</v>
      </c>
      <c r="G176" s="3" t="s">
        <v>781</v>
      </c>
      <c r="H176" s="43">
        <v>45480</v>
      </c>
      <c r="I176" s="43">
        <v>45444</v>
      </c>
      <c r="J176" s="47" t="str">
        <f>IF(GroDB3[[#This Row],[Last_Order_Date]]&lt;=GroDB3[[#This Row],[Date_Received]], "Yes", "No")</f>
        <v>Yes</v>
      </c>
      <c r="K176" s="43">
        <f>IF(GroDB3[[#This Row],[Column1]]="No",GroDB3[[#This Row],[Last_Order_Date]],GroDB3[[#This Row],[Date_Received]])</f>
        <v>45480</v>
      </c>
      <c r="L176" s="43">
        <f>IF(GroDB3[[#This Row],[Column1]]="No",GroDB3[[#This Row],[Date_Received]],GroDB3[[#This Row],[Last_Order_Date]])</f>
        <v>45444</v>
      </c>
      <c r="M176" s="43">
        <v>45373</v>
      </c>
      <c r="N176" s="3">
        <v>36</v>
      </c>
      <c r="O176" s="3">
        <v>53</v>
      </c>
      <c r="P176" s="3">
        <v>92</v>
      </c>
      <c r="Q176" s="4">
        <v>3.5</v>
      </c>
      <c r="R176" s="3">
        <v>67</v>
      </c>
      <c r="S176" s="3">
        <v>43</v>
      </c>
      <c r="T176" s="7">
        <v>0.18</v>
      </c>
    </row>
    <row r="177" spans="1:20" x14ac:dyDescent="0.35">
      <c r="A177" s="5" t="s">
        <v>142</v>
      </c>
      <c r="B177" s="3" t="s">
        <v>18</v>
      </c>
      <c r="C177" s="3" t="s">
        <v>782</v>
      </c>
      <c r="D177" s="3" t="s">
        <v>783</v>
      </c>
      <c r="E177" s="3" t="s">
        <v>28</v>
      </c>
      <c r="F177" s="3" t="s">
        <v>784</v>
      </c>
      <c r="G177" s="3" t="s">
        <v>785</v>
      </c>
      <c r="H177" s="43">
        <v>45511</v>
      </c>
      <c r="I177" s="43">
        <v>45391</v>
      </c>
      <c r="J177" s="47" t="str">
        <f>IF(GroDB3[[#This Row],[Last_Order_Date]]&lt;=GroDB3[[#This Row],[Date_Received]], "Yes", "No")</f>
        <v>Yes</v>
      </c>
      <c r="K177" s="43">
        <f>IF(GroDB3[[#This Row],[Column1]]="No",GroDB3[[#This Row],[Last_Order_Date]],GroDB3[[#This Row],[Date_Received]])</f>
        <v>45511</v>
      </c>
      <c r="L177" s="43">
        <f>IF(GroDB3[[#This Row],[Column1]]="No",GroDB3[[#This Row],[Date_Received]],GroDB3[[#This Row],[Last_Order_Date]])</f>
        <v>45391</v>
      </c>
      <c r="M177" s="43">
        <v>45583</v>
      </c>
      <c r="N177" s="3">
        <v>79</v>
      </c>
      <c r="O177" s="3">
        <v>74</v>
      </c>
      <c r="P177" s="3">
        <v>87</v>
      </c>
      <c r="Q177" s="4">
        <v>4</v>
      </c>
      <c r="R177" s="3">
        <v>80</v>
      </c>
      <c r="S177" s="3">
        <v>26</v>
      </c>
      <c r="T177" s="7">
        <v>0.36</v>
      </c>
    </row>
    <row r="178" spans="1:20" x14ac:dyDescent="0.35">
      <c r="A178" s="5" t="s">
        <v>106</v>
      </c>
      <c r="B178" s="3" t="s">
        <v>32</v>
      </c>
      <c r="C178" s="3" t="s">
        <v>43</v>
      </c>
      <c r="D178" s="3" t="s">
        <v>786</v>
      </c>
      <c r="E178" s="3" t="s">
        <v>56</v>
      </c>
      <c r="F178" s="3" t="s">
        <v>787</v>
      </c>
      <c r="G178" s="3" t="s">
        <v>788</v>
      </c>
      <c r="H178" s="43">
        <v>45542</v>
      </c>
      <c r="I178" s="43">
        <v>45618</v>
      </c>
      <c r="J178" s="47" t="str">
        <f>IF(GroDB3[[#This Row],[Last_Order_Date]]&lt;=GroDB3[[#This Row],[Date_Received]], "Yes", "No")</f>
        <v>No</v>
      </c>
      <c r="K178" s="43">
        <f>IF(GroDB3[[#This Row],[Column1]]="No",GroDB3[[#This Row],[Last_Order_Date]],GroDB3[[#This Row],[Date_Received]])</f>
        <v>45618</v>
      </c>
      <c r="L178" s="43">
        <f>IF(GroDB3[[#This Row],[Column1]]="No",GroDB3[[#This Row],[Date_Received]],GroDB3[[#This Row],[Last_Order_Date]])</f>
        <v>45542</v>
      </c>
      <c r="M178" s="43">
        <v>45582</v>
      </c>
      <c r="N178" s="3">
        <v>63</v>
      </c>
      <c r="O178" s="3">
        <v>7</v>
      </c>
      <c r="P178" s="3">
        <v>23</v>
      </c>
      <c r="Q178" s="4">
        <v>2.35</v>
      </c>
      <c r="R178" s="3">
        <v>78</v>
      </c>
      <c r="S178" s="3">
        <v>100</v>
      </c>
      <c r="T178" s="7">
        <v>0.68</v>
      </c>
    </row>
    <row r="179" spans="1:20" x14ac:dyDescent="0.35">
      <c r="A179" s="5" t="s">
        <v>789</v>
      </c>
      <c r="B179" s="3" t="s">
        <v>18</v>
      </c>
      <c r="C179" s="3" t="s">
        <v>555</v>
      </c>
      <c r="D179" s="3" t="s">
        <v>790</v>
      </c>
      <c r="E179" s="3" t="s">
        <v>21</v>
      </c>
      <c r="F179" s="3" t="s">
        <v>791</v>
      </c>
      <c r="G179" s="3" t="s">
        <v>792</v>
      </c>
      <c r="H179" s="43">
        <v>45542</v>
      </c>
      <c r="I179" s="43">
        <v>45361</v>
      </c>
      <c r="J179" s="47" t="str">
        <f>IF(GroDB3[[#This Row],[Last_Order_Date]]&lt;=GroDB3[[#This Row],[Date_Received]], "Yes", "No")</f>
        <v>Yes</v>
      </c>
      <c r="K179" s="43">
        <f>IF(GroDB3[[#This Row],[Column1]]="No",GroDB3[[#This Row],[Last_Order_Date]],GroDB3[[#This Row],[Date_Received]])</f>
        <v>45542</v>
      </c>
      <c r="L179" s="43">
        <f>IF(GroDB3[[#This Row],[Column1]]="No",GroDB3[[#This Row],[Date_Received]],GroDB3[[#This Row],[Last_Order_Date]])</f>
        <v>45361</v>
      </c>
      <c r="M179" s="43">
        <v>45599</v>
      </c>
      <c r="N179" s="3">
        <v>26</v>
      </c>
      <c r="O179" s="3">
        <v>70</v>
      </c>
      <c r="P179" s="3">
        <v>52</v>
      </c>
      <c r="Q179" s="4">
        <v>2</v>
      </c>
      <c r="R179" s="3">
        <v>36</v>
      </c>
      <c r="S179" s="3">
        <v>10</v>
      </c>
      <c r="T179" s="7">
        <v>-0.28000000000000003</v>
      </c>
    </row>
    <row r="180" spans="1:20" x14ac:dyDescent="0.35">
      <c r="A180" s="5" t="s">
        <v>700</v>
      </c>
      <c r="B180" s="3" t="s">
        <v>18</v>
      </c>
      <c r="C180" s="3" t="s">
        <v>92</v>
      </c>
      <c r="D180" s="3" t="s">
        <v>793</v>
      </c>
      <c r="E180" s="3" t="s">
        <v>21</v>
      </c>
      <c r="F180" s="3" t="s">
        <v>794</v>
      </c>
      <c r="G180" s="3" t="s">
        <v>795</v>
      </c>
      <c r="H180" s="43">
        <v>45572</v>
      </c>
      <c r="I180" s="43">
        <v>45440</v>
      </c>
      <c r="J180" s="47" t="str">
        <f>IF(GroDB3[[#This Row],[Last_Order_Date]]&lt;=GroDB3[[#This Row],[Date_Received]], "Yes", "No")</f>
        <v>Yes</v>
      </c>
      <c r="K180" s="43">
        <f>IF(GroDB3[[#This Row],[Column1]]="No",GroDB3[[#This Row],[Last_Order_Date]],GroDB3[[#This Row],[Date_Received]])</f>
        <v>45572</v>
      </c>
      <c r="L180" s="43">
        <f>IF(GroDB3[[#This Row],[Column1]]="No",GroDB3[[#This Row],[Date_Received]],GroDB3[[#This Row],[Last_Order_Date]])</f>
        <v>45440</v>
      </c>
      <c r="M180" s="43">
        <v>45465</v>
      </c>
      <c r="N180" s="3">
        <v>72</v>
      </c>
      <c r="O180" s="3">
        <v>70</v>
      </c>
      <c r="P180" s="3">
        <v>99</v>
      </c>
      <c r="Q180" s="4">
        <v>2.5</v>
      </c>
      <c r="R180" s="3">
        <v>82</v>
      </c>
      <c r="S180" s="3">
        <v>32</v>
      </c>
      <c r="T180" s="7">
        <v>0.72</v>
      </c>
    </row>
    <row r="181" spans="1:20" x14ac:dyDescent="0.35">
      <c r="A181" s="5" t="s">
        <v>253</v>
      </c>
      <c r="B181" s="3" t="s">
        <v>18</v>
      </c>
      <c r="C181" s="3" t="s">
        <v>388</v>
      </c>
      <c r="D181" s="3" t="s">
        <v>796</v>
      </c>
      <c r="E181" s="3" t="s">
        <v>56</v>
      </c>
      <c r="F181" s="3" t="s">
        <v>797</v>
      </c>
      <c r="G181" s="3" t="s">
        <v>798</v>
      </c>
      <c r="H181" s="43">
        <v>45572</v>
      </c>
      <c r="I181" s="43">
        <v>45428</v>
      </c>
      <c r="J181" s="47" t="str">
        <f>IF(GroDB3[[#This Row],[Last_Order_Date]]&lt;=GroDB3[[#This Row],[Date_Received]], "Yes", "No")</f>
        <v>Yes</v>
      </c>
      <c r="K181" s="43">
        <f>IF(GroDB3[[#This Row],[Column1]]="No",GroDB3[[#This Row],[Last_Order_Date]],GroDB3[[#This Row],[Date_Received]])</f>
        <v>45572</v>
      </c>
      <c r="L181" s="43">
        <f>IF(GroDB3[[#This Row],[Column1]]="No",GroDB3[[#This Row],[Date_Received]],GroDB3[[#This Row],[Last_Order_Date]])</f>
        <v>45428</v>
      </c>
      <c r="M181" s="43">
        <v>45420</v>
      </c>
      <c r="N181" s="3">
        <v>38</v>
      </c>
      <c r="O181" s="3">
        <v>22</v>
      </c>
      <c r="P181" s="3">
        <v>71</v>
      </c>
      <c r="Q181" s="4">
        <v>5</v>
      </c>
      <c r="R181" s="3">
        <v>33</v>
      </c>
      <c r="S181" s="3">
        <v>62</v>
      </c>
      <c r="T181" s="7">
        <v>0.61</v>
      </c>
    </row>
    <row r="182" spans="1:20" x14ac:dyDescent="0.35">
      <c r="A182" s="5" t="s">
        <v>736</v>
      </c>
      <c r="B182" s="3" t="s">
        <v>91</v>
      </c>
      <c r="C182" s="3" t="s">
        <v>458</v>
      </c>
      <c r="D182" s="3" t="s">
        <v>799</v>
      </c>
      <c r="E182" s="3" t="s">
        <v>56</v>
      </c>
      <c r="F182" s="3" t="s">
        <v>800</v>
      </c>
      <c r="G182" s="3" t="s">
        <v>801</v>
      </c>
      <c r="H182" s="43">
        <v>45603</v>
      </c>
      <c r="I182" s="43">
        <v>45411</v>
      </c>
      <c r="J182" s="47" t="str">
        <f>IF(GroDB3[[#This Row],[Last_Order_Date]]&lt;=GroDB3[[#This Row],[Date_Received]], "Yes", "No")</f>
        <v>Yes</v>
      </c>
      <c r="K182" s="43">
        <f>IF(GroDB3[[#This Row],[Column1]]="No",GroDB3[[#This Row],[Last_Order_Date]],GroDB3[[#This Row],[Date_Received]])</f>
        <v>45603</v>
      </c>
      <c r="L182" s="43">
        <f>IF(GroDB3[[#This Row],[Column1]]="No",GroDB3[[#This Row],[Date_Received]],GroDB3[[#This Row],[Last_Order_Date]])</f>
        <v>45411</v>
      </c>
      <c r="M182" s="43">
        <v>45421</v>
      </c>
      <c r="N182" s="3">
        <v>82</v>
      </c>
      <c r="O182" s="3">
        <v>6</v>
      </c>
      <c r="P182" s="3">
        <v>53</v>
      </c>
      <c r="Q182" s="4">
        <v>5</v>
      </c>
      <c r="R182" s="3">
        <v>21</v>
      </c>
      <c r="S182" s="3">
        <v>58</v>
      </c>
      <c r="T182" s="7">
        <v>-0.88</v>
      </c>
    </row>
    <row r="183" spans="1:20" x14ac:dyDescent="0.35">
      <c r="A183" s="5" t="s">
        <v>333</v>
      </c>
      <c r="B183" s="3" t="s">
        <v>53</v>
      </c>
      <c r="C183" s="3" t="s">
        <v>451</v>
      </c>
      <c r="D183" s="3" t="s">
        <v>802</v>
      </c>
      <c r="E183" s="3" t="s">
        <v>56</v>
      </c>
      <c r="F183" s="3" t="s">
        <v>803</v>
      </c>
      <c r="G183" s="3" t="s">
        <v>804</v>
      </c>
      <c r="H183" s="43">
        <v>45603</v>
      </c>
      <c r="I183" s="43">
        <v>45704</v>
      </c>
      <c r="J183" s="47" t="str">
        <f>IF(GroDB3[[#This Row],[Last_Order_Date]]&lt;=GroDB3[[#This Row],[Date_Received]], "Yes", "No")</f>
        <v>No</v>
      </c>
      <c r="K183" s="43">
        <f>IF(GroDB3[[#This Row],[Column1]]="No",GroDB3[[#This Row],[Last_Order_Date]],GroDB3[[#This Row],[Date_Received]])</f>
        <v>45704</v>
      </c>
      <c r="L183" s="43">
        <f>IF(GroDB3[[#This Row],[Column1]]="No",GroDB3[[#This Row],[Date_Received]],GroDB3[[#This Row],[Last_Order_Date]])</f>
        <v>45603</v>
      </c>
      <c r="M183" s="43">
        <v>45529</v>
      </c>
      <c r="N183" s="3">
        <v>19</v>
      </c>
      <c r="O183" s="3">
        <v>77</v>
      </c>
      <c r="P183" s="3">
        <v>66</v>
      </c>
      <c r="Q183" s="4">
        <v>10</v>
      </c>
      <c r="R183" s="3">
        <v>62</v>
      </c>
      <c r="S183" s="3">
        <v>100</v>
      </c>
      <c r="T183" s="7">
        <v>-1.76</v>
      </c>
    </row>
    <row r="184" spans="1:20" x14ac:dyDescent="0.35">
      <c r="A184" s="5" t="s">
        <v>216</v>
      </c>
      <c r="B184" s="3" t="s">
        <v>91</v>
      </c>
      <c r="C184" s="3" t="s">
        <v>312</v>
      </c>
      <c r="D184" s="3" t="s">
        <v>805</v>
      </c>
      <c r="E184" s="3" t="s">
        <v>56</v>
      </c>
      <c r="F184" s="3" t="s">
        <v>806</v>
      </c>
      <c r="G184" s="3" t="s">
        <v>807</v>
      </c>
      <c r="H184" s="43">
        <v>45633</v>
      </c>
      <c r="I184" s="43">
        <v>45507</v>
      </c>
      <c r="J184" s="47" t="str">
        <f>IF(GroDB3[[#This Row],[Last_Order_Date]]&lt;=GroDB3[[#This Row],[Date_Received]], "Yes", "No")</f>
        <v>Yes</v>
      </c>
      <c r="K184" s="43">
        <f>IF(GroDB3[[#This Row],[Column1]]="No",GroDB3[[#This Row],[Last_Order_Date]],GroDB3[[#This Row],[Date_Received]])</f>
        <v>45633</v>
      </c>
      <c r="L184" s="43">
        <f>IF(GroDB3[[#This Row],[Column1]]="No",GroDB3[[#This Row],[Date_Received]],GroDB3[[#This Row],[Last_Order_Date]])</f>
        <v>45507</v>
      </c>
      <c r="M184" s="43">
        <v>45370</v>
      </c>
      <c r="N184" s="3">
        <v>58</v>
      </c>
      <c r="O184" s="3">
        <v>48</v>
      </c>
      <c r="P184" s="3">
        <v>9</v>
      </c>
      <c r="Q184" s="4">
        <v>3.5</v>
      </c>
      <c r="R184" s="3">
        <v>98</v>
      </c>
      <c r="S184" s="3">
        <v>69</v>
      </c>
      <c r="T184" s="7">
        <v>-0.61</v>
      </c>
    </row>
    <row r="185" spans="1:20" x14ac:dyDescent="0.35">
      <c r="A185" s="5" t="s">
        <v>380</v>
      </c>
      <c r="B185" s="3" t="s">
        <v>32</v>
      </c>
      <c r="C185" s="3" t="s">
        <v>808</v>
      </c>
      <c r="D185" s="3" t="s">
        <v>809</v>
      </c>
      <c r="E185" s="3" t="s">
        <v>56</v>
      </c>
      <c r="F185" s="3" t="s">
        <v>810</v>
      </c>
      <c r="G185" s="3" t="s">
        <v>811</v>
      </c>
      <c r="H185" s="43">
        <v>45359</v>
      </c>
      <c r="I185" s="43">
        <v>45647</v>
      </c>
      <c r="J185" s="47" t="str">
        <f>IF(GroDB3[[#This Row],[Last_Order_Date]]&lt;=GroDB3[[#This Row],[Date_Received]], "Yes", "No")</f>
        <v>No</v>
      </c>
      <c r="K185" s="43">
        <f>IF(GroDB3[[#This Row],[Column1]]="No",GroDB3[[#This Row],[Last_Order_Date]],GroDB3[[#This Row],[Date_Received]])</f>
        <v>45647</v>
      </c>
      <c r="L185" s="43">
        <f>IF(GroDB3[[#This Row],[Column1]]="No",GroDB3[[#This Row],[Date_Received]],GroDB3[[#This Row],[Last_Order_Date]])</f>
        <v>45359</v>
      </c>
      <c r="M185" s="43">
        <v>45435</v>
      </c>
      <c r="N185" s="3">
        <v>98</v>
      </c>
      <c r="O185" s="3">
        <v>24</v>
      </c>
      <c r="P185" s="3">
        <v>4</v>
      </c>
      <c r="Q185" s="4">
        <v>4.0999999999999996</v>
      </c>
      <c r="R185" s="3">
        <v>89</v>
      </c>
      <c r="S185" s="3">
        <v>80</v>
      </c>
      <c r="T185" s="7">
        <v>0.3</v>
      </c>
    </row>
    <row r="186" spans="1:20" x14ac:dyDescent="0.35">
      <c r="A186" s="5" t="s">
        <v>812</v>
      </c>
      <c r="B186" s="3" t="s">
        <v>18</v>
      </c>
      <c r="C186" s="3" t="s">
        <v>813</v>
      </c>
      <c r="D186" s="3" t="s">
        <v>814</v>
      </c>
      <c r="E186" s="3" t="s">
        <v>56</v>
      </c>
      <c r="F186" s="3" t="s">
        <v>815</v>
      </c>
      <c r="G186" s="3" t="s">
        <v>816</v>
      </c>
      <c r="H186" s="43">
        <v>45359</v>
      </c>
      <c r="I186" s="43">
        <v>45668</v>
      </c>
      <c r="J186" s="47" t="str">
        <f>IF(GroDB3[[#This Row],[Last_Order_Date]]&lt;=GroDB3[[#This Row],[Date_Received]], "Yes", "No")</f>
        <v>No</v>
      </c>
      <c r="K186" s="43">
        <f>IF(GroDB3[[#This Row],[Column1]]="No",GroDB3[[#This Row],[Last_Order_Date]],GroDB3[[#This Row],[Date_Received]])</f>
        <v>45668</v>
      </c>
      <c r="L186" s="43">
        <f>IF(GroDB3[[#This Row],[Column1]]="No",GroDB3[[#This Row],[Date_Received]],GroDB3[[#This Row],[Last_Order_Date]])</f>
        <v>45359</v>
      </c>
      <c r="M186" s="43">
        <v>45560</v>
      </c>
      <c r="N186" s="3">
        <v>44</v>
      </c>
      <c r="O186" s="3">
        <v>92</v>
      </c>
      <c r="P186" s="3">
        <v>92</v>
      </c>
      <c r="Q186" s="4">
        <v>3.5</v>
      </c>
      <c r="R186" s="3">
        <v>41</v>
      </c>
      <c r="S186" s="3">
        <v>61</v>
      </c>
      <c r="T186" s="7">
        <v>0.1</v>
      </c>
    </row>
    <row r="187" spans="1:20" x14ac:dyDescent="0.35">
      <c r="A187" s="5" t="s">
        <v>817</v>
      </c>
      <c r="B187" s="3" t="s">
        <v>18</v>
      </c>
      <c r="C187" s="3" t="s">
        <v>818</v>
      </c>
      <c r="D187" s="3" t="s">
        <v>819</v>
      </c>
      <c r="E187" s="3" t="s">
        <v>28</v>
      </c>
      <c r="F187" s="3" t="s">
        <v>820</v>
      </c>
      <c r="G187" s="3" t="s">
        <v>821</v>
      </c>
      <c r="H187" s="43">
        <v>45359</v>
      </c>
      <c r="I187" s="43">
        <v>45625</v>
      </c>
      <c r="J187" s="47" t="str">
        <f>IF(GroDB3[[#This Row],[Last_Order_Date]]&lt;=GroDB3[[#This Row],[Date_Received]], "Yes", "No")</f>
        <v>No</v>
      </c>
      <c r="K187" s="43">
        <f>IF(GroDB3[[#This Row],[Column1]]="No",GroDB3[[#This Row],[Last_Order_Date]],GroDB3[[#This Row],[Date_Received]])</f>
        <v>45625</v>
      </c>
      <c r="L187" s="43">
        <f>IF(GroDB3[[#This Row],[Column1]]="No",GroDB3[[#This Row],[Date_Received]],GroDB3[[#This Row],[Last_Order_Date]])</f>
        <v>45359</v>
      </c>
      <c r="M187" s="43">
        <v>45582</v>
      </c>
      <c r="N187" s="3">
        <v>100</v>
      </c>
      <c r="O187" s="3">
        <v>52</v>
      </c>
      <c r="P187" s="3">
        <v>2</v>
      </c>
      <c r="Q187" s="4">
        <v>3</v>
      </c>
      <c r="R187" s="3">
        <v>86</v>
      </c>
      <c r="S187" s="3">
        <v>70</v>
      </c>
      <c r="T187" s="7">
        <v>-0.49</v>
      </c>
    </row>
    <row r="188" spans="1:20" x14ac:dyDescent="0.35">
      <c r="A188" s="5" t="s">
        <v>220</v>
      </c>
      <c r="B188" s="3" t="s">
        <v>127</v>
      </c>
      <c r="C188" s="3" t="s">
        <v>398</v>
      </c>
      <c r="D188" s="3" t="s">
        <v>822</v>
      </c>
      <c r="E188" s="3" t="s">
        <v>21</v>
      </c>
      <c r="F188" s="3" t="s">
        <v>823</v>
      </c>
      <c r="G188" s="3" t="s">
        <v>824</v>
      </c>
      <c r="H188" s="43">
        <v>45390</v>
      </c>
      <c r="I188" s="43">
        <v>45533</v>
      </c>
      <c r="J188" s="47" t="str">
        <f>IF(GroDB3[[#This Row],[Last_Order_Date]]&lt;=GroDB3[[#This Row],[Date_Received]], "Yes", "No")</f>
        <v>No</v>
      </c>
      <c r="K188" s="43">
        <f>IF(GroDB3[[#This Row],[Column1]]="No",GroDB3[[#This Row],[Last_Order_Date]],GroDB3[[#This Row],[Date_Received]])</f>
        <v>45533</v>
      </c>
      <c r="L188" s="43">
        <f>IF(GroDB3[[#This Row],[Column1]]="No",GroDB3[[#This Row],[Date_Received]],GroDB3[[#This Row],[Last_Order_Date]])</f>
        <v>45390</v>
      </c>
      <c r="M188" s="43">
        <v>45377</v>
      </c>
      <c r="N188" s="3">
        <v>62</v>
      </c>
      <c r="O188" s="3">
        <v>78</v>
      </c>
      <c r="P188" s="3">
        <v>97</v>
      </c>
      <c r="Q188" s="4">
        <v>10</v>
      </c>
      <c r="R188" s="3">
        <v>62</v>
      </c>
      <c r="S188" s="3">
        <v>97</v>
      </c>
      <c r="T188" s="7">
        <v>0.19</v>
      </c>
    </row>
    <row r="189" spans="1:20" x14ac:dyDescent="0.35">
      <c r="A189" s="5" t="s">
        <v>686</v>
      </c>
      <c r="B189" s="3" t="s">
        <v>18</v>
      </c>
      <c r="C189" s="3" t="s">
        <v>199</v>
      </c>
      <c r="D189" s="3" t="s">
        <v>825</v>
      </c>
      <c r="E189" s="3" t="s">
        <v>28</v>
      </c>
      <c r="F189" s="3" t="s">
        <v>826</v>
      </c>
      <c r="G189" s="3" t="s">
        <v>827</v>
      </c>
      <c r="H189" s="43">
        <v>45390</v>
      </c>
      <c r="I189" s="43">
        <v>45667</v>
      </c>
      <c r="J189" s="47" t="str">
        <f>IF(GroDB3[[#This Row],[Last_Order_Date]]&lt;=GroDB3[[#This Row],[Date_Received]], "Yes", "No")</f>
        <v>No</v>
      </c>
      <c r="K189" s="43">
        <f>IF(GroDB3[[#This Row],[Column1]]="No",GroDB3[[#This Row],[Last_Order_Date]],GroDB3[[#This Row],[Date_Received]])</f>
        <v>45667</v>
      </c>
      <c r="L189" s="43">
        <f>IF(GroDB3[[#This Row],[Column1]]="No",GroDB3[[#This Row],[Date_Received]],GroDB3[[#This Row],[Last_Order_Date]])</f>
        <v>45390</v>
      </c>
      <c r="M189" s="43">
        <v>45384</v>
      </c>
      <c r="N189" s="3">
        <v>84</v>
      </c>
      <c r="O189" s="3">
        <v>20</v>
      </c>
      <c r="P189" s="3">
        <v>58</v>
      </c>
      <c r="Q189" s="4">
        <v>2.5</v>
      </c>
      <c r="R189" s="3">
        <v>86</v>
      </c>
      <c r="S189" s="3">
        <v>64</v>
      </c>
      <c r="T189" s="7">
        <v>-0.56000000000000005</v>
      </c>
    </row>
    <row r="190" spans="1:20" x14ac:dyDescent="0.35">
      <c r="A190" s="5" t="s">
        <v>828</v>
      </c>
      <c r="B190" s="3" t="s">
        <v>32</v>
      </c>
      <c r="C190" s="3" t="s">
        <v>128</v>
      </c>
      <c r="D190" s="3" t="s">
        <v>829</v>
      </c>
      <c r="E190" s="3" t="s">
        <v>28</v>
      </c>
      <c r="F190" s="3" t="s">
        <v>830</v>
      </c>
      <c r="G190" s="3" t="s">
        <v>831</v>
      </c>
      <c r="H190" s="43">
        <v>45390</v>
      </c>
      <c r="I190" s="43">
        <v>45528</v>
      </c>
      <c r="J190" s="47" t="str">
        <f>IF(GroDB3[[#This Row],[Last_Order_Date]]&lt;=GroDB3[[#This Row],[Date_Received]], "Yes", "No")</f>
        <v>No</v>
      </c>
      <c r="K190" s="43">
        <f>IF(GroDB3[[#This Row],[Column1]]="No",GroDB3[[#This Row],[Last_Order_Date]],GroDB3[[#This Row],[Date_Received]])</f>
        <v>45528</v>
      </c>
      <c r="L190" s="43">
        <f>IF(GroDB3[[#This Row],[Column1]]="No",GroDB3[[#This Row],[Date_Received]],GroDB3[[#This Row],[Last_Order_Date]])</f>
        <v>45390</v>
      </c>
      <c r="M190" s="43">
        <v>45387</v>
      </c>
      <c r="N190" s="3">
        <v>68</v>
      </c>
      <c r="O190" s="3">
        <v>82</v>
      </c>
      <c r="P190" s="3">
        <v>58</v>
      </c>
      <c r="Q190" s="4">
        <v>4.8</v>
      </c>
      <c r="R190" s="3">
        <v>90</v>
      </c>
      <c r="S190" s="3">
        <v>2</v>
      </c>
      <c r="T190" s="7">
        <v>0.26</v>
      </c>
    </row>
    <row r="191" spans="1:20" x14ac:dyDescent="0.35">
      <c r="A191" s="5" t="s">
        <v>276</v>
      </c>
      <c r="B191" s="3" t="s">
        <v>18</v>
      </c>
      <c r="C191" s="3" t="s">
        <v>832</v>
      </c>
      <c r="D191" s="3" t="s">
        <v>833</v>
      </c>
      <c r="E191" s="3" t="s">
        <v>56</v>
      </c>
      <c r="F191" s="3" t="s">
        <v>834</v>
      </c>
      <c r="G191" s="3" t="s">
        <v>835</v>
      </c>
      <c r="H191" s="43">
        <v>45420</v>
      </c>
      <c r="I191" s="43">
        <v>45434</v>
      </c>
      <c r="J191" s="47" t="str">
        <f>IF(GroDB3[[#This Row],[Last_Order_Date]]&lt;=GroDB3[[#This Row],[Date_Received]], "Yes", "No")</f>
        <v>No</v>
      </c>
      <c r="K191" s="43">
        <f>IF(GroDB3[[#This Row],[Column1]]="No",GroDB3[[#This Row],[Last_Order_Date]],GroDB3[[#This Row],[Date_Received]])</f>
        <v>45434</v>
      </c>
      <c r="L191" s="43">
        <f>IF(GroDB3[[#This Row],[Column1]]="No",GroDB3[[#This Row],[Date_Received]],GroDB3[[#This Row],[Last_Order_Date]])</f>
        <v>45420</v>
      </c>
      <c r="M191" s="43">
        <v>45705</v>
      </c>
      <c r="N191" s="3">
        <v>55</v>
      </c>
      <c r="O191" s="3">
        <v>91</v>
      </c>
      <c r="P191" s="3">
        <v>35</v>
      </c>
      <c r="Q191" s="4">
        <v>3.5</v>
      </c>
      <c r="R191" s="3">
        <v>81</v>
      </c>
      <c r="S191" s="3">
        <v>19</v>
      </c>
      <c r="T191" s="7">
        <v>0.98</v>
      </c>
    </row>
    <row r="192" spans="1:20" x14ac:dyDescent="0.35">
      <c r="A192" s="5" t="s">
        <v>836</v>
      </c>
      <c r="B192" s="3" t="s">
        <v>91</v>
      </c>
      <c r="C192" s="3" t="s">
        <v>147</v>
      </c>
      <c r="D192" s="3" t="s">
        <v>837</v>
      </c>
      <c r="E192" s="3" t="s">
        <v>56</v>
      </c>
      <c r="F192" s="3" t="s">
        <v>838</v>
      </c>
      <c r="G192" s="3" t="s">
        <v>839</v>
      </c>
      <c r="H192" s="43">
        <v>45420</v>
      </c>
      <c r="I192" s="43">
        <v>45349</v>
      </c>
      <c r="J192" s="47" t="str">
        <f>IF(GroDB3[[#This Row],[Last_Order_Date]]&lt;=GroDB3[[#This Row],[Date_Received]], "Yes", "No")</f>
        <v>Yes</v>
      </c>
      <c r="K192" s="43">
        <f>IF(GroDB3[[#This Row],[Column1]]="No",GroDB3[[#This Row],[Last_Order_Date]],GroDB3[[#This Row],[Date_Received]])</f>
        <v>45420</v>
      </c>
      <c r="L192" s="43">
        <f>IF(GroDB3[[#This Row],[Column1]]="No",GroDB3[[#This Row],[Date_Received]],GroDB3[[#This Row],[Last_Order_Date]])</f>
        <v>45349</v>
      </c>
      <c r="M192" s="43">
        <v>45690</v>
      </c>
      <c r="N192" s="3">
        <v>87</v>
      </c>
      <c r="O192" s="3">
        <v>70</v>
      </c>
      <c r="P192" s="3">
        <v>77</v>
      </c>
      <c r="Q192" s="4">
        <v>3.2</v>
      </c>
      <c r="R192" s="3">
        <v>73</v>
      </c>
      <c r="S192" s="3">
        <v>44</v>
      </c>
      <c r="T192" s="7">
        <v>0.77</v>
      </c>
    </row>
    <row r="193" spans="1:20" x14ac:dyDescent="0.35">
      <c r="A193" s="5" t="s">
        <v>446</v>
      </c>
      <c r="B193" s="3" t="s">
        <v>53</v>
      </c>
      <c r="C193" s="3" t="s">
        <v>207</v>
      </c>
      <c r="D193" s="3" t="s">
        <v>840</v>
      </c>
      <c r="E193" s="3" t="s">
        <v>56</v>
      </c>
      <c r="F193" s="3" t="s">
        <v>841</v>
      </c>
      <c r="G193" s="3" t="s">
        <v>842</v>
      </c>
      <c r="H193" s="43">
        <v>45420</v>
      </c>
      <c r="I193" s="43">
        <v>45641</v>
      </c>
      <c r="J193" s="47" t="str">
        <f>IF(GroDB3[[#This Row],[Last_Order_Date]]&lt;=GroDB3[[#This Row],[Date_Received]], "Yes", "No")</f>
        <v>No</v>
      </c>
      <c r="K193" s="43">
        <f>IF(GroDB3[[#This Row],[Column1]]="No",GroDB3[[#This Row],[Last_Order_Date]],GroDB3[[#This Row],[Date_Received]])</f>
        <v>45641</v>
      </c>
      <c r="L193" s="43">
        <f>IF(GroDB3[[#This Row],[Column1]]="No",GroDB3[[#This Row],[Date_Received]],GroDB3[[#This Row],[Last_Order_Date]])</f>
        <v>45420</v>
      </c>
      <c r="M193" s="43">
        <v>45425</v>
      </c>
      <c r="N193" s="3">
        <v>12</v>
      </c>
      <c r="O193" s="3">
        <v>56</v>
      </c>
      <c r="P193" s="3">
        <v>92</v>
      </c>
      <c r="Q193" s="4">
        <v>9.5</v>
      </c>
      <c r="R193" s="3">
        <v>56</v>
      </c>
      <c r="S193" s="3">
        <v>6</v>
      </c>
      <c r="T193" s="7">
        <v>0.4</v>
      </c>
    </row>
    <row r="194" spans="1:20" x14ac:dyDescent="0.35">
      <c r="A194" s="5" t="s">
        <v>96</v>
      </c>
      <c r="B194" s="3" t="s">
        <v>18</v>
      </c>
      <c r="C194" s="3" t="s">
        <v>778</v>
      </c>
      <c r="D194" s="3" t="s">
        <v>843</v>
      </c>
      <c r="E194" s="3" t="s">
        <v>28</v>
      </c>
      <c r="F194" s="3" t="s">
        <v>844</v>
      </c>
      <c r="G194" s="3" t="s">
        <v>845</v>
      </c>
      <c r="H194" s="43">
        <v>45451</v>
      </c>
      <c r="I194" s="43">
        <v>45379</v>
      </c>
      <c r="J194" s="47" t="str">
        <f>IF(GroDB3[[#This Row],[Last_Order_Date]]&lt;=GroDB3[[#This Row],[Date_Received]], "Yes", "No")</f>
        <v>Yes</v>
      </c>
      <c r="K194" s="43">
        <f>IF(GroDB3[[#This Row],[Column1]]="No",GroDB3[[#This Row],[Last_Order_Date]],GroDB3[[#This Row],[Date_Received]])</f>
        <v>45451</v>
      </c>
      <c r="L194" s="43">
        <f>IF(GroDB3[[#This Row],[Column1]]="No",GroDB3[[#This Row],[Date_Received]],GroDB3[[#This Row],[Last_Order_Date]])</f>
        <v>45379</v>
      </c>
      <c r="M194" s="43">
        <v>45692</v>
      </c>
      <c r="N194" s="3">
        <v>95</v>
      </c>
      <c r="O194" s="3">
        <v>66</v>
      </c>
      <c r="P194" s="3">
        <v>69</v>
      </c>
      <c r="Q194" s="4">
        <v>2.48</v>
      </c>
      <c r="R194" s="3">
        <v>92</v>
      </c>
      <c r="S194" s="3">
        <v>72</v>
      </c>
      <c r="T194" s="7">
        <v>0.89</v>
      </c>
    </row>
    <row r="195" spans="1:20" x14ac:dyDescent="0.35">
      <c r="A195" s="5" t="s">
        <v>137</v>
      </c>
      <c r="B195" s="3" t="s">
        <v>18</v>
      </c>
      <c r="C195" s="3" t="s">
        <v>759</v>
      </c>
      <c r="D195" s="3" t="s">
        <v>846</v>
      </c>
      <c r="E195" s="3" t="s">
        <v>28</v>
      </c>
      <c r="F195" s="3" t="s">
        <v>847</v>
      </c>
      <c r="G195" s="3" t="s">
        <v>848</v>
      </c>
      <c r="H195" s="43">
        <v>45451</v>
      </c>
      <c r="I195" s="43">
        <v>45431</v>
      </c>
      <c r="J195" s="47" t="str">
        <f>IF(GroDB3[[#This Row],[Last_Order_Date]]&lt;=GroDB3[[#This Row],[Date_Received]], "Yes", "No")</f>
        <v>Yes</v>
      </c>
      <c r="K195" s="43">
        <f>IF(GroDB3[[#This Row],[Column1]]="No",GroDB3[[#This Row],[Last_Order_Date]],GroDB3[[#This Row],[Date_Received]])</f>
        <v>45451</v>
      </c>
      <c r="L195" s="43">
        <f>IF(GroDB3[[#This Row],[Column1]]="No",GroDB3[[#This Row],[Date_Received]],GroDB3[[#This Row],[Last_Order_Date]])</f>
        <v>45431</v>
      </c>
      <c r="M195" s="43">
        <v>45636</v>
      </c>
      <c r="N195" s="3">
        <v>84</v>
      </c>
      <c r="O195" s="3">
        <v>9</v>
      </c>
      <c r="P195" s="3">
        <v>46</v>
      </c>
      <c r="Q195" s="4">
        <v>5</v>
      </c>
      <c r="R195" s="3">
        <v>30</v>
      </c>
      <c r="S195" s="3">
        <v>68</v>
      </c>
      <c r="T195" s="7">
        <v>0.22</v>
      </c>
    </row>
    <row r="196" spans="1:20" x14ac:dyDescent="0.35">
      <c r="A196" s="5" t="s">
        <v>329</v>
      </c>
      <c r="B196" s="3" t="s">
        <v>53</v>
      </c>
      <c r="C196" s="3" t="s">
        <v>849</v>
      </c>
      <c r="D196" s="3" t="s">
        <v>850</v>
      </c>
      <c r="E196" s="3" t="s">
        <v>21</v>
      </c>
      <c r="F196" s="3" t="s">
        <v>851</v>
      </c>
      <c r="G196" s="3" t="s">
        <v>852</v>
      </c>
      <c r="H196" s="43">
        <v>45481</v>
      </c>
      <c r="I196" s="43">
        <v>45488</v>
      </c>
      <c r="J196" s="47" t="str">
        <f>IF(GroDB3[[#This Row],[Last_Order_Date]]&lt;=GroDB3[[#This Row],[Date_Received]], "Yes", "No")</f>
        <v>No</v>
      </c>
      <c r="K196" s="43">
        <f>IF(GroDB3[[#This Row],[Column1]]="No",GroDB3[[#This Row],[Last_Order_Date]],GroDB3[[#This Row],[Date_Received]])</f>
        <v>45488</v>
      </c>
      <c r="L196" s="43">
        <f>IF(GroDB3[[#This Row],[Column1]]="No",GroDB3[[#This Row],[Date_Received]],GroDB3[[#This Row],[Last_Order_Date]])</f>
        <v>45481</v>
      </c>
      <c r="M196" s="43">
        <v>45466</v>
      </c>
      <c r="N196" s="3">
        <v>68</v>
      </c>
      <c r="O196" s="3">
        <v>68</v>
      </c>
      <c r="P196" s="3">
        <v>97</v>
      </c>
      <c r="Q196" s="4">
        <v>6</v>
      </c>
      <c r="R196" s="3">
        <v>37</v>
      </c>
      <c r="S196" s="3">
        <v>31</v>
      </c>
      <c r="T196" s="7">
        <v>-1.27</v>
      </c>
    </row>
    <row r="197" spans="1:20" x14ac:dyDescent="0.35">
      <c r="A197" s="5" t="s">
        <v>566</v>
      </c>
      <c r="B197" s="3" t="s">
        <v>127</v>
      </c>
      <c r="C197" s="3" t="s">
        <v>434</v>
      </c>
      <c r="D197" s="3" t="s">
        <v>853</v>
      </c>
      <c r="E197" s="3" t="s">
        <v>56</v>
      </c>
      <c r="F197" s="3" t="s">
        <v>854</v>
      </c>
      <c r="G197" s="3" t="s">
        <v>855</v>
      </c>
      <c r="H197" s="43">
        <v>45481</v>
      </c>
      <c r="I197" s="43">
        <v>45576</v>
      </c>
      <c r="J197" s="47" t="str">
        <f>IF(GroDB3[[#This Row],[Last_Order_Date]]&lt;=GroDB3[[#This Row],[Date_Received]], "Yes", "No")</f>
        <v>No</v>
      </c>
      <c r="K197" s="43">
        <f>IF(GroDB3[[#This Row],[Column1]]="No",GroDB3[[#This Row],[Last_Order_Date]],GroDB3[[#This Row],[Date_Received]])</f>
        <v>45576</v>
      </c>
      <c r="L197" s="43">
        <f>IF(GroDB3[[#This Row],[Column1]]="No",GroDB3[[#This Row],[Date_Received]],GroDB3[[#This Row],[Last_Order_Date]])</f>
        <v>45481</v>
      </c>
      <c r="M197" s="43">
        <v>45699</v>
      </c>
      <c r="N197" s="3">
        <v>11</v>
      </c>
      <c r="O197" s="3">
        <v>72</v>
      </c>
      <c r="P197" s="3">
        <v>5</v>
      </c>
      <c r="Q197" s="4">
        <v>15</v>
      </c>
      <c r="R197" s="3">
        <v>89</v>
      </c>
      <c r="S197" s="3">
        <v>4</v>
      </c>
      <c r="T197" s="7">
        <v>0.16</v>
      </c>
    </row>
    <row r="198" spans="1:20" x14ac:dyDescent="0.35">
      <c r="A198" s="5" t="s">
        <v>230</v>
      </c>
      <c r="B198" s="3" t="s">
        <v>25</v>
      </c>
      <c r="C198" s="3" t="s">
        <v>661</v>
      </c>
      <c r="D198" s="3" t="s">
        <v>856</v>
      </c>
      <c r="E198" s="3" t="s">
        <v>21</v>
      </c>
      <c r="F198" s="3" t="s">
        <v>857</v>
      </c>
      <c r="G198" s="3" t="s">
        <v>858</v>
      </c>
      <c r="H198" s="43">
        <v>45481</v>
      </c>
      <c r="I198" s="43">
        <v>45664</v>
      </c>
      <c r="J198" s="47" t="str">
        <f>IF(GroDB3[[#This Row],[Last_Order_Date]]&lt;=GroDB3[[#This Row],[Date_Received]], "Yes", "No")</f>
        <v>No</v>
      </c>
      <c r="K198" s="43">
        <f>IF(GroDB3[[#This Row],[Column1]]="No",GroDB3[[#This Row],[Last_Order_Date]],GroDB3[[#This Row],[Date_Received]])</f>
        <v>45664</v>
      </c>
      <c r="L198" s="43">
        <f>IF(GroDB3[[#This Row],[Column1]]="No",GroDB3[[#This Row],[Date_Received]],GroDB3[[#This Row],[Last_Order_Date]])</f>
        <v>45481</v>
      </c>
      <c r="M198" s="43">
        <v>45524</v>
      </c>
      <c r="N198" s="3">
        <v>44</v>
      </c>
      <c r="O198" s="3">
        <v>83</v>
      </c>
      <c r="P198" s="3">
        <v>78</v>
      </c>
      <c r="Q198" s="4">
        <v>1.8</v>
      </c>
      <c r="R198" s="3">
        <v>46</v>
      </c>
      <c r="S198" s="3">
        <v>4</v>
      </c>
      <c r="T198" s="7">
        <v>0.96</v>
      </c>
    </row>
    <row r="199" spans="1:20" x14ac:dyDescent="0.35">
      <c r="A199" s="5" t="s">
        <v>85</v>
      </c>
      <c r="B199" s="3" t="s">
        <v>18</v>
      </c>
      <c r="C199" s="3" t="s">
        <v>442</v>
      </c>
      <c r="D199" s="3" t="s">
        <v>859</v>
      </c>
      <c r="E199" s="3" t="s">
        <v>21</v>
      </c>
      <c r="F199" s="3" t="s">
        <v>860</v>
      </c>
      <c r="G199" s="3" t="s">
        <v>861</v>
      </c>
      <c r="H199" s="43">
        <v>45481</v>
      </c>
      <c r="I199" s="43">
        <v>45635</v>
      </c>
      <c r="J199" s="47" t="str">
        <f>IF(GroDB3[[#This Row],[Last_Order_Date]]&lt;=GroDB3[[#This Row],[Date_Received]], "Yes", "No")</f>
        <v>No</v>
      </c>
      <c r="K199" s="43">
        <f>IF(GroDB3[[#This Row],[Column1]]="No",GroDB3[[#This Row],[Last_Order_Date]],GroDB3[[#This Row],[Date_Received]])</f>
        <v>45635</v>
      </c>
      <c r="L199" s="43">
        <f>IF(GroDB3[[#This Row],[Column1]]="No",GroDB3[[#This Row],[Date_Received]],GroDB3[[#This Row],[Last_Order_Date]])</f>
        <v>45481</v>
      </c>
      <c r="M199" s="43">
        <v>45607</v>
      </c>
      <c r="N199" s="3">
        <v>36</v>
      </c>
      <c r="O199" s="3">
        <v>59</v>
      </c>
      <c r="P199" s="3">
        <v>90</v>
      </c>
      <c r="Q199" s="4">
        <v>3</v>
      </c>
      <c r="R199" s="3">
        <v>25</v>
      </c>
      <c r="S199" s="3">
        <v>60</v>
      </c>
      <c r="T199" s="7">
        <v>0.91</v>
      </c>
    </row>
    <row r="200" spans="1:20" x14ac:dyDescent="0.35">
      <c r="A200" s="5" t="s">
        <v>470</v>
      </c>
      <c r="B200" s="3" t="s">
        <v>18</v>
      </c>
      <c r="C200" s="3" t="s">
        <v>117</v>
      </c>
      <c r="D200" s="3" t="s">
        <v>862</v>
      </c>
      <c r="E200" s="3" t="s">
        <v>21</v>
      </c>
      <c r="F200" s="3" t="s">
        <v>863</v>
      </c>
      <c r="G200" s="3" t="s">
        <v>864</v>
      </c>
      <c r="H200" s="43">
        <v>45481</v>
      </c>
      <c r="I200" s="43">
        <v>45673</v>
      </c>
      <c r="J200" s="47" t="str">
        <f>IF(GroDB3[[#This Row],[Last_Order_Date]]&lt;=GroDB3[[#This Row],[Date_Received]], "Yes", "No")</f>
        <v>No</v>
      </c>
      <c r="K200" s="43">
        <f>IF(GroDB3[[#This Row],[Column1]]="No",GroDB3[[#This Row],[Last_Order_Date]],GroDB3[[#This Row],[Date_Received]])</f>
        <v>45673</v>
      </c>
      <c r="L200" s="43">
        <f>IF(GroDB3[[#This Row],[Column1]]="No",GroDB3[[#This Row],[Date_Received]],GroDB3[[#This Row],[Last_Order_Date]])</f>
        <v>45481</v>
      </c>
      <c r="M200" s="43">
        <v>45701</v>
      </c>
      <c r="N200" s="3">
        <v>94</v>
      </c>
      <c r="O200" s="3">
        <v>69</v>
      </c>
      <c r="P200" s="3">
        <v>68</v>
      </c>
      <c r="Q200" s="4">
        <v>4</v>
      </c>
      <c r="R200" s="3">
        <v>24</v>
      </c>
      <c r="S200" s="3">
        <v>20</v>
      </c>
      <c r="T200" s="7">
        <v>-1.4</v>
      </c>
    </row>
    <row r="201" spans="1:20" x14ac:dyDescent="0.35">
      <c r="A201" s="5" t="s">
        <v>627</v>
      </c>
      <c r="B201" s="3" t="s">
        <v>53</v>
      </c>
      <c r="C201" s="3" t="s">
        <v>343</v>
      </c>
      <c r="D201" s="3" t="s">
        <v>865</v>
      </c>
      <c r="E201" s="3" t="s">
        <v>21</v>
      </c>
      <c r="F201" s="3" t="s">
        <v>866</v>
      </c>
      <c r="G201" s="3" t="s">
        <v>867</v>
      </c>
      <c r="H201" s="43">
        <v>45512</v>
      </c>
      <c r="I201" s="43">
        <v>45393</v>
      </c>
      <c r="J201" s="47" t="str">
        <f>IF(GroDB3[[#This Row],[Last_Order_Date]]&lt;=GroDB3[[#This Row],[Date_Received]], "Yes", "No")</f>
        <v>Yes</v>
      </c>
      <c r="K201" s="43">
        <f>IF(GroDB3[[#This Row],[Column1]]="No",GroDB3[[#This Row],[Last_Order_Date]],GroDB3[[#This Row],[Date_Received]])</f>
        <v>45512</v>
      </c>
      <c r="L201" s="43">
        <f>IF(GroDB3[[#This Row],[Column1]]="No",GroDB3[[#This Row],[Date_Received]],GroDB3[[#This Row],[Last_Order_Date]])</f>
        <v>45393</v>
      </c>
      <c r="M201" s="43">
        <v>45654</v>
      </c>
      <c r="N201" s="3">
        <v>68</v>
      </c>
      <c r="O201" s="3">
        <v>7</v>
      </c>
      <c r="P201" s="3">
        <v>37</v>
      </c>
      <c r="Q201" s="4">
        <v>2.5</v>
      </c>
      <c r="R201" s="3">
        <v>69</v>
      </c>
      <c r="S201" s="3">
        <v>1</v>
      </c>
      <c r="T201" s="7">
        <v>0.17</v>
      </c>
    </row>
    <row r="202" spans="1:20" x14ac:dyDescent="0.35">
      <c r="A202" s="5" t="s">
        <v>165</v>
      </c>
      <c r="B202" s="3" t="s">
        <v>60</v>
      </c>
      <c r="C202" s="3" t="s">
        <v>868</v>
      </c>
      <c r="D202" s="3" t="s">
        <v>869</v>
      </c>
      <c r="E202" s="3" t="s">
        <v>56</v>
      </c>
      <c r="F202" s="3" t="s">
        <v>870</v>
      </c>
      <c r="G202" s="3" t="s">
        <v>871</v>
      </c>
      <c r="H202" s="43">
        <v>45512</v>
      </c>
      <c r="I202" s="43">
        <v>45644</v>
      </c>
      <c r="J202" s="47" t="str">
        <f>IF(GroDB3[[#This Row],[Last_Order_Date]]&lt;=GroDB3[[#This Row],[Date_Received]], "Yes", "No")</f>
        <v>No</v>
      </c>
      <c r="K202" s="43">
        <f>IF(GroDB3[[#This Row],[Column1]]="No",GroDB3[[#This Row],[Last_Order_Date]],GroDB3[[#This Row],[Date_Received]])</f>
        <v>45644</v>
      </c>
      <c r="L202" s="43">
        <f>IF(GroDB3[[#This Row],[Column1]]="No",GroDB3[[#This Row],[Date_Received]],GroDB3[[#This Row],[Last_Order_Date]])</f>
        <v>45512</v>
      </c>
      <c r="M202" s="43">
        <v>45478</v>
      </c>
      <c r="N202" s="3">
        <v>78</v>
      </c>
      <c r="O202" s="3">
        <v>75</v>
      </c>
      <c r="P202" s="3">
        <v>3</v>
      </c>
      <c r="Q202" s="4">
        <v>7</v>
      </c>
      <c r="R202" s="3">
        <v>63</v>
      </c>
      <c r="S202" s="3">
        <v>100</v>
      </c>
      <c r="T202" s="7">
        <v>0.99</v>
      </c>
    </row>
    <row r="203" spans="1:20" x14ac:dyDescent="0.35">
      <c r="A203" s="5" t="s">
        <v>433</v>
      </c>
      <c r="B203" s="3" t="s">
        <v>18</v>
      </c>
      <c r="C203" s="3" t="s">
        <v>254</v>
      </c>
      <c r="D203" s="3" t="s">
        <v>872</v>
      </c>
      <c r="E203" s="3" t="s">
        <v>28</v>
      </c>
      <c r="F203" s="3" t="s">
        <v>873</v>
      </c>
      <c r="G203" s="3" t="s">
        <v>874</v>
      </c>
      <c r="H203" s="43">
        <v>45512</v>
      </c>
      <c r="I203" s="43">
        <v>45369</v>
      </c>
      <c r="J203" s="47" t="str">
        <f>IF(GroDB3[[#This Row],[Last_Order_Date]]&lt;=GroDB3[[#This Row],[Date_Received]], "Yes", "No")</f>
        <v>Yes</v>
      </c>
      <c r="K203" s="43">
        <f>IF(GroDB3[[#This Row],[Column1]]="No",GroDB3[[#This Row],[Last_Order_Date]],GroDB3[[#This Row],[Date_Received]])</f>
        <v>45512</v>
      </c>
      <c r="L203" s="43">
        <f>IF(GroDB3[[#This Row],[Column1]]="No",GroDB3[[#This Row],[Date_Received]],GroDB3[[#This Row],[Last_Order_Date]])</f>
        <v>45369</v>
      </c>
      <c r="M203" s="43">
        <v>45635</v>
      </c>
      <c r="N203" s="3">
        <v>82</v>
      </c>
      <c r="O203" s="3">
        <v>29</v>
      </c>
      <c r="P203" s="3">
        <v>62</v>
      </c>
      <c r="Q203" s="4">
        <v>15.31</v>
      </c>
      <c r="R203" s="3">
        <v>77</v>
      </c>
      <c r="S203" s="3">
        <v>27</v>
      </c>
      <c r="T203" s="7">
        <v>-0.59</v>
      </c>
    </row>
    <row r="204" spans="1:20" x14ac:dyDescent="0.35">
      <c r="A204" s="5" t="s">
        <v>325</v>
      </c>
      <c r="B204" s="3" t="s">
        <v>53</v>
      </c>
      <c r="C204" s="3" t="s">
        <v>875</v>
      </c>
      <c r="D204" s="3" t="s">
        <v>876</v>
      </c>
      <c r="E204" s="3" t="s">
        <v>56</v>
      </c>
      <c r="F204" s="3" t="s">
        <v>877</v>
      </c>
      <c r="G204" s="3" t="s">
        <v>878</v>
      </c>
      <c r="H204" s="43">
        <v>45512</v>
      </c>
      <c r="I204" s="43">
        <v>45591</v>
      </c>
      <c r="J204" s="47" t="str">
        <f>IF(GroDB3[[#This Row],[Last_Order_Date]]&lt;=GroDB3[[#This Row],[Date_Received]], "Yes", "No")</f>
        <v>No</v>
      </c>
      <c r="K204" s="43">
        <f>IF(GroDB3[[#This Row],[Column1]]="No",GroDB3[[#This Row],[Last_Order_Date]],GroDB3[[#This Row],[Date_Received]])</f>
        <v>45591</v>
      </c>
      <c r="L204" s="43">
        <f>IF(GroDB3[[#This Row],[Column1]]="No",GroDB3[[#This Row],[Date_Received]],GroDB3[[#This Row],[Last_Order_Date]])</f>
        <v>45512</v>
      </c>
      <c r="M204" s="43">
        <v>45396</v>
      </c>
      <c r="N204" s="3">
        <v>22</v>
      </c>
      <c r="O204" s="3">
        <v>10</v>
      </c>
      <c r="P204" s="3">
        <v>53</v>
      </c>
      <c r="Q204" s="4">
        <v>4.25</v>
      </c>
      <c r="R204" s="3">
        <v>64</v>
      </c>
      <c r="S204" s="3">
        <v>7</v>
      </c>
      <c r="T204" s="7">
        <v>0.65</v>
      </c>
    </row>
    <row r="205" spans="1:20" x14ac:dyDescent="0.35">
      <c r="A205" s="5" t="s">
        <v>126</v>
      </c>
      <c r="B205" s="3" t="s">
        <v>127</v>
      </c>
      <c r="C205" s="3" t="s">
        <v>478</v>
      </c>
      <c r="D205" s="3" t="s">
        <v>879</v>
      </c>
      <c r="E205" s="3" t="s">
        <v>21</v>
      </c>
      <c r="F205" s="3" t="s">
        <v>880</v>
      </c>
      <c r="G205" s="3" t="s">
        <v>881</v>
      </c>
      <c r="H205" s="43">
        <v>45543</v>
      </c>
      <c r="I205" s="43">
        <v>45449</v>
      </c>
      <c r="J205" s="47" t="str">
        <f>IF(GroDB3[[#This Row],[Last_Order_Date]]&lt;=GroDB3[[#This Row],[Date_Received]], "Yes", "No")</f>
        <v>Yes</v>
      </c>
      <c r="K205" s="43">
        <f>IF(GroDB3[[#This Row],[Column1]]="No",GroDB3[[#This Row],[Last_Order_Date]],GroDB3[[#This Row],[Date_Received]])</f>
        <v>45543</v>
      </c>
      <c r="L205" s="43">
        <f>IF(GroDB3[[#This Row],[Column1]]="No",GroDB3[[#This Row],[Date_Received]],GroDB3[[#This Row],[Last_Order_Date]])</f>
        <v>45449</v>
      </c>
      <c r="M205" s="43">
        <v>45672</v>
      </c>
      <c r="N205" s="3">
        <v>62</v>
      </c>
      <c r="O205" s="3">
        <v>89</v>
      </c>
      <c r="P205" s="3">
        <v>6</v>
      </c>
      <c r="Q205" s="4">
        <v>20</v>
      </c>
      <c r="R205" s="3">
        <v>23</v>
      </c>
      <c r="S205" s="3">
        <v>11</v>
      </c>
      <c r="T205" s="7">
        <v>0.89</v>
      </c>
    </row>
    <row r="206" spans="1:20" x14ac:dyDescent="0.35">
      <c r="A206" s="5" t="s">
        <v>615</v>
      </c>
      <c r="B206" s="3" t="s">
        <v>32</v>
      </c>
      <c r="C206" s="3" t="s">
        <v>882</v>
      </c>
      <c r="D206" s="3" t="s">
        <v>883</v>
      </c>
      <c r="E206" s="3" t="s">
        <v>28</v>
      </c>
      <c r="F206" s="3" t="s">
        <v>884</v>
      </c>
      <c r="G206" s="3" t="s">
        <v>885</v>
      </c>
      <c r="H206" s="43">
        <v>45543</v>
      </c>
      <c r="I206" s="43">
        <v>45349</v>
      </c>
      <c r="J206" s="47" t="str">
        <f>IF(GroDB3[[#This Row],[Last_Order_Date]]&lt;=GroDB3[[#This Row],[Date_Received]], "Yes", "No")</f>
        <v>Yes</v>
      </c>
      <c r="K206" s="43">
        <f>IF(GroDB3[[#This Row],[Column1]]="No",GroDB3[[#This Row],[Last_Order_Date]],GroDB3[[#This Row],[Date_Received]])</f>
        <v>45543</v>
      </c>
      <c r="L206" s="43">
        <f>IF(GroDB3[[#This Row],[Column1]]="No",GroDB3[[#This Row],[Date_Received]],GroDB3[[#This Row],[Last_Order_Date]])</f>
        <v>45349</v>
      </c>
      <c r="M206" s="43">
        <v>45351</v>
      </c>
      <c r="N206" s="3">
        <v>70</v>
      </c>
      <c r="O206" s="3">
        <v>81</v>
      </c>
      <c r="P206" s="3">
        <v>75</v>
      </c>
      <c r="Q206" s="4">
        <v>2</v>
      </c>
      <c r="R206" s="3">
        <v>24</v>
      </c>
      <c r="S206" s="3">
        <v>54</v>
      </c>
      <c r="T206" s="7">
        <v>0.52</v>
      </c>
    </row>
    <row r="207" spans="1:20" x14ac:dyDescent="0.35">
      <c r="A207" s="5" t="s">
        <v>175</v>
      </c>
      <c r="B207" s="3" t="s">
        <v>53</v>
      </c>
      <c r="C207" s="3" t="s">
        <v>886</v>
      </c>
      <c r="D207" s="3" t="s">
        <v>887</v>
      </c>
      <c r="E207" s="3" t="s">
        <v>21</v>
      </c>
      <c r="F207" s="3" t="s">
        <v>888</v>
      </c>
      <c r="G207" s="3" t="s">
        <v>889</v>
      </c>
      <c r="H207" s="43">
        <v>45573</v>
      </c>
      <c r="I207" s="43">
        <v>45606</v>
      </c>
      <c r="J207" s="47" t="str">
        <f>IF(GroDB3[[#This Row],[Last_Order_Date]]&lt;=GroDB3[[#This Row],[Date_Received]], "Yes", "No")</f>
        <v>No</v>
      </c>
      <c r="K207" s="43">
        <f>IF(GroDB3[[#This Row],[Column1]]="No",GroDB3[[#This Row],[Last_Order_Date]],GroDB3[[#This Row],[Date_Received]])</f>
        <v>45606</v>
      </c>
      <c r="L207" s="43">
        <f>IF(GroDB3[[#This Row],[Column1]]="No",GroDB3[[#This Row],[Date_Received]],GroDB3[[#This Row],[Last_Order_Date]])</f>
        <v>45573</v>
      </c>
      <c r="M207" s="43">
        <v>45710</v>
      </c>
      <c r="N207" s="3">
        <v>21</v>
      </c>
      <c r="O207" s="3">
        <v>63</v>
      </c>
      <c r="P207" s="3">
        <v>65</v>
      </c>
      <c r="Q207" s="4">
        <v>1.5</v>
      </c>
      <c r="R207" s="3">
        <v>38</v>
      </c>
      <c r="S207" s="3">
        <v>73</v>
      </c>
      <c r="T207" s="7">
        <v>-1.25</v>
      </c>
    </row>
    <row r="208" spans="1:20" x14ac:dyDescent="0.35">
      <c r="A208" s="5" t="s">
        <v>101</v>
      </c>
      <c r="B208" s="3" t="s">
        <v>18</v>
      </c>
      <c r="C208" s="3" t="s">
        <v>763</v>
      </c>
      <c r="D208" s="3" t="s">
        <v>890</v>
      </c>
      <c r="E208" s="3" t="s">
        <v>56</v>
      </c>
      <c r="F208" s="3" t="s">
        <v>891</v>
      </c>
      <c r="G208" s="3" t="s">
        <v>892</v>
      </c>
      <c r="H208" s="43">
        <v>45573</v>
      </c>
      <c r="I208" s="43">
        <v>45348</v>
      </c>
      <c r="J208" s="47" t="str">
        <f>IF(GroDB3[[#This Row],[Last_Order_Date]]&lt;=GroDB3[[#This Row],[Date_Received]], "Yes", "No")</f>
        <v>Yes</v>
      </c>
      <c r="K208" s="43">
        <f>IF(GroDB3[[#This Row],[Column1]]="No",GroDB3[[#This Row],[Last_Order_Date]],GroDB3[[#This Row],[Date_Received]])</f>
        <v>45573</v>
      </c>
      <c r="L208" s="43">
        <f>IF(GroDB3[[#This Row],[Column1]]="No",GroDB3[[#This Row],[Date_Received]],GroDB3[[#This Row],[Last_Order_Date]])</f>
        <v>45348</v>
      </c>
      <c r="M208" s="43">
        <v>45676</v>
      </c>
      <c r="N208" s="3">
        <v>61</v>
      </c>
      <c r="O208" s="3">
        <v>50</v>
      </c>
      <c r="P208" s="3">
        <v>9</v>
      </c>
      <c r="Q208" s="4">
        <v>4.5</v>
      </c>
      <c r="R208" s="3">
        <v>24</v>
      </c>
      <c r="S208" s="3">
        <v>92</v>
      </c>
      <c r="T208" s="7">
        <v>-0.92</v>
      </c>
    </row>
    <row r="209" spans="1:20" x14ac:dyDescent="0.35">
      <c r="A209" s="5" t="s">
        <v>490</v>
      </c>
      <c r="B209" s="3" t="s">
        <v>18</v>
      </c>
      <c r="C209" s="3" t="s">
        <v>893</v>
      </c>
      <c r="D209" s="3" t="s">
        <v>894</v>
      </c>
      <c r="E209" s="3" t="s">
        <v>28</v>
      </c>
      <c r="F209" s="3" t="s">
        <v>895</v>
      </c>
      <c r="G209" s="3" t="s">
        <v>896</v>
      </c>
      <c r="H209" s="43">
        <v>45573</v>
      </c>
      <c r="I209" s="43">
        <v>45634</v>
      </c>
      <c r="J209" s="47" t="str">
        <f>IF(GroDB3[[#This Row],[Last_Order_Date]]&lt;=GroDB3[[#This Row],[Date_Received]], "Yes", "No")</f>
        <v>No</v>
      </c>
      <c r="K209" s="43">
        <f>IF(GroDB3[[#This Row],[Column1]]="No",GroDB3[[#This Row],[Last_Order_Date]],GroDB3[[#This Row],[Date_Received]])</f>
        <v>45634</v>
      </c>
      <c r="L209" s="43">
        <f>IF(GroDB3[[#This Row],[Column1]]="No",GroDB3[[#This Row],[Date_Received]],GroDB3[[#This Row],[Last_Order_Date]])</f>
        <v>45573</v>
      </c>
      <c r="M209" s="43">
        <v>45383</v>
      </c>
      <c r="N209" s="3">
        <v>46</v>
      </c>
      <c r="O209" s="3">
        <v>88</v>
      </c>
      <c r="P209" s="3">
        <v>20</v>
      </c>
      <c r="Q209" s="4">
        <v>4.8</v>
      </c>
      <c r="R209" s="3">
        <v>59</v>
      </c>
      <c r="S209" s="3">
        <v>79</v>
      </c>
      <c r="T209" s="7">
        <v>-2.83</v>
      </c>
    </row>
    <row r="210" spans="1:20" x14ac:dyDescent="0.35">
      <c r="A210" s="5" t="s">
        <v>146</v>
      </c>
      <c r="B210" s="3" t="s">
        <v>53</v>
      </c>
      <c r="C210" s="3" t="s">
        <v>527</v>
      </c>
      <c r="D210" s="3" t="s">
        <v>897</v>
      </c>
      <c r="E210" s="3" t="s">
        <v>21</v>
      </c>
      <c r="F210" s="3" t="s">
        <v>898</v>
      </c>
      <c r="G210" s="3" t="s">
        <v>899</v>
      </c>
      <c r="H210" s="43">
        <v>45573</v>
      </c>
      <c r="I210" s="43">
        <v>45475</v>
      </c>
      <c r="J210" s="47" t="str">
        <f>IF(GroDB3[[#This Row],[Last_Order_Date]]&lt;=GroDB3[[#This Row],[Date_Received]], "Yes", "No")</f>
        <v>Yes</v>
      </c>
      <c r="K210" s="43">
        <f>IF(GroDB3[[#This Row],[Column1]]="No",GroDB3[[#This Row],[Last_Order_Date]],GroDB3[[#This Row],[Date_Received]])</f>
        <v>45573</v>
      </c>
      <c r="L210" s="43">
        <f>IF(GroDB3[[#This Row],[Column1]]="No",GroDB3[[#This Row],[Date_Received]],GroDB3[[#This Row],[Last_Order_Date]])</f>
        <v>45475</v>
      </c>
      <c r="M210" s="43">
        <v>45560</v>
      </c>
      <c r="N210" s="3">
        <v>20</v>
      </c>
      <c r="O210" s="3">
        <v>25</v>
      </c>
      <c r="P210" s="3">
        <v>73</v>
      </c>
      <c r="Q210" s="4">
        <v>4.75</v>
      </c>
      <c r="R210" s="3">
        <v>78</v>
      </c>
      <c r="S210" s="3">
        <v>1</v>
      </c>
      <c r="T210" s="7">
        <v>-0.34</v>
      </c>
    </row>
    <row r="211" spans="1:20" x14ac:dyDescent="0.35">
      <c r="A211" s="5" t="s">
        <v>132</v>
      </c>
      <c r="B211" s="3" t="s">
        <v>18</v>
      </c>
      <c r="C211" s="3" t="s">
        <v>900</v>
      </c>
      <c r="D211" s="3" t="s">
        <v>901</v>
      </c>
      <c r="E211" s="3" t="s">
        <v>56</v>
      </c>
      <c r="F211" s="3" t="s">
        <v>902</v>
      </c>
      <c r="G211" s="3" t="s">
        <v>903</v>
      </c>
      <c r="H211" s="43">
        <v>45573</v>
      </c>
      <c r="I211" s="43">
        <v>45458</v>
      </c>
      <c r="J211" s="47" t="str">
        <f>IF(GroDB3[[#This Row],[Last_Order_Date]]&lt;=GroDB3[[#This Row],[Date_Received]], "Yes", "No")</f>
        <v>Yes</v>
      </c>
      <c r="K211" s="43">
        <f>IF(GroDB3[[#This Row],[Column1]]="No",GroDB3[[#This Row],[Last_Order_Date]],GroDB3[[#This Row],[Date_Received]])</f>
        <v>45573</v>
      </c>
      <c r="L211" s="43">
        <f>IF(GroDB3[[#This Row],[Column1]]="No",GroDB3[[#This Row],[Date_Received]],GroDB3[[#This Row],[Last_Order_Date]])</f>
        <v>45458</v>
      </c>
      <c r="M211" s="43">
        <v>45521</v>
      </c>
      <c r="N211" s="3">
        <v>80</v>
      </c>
      <c r="O211" s="3">
        <v>60</v>
      </c>
      <c r="P211" s="3">
        <v>71</v>
      </c>
      <c r="Q211" s="4">
        <v>2</v>
      </c>
      <c r="R211" s="3">
        <v>98</v>
      </c>
      <c r="S211" s="3">
        <v>13</v>
      </c>
      <c r="T211" s="7">
        <v>0.99</v>
      </c>
    </row>
    <row r="212" spans="1:20" x14ac:dyDescent="0.35">
      <c r="A212" s="5" t="s">
        <v>380</v>
      </c>
      <c r="B212" s="3" t="s">
        <v>32</v>
      </c>
      <c r="C212" s="3" t="s">
        <v>904</v>
      </c>
      <c r="D212" s="3" t="s">
        <v>905</v>
      </c>
      <c r="E212" s="3" t="s">
        <v>28</v>
      </c>
      <c r="F212" s="3" t="s">
        <v>906</v>
      </c>
      <c r="G212" s="3" t="s">
        <v>907</v>
      </c>
      <c r="H212" s="43">
        <v>45604</v>
      </c>
      <c r="I212" s="43">
        <v>45381</v>
      </c>
      <c r="J212" s="47" t="str">
        <f>IF(GroDB3[[#This Row],[Last_Order_Date]]&lt;=GroDB3[[#This Row],[Date_Received]], "Yes", "No")</f>
        <v>Yes</v>
      </c>
      <c r="K212" s="43">
        <f>IF(GroDB3[[#This Row],[Column1]]="No",GroDB3[[#This Row],[Last_Order_Date]],GroDB3[[#This Row],[Date_Received]])</f>
        <v>45604</v>
      </c>
      <c r="L212" s="43">
        <f>IF(GroDB3[[#This Row],[Column1]]="No",GroDB3[[#This Row],[Date_Received]],GroDB3[[#This Row],[Last_Order_Date]])</f>
        <v>45381</v>
      </c>
      <c r="M212" s="43">
        <v>45542</v>
      </c>
      <c r="N212" s="3">
        <v>29</v>
      </c>
      <c r="O212" s="3">
        <v>36</v>
      </c>
      <c r="P212" s="3">
        <v>40</v>
      </c>
      <c r="Q212" s="4">
        <v>4</v>
      </c>
      <c r="R212" s="3">
        <v>60</v>
      </c>
      <c r="S212" s="3">
        <v>96</v>
      </c>
      <c r="T212" s="7">
        <v>0.87</v>
      </c>
    </row>
    <row r="213" spans="1:20" x14ac:dyDescent="0.35">
      <c r="A213" s="5" t="s">
        <v>812</v>
      </c>
      <c r="B213" s="3" t="s">
        <v>18</v>
      </c>
      <c r="C213" s="3" t="s">
        <v>908</v>
      </c>
      <c r="D213" s="3" t="s">
        <v>909</v>
      </c>
      <c r="E213" s="3" t="s">
        <v>21</v>
      </c>
      <c r="F213" s="3" t="s">
        <v>910</v>
      </c>
      <c r="G213" s="3" t="s">
        <v>911</v>
      </c>
      <c r="H213" s="43">
        <v>45604</v>
      </c>
      <c r="I213" s="43">
        <v>45639</v>
      </c>
      <c r="J213" s="47" t="str">
        <f>IF(GroDB3[[#This Row],[Last_Order_Date]]&lt;=GroDB3[[#This Row],[Date_Received]], "Yes", "No")</f>
        <v>No</v>
      </c>
      <c r="K213" s="43">
        <f>IF(GroDB3[[#This Row],[Column1]]="No",GroDB3[[#This Row],[Last_Order_Date]],GroDB3[[#This Row],[Date_Received]])</f>
        <v>45639</v>
      </c>
      <c r="L213" s="43">
        <f>IF(GroDB3[[#This Row],[Column1]]="No",GroDB3[[#This Row],[Date_Received]],GroDB3[[#This Row],[Last_Order_Date]])</f>
        <v>45604</v>
      </c>
      <c r="M213" s="43">
        <v>45669</v>
      </c>
      <c r="N213" s="3">
        <v>43</v>
      </c>
      <c r="O213" s="3">
        <v>63</v>
      </c>
      <c r="P213" s="3">
        <v>99</v>
      </c>
      <c r="Q213" s="4">
        <v>3.5</v>
      </c>
      <c r="R213" s="3">
        <v>39</v>
      </c>
      <c r="S213" s="3">
        <v>77</v>
      </c>
      <c r="T213" s="7">
        <v>-0.6</v>
      </c>
    </row>
    <row r="214" spans="1:20" x14ac:dyDescent="0.35">
      <c r="A214" s="5" t="s">
        <v>397</v>
      </c>
      <c r="B214" s="3" t="s">
        <v>25</v>
      </c>
      <c r="C214" s="3" t="s">
        <v>912</v>
      </c>
      <c r="D214" s="3" t="s">
        <v>913</v>
      </c>
      <c r="E214" s="3" t="s">
        <v>21</v>
      </c>
      <c r="F214" s="3" t="s">
        <v>914</v>
      </c>
      <c r="G214" s="3" t="s">
        <v>915</v>
      </c>
      <c r="H214" s="43">
        <v>45604</v>
      </c>
      <c r="I214" s="43">
        <v>45596</v>
      </c>
      <c r="J214" s="47" t="str">
        <f>IF(GroDB3[[#This Row],[Last_Order_Date]]&lt;=GroDB3[[#This Row],[Date_Received]], "Yes", "No")</f>
        <v>Yes</v>
      </c>
      <c r="K214" s="43">
        <f>IF(GroDB3[[#This Row],[Column1]]="No",GroDB3[[#This Row],[Last_Order_Date]],GroDB3[[#This Row],[Date_Received]])</f>
        <v>45604</v>
      </c>
      <c r="L214" s="43">
        <f>IF(GroDB3[[#This Row],[Column1]]="No",GroDB3[[#This Row],[Date_Received]],GroDB3[[#This Row],[Last_Order_Date]])</f>
        <v>45596</v>
      </c>
      <c r="M214" s="43">
        <v>45385</v>
      </c>
      <c r="N214" s="3">
        <v>23</v>
      </c>
      <c r="O214" s="3">
        <v>43</v>
      </c>
      <c r="P214" s="3">
        <v>75</v>
      </c>
      <c r="Q214" s="4">
        <v>2.5</v>
      </c>
      <c r="R214" s="3">
        <v>91</v>
      </c>
      <c r="S214" s="3">
        <v>86</v>
      </c>
      <c r="T214" s="7">
        <v>-0.97</v>
      </c>
    </row>
    <row r="215" spans="1:20" x14ac:dyDescent="0.35">
      <c r="A215" s="5" t="s">
        <v>531</v>
      </c>
      <c r="B215" s="3" t="s">
        <v>53</v>
      </c>
      <c r="C215" s="3" t="s">
        <v>518</v>
      </c>
      <c r="D215" s="3" t="s">
        <v>916</v>
      </c>
      <c r="E215" s="3" t="s">
        <v>56</v>
      </c>
      <c r="F215" s="3" t="s">
        <v>917</v>
      </c>
      <c r="G215" s="3" t="s">
        <v>918</v>
      </c>
      <c r="H215" s="43">
        <v>45634</v>
      </c>
      <c r="I215" s="43">
        <v>45707</v>
      </c>
      <c r="J215" s="47" t="str">
        <f>IF(GroDB3[[#This Row],[Last_Order_Date]]&lt;=GroDB3[[#This Row],[Date_Received]], "Yes", "No")</f>
        <v>No</v>
      </c>
      <c r="K215" s="43">
        <f>IF(GroDB3[[#This Row],[Column1]]="No",GroDB3[[#This Row],[Last_Order_Date]],GroDB3[[#This Row],[Date_Received]])</f>
        <v>45707</v>
      </c>
      <c r="L215" s="43">
        <f>IF(GroDB3[[#This Row],[Column1]]="No",GroDB3[[#This Row],[Date_Received]],GroDB3[[#This Row],[Last_Order_Date]])</f>
        <v>45634</v>
      </c>
      <c r="M215" s="43">
        <v>45399</v>
      </c>
      <c r="N215" s="3">
        <v>12</v>
      </c>
      <c r="O215" s="3">
        <v>59</v>
      </c>
      <c r="P215" s="3">
        <v>62</v>
      </c>
      <c r="Q215" s="4">
        <v>1.5</v>
      </c>
      <c r="R215" s="3">
        <v>95</v>
      </c>
      <c r="S215" s="3">
        <v>99</v>
      </c>
      <c r="T215" s="7">
        <v>0.05</v>
      </c>
    </row>
    <row r="216" spans="1:20" x14ac:dyDescent="0.35">
      <c r="A216" s="5" t="s">
        <v>517</v>
      </c>
      <c r="B216" s="3" t="s">
        <v>127</v>
      </c>
      <c r="C216" s="3" t="s">
        <v>231</v>
      </c>
      <c r="D216" s="3" t="s">
        <v>919</v>
      </c>
      <c r="E216" s="3" t="s">
        <v>56</v>
      </c>
      <c r="F216" s="3" t="s">
        <v>920</v>
      </c>
      <c r="G216" s="3" t="s">
        <v>921</v>
      </c>
      <c r="H216" s="43">
        <v>45634</v>
      </c>
      <c r="I216" s="43">
        <v>45351</v>
      </c>
      <c r="J216" s="47" t="str">
        <f>IF(GroDB3[[#This Row],[Last_Order_Date]]&lt;=GroDB3[[#This Row],[Date_Received]], "Yes", "No")</f>
        <v>Yes</v>
      </c>
      <c r="K216" s="43">
        <f>IF(GroDB3[[#This Row],[Column1]]="No",GroDB3[[#This Row],[Last_Order_Date]],GroDB3[[#This Row],[Date_Received]])</f>
        <v>45634</v>
      </c>
      <c r="L216" s="43">
        <f>IF(GroDB3[[#This Row],[Column1]]="No",GroDB3[[#This Row],[Date_Received]],GroDB3[[#This Row],[Last_Order_Date]])</f>
        <v>45351</v>
      </c>
      <c r="M216" s="43">
        <v>45368</v>
      </c>
      <c r="N216" s="3">
        <v>99</v>
      </c>
      <c r="O216" s="3">
        <v>87</v>
      </c>
      <c r="P216" s="3">
        <v>10</v>
      </c>
      <c r="Q216" s="4">
        <v>25</v>
      </c>
      <c r="R216" s="3">
        <v>93</v>
      </c>
      <c r="S216" s="3">
        <v>70</v>
      </c>
      <c r="T216" s="7">
        <v>-0.04</v>
      </c>
    </row>
    <row r="217" spans="1:20" x14ac:dyDescent="0.35">
      <c r="A217" s="5" t="s">
        <v>392</v>
      </c>
      <c r="B217" s="3" t="s">
        <v>18</v>
      </c>
      <c r="C217" s="3" t="s">
        <v>922</v>
      </c>
      <c r="D217" s="3" t="s">
        <v>923</v>
      </c>
      <c r="E217" s="3" t="s">
        <v>28</v>
      </c>
      <c r="F217" s="3" t="s">
        <v>924</v>
      </c>
      <c r="G217" s="3" t="s">
        <v>925</v>
      </c>
      <c r="H217" s="43">
        <v>45634</v>
      </c>
      <c r="I217" s="43">
        <v>45669</v>
      </c>
      <c r="J217" s="47" t="str">
        <f>IF(GroDB3[[#This Row],[Last_Order_Date]]&lt;=GroDB3[[#This Row],[Date_Received]], "Yes", "No")</f>
        <v>No</v>
      </c>
      <c r="K217" s="43">
        <f>IF(GroDB3[[#This Row],[Column1]]="No",GroDB3[[#This Row],[Last_Order_Date]],GroDB3[[#This Row],[Date_Received]])</f>
        <v>45669</v>
      </c>
      <c r="L217" s="43">
        <f>IF(GroDB3[[#This Row],[Column1]]="No",GroDB3[[#This Row],[Date_Received]],GroDB3[[#This Row],[Last_Order_Date]])</f>
        <v>45634</v>
      </c>
      <c r="M217" s="43">
        <v>45402</v>
      </c>
      <c r="N217" s="3">
        <v>37</v>
      </c>
      <c r="O217" s="3">
        <v>45</v>
      </c>
      <c r="P217" s="3">
        <v>62</v>
      </c>
      <c r="Q217" s="4">
        <v>5.5</v>
      </c>
      <c r="R217" s="3">
        <v>34</v>
      </c>
      <c r="S217" s="3">
        <v>23</v>
      </c>
      <c r="T217" s="7">
        <v>0.25</v>
      </c>
    </row>
    <row r="218" spans="1:20" x14ac:dyDescent="0.35">
      <c r="A218" s="5" t="s">
        <v>717</v>
      </c>
      <c r="B218" s="3" t="s">
        <v>53</v>
      </c>
      <c r="C218" s="3" t="s">
        <v>926</v>
      </c>
      <c r="D218" s="3" t="s">
        <v>927</v>
      </c>
      <c r="E218" s="3" t="s">
        <v>28</v>
      </c>
      <c r="F218" s="3" t="s">
        <v>928</v>
      </c>
      <c r="G218" s="3" t="s">
        <v>929</v>
      </c>
      <c r="H218" s="43">
        <v>45634</v>
      </c>
      <c r="I218" s="43">
        <v>45547</v>
      </c>
      <c r="J218" s="47" t="str">
        <f>IF(GroDB3[[#This Row],[Last_Order_Date]]&lt;=GroDB3[[#This Row],[Date_Received]], "Yes", "No")</f>
        <v>Yes</v>
      </c>
      <c r="K218" s="43">
        <f>IF(GroDB3[[#This Row],[Column1]]="No",GroDB3[[#This Row],[Last_Order_Date]],GroDB3[[#This Row],[Date_Received]])</f>
        <v>45634</v>
      </c>
      <c r="L218" s="43">
        <f>IF(GroDB3[[#This Row],[Column1]]="No",GroDB3[[#This Row],[Date_Received]],GroDB3[[#This Row],[Last_Order_Date]])</f>
        <v>45547</v>
      </c>
      <c r="M218" s="43">
        <v>45386</v>
      </c>
      <c r="N218" s="3">
        <v>26</v>
      </c>
      <c r="O218" s="3">
        <v>67</v>
      </c>
      <c r="P218" s="3">
        <v>46</v>
      </c>
      <c r="Q218" s="4">
        <v>4.4000000000000004</v>
      </c>
      <c r="R218" s="3">
        <v>54</v>
      </c>
      <c r="S218" s="3">
        <v>46</v>
      </c>
      <c r="T218" s="7">
        <v>0.32</v>
      </c>
    </row>
    <row r="219" spans="1:20" x14ac:dyDescent="0.35">
      <c r="A219" s="5" t="s">
        <v>582</v>
      </c>
      <c r="B219" s="3" t="s">
        <v>32</v>
      </c>
      <c r="C219" s="3" t="s">
        <v>458</v>
      </c>
      <c r="D219" s="3" t="s">
        <v>930</v>
      </c>
      <c r="E219" s="3" t="s">
        <v>56</v>
      </c>
      <c r="F219" s="3" t="s">
        <v>931</v>
      </c>
      <c r="G219" s="3" t="s">
        <v>932</v>
      </c>
      <c r="H219" s="43">
        <v>45634</v>
      </c>
      <c r="I219" s="43">
        <v>45358</v>
      </c>
      <c r="J219" s="47" t="str">
        <f>IF(GroDB3[[#This Row],[Last_Order_Date]]&lt;=GroDB3[[#This Row],[Date_Received]], "Yes", "No")</f>
        <v>Yes</v>
      </c>
      <c r="K219" s="43">
        <f>IF(GroDB3[[#This Row],[Column1]]="No",GroDB3[[#This Row],[Last_Order_Date]],GroDB3[[#This Row],[Date_Received]])</f>
        <v>45634</v>
      </c>
      <c r="L219" s="43">
        <f>IF(GroDB3[[#This Row],[Column1]]="No",GroDB3[[#This Row],[Date_Received]],GroDB3[[#This Row],[Last_Order_Date]])</f>
        <v>45358</v>
      </c>
      <c r="M219" s="43">
        <v>45555</v>
      </c>
      <c r="N219" s="3">
        <v>94</v>
      </c>
      <c r="O219" s="3">
        <v>60</v>
      </c>
      <c r="P219" s="3">
        <v>78</v>
      </c>
      <c r="Q219" s="4">
        <v>0.8</v>
      </c>
      <c r="R219" s="3">
        <v>100</v>
      </c>
      <c r="S219" s="3">
        <v>42</v>
      </c>
      <c r="T219" s="7">
        <v>0.15</v>
      </c>
    </row>
    <row r="220" spans="1:20" x14ac:dyDescent="0.35">
      <c r="A220" s="5" t="s">
        <v>549</v>
      </c>
      <c r="B220" s="3" t="s">
        <v>32</v>
      </c>
      <c r="C220" s="3" t="s">
        <v>933</v>
      </c>
      <c r="D220" s="3" t="s">
        <v>934</v>
      </c>
      <c r="E220" s="3" t="s">
        <v>28</v>
      </c>
      <c r="F220" s="3" t="s">
        <v>935</v>
      </c>
      <c r="G220" s="3" t="s">
        <v>936</v>
      </c>
      <c r="H220" s="43">
        <v>45360</v>
      </c>
      <c r="I220" s="43">
        <v>45534</v>
      </c>
      <c r="J220" s="47" t="str">
        <f>IF(GroDB3[[#This Row],[Last_Order_Date]]&lt;=GroDB3[[#This Row],[Date_Received]], "Yes", "No")</f>
        <v>No</v>
      </c>
      <c r="K220" s="43">
        <f>IF(GroDB3[[#This Row],[Column1]]="No",GroDB3[[#This Row],[Last_Order_Date]],GroDB3[[#This Row],[Date_Received]])</f>
        <v>45534</v>
      </c>
      <c r="L220" s="43">
        <f>IF(GroDB3[[#This Row],[Column1]]="No",GroDB3[[#This Row],[Date_Received]],GroDB3[[#This Row],[Last_Order_Date]])</f>
        <v>45360</v>
      </c>
      <c r="M220" s="43">
        <v>45465</v>
      </c>
      <c r="N220" s="3">
        <v>43</v>
      </c>
      <c r="O220" s="3">
        <v>78</v>
      </c>
      <c r="P220" s="3">
        <v>85</v>
      </c>
      <c r="Q220" s="4">
        <v>2.5</v>
      </c>
      <c r="R220" s="3">
        <v>48</v>
      </c>
      <c r="S220" s="3">
        <v>98</v>
      </c>
      <c r="T220" s="7">
        <v>0.57999999999999996</v>
      </c>
    </row>
    <row r="221" spans="1:20" x14ac:dyDescent="0.35">
      <c r="A221" s="5" t="s">
        <v>90</v>
      </c>
      <c r="B221" s="3" t="s">
        <v>91</v>
      </c>
      <c r="C221" s="3" t="s">
        <v>19</v>
      </c>
      <c r="D221" s="3" t="s">
        <v>937</v>
      </c>
      <c r="E221" s="3" t="s">
        <v>21</v>
      </c>
      <c r="F221" s="3" t="s">
        <v>938</v>
      </c>
      <c r="G221" s="3" t="s">
        <v>939</v>
      </c>
      <c r="H221" s="43">
        <v>45360</v>
      </c>
      <c r="I221" s="43">
        <v>45620</v>
      </c>
      <c r="J221" s="47" t="str">
        <f>IF(GroDB3[[#This Row],[Last_Order_Date]]&lt;=GroDB3[[#This Row],[Date_Received]], "Yes", "No")</f>
        <v>No</v>
      </c>
      <c r="K221" s="43">
        <f>IF(GroDB3[[#This Row],[Column1]]="No",GroDB3[[#This Row],[Last_Order_Date]],GroDB3[[#This Row],[Date_Received]])</f>
        <v>45620</v>
      </c>
      <c r="L221" s="43">
        <f>IF(GroDB3[[#This Row],[Column1]]="No",GroDB3[[#This Row],[Date_Received]],GroDB3[[#This Row],[Last_Order_Date]])</f>
        <v>45360</v>
      </c>
      <c r="M221" s="43">
        <v>45701</v>
      </c>
      <c r="N221" s="3">
        <v>34</v>
      </c>
      <c r="O221" s="3">
        <v>49</v>
      </c>
      <c r="P221" s="3">
        <v>27</v>
      </c>
      <c r="Q221" s="4">
        <v>4</v>
      </c>
      <c r="R221" s="3">
        <v>78</v>
      </c>
      <c r="S221" s="3">
        <v>20</v>
      </c>
      <c r="T221" s="7">
        <v>-1.04</v>
      </c>
    </row>
    <row r="222" spans="1:20" x14ac:dyDescent="0.35">
      <c r="A222" s="5" t="s">
        <v>355</v>
      </c>
      <c r="B222" s="3" t="s">
        <v>18</v>
      </c>
      <c r="C222" s="3" t="s">
        <v>482</v>
      </c>
      <c r="D222" s="3" t="s">
        <v>940</v>
      </c>
      <c r="E222" s="3" t="s">
        <v>56</v>
      </c>
      <c r="F222" s="3" t="s">
        <v>941</v>
      </c>
      <c r="G222" s="3" t="s">
        <v>942</v>
      </c>
      <c r="H222" s="43">
        <v>45391</v>
      </c>
      <c r="I222" s="43">
        <v>45357</v>
      </c>
      <c r="J222" s="47" t="str">
        <f>IF(GroDB3[[#This Row],[Last_Order_Date]]&lt;=GroDB3[[#This Row],[Date_Received]], "Yes", "No")</f>
        <v>Yes</v>
      </c>
      <c r="K222" s="43">
        <f>IF(GroDB3[[#This Row],[Column1]]="No",GroDB3[[#This Row],[Last_Order_Date]],GroDB3[[#This Row],[Date_Received]])</f>
        <v>45391</v>
      </c>
      <c r="L222" s="43">
        <f>IF(GroDB3[[#This Row],[Column1]]="No",GroDB3[[#This Row],[Date_Received]],GroDB3[[#This Row],[Last_Order_Date]])</f>
        <v>45357</v>
      </c>
      <c r="M222" s="43">
        <v>45516</v>
      </c>
      <c r="N222" s="3">
        <v>88</v>
      </c>
      <c r="O222" s="3">
        <v>46</v>
      </c>
      <c r="P222" s="3">
        <v>55</v>
      </c>
      <c r="Q222" s="4">
        <v>1</v>
      </c>
      <c r="R222" s="3">
        <v>73</v>
      </c>
      <c r="S222" s="3">
        <v>63</v>
      </c>
      <c r="T222" s="7">
        <v>0.74</v>
      </c>
    </row>
    <row r="223" spans="1:20" x14ac:dyDescent="0.35">
      <c r="A223" s="5" t="s">
        <v>320</v>
      </c>
      <c r="B223" s="3" t="s">
        <v>18</v>
      </c>
      <c r="C223" s="3" t="s">
        <v>943</v>
      </c>
      <c r="D223" s="3" t="s">
        <v>944</v>
      </c>
      <c r="E223" s="3" t="s">
        <v>21</v>
      </c>
      <c r="F223" s="3" t="s">
        <v>945</v>
      </c>
      <c r="G223" s="3" t="s">
        <v>946</v>
      </c>
      <c r="H223" s="43">
        <v>45391</v>
      </c>
      <c r="I223" s="43">
        <v>45451</v>
      </c>
      <c r="J223" s="47" t="str">
        <f>IF(GroDB3[[#This Row],[Last_Order_Date]]&lt;=GroDB3[[#This Row],[Date_Received]], "Yes", "No")</f>
        <v>No</v>
      </c>
      <c r="K223" s="43">
        <f>IF(GroDB3[[#This Row],[Column1]]="No",GroDB3[[#This Row],[Last_Order_Date]],GroDB3[[#This Row],[Date_Received]])</f>
        <v>45451</v>
      </c>
      <c r="L223" s="43">
        <f>IF(GroDB3[[#This Row],[Column1]]="No",GroDB3[[#This Row],[Date_Received]],GroDB3[[#This Row],[Last_Order_Date]])</f>
        <v>45391</v>
      </c>
      <c r="M223" s="43">
        <v>45629</v>
      </c>
      <c r="N223" s="3">
        <v>22</v>
      </c>
      <c r="O223" s="3">
        <v>56</v>
      </c>
      <c r="P223" s="3">
        <v>72</v>
      </c>
      <c r="Q223" s="4">
        <v>4</v>
      </c>
      <c r="R223" s="3">
        <v>70</v>
      </c>
      <c r="S223" s="3">
        <v>39</v>
      </c>
      <c r="T223" s="7">
        <v>0.14000000000000001</v>
      </c>
    </row>
    <row r="224" spans="1:20" x14ac:dyDescent="0.35">
      <c r="A224" s="5" t="s">
        <v>947</v>
      </c>
      <c r="B224" s="3" t="s">
        <v>18</v>
      </c>
      <c r="C224" s="3" t="s">
        <v>948</v>
      </c>
      <c r="D224" s="3" t="s">
        <v>949</v>
      </c>
      <c r="E224" s="3" t="s">
        <v>56</v>
      </c>
      <c r="F224" s="3" t="s">
        <v>950</v>
      </c>
      <c r="G224" s="3" t="s">
        <v>951</v>
      </c>
      <c r="H224" s="43">
        <v>45421</v>
      </c>
      <c r="I224" s="43">
        <v>45351</v>
      </c>
      <c r="J224" s="47" t="str">
        <f>IF(GroDB3[[#This Row],[Last_Order_Date]]&lt;=GroDB3[[#This Row],[Date_Received]], "Yes", "No")</f>
        <v>Yes</v>
      </c>
      <c r="K224" s="43">
        <f>IF(GroDB3[[#This Row],[Column1]]="No",GroDB3[[#This Row],[Last_Order_Date]],GroDB3[[#This Row],[Date_Received]])</f>
        <v>45421</v>
      </c>
      <c r="L224" s="43">
        <f>IF(GroDB3[[#This Row],[Column1]]="No",GroDB3[[#This Row],[Date_Received]],GroDB3[[#This Row],[Last_Order_Date]])</f>
        <v>45351</v>
      </c>
      <c r="M224" s="43">
        <v>45436</v>
      </c>
      <c r="N224" s="3">
        <v>26</v>
      </c>
      <c r="O224" s="3">
        <v>63</v>
      </c>
      <c r="P224" s="3">
        <v>88</v>
      </c>
      <c r="Q224" s="4">
        <v>1.2</v>
      </c>
      <c r="R224" s="3">
        <v>84</v>
      </c>
      <c r="S224" s="3">
        <v>70</v>
      </c>
      <c r="T224" s="7">
        <v>0.44</v>
      </c>
    </row>
    <row r="225" spans="1:20" x14ac:dyDescent="0.35">
      <c r="A225" s="5" t="s">
        <v>674</v>
      </c>
      <c r="B225" s="3" t="s">
        <v>60</v>
      </c>
      <c r="C225" s="3" t="s">
        <v>952</v>
      </c>
      <c r="D225" s="3" t="s">
        <v>953</v>
      </c>
      <c r="E225" s="3" t="s">
        <v>56</v>
      </c>
      <c r="F225" s="3" t="s">
        <v>954</v>
      </c>
      <c r="G225" s="3" t="s">
        <v>955</v>
      </c>
      <c r="H225" s="43">
        <v>45452</v>
      </c>
      <c r="I225" s="43">
        <v>45465</v>
      </c>
      <c r="J225" s="47" t="str">
        <f>IF(GroDB3[[#This Row],[Last_Order_Date]]&lt;=GroDB3[[#This Row],[Date_Received]], "Yes", "No")</f>
        <v>No</v>
      </c>
      <c r="K225" s="43">
        <f>IF(GroDB3[[#This Row],[Column1]]="No",GroDB3[[#This Row],[Last_Order_Date]],GroDB3[[#This Row],[Date_Received]])</f>
        <v>45465</v>
      </c>
      <c r="L225" s="43">
        <f>IF(GroDB3[[#This Row],[Column1]]="No",GroDB3[[#This Row],[Date_Received]],GroDB3[[#This Row],[Last_Order_Date]])</f>
        <v>45452</v>
      </c>
      <c r="M225" s="43">
        <v>45399</v>
      </c>
      <c r="N225" s="3">
        <v>93</v>
      </c>
      <c r="O225" s="3">
        <v>62</v>
      </c>
      <c r="P225" s="3">
        <v>65</v>
      </c>
      <c r="Q225" s="4">
        <v>9</v>
      </c>
      <c r="R225" s="3">
        <v>78</v>
      </c>
      <c r="S225" s="3">
        <v>87</v>
      </c>
      <c r="T225" s="7">
        <v>0.17</v>
      </c>
    </row>
    <row r="226" spans="1:20" x14ac:dyDescent="0.35">
      <c r="A226" s="5" t="s">
        <v>355</v>
      </c>
      <c r="B226" s="3" t="s">
        <v>18</v>
      </c>
      <c r="C226" s="3" t="s">
        <v>138</v>
      </c>
      <c r="D226" s="3" t="s">
        <v>956</v>
      </c>
      <c r="E226" s="3" t="s">
        <v>28</v>
      </c>
      <c r="F226" s="3" t="s">
        <v>957</v>
      </c>
      <c r="G226" s="3" t="s">
        <v>958</v>
      </c>
      <c r="H226" s="43">
        <v>45452</v>
      </c>
      <c r="I226" s="43">
        <v>45456</v>
      </c>
      <c r="J226" s="47" t="str">
        <f>IF(GroDB3[[#This Row],[Last_Order_Date]]&lt;=GroDB3[[#This Row],[Date_Received]], "Yes", "No")</f>
        <v>No</v>
      </c>
      <c r="K226" s="43">
        <f>IF(GroDB3[[#This Row],[Column1]]="No",GroDB3[[#This Row],[Last_Order_Date]],GroDB3[[#This Row],[Date_Received]])</f>
        <v>45456</v>
      </c>
      <c r="L226" s="43">
        <f>IF(GroDB3[[#This Row],[Column1]]="No",GroDB3[[#This Row],[Date_Received]],GroDB3[[#This Row],[Last_Order_Date]])</f>
        <v>45452</v>
      </c>
      <c r="M226" s="43">
        <v>45606</v>
      </c>
      <c r="N226" s="3">
        <v>12</v>
      </c>
      <c r="O226" s="3">
        <v>95</v>
      </c>
      <c r="P226" s="3">
        <v>49</v>
      </c>
      <c r="Q226" s="4">
        <v>1</v>
      </c>
      <c r="R226" s="3">
        <v>25</v>
      </c>
      <c r="S226" s="3">
        <v>23</v>
      </c>
      <c r="T226" s="7">
        <v>-0.12</v>
      </c>
    </row>
    <row r="227" spans="1:20" x14ac:dyDescent="0.35">
      <c r="A227" s="5" t="s">
        <v>615</v>
      </c>
      <c r="B227" s="3" t="s">
        <v>32</v>
      </c>
      <c r="C227" s="3" t="s">
        <v>189</v>
      </c>
      <c r="D227" s="3" t="s">
        <v>959</v>
      </c>
      <c r="E227" s="3" t="s">
        <v>21</v>
      </c>
      <c r="F227" s="3" t="s">
        <v>960</v>
      </c>
      <c r="G227" s="3" t="s">
        <v>961</v>
      </c>
      <c r="H227" s="43">
        <v>45452</v>
      </c>
      <c r="I227" s="43">
        <v>45388</v>
      </c>
      <c r="J227" s="47" t="str">
        <f>IF(GroDB3[[#This Row],[Last_Order_Date]]&lt;=GroDB3[[#This Row],[Date_Received]], "Yes", "No")</f>
        <v>Yes</v>
      </c>
      <c r="K227" s="43">
        <f>IF(GroDB3[[#This Row],[Column1]]="No",GroDB3[[#This Row],[Last_Order_Date]],GroDB3[[#This Row],[Date_Received]])</f>
        <v>45452</v>
      </c>
      <c r="L227" s="43">
        <f>IF(GroDB3[[#This Row],[Column1]]="No",GroDB3[[#This Row],[Date_Received]],GroDB3[[#This Row],[Last_Order_Date]])</f>
        <v>45388</v>
      </c>
      <c r="M227" s="43">
        <v>45392</v>
      </c>
      <c r="N227" s="3">
        <v>23</v>
      </c>
      <c r="O227" s="3">
        <v>99</v>
      </c>
      <c r="P227" s="3">
        <v>97</v>
      </c>
      <c r="Q227" s="4">
        <v>2</v>
      </c>
      <c r="R227" s="3">
        <v>68</v>
      </c>
      <c r="S227" s="3">
        <v>76</v>
      </c>
      <c r="T227" s="7">
        <v>0.08</v>
      </c>
    </row>
    <row r="228" spans="1:20" x14ac:dyDescent="0.35">
      <c r="A228" s="5" t="s">
        <v>225</v>
      </c>
      <c r="B228" s="3" t="s">
        <v>91</v>
      </c>
      <c r="C228" s="3" t="s">
        <v>962</v>
      </c>
      <c r="D228" s="3" t="s">
        <v>963</v>
      </c>
      <c r="E228" s="3" t="s">
        <v>56</v>
      </c>
      <c r="F228" s="3" t="s">
        <v>964</v>
      </c>
      <c r="G228" s="3" t="s">
        <v>965</v>
      </c>
      <c r="H228" s="43">
        <v>45482</v>
      </c>
      <c r="I228" s="43">
        <v>45705</v>
      </c>
      <c r="J228" s="47" t="str">
        <f>IF(GroDB3[[#This Row],[Last_Order_Date]]&lt;=GroDB3[[#This Row],[Date_Received]], "Yes", "No")</f>
        <v>No</v>
      </c>
      <c r="K228" s="43">
        <f>IF(GroDB3[[#This Row],[Column1]]="No",GroDB3[[#This Row],[Last_Order_Date]],GroDB3[[#This Row],[Date_Received]])</f>
        <v>45705</v>
      </c>
      <c r="L228" s="43">
        <f>IF(GroDB3[[#This Row],[Column1]]="No",GroDB3[[#This Row],[Date_Received]],GroDB3[[#This Row],[Last_Order_Date]])</f>
        <v>45482</v>
      </c>
      <c r="M228" s="43">
        <v>45708</v>
      </c>
      <c r="N228" s="3">
        <v>75</v>
      </c>
      <c r="O228" s="3">
        <v>81</v>
      </c>
      <c r="P228" s="3">
        <v>17</v>
      </c>
      <c r="Q228" s="4">
        <v>5</v>
      </c>
      <c r="R228" s="3">
        <v>69</v>
      </c>
      <c r="S228" s="3">
        <v>38</v>
      </c>
      <c r="T228" s="7">
        <v>-0.12</v>
      </c>
    </row>
    <row r="229" spans="1:20" x14ac:dyDescent="0.35">
      <c r="A229" s="5" t="s">
        <v>151</v>
      </c>
      <c r="B229" s="3" t="s">
        <v>91</v>
      </c>
      <c r="C229" s="3" t="s">
        <v>138</v>
      </c>
      <c r="D229" s="3" t="s">
        <v>966</v>
      </c>
      <c r="E229" s="3" t="s">
        <v>28</v>
      </c>
      <c r="F229" s="3" t="s">
        <v>967</v>
      </c>
      <c r="G229" s="3" t="s">
        <v>968</v>
      </c>
      <c r="H229" s="43">
        <v>45482</v>
      </c>
      <c r="I229" s="43">
        <v>45604</v>
      </c>
      <c r="J229" s="47" t="str">
        <f>IF(GroDB3[[#This Row],[Last_Order_Date]]&lt;=GroDB3[[#This Row],[Date_Received]], "Yes", "No")</f>
        <v>No</v>
      </c>
      <c r="K229" s="43">
        <f>IF(GroDB3[[#This Row],[Column1]]="No",GroDB3[[#This Row],[Last_Order_Date]],GroDB3[[#This Row],[Date_Received]])</f>
        <v>45604</v>
      </c>
      <c r="L229" s="43">
        <f>IF(GroDB3[[#This Row],[Column1]]="No",GroDB3[[#This Row],[Date_Received]],GroDB3[[#This Row],[Last_Order_Date]])</f>
        <v>45482</v>
      </c>
      <c r="M229" s="43">
        <v>45485</v>
      </c>
      <c r="N229" s="3">
        <v>22</v>
      </c>
      <c r="O229" s="3">
        <v>60</v>
      </c>
      <c r="P229" s="3">
        <v>73</v>
      </c>
      <c r="Q229" s="4">
        <v>4.2</v>
      </c>
      <c r="R229" s="3">
        <v>62</v>
      </c>
      <c r="S229" s="3">
        <v>3</v>
      </c>
      <c r="T229" s="7">
        <v>0.45</v>
      </c>
    </row>
    <row r="230" spans="1:20" x14ac:dyDescent="0.35">
      <c r="A230" s="5" t="s">
        <v>392</v>
      </c>
      <c r="B230" s="3" t="s">
        <v>18</v>
      </c>
      <c r="C230" s="3" t="s">
        <v>376</v>
      </c>
      <c r="D230" s="3" t="s">
        <v>969</v>
      </c>
      <c r="E230" s="3" t="s">
        <v>28</v>
      </c>
      <c r="F230" s="3" t="s">
        <v>970</v>
      </c>
      <c r="G230" s="3" t="s">
        <v>971</v>
      </c>
      <c r="H230" s="43">
        <v>45482</v>
      </c>
      <c r="I230" s="43">
        <v>45376</v>
      </c>
      <c r="J230" s="47" t="str">
        <f>IF(GroDB3[[#This Row],[Last_Order_Date]]&lt;=GroDB3[[#This Row],[Date_Received]], "Yes", "No")</f>
        <v>Yes</v>
      </c>
      <c r="K230" s="43">
        <f>IF(GroDB3[[#This Row],[Column1]]="No",GroDB3[[#This Row],[Last_Order_Date]],GroDB3[[#This Row],[Date_Received]])</f>
        <v>45482</v>
      </c>
      <c r="L230" s="43">
        <f>IF(GroDB3[[#This Row],[Column1]]="No",GroDB3[[#This Row],[Date_Received]],GroDB3[[#This Row],[Last_Order_Date]])</f>
        <v>45376</v>
      </c>
      <c r="M230" s="43">
        <v>45565</v>
      </c>
      <c r="N230" s="3">
        <v>87</v>
      </c>
      <c r="O230" s="3">
        <v>62</v>
      </c>
      <c r="P230" s="3">
        <v>2</v>
      </c>
      <c r="Q230" s="4">
        <v>5.5</v>
      </c>
      <c r="R230" s="3">
        <v>22</v>
      </c>
      <c r="S230" s="3">
        <v>38</v>
      </c>
      <c r="T230" s="7">
        <v>0.95</v>
      </c>
    </row>
    <row r="231" spans="1:20" x14ac:dyDescent="0.35">
      <c r="A231" s="5" t="s">
        <v>116</v>
      </c>
      <c r="B231" s="3" t="s">
        <v>18</v>
      </c>
      <c r="C231" s="3" t="s">
        <v>972</v>
      </c>
      <c r="D231" s="3" t="s">
        <v>973</v>
      </c>
      <c r="E231" s="3" t="s">
        <v>56</v>
      </c>
      <c r="F231" s="3" t="s">
        <v>974</v>
      </c>
      <c r="G231" s="3" t="s">
        <v>975</v>
      </c>
      <c r="H231" s="43">
        <v>45513</v>
      </c>
      <c r="I231" s="43">
        <v>45578</v>
      </c>
      <c r="J231" s="47" t="str">
        <f>IF(GroDB3[[#This Row],[Last_Order_Date]]&lt;=GroDB3[[#This Row],[Date_Received]], "Yes", "No")</f>
        <v>No</v>
      </c>
      <c r="K231" s="43">
        <f>IF(GroDB3[[#This Row],[Column1]]="No",GroDB3[[#This Row],[Last_Order_Date]],GroDB3[[#This Row],[Date_Received]])</f>
        <v>45578</v>
      </c>
      <c r="L231" s="43">
        <f>IF(GroDB3[[#This Row],[Column1]]="No",GroDB3[[#This Row],[Date_Received]],GroDB3[[#This Row],[Last_Order_Date]])</f>
        <v>45513</v>
      </c>
      <c r="M231" s="43">
        <v>45504</v>
      </c>
      <c r="N231" s="3">
        <v>74</v>
      </c>
      <c r="O231" s="3">
        <v>30</v>
      </c>
      <c r="P231" s="3">
        <v>24</v>
      </c>
      <c r="Q231" s="4">
        <v>3</v>
      </c>
      <c r="R231" s="3">
        <v>82</v>
      </c>
      <c r="S231" s="3">
        <v>12</v>
      </c>
      <c r="T231" s="7">
        <v>-0.73</v>
      </c>
    </row>
    <row r="232" spans="1:20" x14ac:dyDescent="0.35">
      <c r="A232" s="5" t="s">
        <v>976</v>
      </c>
      <c r="B232" s="3" t="s">
        <v>60</v>
      </c>
      <c r="C232" s="3" t="s">
        <v>747</v>
      </c>
      <c r="D232" s="3" t="s">
        <v>977</v>
      </c>
      <c r="E232" s="3" t="s">
        <v>56</v>
      </c>
      <c r="F232" s="3" t="s">
        <v>978</v>
      </c>
      <c r="G232" s="3" t="s">
        <v>979</v>
      </c>
      <c r="H232" s="43">
        <v>45513</v>
      </c>
      <c r="I232" s="43">
        <v>45633</v>
      </c>
      <c r="J232" s="47" t="str">
        <f>IF(GroDB3[[#This Row],[Last_Order_Date]]&lt;=GroDB3[[#This Row],[Date_Received]], "Yes", "No")</f>
        <v>No</v>
      </c>
      <c r="K232" s="43">
        <f>IF(GroDB3[[#This Row],[Column1]]="No",GroDB3[[#This Row],[Last_Order_Date]],GroDB3[[#This Row],[Date_Received]])</f>
        <v>45633</v>
      </c>
      <c r="L232" s="43">
        <f>IF(GroDB3[[#This Row],[Column1]]="No",GroDB3[[#This Row],[Date_Received]],GroDB3[[#This Row],[Last_Order_Date]])</f>
        <v>45513</v>
      </c>
      <c r="M232" s="43">
        <v>45498</v>
      </c>
      <c r="N232" s="3">
        <v>47</v>
      </c>
      <c r="O232" s="3">
        <v>29</v>
      </c>
      <c r="P232" s="3">
        <v>70</v>
      </c>
      <c r="Q232" s="4">
        <v>20</v>
      </c>
      <c r="R232" s="3">
        <v>61</v>
      </c>
      <c r="S232" s="3">
        <v>44</v>
      </c>
      <c r="T232" s="7">
        <v>0.85</v>
      </c>
    </row>
    <row r="233" spans="1:20" x14ac:dyDescent="0.35">
      <c r="A233" s="5" t="s">
        <v>980</v>
      </c>
      <c r="B233" s="3" t="s">
        <v>60</v>
      </c>
      <c r="C233" s="3" t="s">
        <v>692</v>
      </c>
      <c r="D233" s="3" t="s">
        <v>981</v>
      </c>
      <c r="E233" s="3" t="s">
        <v>56</v>
      </c>
      <c r="F233" s="3" t="s">
        <v>982</v>
      </c>
      <c r="G233" s="3" t="s">
        <v>983</v>
      </c>
      <c r="H233" s="43">
        <v>45513</v>
      </c>
      <c r="I233" s="43">
        <v>45655</v>
      </c>
      <c r="J233" s="47" t="str">
        <f>IF(GroDB3[[#This Row],[Last_Order_Date]]&lt;=GroDB3[[#This Row],[Date_Received]], "Yes", "No")</f>
        <v>No</v>
      </c>
      <c r="K233" s="43">
        <f>IF(GroDB3[[#This Row],[Column1]]="No",GroDB3[[#This Row],[Last_Order_Date]],GroDB3[[#This Row],[Date_Received]])</f>
        <v>45655</v>
      </c>
      <c r="L233" s="43">
        <f>IF(GroDB3[[#This Row],[Column1]]="No",GroDB3[[#This Row],[Date_Received]],GroDB3[[#This Row],[Last_Order_Date]])</f>
        <v>45513</v>
      </c>
      <c r="M233" s="43">
        <v>45386</v>
      </c>
      <c r="N233" s="3">
        <v>98</v>
      </c>
      <c r="O233" s="3">
        <v>67</v>
      </c>
      <c r="P233" s="3">
        <v>49</v>
      </c>
      <c r="Q233" s="4">
        <v>15</v>
      </c>
      <c r="R233" s="3">
        <v>21</v>
      </c>
      <c r="S233" s="3">
        <v>61</v>
      </c>
      <c r="T233" s="7">
        <v>0.28000000000000003</v>
      </c>
    </row>
    <row r="234" spans="1:20" x14ac:dyDescent="0.35">
      <c r="A234" s="5" t="s">
        <v>984</v>
      </c>
      <c r="B234" s="3" t="s">
        <v>18</v>
      </c>
      <c r="C234" s="3" t="s">
        <v>985</v>
      </c>
      <c r="D234" s="3" t="s">
        <v>986</v>
      </c>
      <c r="E234" s="3" t="s">
        <v>21</v>
      </c>
      <c r="F234" s="3" t="s">
        <v>987</v>
      </c>
      <c r="G234" s="3" t="s">
        <v>988</v>
      </c>
      <c r="H234" s="43">
        <v>45513</v>
      </c>
      <c r="I234" s="43">
        <v>45526</v>
      </c>
      <c r="J234" s="47" t="str">
        <f>IF(GroDB3[[#This Row],[Last_Order_Date]]&lt;=GroDB3[[#This Row],[Date_Received]], "Yes", "No")</f>
        <v>No</v>
      </c>
      <c r="K234" s="43">
        <f>IF(GroDB3[[#This Row],[Column1]]="No",GroDB3[[#This Row],[Last_Order_Date]],GroDB3[[#This Row],[Date_Received]])</f>
        <v>45526</v>
      </c>
      <c r="L234" s="43">
        <f>IF(GroDB3[[#This Row],[Column1]]="No",GroDB3[[#This Row],[Date_Received]],GroDB3[[#This Row],[Last_Order_Date]])</f>
        <v>45513</v>
      </c>
      <c r="M234" s="43">
        <v>45520</v>
      </c>
      <c r="N234" s="3">
        <v>35</v>
      </c>
      <c r="O234" s="3">
        <v>4</v>
      </c>
      <c r="P234" s="3">
        <v>76</v>
      </c>
      <c r="Q234" s="4">
        <v>4</v>
      </c>
      <c r="R234" s="3">
        <v>90</v>
      </c>
      <c r="S234" s="3">
        <v>30</v>
      </c>
      <c r="T234" s="7">
        <v>-1.9</v>
      </c>
    </row>
    <row r="235" spans="1:20" x14ac:dyDescent="0.35">
      <c r="A235" s="5" t="s">
        <v>392</v>
      </c>
      <c r="B235" s="3" t="s">
        <v>18</v>
      </c>
      <c r="C235" s="3" t="s">
        <v>989</v>
      </c>
      <c r="D235" s="3" t="s">
        <v>990</v>
      </c>
      <c r="E235" s="3" t="s">
        <v>56</v>
      </c>
      <c r="F235" s="3" t="s">
        <v>991</v>
      </c>
      <c r="G235" s="3" t="s">
        <v>992</v>
      </c>
      <c r="H235" s="43">
        <v>45513</v>
      </c>
      <c r="I235" s="43">
        <v>45696</v>
      </c>
      <c r="J235" s="47" t="str">
        <f>IF(GroDB3[[#This Row],[Last_Order_Date]]&lt;=GroDB3[[#This Row],[Date_Received]], "Yes", "No")</f>
        <v>No</v>
      </c>
      <c r="K235" s="43">
        <f>IF(GroDB3[[#This Row],[Column1]]="No",GroDB3[[#This Row],[Last_Order_Date]],GroDB3[[#This Row],[Date_Received]])</f>
        <v>45696</v>
      </c>
      <c r="L235" s="43">
        <f>IF(GroDB3[[#This Row],[Column1]]="No",GroDB3[[#This Row],[Date_Received]],GroDB3[[#This Row],[Last_Order_Date]])</f>
        <v>45513</v>
      </c>
      <c r="M235" s="43">
        <v>45654</v>
      </c>
      <c r="N235" s="3">
        <v>30</v>
      </c>
      <c r="O235" s="3">
        <v>66</v>
      </c>
      <c r="P235" s="3">
        <v>28</v>
      </c>
      <c r="Q235" s="4">
        <v>5.5</v>
      </c>
      <c r="R235" s="3">
        <v>63</v>
      </c>
      <c r="S235" s="3">
        <v>98</v>
      </c>
      <c r="T235" s="7">
        <v>0.67</v>
      </c>
    </row>
    <row r="236" spans="1:20" x14ac:dyDescent="0.35">
      <c r="A236" s="5" t="s">
        <v>342</v>
      </c>
      <c r="B236" s="3" t="s">
        <v>18</v>
      </c>
      <c r="C236" s="3" t="s">
        <v>922</v>
      </c>
      <c r="D236" s="3" t="s">
        <v>993</v>
      </c>
      <c r="E236" s="3" t="s">
        <v>21</v>
      </c>
      <c r="F236" s="3" t="s">
        <v>994</v>
      </c>
      <c r="G236" s="3" t="s">
        <v>995</v>
      </c>
      <c r="H236" s="43">
        <v>45544</v>
      </c>
      <c r="I236" s="43">
        <v>45702</v>
      </c>
      <c r="J236" s="47" t="str">
        <f>IF(GroDB3[[#This Row],[Last_Order_Date]]&lt;=GroDB3[[#This Row],[Date_Received]], "Yes", "No")</f>
        <v>No</v>
      </c>
      <c r="K236" s="43">
        <f>IF(GroDB3[[#This Row],[Column1]]="No",GroDB3[[#This Row],[Last_Order_Date]],GroDB3[[#This Row],[Date_Received]])</f>
        <v>45702</v>
      </c>
      <c r="L236" s="43">
        <f>IF(GroDB3[[#This Row],[Column1]]="No",GroDB3[[#This Row],[Date_Received]],GroDB3[[#This Row],[Last_Order_Date]])</f>
        <v>45544</v>
      </c>
      <c r="M236" s="43">
        <v>45547</v>
      </c>
      <c r="N236" s="3">
        <v>19</v>
      </c>
      <c r="O236" s="3">
        <v>65</v>
      </c>
      <c r="P236" s="3">
        <v>48</v>
      </c>
      <c r="Q236" s="4">
        <v>6</v>
      </c>
      <c r="R236" s="3">
        <v>59</v>
      </c>
      <c r="S236" s="3">
        <v>53</v>
      </c>
      <c r="T236" s="7">
        <v>-0.56000000000000005</v>
      </c>
    </row>
    <row r="237" spans="1:20" x14ac:dyDescent="0.35">
      <c r="A237" s="5" t="s">
        <v>175</v>
      </c>
      <c r="B237" s="3" t="s">
        <v>53</v>
      </c>
      <c r="C237" s="3" t="s">
        <v>996</v>
      </c>
      <c r="D237" s="3" t="s">
        <v>997</v>
      </c>
      <c r="E237" s="3" t="s">
        <v>28</v>
      </c>
      <c r="F237" s="3" t="s">
        <v>998</v>
      </c>
      <c r="G237" s="3" t="s">
        <v>999</v>
      </c>
      <c r="H237" s="43">
        <v>45574</v>
      </c>
      <c r="I237" s="43">
        <v>45637</v>
      </c>
      <c r="J237" s="47" t="str">
        <f>IF(GroDB3[[#This Row],[Last_Order_Date]]&lt;=GroDB3[[#This Row],[Date_Received]], "Yes", "No")</f>
        <v>No</v>
      </c>
      <c r="K237" s="43">
        <f>IF(GroDB3[[#This Row],[Column1]]="No",GroDB3[[#This Row],[Last_Order_Date]],GroDB3[[#This Row],[Date_Received]])</f>
        <v>45637</v>
      </c>
      <c r="L237" s="43">
        <f>IF(GroDB3[[#This Row],[Column1]]="No",GroDB3[[#This Row],[Date_Received]],GroDB3[[#This Row],[Last_Order_Date]])</f>
        <v>45574</v>
      </c>
      <c r="M237" s="43">
        <v>45648</v>
      </c>
      <c r="N237" s="3">
        <v>34</v>
      </c>
      <c r="O237" s="3">
        <v>46</v>
      </c>
      <c r="P237" s="3">
        <v>45</v>
      </c>
      <c r="Q237" s="4">
        <v>1.5</v>
      </c>
      <c r="R237" s="3">
        <v>49</v>
      </c>
      <c r="S237" s="3">
        <v>25</v>
      </c>
      <c r="T237" s="7">
        <v>0.1</v>
      </c>
    </row>
    <row r="238" spans="1:20" x14ac:dyDescent="0.35">
      <c r="A238" s="5" t="s">
        <v>75</v>
      </c>
      <c r="B238" s="3" t="s">
        <v>32</v>
      </c>
      <c r="C238" s="3" t="s">
        <v>1000</v>
      </c>
      <c r="D238" s="3" t="s">
        <v>1001</v>
      </c>
      <c r="E238" s="3" t="s">
        <v>28</v>
      </c>
      <c r="F238" s="3" t="s">
        <v>1002</v>
      </c>
      <c r="G238" s="3" t="s">
        <v>1003</v>
      </c>
      <c r="H238" s="43">
        <v>45574</v>
      </c>
      <c r="I238" s="43">
        <v>45410</v>
      </c>
      <c r="J238" s="47" t="str">
        <f>IF(GroDB3[[#This Row],[Last_Order_Date]]&lt;=GroDB3[[#This Row],[Date_Received]], "Yes", "No")</f>
        <v>Yes</v>
      </c>
      <c r="K238" s="43">
        <f>IF(GroDB3[[#This Row],[Column1]]="No",GroDB3[[#This Row],[Last_Order_Date]],GroDB3[[#This Row],[Date_Received]])</f>
        <v>45574</v>
      </c>
      <c r="L238" s="43">
        <f>IF(GroDB3[[#This Row],[Column1]]="No",GroDB3[[#This Row],[Date_Received]],GroDB3[[#This Row],[Last_Order_Date]])</f>
        <v>45410</v>
      </c>
      <c r="M238" s="43">
        <v>45595</v>
      </c>
      <c r="N238" s="3">
        <v>40</v>
      </c>
      <c r="O238" s="3">
        <v>81</v>
      </c>
      <c r="P238" s="3">
        <v>40</v>
      </c>
      <c r="Q238" s="4">
        <v>9</v>
      </c>
      <c r="R238" s="3">
        <v>40</v>
      </c>
      <c r="S238" s="3">
        <v>48</v>
      </c>
      <c r="T238" s="7">
        <v>0.49</v>
      </c>
    </row>
    <row r="239" spans="1:20" x14ac:dyDescent="0.35">
      <c r="A239" s="5" t="s">
        <v>554</v>
      </c>
      <c r="B239" s="3" t="s">
        <v>53</v>
      </c>
      <c r="C239" s="3" t="s">
        <v>1004</v>
      </c>
      <c r="D239" s="3" t="s">
        <v>1005</v>
      </c>
      <c r="E239" s="3" t="s">
        <v>56</v>
      </c>
      <c r="F239" s="3" t="s">
        <v>1006</v>
      </c>
      <c r="G239" s="3" t="s">
        <v>1007</v>
      </c>
      <c r="H239" s="43">
        <v>45574</v>
      </c>
      <c r="I239" s="43">
        <v>45505</v>
      </c>
      <c r="J239" s="47" t="str">
        <f>IF(GroDB3[[#This Row],[Last_Order_Date]]&lt;=GroDB3[[#This Row],[Date_Received]], "Yes", "No")</f>
        <v>Yes</v>
      </c>
      <c r="K239" s="43">
        <f>IF(GroDB3[[#This Row],[Column1]]="No",GroDB3[[#This Row],[Last_Order_Date]],GroDB3[[#This Row],[Date_Received]])</f>
        <v>45574</v>
      </c>
      <c r="L239" s="43">
        <f>IF(GroDB3[[#This Row],[Column1]]="No",GroDB3[[#This Row],[Date_Received]],GroDB3[[#This Row],[Last_Order_Date]])</f>
        <v>45505</v>
      </c>
      <c r="M239" s="43">
        <v>45415</v>
      </c>
      <c r="N239" s="3">
        <v>89</v>
      </c>
      <c r="O239" s="3">
        <v>54</v>
      </c>
      <c r="P239" s="3">
        <v>15</v>
      </c>
      <c r="Q239" s="4">
        <v>2.5</v>
      </c>
      <c r="R239" s="3">
        <v>64</v>
      </c>
      <c r="S239" s="3">
        <v>63</v>
      </c>
      <c r="T239" s="7">
        <v>-0.2</v>
      </c>
    </row>
    <row r="240" spans="1:20" x14ac:dyDescent="0.35">
      <c r="A240" s="5" t="s">
        <v>691</v>
      </c>
      <c r="B240" s="3" t="s">
        <v>32</v>
      </c>
      <c r="C240" s="3" t="s">
        <v>1008</v>
      </c>
      <c r="D240" s="3" t="s">
        <v>1009</v>
      </c>
      <c r="E240" s="3" t="s">
        <v>21</v>
      </c>
      <c r="F240" s="3" t="s">
        <v>1010</v>
      </c>
      <c r="G240" s="3" t="s">
        <v>1011</v>
      </c>
      <c r="H240" s="43">
        <v>45574</v>
      </c>
      <c r="I240" s="43">
        <v>45523</v>
      </c>
      <c r="J240" s="47" t="str">
        <f>IF(GroDB3[[#This Row],[Last_Order_Date]]&lt;=GroDB3[[#This Row],[Date_Received]], "Yes", "No")</f>
        <v>Yes</v>
      </c>
      <c r="K240" s="43">
        <f>IF(GroDB3[[#This Row],[Column1]]="No",GroDB3[[#This Row],[Last_Order_Date]],GroDB3[[#This Row],[Date_Received]])</f>
        <v>45574</v>
      </c>
      <c r="L240" s="43">
        <f>IF(GroDB3[[#This Row],[Column1]]="No",GroDB3[[#This Row],[Date_Received]],GroDB3[[#This Row],[Last_Order_Date]])</f>
        <v>45523</v>
      </c>
      <c r="M240" s="43">
        <v>45691</v>
      </c>
      <c r="N240" s="3">
        <v>71</v>
      </c>
      <c r="O240" s="3">
        <v>93</v>
      </c>
      <c r="P240" s="3">
        <v>75</v>
      </c>
      <c r="Q240" s="4">
        <v>7</v>
      </c>
      <c r="R240" s="3">
        <v>77</v>
      </c>
      <c r="S240" s="3">
        <v>58</v>
      </c>
      <c r="T240" s="7">
        <v>0.02</v>
      </c>
    </row>
    <row r="241" spans="1:20" x14ac:dyDescent="0.35">
      <c r="A241" s="5" t="s">
        <v>248</v>
      </c>
      <c r="B241" s="3" t="s">
        <v>32</v>
      </c>
      <c r="C241" s="3" t="s">
        <v>1012</v>
      </c>
      <c r="D241" s="3" t="s">
        <v>1013</v>
      </c>
      <c r="E241" s="3" t="s">
        <v>21</v>
      </c>
      <c r="F241" s="3" t="s">
        <v>1014</v>
      </c>
      <c r="G241" s="3" t="s">
        <v>1015</v>
      </c>
      <c r="H241" s="43">
        <v>45605</v>
      </c>
      <c r="I241" s="43">
        <v>45516</v>
      </c>
      <c r="J241" s="47" t="str">
        <f>IF(GroDB3[[#This Row],[Last_Order_Date]]&lt;=GroDB3[[#This Row],[Date_Received]], "Yes", "No")</f>
        <v>Yes</v>
      </c>
      <c r="K241" s="43">
        <f>IF(GroDB3[[#This Row],[Column1]]="No",GroDB3[[#This Row],[Last_Order_Date]],GroDB3[[#This Row],[Date_Received]])</f>
        <v>45605</v>
      </c>
      <c r="L241" s="43">
        <f>IF(GroDB3[[#This Row],[Column1]]="No",GroDB3[[#This Row],[Date_Received]],GroDB3[[#This Row],[Last_Order_Date]])</f>
        <v>45516</v>
      </c>
      <c r="M241" s="43">
        <v>45712</v>
      </c>
      <c r="N241" s="3">
        <v>91</v>
      </c>
      <c r="O241" s="3">
        <v>7</v>
      </c>
      <c r="P241" s="3">
        <v>64</v>
      </c>
      <c r="Q241" s="4">
        <v>7</v>
      </c>
      <c r="R241" s="3">
        <v>32</v>
      </c>
      <c r="S241" s="3">
        <v>65</v>
      </c>
      <c r="T241" s="7">
        <v>0.25</v>
      </c>
    </row>
    <row r="242" spans="1:20" x14ac:dyDescent="0.35">
      <c r="A242" s="5" t="s">
        <v>1016</v>
      </c>
      <c r="B242" s="3" t="s">
        <v>25</v>
      </c>
      <c r="C242" s="3" t="s">
        <v>259</v>
      </c>
      <c r="D242" s="3" t="s">
        <v>1017</v>
      </c>
      <c r="E242" s="3" t="s">
        <v>28</v>
      </c>
      <c r="F242" s="3" t="s">
        <v>1018</v>
      </c>
      <c r="G242" s="3" t="s">
        <v>1019</v>
      </c>
      <c r="H242" s="43">
        <v>45635</v>
      </c>
      <c r="I242" s="43">
        <v>45394</v>
      </c>
      <c r="J242" s="47" t="str">
        <f>IF(GroDB3[[#This Row],[Last_Order_Date]]&lt;=GroDB3[[#This Row],[Date_Received]], "Yes", "No")</f>
        <v>Yes</v>
      </c>
      <c r="K242" s="43">
        <f>IF(GroDB3[[#This Row],[Column1]]="No",GroDB3[[#This Row],[Last_Order_Date]],GroDB3[[#This Row],[Date_Received]])</f>
        <v>45635</v>
      </c>
      <c r="L242" s="43">
        <f>IF(GroDB3[[#This Row],[Column1]]="No",GroDB3[[#This Row],[Date_Received]],GroDB3[[#This Row],[Last_Order_Date]])</f>
        <v>45394</v>
      </c>
      <c r="M242" s="43">
        <v>45544</v>
      </c>
      <c r="N242" s="3">
        <v>20</v>
      </c>
      <c r="O242" s="3">
        <v>55</v>
      </c>
      <c r="P242" s="3">
        <v>15</v>
      </c>
      <c r="Q242" s="4">
        <v>2.5</v>
      </c>
      <c r="R242" s="3">
        <v>86</v>
      </c>
      <c r="S242" s="3">
        <v>61</v>
      </c>
      <c r="T242" s="7">
        <v>-1.03</v>
      </c>
    </row>
    <row r="243" spans="1:20" x14ac:dyDescent="0.35">
      <c r="A243" s="5" t="s">
        <v>17</v>
      </c>
      <c r="B243" s="3" t="s">
        <v>18</v>
      </c>
      <c r="C243" s="3" t="s">
        <v>1020</v>
      </c>
      <c r="D243" s="3" t="s">
        <v>1021</v>
      </c>
      <c r="E243" s="3" t="s">
        <v>56</v>
      </c>
      <c r="F243" s="3" t="s">
        <v>1022</v>
      </c>
      <c r="G243" s="3" t="s">
        <v>1023</v>
      </c>
      <c r="H243" s="43">
        <v>45361</v>
      </c>
      <c r="I243" s="43">
        <v>45428</v>
      </c>
      <c r="J243" s="47" t="str">
        <f>IF(GroDB3[[#This Row],[Last_Order_Date]]&lt;=GroDB3[[#This Row],[Date_Received]], "Yes", "No")</f>
        <v>No</v>
      </c>
      <c r="K243" s="43">
        <f>IF(GroDB3[[#This Row],[Column1]]="No",GroDB3[[#This Row],[Last_Order_Date]],GroDB3[[#This Row],[Date_Received]])</f>
        <v>45428</v>
      </c>
      <c r="L243" s="43">
        <f>IF(GroDB3[[#This Row],[Column1]]="No",GroDB3[[#This Row],[Date_Received]],GroDB3[[#This Row],[Last_Order_Date]])</f>
        <v>45361</v>
      </c>
      <c r="M243" s="43">
        <v>45485</v>
      </c>
      <c r="N243" s="3">
        <v>96</v>
      </c>
      <c r="O243" s="3">
        <v>33</v>
      </c>
      <c r="P243" s="3">
        <v>72</v>
      </c>
      <c r="Q243" s="4">
        <v>4.45</v>
      </c>
      <c r="R243" s="3">
        <v>74</v>
      </c>
      <c r="S243" s="3">
        <v>100</v>
      </c>
      <c r="T243" s="7">
        <v>0.28999999999999998</v>
      </c>
    </row>
    <row r="244" spans="1:20" x14ac:dyDescent="0.35">
      <c r="A244" s="5" t="s">
        <v>380</v>
      </c>
      <c r="B244" s="3" t="s">
        <v>32</v>
      </c>
      <c r="C244" s="3" t="s">
        <v>536</v>
      </c>
      <c r="D244" s="3" t="s">
        <v>1024</v>
      </c>
      <c r="E244" s="3" t="s">
        <v>56</v>
      </c>
      <c r="F244" s="3" t="s">
        <v>1025</v>
      </c>
      <c r="G244" s="3" t="s">
        <v>1026</v>
      </c>
      <c r="H244" s="43">
        <v>45361</v>
      </c>
      <c r="I244" s="43">
        <v>45607</v>
      </c>
      <c r="J244" s="47" t="str">
        <f>IF(GroDB3[[#This Row],[Last_Order_Date]]&lt;=GroDB3[[#This Row],[Date_Received]], "Yes", "No")</f>
        <v>No</v>
      </c>
      <c r="K244" s="43">
        <f>IF(GroDB3[[#This Row],[Column1]]="No",GroDB3[[#This Row],[Last_Order_Date]],GroDB3[[#This Row],[Date_Received]])</f>
        <v>45607</v>
      </c>
      <c r="L244" s="43">
        <f>IF(GroDB3[[#This Row],[Column1]]="No",GroDB3[[#This Row],[Date_Received]],GroDB3[[#This Row],[Last_Order_Date]])</f>
        <v>45361</v>
      </c>
      <c r="M244" s="43">
        <v>45687</v>
      </c>
      <c r="N244" s="3">
        <v>14</v>
      </c>
      <c r="O244" s="3">
        <v>87</v>
      </c>
      <c r="P244" s="3">
        <v>8</v>
      </c>
      <c r="Q244" s="4">
        <v>4</v>
      </c>
      <c r="R244" s="3">
        <v>90</v>
      </c>
      <c r="S244" s="3">
        <v>14</v>
      </c>
      <c r="T244" s="7">
        <v>-0.35</v>
      </c>
    </row>
    <row r="245" spans="1:20" x14ac:dyDescent="0.35">
      <c r="A245" s="5" t="s">
        <v>574</v>
      </c>
      <c r="B245" s="3" t="s">
        <v>53</v>
      </c>
      <c r="C245" s="3" t="s">
        <v>1027</v>
      </c>
      <c r="D245" s="3" t="s">
        <v>1028</v>
      </c>
      <c r="E245" s="3" t="s">
        <v>21</v>
      </c>
      <c r="F245" s="3" t="s">
        <v>1029</v>
      </c>
      <c r="G245" s="3" t="s">
        <v>1030</v>
      </c>
      <c r="H245" s="43">
        <v>45361</v>
      </c>
      <c r="I245" s="43">
        <v>45383</v>
      </c>
      <c r="J245" s="47" t="str">
        <f>IF(GroDB3[[#This Row],[Last_Order_Date]]&lt;=GroDB3[[#This Row],[Date_Received]], "Yes", "No")</f>
        <v>No</v>
      </c>
      <c r="K245" s="43">
        <f>IF(GroDB3[[#This Row],[Column1]]="No",GroDB3[[#This Row],[Last_Order_Date]],GroDB3[[#This Row],[Date_Received]])</f>
        <v>45383</v>
      </c>
      <c r="L245" s="43">
        <f>IF(GroDB3[[#This Row],[Column1]]="No",GroDB3[[#This Row],[Date_Received]],GroDB3[[#This Row],[Last_Order_Date]])</f>
        <v>45361</v>
      </c>
      <c r="M245" s="43">
        <v>45422</v>
      </c>
      <c r="N245" s="3">
        <v>42</v>
      </c>
      <c r="O245" s="3">
        <v>12</v>
      </c>
      <c r="P245" s="3">
        <v>28</v>
      </c>
      <c r="Q245" s="4">
        <v>2</v>
      </c>
      <c r="R245" s="3">
        <v>80</v>
      </c>
      <c r="S245" s="3">
        <v>8</v>
      </c>
      <c r="T245" s="7">
        <v>0.84</v>
      </c>
    </row>
    <row r="246" spans="1:20" x14ac:dyDescent="0.35">
      <c r="A246" s="5" t="s">
        <v>789</v>
      </c>
      <c r="B246" s="3" t="s">
        <v>18</v>
      </c>
      <c r="C246" s="3" t="s">
        <v>1000</v>
      </c>
      <c r="D246" s="3" t="s">
        <v>1031</v>
      </c>
      <c r="E246" s="3" t="s">
        <v>56</v>
      </c>
      <c r="F246" s="3" t="s">
        <v>1032</v>
      </c>
      <c r="G246" s="3" t="s">
        <v>1033</v>
      </c>
      <c r="H246" s="43">
        <v>45361</v>
      </c>
      <c r="I246" s="43">
        <v>45482</v>
      </c>
      <c r="J246" s="47" t="str">
        <f>IF(GroDB3[[#This Row],[Last_Order_Date]]&lt;=GroDB3[[#This Row],[Date_Received]], "Yes", "No")</f>
        <v>No</v>
      </c>
      <c r="K246" s="43">
        <f>IF(GroDB3[[#This Row],[Column1]]="No",GroDB3[[#This Row],[Last_Order_Date]],GroDB3[[#This Row],[Date_Received]])</f>
        <v>45482</v>
      </c>
      <c r="L246" s="43">
        <f>IF(GroDB3[[#This Row],[Column1]]="No",GroDB3[[#This Row],[Date_Received]],GroDB3[[#This Row],[Last_Order_Date]])</f>
        <v>45361</v>
      </c>
      <c r="M246" s="43">
        <v>45521</v>
      </c>
      <c r="N246" s="3">
        <v>31</v>
      </c>
      <c r="O246" s="3">
        <v>61</v>
      </c>
      <c r="P246" s="3">
        <v>28</v>
      </c>
      <c r="Q246" s="4">
        <v>2.1</v>
      </c>
      <c r="R246" s="3">
        <v>55</v>
      </c>
      <c r="S246" s="3">
        <v>70</v>
      </c>
      <c r="T246" s="7">
        <v>0.9</v>
      </c>
    </row>
    <row r="247" spans="1:20" x14ac:dyDescent="0.35">
      <c r="A247" s="5" t="s">
        <v>627</v>
      </c>
      <c r="B247" s="3" t="s">
        <v>53</v>
      </c>
      <c r="C247" s="3" t="s">
        <v>763</v>
      </c>
      <c r="D247" s="3" t="s">
        <v>1034</v>
      </c>
      <c r="E247" s="3" t="s">
        <v>56</v>
      </c>
      <c r="F247" s="3" t="s">
        <v>1035</v>
      </c>
      <c r="G247" s="3" t="s">
        <v>1036</v>
      </c>
      <c r="H247" s="43">
        <v>45361</v>
      </c>
      <c r="I247" s="43">
        <v>45484</v>
      </c>
      <c r="J247" s="47" t="str">
        <f>IF(GroDB3[[#This Row],[Last_Order_Date]]&lt;=GroDB3[[#This Row],[Date_Received]], "Yes", "No")</f>
        <v>No</v>
      </c>
      <c r="K247" s="43">
        <f>IF(GroDB3[[#This Row],[Column1]]="No",GroDB3[[#This Row],[Last_Order_Date]],GroDB3[[#This Row],[Date_Received]])</f>
        <v>45484</v>
      </c>
      <c r="L247" s="43">
        <f>IF(GroDB3[[#This Row],[Column1]]="No",GroDB3[[#This Row],[Date_Received]],GroDB3[[#This Row],[Last_Order_Date]])</f>
        <v>45361</v>
      </c>
      <c r="M247" s="43">
        <v>45435</v>
      </c>
      <c r="N247" s="3">
        <v>47</v>
      </c>
      <c r="O247" s="3">
        <v>30</v>
      </c>
      <c r="P247" s="3">
        <v>16</v>
      </c>
      <c r="Q247" s="4">
        <v>2.5</v>
      </c>
      <c r="R247" s="3">
        <v>22</v>
      </c>
      <c r="S247" s="3">
        <v>81</v>
      </c>
      <c r="T247" s="7">
        <v>-0.27</v>
      </c>
    </row>
    <row r="248" spans="1:20" x14ac:dyDescent="0.35">
      <c r="A248" s="5" t="s">
        <v>707</v>
      </c>
      <c r="B248" s="3" t="s">
        <v>25</v>
      </c>
      <c r="C248" s="3" t="s">
        <v>226</v>
      </c>
      <c r="D248" s="3" t="s">
        <v>1037</v>
      </c>
      <c r="E248" s="3" t="s">
        <v>21</v>
      </c>
      <c r="F248" s="3" t="s">
        <v>1038</v>
      </c>
      <c r="G248" s="3" t="s">
        <v>1039</v>
      </c>
      <c r="H248" s="43">
        <v>45392</v>
      </c>
      <c r="I248" s="43">
        <v>45578</v>
      </c>
      <c r="J248" s="47" t="str">
        <f>IF(GroDB3[[#This Row],[Last_Order_Date]]&lt;=GroDB3[[#This Row],[Date_Received]], "Yes", "No")</f>
        <v>No</v>
      </c>
      <c r="K248" s="43">
        <f>IF(GroDB3[[#This Row],[Column1]]="No",GroDB3[[#This Row],[Last_Order_Date]],GroDB3[[#This Row],[Date_Received]])</f>
        <v>45578</v>
      </c>
      <c r="L248" s="43">
        <f>IF(GroDB3[[#This Row],[Column1]]="No",GroDB3[[#This Row],[Date_Received]],GroDB3[[#This Row],[Last_Order_Date]])</f>
        <v>45392</v>
      </c>
      <c r="M248" s="43">
        <v>45524</v>
      </c>
      <c r="N248" s="3">
        <v>79</v>
      </c>
      <c r="O248" s="3">
        <v>31</v>
      </c>
      <c r="P248" s="3">
        <v>66</v>
      </c>
      <c r="Q248" s="4">
        <v>2.2999999999999998</v>
      </c>
      <c r="R248" s="3">
        <v>92</v>
      </c>
      <c r="S248" s="3">
        <v>13</v>
      </c>
      <c r="T248" s="7">
        <v>-2.68</v>
      </c>
    </row>
    <row r="249" spans="1:20" x14ac:dyDescent="0.35">
      <c r="A249" s="5" t="s">
        <v>976</v>
      </c>
      <c r="B249" s="3" t="s">
        <v>60</v>
      </c>
      <c r="C249" s="3" t="s">
        <v>1040</v>
      </c>
      <c r="D249" s="3" t="s">
        <v>1041</v>
      </c>
      <c r="E249" s="3" t="s">
        <v>28</v>
      </c>
      <c r="F249" s="3" t="s">
        <v>1042</v>
      </c>
      <c r="G249" s="3" t="s">
        <v>1043</v>
      </c>
      <c r="H249" s="43">
        <v>45392</v>
      </c>
      <c r="I249" s="43">
        <v>45575</v>
      </c>
      <c r="J249" s="47" t="str">
        <f>IF(GroDB3[[#This Row],[Last_Order_Date]]&lt;=GroDB3[[#This Row],[Date_Received]], "Yes", "No")</f>
        <v>No</v>
      </c>
      <c r="K249" s="43">
        <f>IF(GroDB3[[#This Row],[Column1]]="No",GroDB3[[#This Row],[Last_Order_Date]],GroDB3[[#This Row],[Date_Received]])</f>
        <v>45575</v>
      </c>
      <c r="L249" s="43">
        <f>IF(GroDB3[[#This Row],[Column1]]="No",GroDB3[[#This Row],[Date_Received]],GroDB3[[#This Row],[Last_Order_Date]])</f>
        <v>45392</v>
      </c>
      <c r="M249" s="43">
        <v>45548</v>
      </c>
      <c r="N249" s="3">
        <v>18</v>
      </c>
      <c r="O249" s="3">
        <v>46</v>
      </c>
      <c r="P249" s="3">
        <v>26</v>
      </c>
      <c r="Q249" s="4">
        <v>20</v>
      </c>
      <c r="R249" s="3">
        <v>57</v>
      </c>
      <c r="S249" s="3">
        <v>95</v>
      </c>
      <c r="T249" s="7">
        <v>0.86</v>
      </c>
    </row>
    <row r="250" spans="1:20" x14ac:dyDescent="0.35">
      <c r="A250" s="5" t="s">
        <v>976</v>
      </c>
      <c r="B250" s="3" t="s">
        <v>60</v>
      </c>
      <c r="C250" s="3" t="s">
        <v>364</v>
      </c>
      <c r="D250" s="3" t="s">
        <v>1044</v>
      </c>
      <c r="E250" s="3" t="s">
        <v>56</v>
      </c>
      <c r="F250" s="3" t="s">
        <v>1045</v>
      </c>
      <c r="G250" s="3" t="s">
        <v>1046</v>
      </c>
      <c r="H250" s="43">
        <v>45392</v>
      </c>
      <c r="I250" s="43">
        <v>45429</v>
      </c>
      <c r="J250" s="47" t="str">
        <f>IF(GroDB3[[#This Row],[Last_Order_Date]]&lt;=GroDB3[[#This Row],[Date_Received]], "Yes", "No")</f>
        <v>No</v>
      </c>
      <c r="K250" s="43">
        <f>IF(GroDB3[[#This Row],[Column1]]="No",GroDB3[[#This Row],[Last_Order_Date]],GroDB3[[#This Row],[Date_Received]])</f>
        <v>45429</v>
      </c>
      <c r="L250" s="43">
        <f>IF(GroDB3[[#This Row],[Column1]]="No",GroDB3[[#This Row],[Date_Received]],GroDB3[[#This Row],[Last_Order_Date]])</f>
        <v>45392</v>
      </c>
      <c r="M250" s="43">
        <v>45665</v>
      </c>
      <c r="N250" s="3">
        <v>82</v>
      </c>
      <c r="O250" s="3">
        <v>31</v>
      </c>
      <c r="P250" s="3">
        <v>86</v>
      </c>
      <c r="Q250" s="4">
        <v>20</v>
      </c>
      <c r="R250" s="3">
        <v>66</v>
      </c>
      <c r="S250" s="3">
        <v>74</v>
      </c>
      <c r="T250" s="7">
        <v>-0.67</v>
      </c>
    </row>
    <row r="251" spans="1:20" x14ac:dyDescent="0.35">
      <c r="A251" s="5" t="s">
        <v>75</v>
      </c>
      <c r="B251" s="3" t="s">
        <v>32</v>
      </c>
      <c r="C251" s="3" t="s">
        <v>1012</v>
      </c>
      <c r="D251" s="3" t="s">
        <v>1047</v>
      </c>
      <c r="E251" s="3" t="s">
        <v>56</v>
      </c>
      <c r="F251" s="3" t="s">
        <v>1048</v>
      </c>
      <c r="G251" s="3" t="s">
        <v>1049</v>
      </c>
      <c r="H251" s="43">
        <v>45392</v>
      </c>
      <c r="I251" s="43">
        <v>45589</v>
      </c>
      <c r="J251" s="47" t="str">
        <f>IF(GroDB3[[#This Row],[Last_Order_Date]]&lt;=GroDB3[[#This Row],[Date_Received]], "Yes", "No")</f>
        <v>No</v>
      </c>
      <c r="K251" s="43">
        <f>IF(GroDB3[[#This Row],[Column1]]="No",GroDB3[[#This Row],[Last_Order_Date]],GroDB3[[#This Row],[Date_Received]])</f>
        <v>45589</v>
      </c>
      <c r="L251" s="43">
        <f>IF(GroDB3[[#This Row],[Column1]]="No",GroDB3[[#This Row],[Date_Received]],GroDB3[[#This Row],[Last_Order_Date]])</f>
        <v>45392</v>
      </c>
      <c r="M251" s="43">
        <v>45697</v>
      </c>
      <c r="N251" s="3">
        <v>36</v>
      </c>
      <c r="O251" s="3">
        <v>77</v>
      </c>
      <c r="P251" s="3">
        <v>49</v>
      </c>
      <c r="Q251" s="4">
        <v>9</v>
      </c>
      <c r="R251" s="3">
        <v>30</v>
      </c>
      <c r="S251" s="3">
        <v>84</v>
      </c>
      <c r="T251" s="7">
        <v>-0.12</v>
      </c>
    </row>
    <row r="252" spans="1:20" x14ac:dyDescent="0.35">
      <c r="A252" s="5" t="s">
        <v>80</v>
      </c>
      <c r="B252" s="3" t="s">
        <v>25</v>
      </c>
      <c r="C252" s="3" t="s">
        <v>1050</v>
      </c>
      <c r="D252" s="3" t="s">
        <v>1051</v>
      </c>
      <c r="E252" s="3" t="s">
        <v>21</v>
      </c>
      <c r="F252" s="3" t="s">
        <v>1052</v>
      </c>
      <c r="G252" s="3" t="s">
        <v>1053</v>
      </c>
      <c r="H252" s="43">
        <v>45392</v>
      </c>
      <c r="I252" s="43">
        <v>45580</v>
      </c>
      <c r="J252" s="47" t="str">
        <f>IF(GroDB3[[#This Row],[Last_Order_Date]]&lt;=GroDB3[[#This Row],[Date_Received]], "Yes", "No")</f>
        <v>No</v>
      </c>
      <c r="K252" s="43">
        <f>IF(GroDB3[[#This Row],[Column1]]="No",GroDB3[[#This Row],[Last_Order_Date]],GroDB3[[#This Row],[Date_Received]])</f>
        <v>45580</v>
      </c>
      <c r="L252" s="43">
        <f>IF(GroDB3[[#This Row],[Column1]]="No",GroDB3[[#This Row],[Date_Received]],GroDB3[[#This Row],[Last_Order_Date]])</f>
        <v>45392</v>
      </c>
      <c r="M252" s="43">
        <v>45379</v>
      </c>
      <c r="N252" s="3">
        <v>24</v>
      </c>
      <c r="O252" s="3">
        <v>89</v>
      </c>
      <c r="P252" s="3">
        <v>27</v>
      </c>
      <c r="Q252" s="4">
        <v>10</v>
      </c>
      <c r="R252" s="3">
        <v>99</v>
      </c>
      <c r="S252" s="3">
        <v>1</v>
      </c>
      <c r="T252" s="7">
        <v>-1.8</v>
      </c>
    </row>
    <row r="253" spans="1:20" x14ac:dyDescent="0.35">
      <c r="A253" s="5" t="s">
        <v>59</v>
      </c>
      <c r="B253" s="3" t="s">
        <v>60</v>
      </c>
      <c r="C253" s="3" t="s">
        <v>1054</v>
      </c>
      <c r="D253" s="3" t="s">
        <v>1055</v>
      </c>
      <c r="E253" s="3" t="s">
        <v>21</v>
      </c>
      <c r="F253" s="3" t="s">
        <v>1056</v>
      </c>
      <c r="G253" s="3" t="s">
        <v>1057</v>
      </c>
      <c r="H253" s="43">
        <v>45422</v>
      </c>
      <c r="I253" s="43">
        <v>45361</v>
      </c>
      <c r="J253" s="47" t="str">
        <f>IF(GroDB3[[#This Row],[Last_Order_Date]]&lt;=GroDB3[[#This Row],[Date_Received]], "Yes", "No")</f>
        <v>Yes</v>
      </c>
      <c r="K253" s="43">
        <f>IF(GroDB3[[#This Row],[Column1]]="No",GroDB3[[#This Row],[Last_Order_Date]],GroDB3[[#This Row],[Date_Received]])</f>
        <v>45422</v>
      </c>
      <c r="L253" s="43">
        <f>IF(GroDB3[[#This Row],[Column1]]="No",GroDB3[[#This Row],[Date_Received]],GroDB3[[#This Row],[Last_Order_Date]])</f>
        <v>45361</v>
      </c>
      <c r="M253" s="43">
        <v>45549</v>
      </c>
      <c r="N253" s="3">
        <v>88</v>
      </c>
      <c r="O253" s="3">
        <v>56</v>
      </c>
      <c r="P253" s="3">
        <v>81</v>
      </c>
      <c r="Q253" s="4">
        <v>10</v>
      </c>
      <c r="R253" s="3">
        <v>98</v>
      </c>
      <c r="S253" s="3">
        <v>86</v>
      </c>
      <c r="T253" s="7">
        <v>0.99</v>
      </c>
    </row>
    <row r="254" spans="1:20" x14ac:dyDescent="0.35">
      <c r="A254" s="5" t="s">
        <v>615</v>
      </c>
      <c r="B254" s="3" t="s">
        <v>32</v>
      </c>
      <c r="C254" s="3" t="s">
        <v>1058</v>
      </c>
      <c r="D254" s="3" t="s">
        <v>1059</v>
      </c>
      <c r="E254" s="3" t="s">
        <v>21</v>
      </c>
      <c r="F254" s="3" t="s">
        <v>1060</v>
      </c>
      <c r="G254" s="3" t="s">
        <v>1061</v>
      </c>
      <c r="H254" s="43">
        <v>45422</v>
      </c>
      <c r="I254" s="43">
        <v>45514</v>
      </c>
      <c r="J254" s="47" t="str">
        <f>IF(GroDB3[[#This Row],[Last_Order_Date]]&lt;=GroDB3[[#This Row],[Date_Received]], "Yes", "No")</f>
        <v>No</v>
      </c>
      <c r="K254" s="43">
        <f>IF(GroDB3[[#This Row],[Column1]]="No",GroDB3[[#This Row],[Last_Order_Date]],GroDB3[[#This Row],[Date_Received]])</f>
        <v>45514</v>
      </c>
      <c r="L254" s="43">
        <f>IF(GroDB3[[#This Row],[Column1]]="No",GroDB3[[#This Row],[Date_Received]],GroDB3[[#This Row],[Last_Order_Date]])</f>
        <v>45422</v>
      </c>
      <c r="M254" s="43">
        <v>45355</v>
      </c>
      <c r="N254" s="3">
        <v>23</v>
      </c>
      <c r="O254" s="3">
        <v>100</v>
      </c>
      <c r="P254" s="3">
        <v>77</v>
      </c>
      <c r="Q254" s="4">
        <v>2</v>
      </c>
      <c r="R254" s="3">
        <v>63</v>
      </c>
      <c r="S254" s="3">
        <v>26</v>
      </c>
      <c r="T254" s="7">
        <v>0.12</v>
      </c>
    </row>
    <row r="255" spans="1:20" x14ac:dyDescent="0.35">
      <c r="A255" s="5" t="s">
        <v>137</v>
      </c>
      <c r="B255" s="3" t="s">
        <v>18</v>
      </c>
      <c r="C255" s="3" t="s">
        <v>71</v>
      </c>
      <c r="D255" s="3" t="s">
        <v>1062</v>
      </c>
      <c r="E255" s="3" t="s">
        <v>21</v>
      </c>
      <c r="F255" s="3" t="s">
        <v>1063</v>
      </c>
      <c r="G255" s="3" t="s">
        <v>1064</v>
      </c>
      <c r="H255" s="43">
        <v>45453</v>
      </c>
      <c r="I255" s="43">
        <v>45638</v>
      </c>
      <c r="J255" s="47" t="str">
        <f>IF(GroDB3[[#This Row],[Last_Order_Date]]&lt;=GroDB3[[#This Row],[Date_Received]], "Yes", "No")</f>
        <v>No</v>
      </c>
      <c r="K255" s="43">
        <f>IF(GroDB3[[#This Row],[Column1]]="No",GroDB3[[#This Row],[Last_Order_Date]],GroDB3[[#This Row],[Date_Received]])</f>
        <v>45638</v>
      </c>
      <c r="L255" s="43">
        <f>IF(GroDB3[[#This Row],[Column1]]="No",GroDB3[[#This Row],[Date_Received]],GroDB3[[#This Row],[Last_Order_Date]])</f>
        <v>45453</v>
      </c>
      <c r="M255" s="43">
        <v>45498</v>
      </c>
      <c r="N255" s="3">
        <v>61</v>
      </c>
      <c r="O255" s="3">
        <v>14</v>
      </c>
      <c r="P255" s="3">
        <v>49</v>
      </c>
      <c r="Q255" s="4">
        <v>5.2</v>
      </c>
      <c r="R255" s="3">
        <v>74</v>
      </c>
      <c r="S255" s="3">
        <v>35</v>
      </c>
      <c r="T255" s="7">
        <v>0.59</v>
      </c>
    </row>
    <row r="256" spans="1:20" x14ac:dyDescent="0.35">
      <c r="A256" s="5" t="s">
        <v>17</v>
      </c>
      <c r="B256" s="3" t="s">
        <v>18</v>
      </c>
      <c r="C256" s="3" t="s">
        <v>1065</v>
      </c>
      <c r="D256" s="3" t="s">
        <v>1066</v>
      </c>
      <c r="E256" s="3" t="s">
        <v>21</v>
      </c>
      <c r="F256" s="3" t="s">
        <v>1067</v>
      </c>
      <c r="G256" s="3" t="s">
        <v>1068</v>
      </c>
      <c r="H256" s="43">
        <v>45453</v>
      </c>
      <c r="I256" s="43">
        <v>45663</v>
      </c>
      <c r="J256" s="47" t="str">
        <f>IF(GroDB3[[#This Row],[Last_Order_Date]]&lt;=GroDB3[[#This Row],[Date_Received]], "Yes", "No")</f>
        <v>No</v>
      </c>
      <c r="K256" s="43">
        <f>IF(GroDB3[[#This Row],[Column1]]="No",GroDB3[[#This Row],[Last_Order_Date]],GroDB3[[#This Row],[Date_Received]])</f>
        <v>45663</v>
      </c>
      <c r="L256" s="43">
        <f>IF(GroDB3[[#This Row],[Column1]]="No",GroDB3[[#This Row],[Date_Received]],GroDB3[[#This Row],[Last_Order_Date]])</f>
        <v>45453</v>
      </c>
      <c r="M256" s="43">
        <v>45554</v>
      </c>
      <c r="N256" s="3">
        <v>89</v>
      </c>
      <c r="O256" s="3">
        <v>96</v>
      </c>
      <c r="P256" s="3">
        <v>94</v>
      </c>
      <c r="Q256" s="4">
        <v>4.5</v>
      </c>
      <c r="R256" s="3">
        <v>38</v>
      </c>
      <c r="S256" s="3">
        <v>96</v>
      </c>
      <c r="T256" s="7">
        <v>0.53</v>
      </c>
    </row>
    <row r="257" spans="1:20" x14ac:dyDescent="0.35">
      <c r="A257" s="5" t="s">
        <v>1069</v>
      </c>
      <c r="B257" s="3" t="s">
        <v>18</v>
      </c>
      <c r="C257" s="3" t="s">
        <v>138</v>
      </c>
      <c r="D257" s="3" t="s">
        <v>1070</v>
      </c>
      <c r="E257" s="3" t="s">
        <v>28</v>
      </c>
      <c r="F257" s="3" t="s">
        <v>1071</v>
      </c>
      <c r="G257" s="3" t="s">
        <v>1072</v>
      </c>
      <c r="H257" s="43">
        <v>45483</v>
      </c>
      <c r="I257" s="43">
        <v>45473</v>
      </c>
      <c r="J257" s="47" t="str">
        <f>IF(GroDB3[[#This Row],[Last_Order_Date]]&lt;=GroDB3[[#This Row],[Date_Received]], "Yes", "No")</f>
        <v>Yes</v>
      </c>
      <c r="K257" s="43">
        <f>IF(GroDB3[[#This Row],[Column1]]="No",GroDB3[[#This Row],[Last_Order_Date]],GroDB3[[#This Row],[Date_Received]])</f>
        <v>45483</v>
      </c>
      <c r="L257" s="43">
        <f>IF(GroDB3[[#This Row],[Column1]]="No",GroDB3[[#This Row],[Date_Received]],GroDB3[[#This Row],[Last_Order_Date]])</f>
        <v>45473</v>
      </c>
      <c r="M257" s="43">
        <v>45502</v>
      </c>
      <c r="N257" s="3">
        <v>58</v>
      </c>
      <c r="O257" s="3">
        <v>15</v>
      </c>
      <c r="P257" s="3">
        <v>87</v>
      </c>
      <c r="Q257" s="4">
        <v>5.9</v>
      </c>
      <c r="R257" s="3">
        <v>52</v>
      </c>
      <c r="S257" s="3">
        <v>81</v>
      </c>
      <c r="T257" s="7">
        <v>-1.53</v>
      </c>
    </row>
    <row r="258" spans="1:20" x14ac:dyDescent="0.35">
      <c r="A258" s="5" t="s">
        <v>392</v>
      </c>
      <c r="B258" s="3" t="s">
        <v>18</v>
      </c>
      <c r="C258" s="3" t="s">
        <v>1073</v>
      </c>
      <c r="D258" s="3" t="s">
        <v>1074</v>
      </c>
      <c r="E258" s="3" t="s">
        <v>56</v>
      </c>
      <c r="F258" s="3" t="s">
        <v>1075</v>
      </c>
      <c r="G258" s="3" t="s">
        <v>1076</v>
      </c>
      <c r="H258" s="43">
        <v>45483</v>
      </c>
      <c r="I258" s="43">
        <v>45467</v>
      </c>
      <c r="J258" s="47" t="str">
        <f>IF(GroDB3[[#This Row],[Last_Order_Date]]&lt;=GroDB3[[#This Row],[Date_Received]], "Yes", "No")</f>
        <v>Yes</v>
      </c>
      <c r="K258" s="43">
        <f>IF(GroDB3[[#This Row],[Column1]]="No",GroDB3[[#This Row],[Last_Order_Date]],GroDB3[[#This Row],[Date_Received]])</f>
        <v>45483</v>
      </c>
      <c r="L258" s="43">
        <f>IF(GroDB3[[#This Row],[Column1]]="No",GroDB3[[#This Row],[Date_Received]],GroDB3[[#This Row],[Last_Order_Date]])</f>
        <v>45467</v>
      </c>
      <c r="M258" s="43">
        <v>45575</v>
      </c>
      <c r="N258" s="3">
        <v>38</v>
      </c>
      <c r="O258" s="3">
        <v>72</v>
      </c>
      <c r="P258" s="3">
        <v>39</v>
      </c>
      <c r="Q258" s="4">
        <v>5.5</v>
      </c>
      <c r="R258" s="3">
        <v>59</v>
      </c>
      <c r="S258" s="3">
        <v>8</v>
      </c>
      <c r="T258" s="7">
        <v>-0.56000000000000005</v>
      </c>
    </row>
    <row r="259" spans="1:20" x14ac:dyDescent="0.35">
      <c r="A259" s="5" t="s">
        <v>700</v>
      </c>
      <c r="B259" s="3" t="s">
        <v>18</v>
      </c>
      <c r="C259" s="3" t="s">
        <v>1077</v>
      </c>
      <c r="D259" s="3" t="s">
        <v>1078</v>
      </c>
      <c r="E259" s="3" t="s">
        <v>28</v>
      </c>
      <c r="F259" s="3" t="s">
        <v>1079</v>
      </c>
      <c r="G259" s="3" t="s">
        <v>1080</v>
      </c>
      <c r="H259" s="43">
        <v>45514</v>
      </c>
      <c r="I259" s="43">
        <v>45500</v>
      </c>
      <c r="J259" s="47" t="str">
        <f>IF(GroDB3[[#This Row],[Last_Order_Date]]&lt;=GroDB3[[#This Row],[Date_Received]], "Yes", "No")</f>
        <v>Yes</v>
      </c>
      <c r="K259" s="43">
        <f>IF(GroDB3[[#This Row],[Column1]]="No",GroDB3[[#This Row],[Last_Order_Date]],GroDB3[[#This Row],[Date_Received]])</f>
        <v>45514</v>
      </c>
      <c r="L259" s="43">
        <f>IF(GroDB3[[#This Row],[Column1]]="No",GroDB3[[#This Row],[Date_Received]],GroDB3[[#This Row],[Last_Order_Date]])</f>
        <v>45500</v>
      </c>
      <c r="M259" s="43">
        <v>45421</v>
      </c>
      <c r="N259" s="3">
        <v>45</v>
      </c>
      <c r="O259" s="3">
        <v>70</v>
      </c>
      <c r="P259" s="3">
        <v>98</v>
      </c>
      <c r="Q259" s="4">
        <v>2.4500000000000002</v>
      </c>
      <c r="R259" s="3">
        <v>25</v>
      </c>
      <c r="S259" s="3">
        <v>39</v>
      </c>
      <c r="T259" s="7">
        <v>0.86</v>
      </c>
    </row>
    <row r="260" spans="1:20" x14ac:dyDescent="0.35">
      <c r="A260" s="5" t="s">
        <v>1081</v>
      </c>
      <c r="B260" s="3" t="s">
        <v>127</v>
      </c>
      <c r="C260" s="3" t="s">
        <v>778</v>
      </c>
      <c r="D260" s="3" t="s">
        <v>1082</v>
      </c>
      <c r="E260" s="3" t="s">
        <v>56</v>
      </c>
      <c r="F260" s="3" t="s">
        <v>1083</v>
      </c>
      <c r="G260" s="3" t="s">
        <v>1084</v>
      </c>
      <c r="H260" s="43">
        <v>45514</v>
      </c>
      <c r="I260" s="43">
        <v>45620</v>
      </c>
      <c r="J260" s="47" t="str">
        <f>IF(GroDB3[[#This Row],[Last_Order_Date]]&lt;=GroDB3[[#This Row],[Date_Received]], "Yes", "No")</f>
        <v>No</v>
      </c>
      <c r="K260" s="43">
        <f>IF(GroDB3[[#This Row],[Column1]]="No",GroDB3[[#This Row],[Last_Order_Date]],GroDB3[[#This Row],[Date_Received]])</f>
        <v>45620</v>
      </c>
      <c r="L260" s="43">
        <f>IF(GroDB3[[#This Row],[Column1]]="No",GroDB3[[#This Row],[Date_Received]],GroDB3[[#This Row],[Last_Order_Date]])</f>
        <v>45514</v>
      </c>
      <c r="M260" s="43">
        <v>45370</v>
      </c>
      <c r="N260" s="3">
        <v>26</v>
      </c>
      <c r="O260" s="3">
        <v>59</v>
      </c>
      <c r="P260" s="3">
        <v>54</v>
      </c>
      <c r="Q260" s="4">
        <v>8</v>
      </c>
      <c r="R260" s="3">
        <v>92</v>
      </c>
      <c r="S260" s="3">
        <v>49</v>
      </c>
      <c r="T260" s="7">
        <v>-0.56000000000000005</v>
      </c>
    </row>
    <row r="261" spans="1:20" x14ac:dyDescent="0.35">
      <c r="A261" s="5" t="s">
        <v>1085</v>
      </c>
      <c r="B261" s="3" t="s">
        <v>32</v>
      </c>
      <c r="C261" s="3" t="s">
        <v>849</v>
      </c>
      <c r="D261" s="3" t="s">
        <v>1086</v>
      </c>
      <c r="E261" s="3" t="s">
        <v>21</v>
      </c>
      <c r="F261" s="3" t="s">
        <v>1087</v>
      </c>
      <c r="G261" s="3" t="s">
        <v>1088</v>
      </c>
      <c r="H261" s="43">
        <v>45545</v>
      </c>
      <c r="I261" s="43">
        <v>45431</v>
      </c>
      <c r="J261" s="47" t="str">
        <f>IF(GroDB3[[#This Row],[Last_Order_Date]]&lt;=GroDB3[[#This Row],[Date_Received]], "Yes", "No")</f>
        <v>Yes</v>
      </c>
      <c r="K261" s="43">
        <f>IF(GroDB3[[#This Row],[Column1]]="No",GroDB3[[#This Row],[Last_Order_Date]],GroDB3[[#This Row],[Date_Received]])</f>
        <v>45545</v>
      </c>
      <c r="L261" s="43">
        <f>IF(GroDB3[[#This Row],[Column1]]="No",GroDB3[[#This Row],[Date_Received]],GroDB3[[#This Row],[Last_Order_Date]])</f>
        <v>45431</v>
      </c>
      <c r="M261" s="43">
        <v>45474</v>
      </c>
      <c r="N261" s="3">
        <v>49</v>
      </c>
      <c r="O261" s="3">
        <v>49</v>
      </c>
      <c r="P261" s="3">
        <v>26</v>
      </c>
      <c r="Q261" s="4">
        <v>8</v>
      </c>
      <c r="R261" s="3">
        <v>78</v>
      </c>
      <c r="S261" s="3">
        <v>61</v>
      </c>
      <c r="T261" s="7">
        <v>0.47</v>
      </c>
    </row>
    <row r="262" spans="1:20" x14ac:dyDescent="0.35">
      <c r="A262" s="5" t="s">
        <v>789</v>
      </c>
      <c r="B262" s="3" t="s">
        <v>18</v>
      </c>
      <c r="C262" s="3" t="s">
        <v>755</v>
      </c>
      <c r="D262" s="3" t="s">
        <v>1089</v>
      </c>
      <c r="E262" s="3" t="s">
        <v>56</v>
      </c>
      <c r="F262" s="3" t="s">
        <v>1090</v>
      </c>
      <c r="G262" s="3" t="s">
        <v>1091</v>
      </c>
      <c r="H262" s="43">
        <v>45545</v>
      </c>
      <c r="I262" s="43">
        <v>45706</v>
      </c>
      <c r="J262" s="47" t="str">
        <f>IF(GroDB3[[#This Row],[Last_Order_Date]]&lt;=GroDB3[[#This Row],[Date_Received]], "Yes", "No")</f>
        <v>No</v>
      </c>
      <c r="K262" s="43">
        <f>IF(GroDB3[[#This Row],[Column1]]="No",GroDB3[[#This Row],[Last_Order_Date]],GroDB3[[#This Row],[Date_Received]])</f>
        <v>45706</v>
      </c>
      <c r="L262" s="43">
        <f>IF(GroDB3[[#This Row],[Column1]]="No",GroDB3[[#This Row],[Date_Received]],GroDB3[[#This Row],[Last_Order_Date]])</f>
        <v>45545</v>
      </c>
      <c r="M262" s="43">
        <v>45594</v>
      </c>
      <c r="N262" s="3">
        <v>31</v>
      </c>
      <c r="O262" s="3">
        <v>55</v>
      </c>
      <c r="P262" s="3">
        <v>5</v>
      </c>
      <c r="Q262" s="4">
        <v>2</v>
      </c>
      <c r="R262" s="3">
        <v>71</v>
      </c>
      <c r="S262" s="3">
        <v>46</v>
      </c>
      <c r="T262" s="7">
        <v>0.22</v>
      </c>
    </row>
    <row r="263" spans="1:20" x14ac:dyDescent="0.35">
      <c r="A263" s="5" t="s">
        <v>1092</v>
      </c>
      <c r="B263" s="3" t="s">
        <v>18</v>
      </c>
      <c r="C263" s="3" t="s">
        <v>813</v>
      </c>
      <c r="D263" s="3" t="s">
        <v>1093</v>
      </c>
      <c r="E263" s="3" t="s">
        <v>56</v>
      </c>
      <c r="F263" s="3" t="s">
        <v>1094</v>
      </c>
      <c r="G263" s="3" t="s">
        <v>1095</v>
      </c>
      <c r="H263" s="43">
        <v>45545</v>
      </c>
      <c r="I263" s="43">
        <v>45616</v>
      </c>
      <c r="J263" s="47" t="str">
        <f>IF(GroDB3[[#This Row],[Last_Order_Date]]&lt;=GroDB3[[#This Row],[Date_Received]], "Yes", "No")</f>
        <v>No</v>
      </c>
      <c r="K263" s="43">
        <f>IF(GroDB3[[#This Row],[Column1]]="No",GroDB3[[#This Row],[Last_Order_Date]],GroDB3[[#This Row],[Date_Received]])</f>
        <v>45616</v>
      </c>
      <c r="L263" s="43">
        <f>IF(GroDB3[[#This Row],[Column1]]="No",GroDB3[[#This Row],[Date_Received]],GroDB3[[#This Row],[Last_Order_Date]])</f>
        <v>45545</v>
      </c>
      <c r="M263" s="43">
        <v>45454</v>
      </c>
      <c r="N263" s="3">
        <v>57</v>
      </c>
      <c r="O263" s="3">
        <v>82</v>
      </c>
      <c r="P263" s="3">
        <v>59</v>
      </c>
      <c r="Q263" s="4">
        <v>8</v>
      </c>
      <c r="R263" s="3">
        <v>44</v>
      </c>
      <c r="S263" s="3">
        <v>57</v>
      </c>
      <c r="T263" s="7">
        <v>0.35</v>
      </c>
    </row>
    <row r="264" spans="1:20" x14ac:dyDescent="0.35">
      <c r="A264" s="5" t="s">
        <v>151</v>
      </c>
      <c r="B264" s="3" t="s">
        <v>91</v>
      </c>
      <c r="C264" s="3" t="s">
        <v>304</v>
      </c>
      <c r="D264" s="3" t="s">
        <v>1096</v>
      </c>
      <c r="E264" s="3" t="s">
        <v>21</v>
      </c>
      <c r="F264" s="3" t="s">
        <v>1097</v>
      </c>
      <c r="G264" s="3" t="s">
        <v>1098</v>
      </c>
      <c r="H264" s="43">
        <v>45575</v>
      </c>
      <c r="I264" s="43">
        <v>45472</v>
      </c>
      <c r="J264" s="47" t="str">
        <f>IF(GroDB3[[#This Row],[Last_Order_Date]]&lt;=GroDB3[[#This Row],[Date_Received]], "Yes", "No")</f>
        <v>Yes</v>
      </c>
      <c r="K264" s="43">
        <f>IF(GroDB3[[#This Row],[Column1]]="No",GroDB3[[#This Row],[Last_Order_Date]],GroDB3[[#This Row],[Date_Received]])</f>
        <v>45575</v>
      </c>
      <c r="L264" s="43">
        <f>IF(GroDB3[[#This Row],[Column1]]="No",GroDB3[[#This Row],[Date_Received]],GroDB3[[#This Row],[Last_Order_Date]])</f>
        <v>45472</v>
      </c>
      <c r="M264" s="43">
        <v>45564</v>
      </c>
      <c r="N264" s="3">
        <v>12</v>
      </c>
      <c r="O264" s="3">
        <v>86</v>
      </c>
      <c r="P264" s="3">
        <v>98</v>
      </c>
      <c r="Q264" s="4">
        <v>4</v>
      </c>
      <c r="R264" s="3">
        <v>75</v>
      </c>
      <c r="S264" s="3">
        <v>86</v>
      </c>
      <c r="T264" s="7">
        <v>-0.3</v>
      </c>
    </row>
    <row r="265" spans="1:20" x14ac:dyDescent="0.35">
      <c r="A265" s="5" t="s">
        <v>320</v>
      </c>
      <c r="B265" s="3" t="s">
        <v>18</v>
      </c>
      <c r="C265" s="3" t="s">
        <v>536</v>
      </c>
      <c r="D265" s="3" t="s">
        <v>1099</v>
      </c>
      <c r="E265" s="3" t="s">
        <v>56</v>
      </c>
      <c r="F265" s="3" t="s">
        <v>1100</v>
      </c>
      <c r="G265" s="3" t="s">
        <v>1101</v>
      </c>
      <c r="H265" s="43">
        <v>45575</v>
      </c>
      <c r="I265" s="43">
        <v>45457</v>
      </c>
      <c r="J265" s="47" t="str">
        <f>IF(GroDB3[[#This Row],[Last_Order_Date]]&lt;=GroDB3[[#This Row],[Date_Received]], "Yes", "No")</f>
        <v>Yes</v>
      </c>
      <c r="K265" s="43">
        <f>IF(GroDB3[[#This Row],[Column1]]="No",GroDB3[[#This Row],[Last_Order_Date]],GroDB3[[#This Row],[Date_Received]])</f>
        <v>45575</v>
      </c>
      <c r="L265" s="43">
        <f>IF(GroDB3[[#This Row],[Column1]]="No",GroDB3[[#This Row],[Date_Received]],GroDB3[[#This Row],[Last_Order_Date]])</f>
        <v>45457</v>
      </c>
      <c r="M265" s="43">
        <v>45575</v>
      </c>
      <c r="N265" s="3">
        <v>64</v>
      </c>
      <c r="O265" s="3">
        <v>71</v>
      </c>
      <c r="P265" s="3">
        <v>69</v>
      </c>
      <c r="Q265" s="4">
        <v>3.9</v>
      </c>
      <c r="R265" s="3">
        <v>60</v>
      </c>
      <c r="S265" s="3">
        <v>67</v>
      </c>
      <c r="T265" s="7">
        <v>-0.15</v>
      </c>
    </row>
    <row r="266" spans="1:20" x14ac:dyDescent="0.35">
      <c r="A266" s="5" t="s">
        <v>686</v>
      </c>
      <c r="B266" s="3" t="s">
        <v>18</v>
      </c>
      <c r="C266" s="3" t="s">
        <v>570</v>
      </c>
      <c r="D266" s="3" t="s">
        <v>1102</v>
      </c>
      <c r="E266" s="3" t="s">
        <v>21</v>
      </c>
      <c r="F266" s="3" t="s">
        <v>1103</v>
      </c>
      <c r="G266" s="3" t="s">
        <v>1104</v>
      </c>
      <c r="H266" s="43">
        <v>45575</v>
      </c>
      <c r="I266" s="43">
        <v>45418</v>
      </c>
      <c r="J266" s="47" t="str">
        <f>IF(GroDB3[[#This Row],[Last_Order_Date]]&lt;=GroDB3[[#This Row],[Date_Received]], "Yes", "No")</f>
        <v>Yes</v>
      </c>
      <c r="K266" s="43">
        <f>IF(GroDB3[[#This Row],[Column1]]="No",GroDB3[[#This Row],[Last_Order_Date]],GroDB3[[#This Row],[Date_Received]])</f>
        <v>45575</v>
      </c>
      <c r="L266" s="43">
        <f>IF(GroDB3[[#This Row],[Column1]]="No",GroDB3[[#This Row],[Date_Received]],GroDB3[[#This Row],[Last_Order_Date]])</f>
        <v>45418</v>
      </c>
      <c r="M266" s="43">
        <v>45651</v>
      </c>
      <c r="N266" s="3">
        <v>11</v>
      </c>
      <c r="O266" s="3">
        <v>10</v>
      </c>
      <c r="P266" s="3">
        <v>60</v>
      </c>
      <c r="Q266" s="4">
        <v>2.5</v>
      </c>
      <c r="R266" s="3">
        <v>93</v>
      </c>
      <c r="S266" s="3">
        <v>53</v>
      </c>
      <c r="T266" s="7">
        <v>-0.12</v>
      </c>
    </row>
    <row r="267" spans="1:20" x14ac:dyDescent="0.35">
      <c r="A267" s="5" t="s">
        <v>146</v>
      </c>
      <c r="B267" s="3" t="s">
        <v>53</v>
      </c>
      <c r="C267" s="3" t="s">
        <v>1105</v>
      </c>
      <c r="D267" s="3" t="s">
        <v>1106</v>
      </c>
      <c r="E267" s="3" t="s">
        <v>56</v>
      </c>
      <c r="F267" s="3" t="s">
        <v>1107</v>
      </c>
      <c r="G267" s="3" t="s">
        <v>1108</v>
      </c>
      <c r="H267" s="43">
        <v>45575</v>
      </c>
      <c r="I267" s="43">
        <v>45520</v>
      </c>
      <c r="J267" s="47" t="str">
        <f>IF(GroDB3[[#This Row],[Last_Order_Date]]&lt;=GroDB3[[#This Row],[Date_Received]], "Yes", "No")</f>
        <v>Yes</v>
      </c>
      <c r="K267" s="43">
        <f>IF(GroDB3[[#This Row],[Column1]]="No",GroDB3[[#This Row],[Last_Order_Date]],GroDB3[[#This Row],[Date_Received]])</f>
        <v>45575</v>
      </c>
      <c r="L267" s="43">
        <f>IF(GroDB3[[#This Row],[Column1]]="No",GroDB3[[#This Row],[Date_Received]],GroDB3[[#This Row],[Last_Order_Date]])</f>
        <v>45520</v>
      </c>
      <c r="M267" s="43">
        <v>45606</v>
      </c>
      <c r="N267" s="3">
        <v>46</v>
      </c>
      <c r="O267" s="3">
        <v>39</v>
      </c>
      <c r="P267" s="3">
        <v>11</v>
      </c>
      <c r="Q267" s="4">
        <v>4.75</v>
      </c>
      <c r="R267" s="3">
        <v>36</v>
      </c>
      <c r="S267" s="3">
        <v>54</v>
      </c>
      <c r="T267" s="7">
        <v>0.43</v>
      </c>
    </row>
    <row r="268" spans="1:20" x14ac:dyDescent="0.35">
      <c r="A268" s="5" t="s">
        <v>1109</v>
      </c>
      <c r="B268" s="3" t="s">
        <v>18</v>
      </c>
      <c r="C268" s="3" t="s">
        <v>1110</v>
      </c>
      <c r="D268" s="3" t="s">
        <v>1111</v>
      </c>
      <c r="E268" s="3" t="s">
        <v>28</v>
      </c>
      <c r="F268" s="3" t="s">
        <v>1112</v>
      </c>
      <c r="G268" s="3" t="s">
        <v>1113</v>
      </c>
      <c r="H268" s="43">
        <v>45606</v>
      </c>
      <c r="I268" s="43">
        <v>45503</v>
      </c>
      <c r="J268" s="47" t="str">
        <f>IF(GroDB3[[#This Row],[Last_Order_Date]]&lt;=GroDB3[[#This Row],[Date_Received]], "Yes", "No")</f>
        <v>Yes</v>
      </c>
      <c r="K268" s="43">
        <f>IF(GroDB3[[#This Row],[Column1]]="No",GroDB3[[#This Row],[Last_Order_Date]],GroDB3[[#This Row],[Date_Received]])</f>
        <v>45606</v>
      </c>
      <c r="L268" s="43">
        <f>IF(GroDB3[[#This Row],[Column1]]="No",GroDB3[[#This Row],[Date_Received]],GroDB3[[#This Row],[Last_Order_Date]])</f>
        <v>45503</v>
      </c>
      <c r="M268" s="43">
        <v>45566</v>
      </c>
      <c r="N268" s="3">
        <v>89</v>
      </c>
      <c r="O268" s="3">
        <v>56</v>
      </c>
      <c r="P268" s="3">
        <v>74</v>
      </c>
      <c r="Q268" s="4">
        <v>2.5</v>
      </c>
      <c r="R268" s="3">
        <v>27</v>
      </c>
      <c r="S268" s="3">
        <v>51</v>
      </c>
      <c r="T268" s="7">
        <v>-0.5</v>
      </c>
    </row>
    <row r="269" spans="1:20" x14ac:dyDescent="0.35">
      <c r="A269" s="5" t="s">
        <v>90</v>
      </c>
      <c r="B269" s="3" t="s">
        <v>91</v>
      </c>
      <c r="C269" s="3" t="s">
        <v>356</v>
      </c>
      <c r="D269" s="3" t="s">
        <v>1114</v>
      </c>
      <c r="E269" s="3" t="s">
        <v>21</v>
      </c>
      <c r="F269" s="3" t="s">
        <v>1115</v>
      </c>
      <c r="G269" s="3" t="s">
        <v>1116</v>
      </c>
      <c r="H269" s="43">
        <v>45606</v>
      </c>
      <c r="I269" s="43">
        <v>45379</v>
      </c>
      <c r="J269" s="47" t="str">
        <f>IF(GroDB3[[#This Row],[Last_Order_Date]]&lt;=GroDB3[[#This Row],[Date_Received]], "Yes", "No")</f>
        <v>Yes</v>
      </c>
      <c r="K269" s="43">
        <f>IF(GroDB3[[#This Row],[Column1]]="No",GroDB3[[#This Row],[Last_Order_Date]],GroDB3[[#This Row],[Date_Received]])</f>
        <v>45606</v>
      </c>
      <c r="L269" s="43">
        <f>IF(GroDB3[[#This Row],[Column1]]="No",GroDB3[[#This Row],[Date_Received]],GroDB3[[#This Row],[Last_Order_Date]])</f>
        <v>45379</v>
      </c>
      <c r="M269" s="43">
        <v>45660</v>
      </c>
      <c r="N269" s="3">
        <v>72</v>
      </c>
      <c r="O269" s="3">
        <v>78</v>
      </c>
      <c r="P269" s="3">
        <v>1</v>
      </c>
      <c r="Q269" s="4">
        <v>4</v>
      </c>
      <c r="R269" s="3">
        <v>85</v>
      </c>
      <c r="S269" s="3">
        <v>30</v>
      </c>
      <c r="T269" s="7">
        <v>-0.89</v>
      </c>
    </row>
    <row r="270" spans="1:20" x14ac:dyDescent="0.35">
      <c r="A270" s="5" t="s">
        <v>1117</v>
      </c>
      <c r="B270" s="3" t="s">
        <v>91</v>
      </c>
      <c r="C270" s="3" t="s">
        <v>721</v>
      </c>
      <c r="D270" s="3" t="s">
        <v>1118</v>
      </c>
      <c r="E270" s="3" t="s">
        <v>56</v>
      </c>
      <c r="F270" s="3" t="s">
        <v>1119</v>
      </c>
      <c r="G270" s="3" t="s">
        <v>1120</v>
      </c>
      <c r="H270" s="43">
        <v>45636</v>
      </c>
      <c r="I270" s="43">
        <v>45488</v>
      </c>
      <c r="J270" s="47" t="str">
        <f>IF(GroDB3[[#This Row],[Last_Order_Date]]&lt;=GroDB3[[#This Row],[Date_Received]], "Yes", "No")</f>
        <v>Yes</v>
      </c>
      <c r="K270" s="43">
        <f>IF(GroDB3[[#This Row],[Column1]]="No",GroDB3[[#This Row],[Last_Order_Date]],GroDB3[[#This Row],[Date_Received]])</f>
        <v>45636</v>
      </c>
      <c r="L270" s="43">
        <f>IF(GroDB3[[#This Row],[Column1]]="No",GroDB3[[#This Row],[Date_Received]],GroDB3[[#This Row],[Last_Order_Date]])</f>
        <v>45488</v>
      </c>
      <c r="M270" s="43">
        <v>45534</v>
      </c>
      <c r="N270" s="3">
        <v>38</v>
      </c>
      <c r="O270" s="3">
        <v>93</v>
      </c>
      <c r="P270" s="3">
        <v>61</v>
      </c>
      <c r="Q270" s="4">
        <v>6</v>
      </c>
      <c r="R270" s="3">
        <v>67</v>
      </c>
      <c r="S270" s="3">
        <v>100</v>
      </c>
      <c r="T270" s="7">
        <v>0.65</v>
      </c>
    </row>
    <row r="271" spans="1:20" x14ac:dyDescent="0.35">
      <c r="A271" s="5" t="s">
        <v>329</v>
      </c>
      <c r="B271" s="3" t="s">
        <v>53</v>
      </c>
      <c r="C271" s="3" t="s">
        <v>832</v>
      </c>
      <c r="D271" s="3" t="s">
        <v>1121</v>
      </c>
      <c r="E271" s="3" t="s">
        <v>28</v>
      </c>
      <c r="F271" s="3" t="s">
        <v>1122</v>
      </c>
      <c r="G271" s="3" t="s">
        <v>1123</v>
      </c>
      <c r="H271" s="43">
        <v>45636</v>
      </c>
      <c r="I271" s="43">
        <v>45674</v>
      </c>
      <c r="J271" s="47" t="str">
        <f>IF(GroDB3[[#This Row],[Last_Order_Date]]&lt;=GroDB3[[#This Row],[Date_Received]], "Yes", "No")</f>
        <v>No</v>
      </c>
      <c r="K271" s="43">
        <f>IF(GroDB3[[#This Row],[Column1]]="No",GroDB3[[#This Row],[Last_Order_Date]],GroDB3[[#This Row],[Date_Received]])</f>
        <v>45674</v>
      </c>
      <c r="L271" s="43">
        <f>IF(GroDB3[[#This Row],[Column1]]="No",GroDB3[[#This Row],[Date_Received]],GroDB3[[#This Row],[Last_Order_Date]])</f>
        <v>45636</v>
      </c>
      <c r="M271" s="43">
        <v>45429</v>
      </c>
      <c r="N271" s="3">
        <v>79</v>
      </c>
      <c r="O271" s="3">
        <v>98</v>
      </c>
      <c r="P271" s="3">
        <v>97</v>
      </c>
      <c r="Q271" s="4">
        <v>6</v>
      </c>
      <c r="R271" s="3">
        <v>26</v>
      </c>
      <c r="S271" s="3">
        <v>21</v>
      </c>
      <c r="T271" s="7">
        <v>-0.49</v>
      </c>
    </row>
    <row r="272" spans="1:20" x14ac:dyDescent="0.35">
      <c r="A272" s="5" t="s">
        <v>508</v>
      </c>
      <c r="B272" s="3" t="s">
        <v>127</v>
      </c>
      <c r="C272" s="3" t="s">
        <v>321</v>
      </c>
      <c r="D272" s="3" t="s">
        <v>1124</v>
      </c>
      <c r="E272" s="3" t="s">
        <v>56</v>
      </c>
      <c r="F272" s="3" t="s">
        <v>1125</v>
      </c>
      <c r="G272" s="3" t="s">
        <v>1126</v>
      </c>
      <c r="H272" s="43">
        <v>45636</v>
      </c>
      <c r="I272" s="43">
        <v>45371</v>
      </c>
      <c r="J272" s="47" t="str">
        <f>IF(GroDB3[[#This Row],[Last_Order_Date]]&lt;=GroDB3[[#This Row],[Date_Received]], "Yes", "No")</f>
        <v>Yes</v>
      </c>
      <c r="K272" s="43">
        <f>IF(GroDB3[[#This Row],[Column1]]="No",GroDB3[[#This Row],[Last_Order_Date]],GroDB3[[#This Row],[Date_Received]])</f>
        <v>45636</v>
      </c>
      <c r="L272" s="43">
        <f>IF(GroDB3[[#This Row],[Column1]]="No",GroDB3[[#This Row],[Date_Received]],GroDB3[[#This Row],[Last_Order_Date]])</f>
        <v>45371</v>
      </c>
      <c r="M272" s="43">
        <v>45401</v>
      </c>
      <c r="N272" s="3">
        <v>56</v>
      </c>
      <c r="O272" s="3">
        <v>12</v>
      </c>
      <c r="P272" s="3">
        <v>85</v>
      </c>
      <c r="Q272" s="4">
        <v>5</v>
      </c>
      <c r="R272" s="3">
        <v>52</v>
      </c>
      <c r="S272" s="3">
        <v>46</v>
      </c>
      <c r="T272" s="7">
        <v>0.19</v>
      </c>
    </row>
    <row r="273" spans="1:20" x14ac:dyDescent="0.35">
      <c r="A273" s="5" t="s">
        <v>1069</v>
      </c>
      <c r="B273" s="3" t="s">
        <v>18</v>
      </c>
      <c r="C273" s="3" t="s">
        <v>1127</v>
      </c>
      <c r="D273" s="3" t="s">
        <v>1128</v>
      </c>
      <c r="E273" s="3" t="s">
        <v>56</v>
      </c>
      <c r="F273" s="3" t="s">
        <v>1129</v>
      </c>
      <c r="G273" s="3" t="s">
        <v>1130</v>
      </c>
      <c r="H273" s="43">
        <v>45362</v>
      </c>
      <c r="I273" s="43">
        <v>45473</v>
      </c>
      <c r="J273" s="47" t="str">
        <f>IF(GroDB3[[#This Row],[Last_Order_Date]]&lt;=GroDB3[[#This Row],[Date_Received]], "Yes", "No")</f>
        <v>No</v>
      </c>
      <c r="K273" s="43">
        <f>IF(GroDB3[[#This Row],[Column1]]="No",GroDB3[[#This Row],[Last_Order_Date]],GroDB3[[#This Row],[Date_Received]])</f>
        <v>45473</v>
      </c>
      <c r="L273" s="43">
        <f>IF(GroDB3[[#This Row],[Column1]]="No",GroDB3[[#This Row],[Date_Received]],GroDB3[[#This Row],[Last_Order_Date]])</f>
        <v>45362</v>
      </c>
      <c r="M273" s="43">
        <v>45457</v>
      </c>
      <c r="N273" s="3">
        <v>54</v>
      </c>
      <c r="O273" s="3">
        <v>26</v>
      </c>
      <c r="P273" s="3">
        <v>16</v>
      </c>
      <c r="Q273" s="4">
        <v>6</v>
      </c>
      <c r="R273" s="3">
        <v>63</v>
      </c>
      <c r="S273" s="3">
        <v>97</v>
      </c>
      <c r="T273" s="7">
        <v>0.12</v>
      </c>
    </row>
    <row r="274" spans="1:20" x14ac:dyDescent="0.35">
      <c r="A274" s="5" t="s">
        <v>116</v>
      </c>
      <c r="B274" s="3" t="s">
        <v>18</v>
      </c>
      <c r="C274" s="3" t="s">
        <v>312</v>
      </c>
      <c r="D274" s="3" t="s">
        <v>1131</v>
      </c>
      <c r="E274" s="3" t="s">
        <v>56</v>
      </c>
      <c r="F274" s="3" t="s">
        <v>1132</v>
      </c>
      <c r="G274" s="3" t="s">
        <v>1133</v>
      </c>
      <c r="H274" s="43">
        <v>45362</v>
      </c>
      <c r="I274" s="43">
        <v>45392</v>
      </c>
      <c r="J274" s="47" t="str">
        <f>IF(GroDB3[[#This Row],[Last_Order_Date]]&lt;=GroDB3[[#This Row],[Date_Received]], "Yes", "No")</f>
        <v>No</v>
      </c>
      <c r="K274" s="43">
        <f>IF(GroDB3[[#This Row],[Column1]]="No",GroDB3[[#This Row],[Last_Order_Date]],GroDB3[[#This Row],[Date_Received]])</f>
        <v>45392</v>
      </c>
      <c r="L274" s="43">
        <f>IF(GroDB3[[#This Row],[Column1]]="No",GroDB3[[#This Row],[Date_Received]],GroDB3[[#This Row],[Last_Order_Date]])</f>
        <v>45362</v>
      </c>
      <c r="M274" s="43">
        <v>45408</v>
      </c>
      <c r="N274" s="3">
        <v>91</v>
      </c>
      <c r="O274" s="3">
        <v>55</v>
      </c>
      <c r="P274" s="3">
        <v>94</v>
      </c>
      <c r="Q274" s="4">
        <v>3</v>
      </c>
      <c r="R274" s="3">
        <v>42</v>
      </c>
      <c r="S274" s="3">
        <v>93</v>
      </c>
      <c r="T274" s="7">
        <v>-0.54</v>
      </c>
    </row>
    <row r="275" spans="1:20" x14ac:dyDescent="0.35">
      <c r="A275" s="5" t="s">
        <v>101</v>
      </c>
      <c r="B275" s="3" t="s">
        <v>18</v>
      </c>
      <c r="C275" s="3" t="s">
        <v>1134</v>
      </c>
      <c r="D275" s="3" t="s">
        <v>1135</v>
      </c>
      <c r="E275" s="3" t="s">
        <v>28</v>
      </c>
      <c r="F275" s="3" t="s">
        <v>1136</v>
      </c>
      <c r="G275" s="3" t="s">
        <v>1137</v>
      </c>
      <c r="H275" s="43">
        <v>45393</v>
      </c>
      <c r="I275" s="43">
        <v>45608</v>
      </c>
      <c r="J275" s="47" t="str">
        <f>IF(GroDB3[[#This Row],[Last_Order_Date]]&lt;=GroDB3[[#This Row],[Date_Received]], "Yes", "No")</f>
        <v>No</v>
      </c>
      <c r="K275" s="43">
        <f>IF(GroDB3[[#This Row],[Column1]]="No",GroDB3[[#This Row],[Last_Order_Date]],GroDB3[[#This Row],[Date_Received]])</f>
        <v>45608</v>
      </c>
      <c r="L275" s="43">
        <f>IF(GroDB3[[#This Row],[Column1]]="No",GroDB3[[#This Row],[Date_Received]],GroDB3[[#This Row],[Last_Order_Date]])</f>
        <v>45393</v>
      </c>
      <c r="M275" s="43">
        <v>45512</v>
      </c>
      <c r="N275" s="3">
        <v>82</v>
      </c>
      <c r="O275" s="3">
        <v>65</v>
      </c>
      <c r="P275" s="3">
        <v>69</v>
      </c>
      <c r="Q275" s="4">
        <v>4.45</v>
      </c>
      <c r="R275" s="3">
        <v>30</v>
      </c>
      <c r="S275" s="3">
        <v>78</v>
      </c>
      <c r="T275" s="7">
        <v>-1.21</v>
      </c>
    </row>
    <row r="276" spans="1:20" x14ac:dyDescent="0.35">
      <c r="A276" s="5" t="s">
        <v>1138</v>
      </c>
      <c r="B276" s="3" t="s">
        <v>32</v>
      </c>
      <c r="C276" s="3" t="s">
        <v>1139</v>
      </c>
      <c r="D276" s="3" t="s">
        <v>1140</v>
      </c>
      <c r="E276" s="3" t="s">
        <v>28</v>
      </c>
      <c r="F276" s="3" t="s">
        <v>1141</v>
      </c>
      <c r="G276" s="3" t="s">
        <v>1142</v>
      </c>
      <c r="H276" s="43">
        <v>45393</v>
      </c>
      <c r="I276" s="43">
        <v>45354</v>
      </c>
      <c r="J276" s="47" t="str">
        <f>IF(GroDB3[[#This Row],[Last_Order_Date]]&lt;=GroDB3[[#This Row],[Date_Received]], "Yes", "No")</f>
        <v>Yes</v>
      </c>
      <c r="K276" s="43">
        <f>IF(GroDB3[[#This Row],[Column1]]="No",GroDB3[[#This Row],[Last_Order_Date]],GroDB3[[#This Row],[Date_Received]])</f>
        <v>45393</v>
      </c>
      <c r="L276" s="43">
        <f>IF(GroDB3[[#This Row],[Column1]]="No",GroDB3[[#This Row],[Date_Received]],GroDB3[[#This Row],[Last_Order_Date]])</f>
        <v>45354</v>
      </c>
      <c r="M276" s="43">
        <v>45438</v>
      </c>
      <c r="N276" s="3">
        <v>36</v>
      </c>
      <c r="O276" s="3">
        <v>30</v>
      </c>
      <c r="P276" s="3">
        <v>44</v>
      </c>
      <c r="Q276" s="4">
        <v>0.2</v>
      </c>
      <c r="R276" s="3">
        <v>68</v>
      </c>
      <c r="S276" s="3">
        <v>88</v>
      </c>
      <c r="T276" s="7">
        <v>-1.6</v>
      </c>
    </row>
    <row r="277" spans="1:20" x14ac:dyDescent="0.35">
      <c r="A277" s="5" t="s">
        <v>416</v>
      </c>
      <c r="B277" s="3" t="s">
        <v>53</v>
      </c>
      <c r="C277" s="3" t="s">
        <v>1143</v>
      </c>
      <c r="D277" s="3" t="s">
        <v>1144</v>
      </c>
      <c r="E277" s="3" t="s">
        <v>56</v>
      </c>
      <c r="F277" s="3" t="s">
        <v>1145</v>
      </c>
      <c r="G277" s="3" t="s">
        <v>1146</v>
      </c>
      <c r="H277" s="43">
        <v>45393</v>
      </c>
      <c r="I277" s="43">
        <v>45441</v>
      </c>
      <c r="J277" s="47" t="str">
        <f>IF(GroDB3[[#This Row],[Last_Order_Date]]&lt;=GroDB3[[#This Row],[Date_Received]], "Yes", "No")</f>
        <v>No</v>
      </c>
      <c r="K277" s="43">
        <f>IF(GroDB3[[#This Row],[Column1]]="No",GroDB3[[#This Row],[Last_Order_Date]],GroDB3[[#This Row],[Date_Received]])</f>
        <v>45441</v>
      </c>
      <c r="L277" s="43">
        <f>IF(GroDB3[[#This Row],[Column1]]="No",GroDB3[[#This Row],[Date_Received]],GroDB3[[#This Row],[Last_Order_Date]])</f>
        <v>45393</v>
      </c>
      <c r="M277" s="43">
        <v>45502</v>
      </c>
      <c r="N277" s="3">
        <v>22</v>
      </c>
      <c r="O277" s="3">
        <v>77</v>
      </c>
      <c r="P277" s="3">
        <v>15</v>
      </c>
      <c r="Q277" s="4">
        <v>3</v>
      </c>
      <c r="R277" s="3">
        <v>68</v>
      </c>
      <c r="S277" s="3">
        <v>46</v>
      </c>
      <c r="T277" s="7">
        <v>-0.28999999999999998</v>
      </c>
    </row>
    <row r="278" spans="1:20" x14ac:dyDescent="0.35">
      <c r="A278" s="5" t="s">
        <v>397</v>
      </c>
      <c r="B278" s="3" t="s">
        <v>25</v>
      </c>
      <c r="C278" s="3" t="s">
        <v>1050</v>
      </c>
      <c r="D278" s="3" t="s">
        <v>1147</v>
      </c>
      <c r="E278" s="3" t="s">
        <v>21</v>
      </c>
      <c r="F278" s="3" t="s">
        <v>1148</v>
      </c>
      <c r="G278" s="3" t="s">
        <v>1149</v>
      </c>
      <c r="H278" s="43">
        <v>45423</v>
      </c>
      <c r="I278" s="43">
        <v>45639</v>
      </c>
      <c r="J278" s="47" t="str">
        <f>IF(GroDB3[[#This Row],[Last_Order_Date]]&lt;=GroDB3[[#This Row],[Date_Received]], "Yes", "No")</f>
        <v>No</v>
      </c>
      <c r="K278" s="43">
        <f>IF(GroDB3[[#This Row],[Column1]]="No",GroDB3[[#This Row],[Last_Order_Date]],GroDB3[[#This Row],[Date_Received]])</f>
        <v>45639</v>
      </c>
      <c r="L278" s="43">
        <f>IF(GroDB3[[#This Row],[Column1]]="No",GroDB3[[#This Row],[Date_Received]],GroDB3[[#This Row],[Last_Order_Date]])</f>
        <v>45423</v>
      </c>
      <c r="M278" s="43">
        <v>45399</v>
      </c>
      <c r="N278" s="3">
        <v>87</v>
      </c>
      <c r="O278" s="3">
        <v>24</v>
      </c>
      <c r="P278" s="3">
        <v>19</v>
      </c>
      <c r="Q278" s="4">
        <v>2.5</v>
      </c>
      <c r="R278" s="3">
        <v>83</v>
      </c>
      <c r="S278" s="3">
        <v>3</v>
      </c>
      <c r="T278" s="7">
        <v>0.32</v>
      </c>
    </row>
    <row r="279" spans="1:20" x14ac:dyDescent="0.35">
      <c r="A279" s="5" t="s">
        <v>85</v>
      </c>
      <c r="B279" s="3" t="s">
        <v>18</v>
      </c>
      <c r="C279" s="3" t="s">
        <v>299</v>
      </c>
      <c r="D279" s="3" t="s">
        <v>1150</v>
      </c>
      <c r="E279" s="3" t="s">
        <v>56</v>
      </c>
      <c r="F279" s="3" t="s">
        <v>1151</v>
      </c>
      <c r="G279" s="3" t="s">
        <v>1152</v>
      </c>
      <c r="H279" s="43">
        <v>45423</v>
      </c>
      <c r="I279" s="43">
        <v>45636</v>
      </c>
      <c r="J279" s="47" t="str">
        <f>IF(GroDB3[[#This Row],[Last_Order_Date]]&lt;=GroDB3[[#This Row],[Date_Received]], "Yes", "No")</f>
        <v>No</v>
      </c>
      <c r="K279" s="43">
        <f>IF(GroDB3[[#This Row],[Column1]]="No",GroDB3[[#This Row],[Last_Order_Date]],GroDB3[[#This Row],[Date_Received]])</f>
        <v>45636</v>
      </c>
      <c r="L279" s="43">
        <f>IF(GroDB3[[#This Row],[Column1]]="No",GroDB3[[#This Row],[Date_Received]],GroDB3[[#This Row],[Last_Order_Date]])</f>
        <v>45423</v>
      </c>
      <c r="M279" s="43">
        <v>45508</v>
      </c>
      <c r="N279" s="3">
        <v>44</v>
      </c>
      <c r="O279" s="3">
        <v>8</v>
      </c>
      <c r="P279" s="3">
        <v>52</v>
      </c>
      <c r="Q279" s="4">
        <v>2.95</v>
      </c>
      <c r="R279" s="3">
        <v>42</v>
      </c>
      <c r="S279" s="3">
        <v>66</v>
      </c>
      <c r="T279" s="7">
        <v>0.96</v>
      </c>
    </row>
    <row r="280" spans="1:20" x14ac:dyDescent="0.35">
      <c r="A280" s="5" t="s">
        <v>632</v>
      </c>
      <c r="B280" s="3" t="s">
        <v>60</v>
      </c>
      <c r="C280" s="3" t="s">
        <v>43</v>
      </c>
      <c r="D280" s="3" t="s">
        <v>1153</v>
      </c>
      <c r="E280" s="3" t="s">
        <v>56</v>
      </c>
      <c r="F280" s="3" t="s">
        <v>1154</v>
      </c>
      <c r="G280" s="3" t="s">
        <v>1155</v>
      </c>
      <c r="H280" s="43">
        <v>45423</v>
      </c>
      <c r="I280" s="43">
        <v>45436</v>
      </c>
      <c r="J280" s="47" t="str">
        <f>IF(GroDB3[[#This Row],[Last_Order_Date]]&lt;=GroDB3[[#This Row],[Date_Received]], "Yes", "No")</f>
        <v>No</v>
      </c>
      <c r="K280" s="43">
        <f>IF(GroDB3[[#This Row],[Column1]]="No",GroDB3[[#This Row],[Last_Order_Date]],GroDB3[[#This Row],[Date_Received]])</f>
        <v>45436</v>
      </c>
      <c r="L280" s="43">
        <f>IF(GroDB3[[#This Row],[Column1]]="No",GroDB3[[#This Row],[Date_Received]],GroDB3[[#This Row],[Last_Order_Date]])</f>
        <v>45423</v>
      </c>
      <c r="M280" s="43">
        <v>45524</v>
      </c>
      <c r="N280" s="3">
        <v>96</v>
      </c>
      <c r="O280" s="3">
        <v>12</v>
      </c>
      <c r="P280" s="3">
        <v>8</v>
      </c>
      <c r="Q280" s="4">
        <v>8</v>
      </c>
      <c r="R280" s="3">
        <v>97</v>
      </c>
      <c r="S280" s="3">
        <v>92</v>
      </c>
      <c r="T280" s="7">
        <v>-0.56999999999999995</v>
      </c>
    </row>
    <row r="281" spans="1:20" x14ac:dyDescent="0.35">
      <c r="A281" s="5" t="s">
        <v>293</v>
      </c>
      <c r="B281" s="3" t="s">
        <v>18</v>
      </c>
      <c r="C281" s="3" t="s">
        <v>1156</v>
      </c>
      <c r="D281" s="3" t="s">
        <v>1157</v>
      </c>
      <c r="E281" s="3" t="s">
        <v>56</v>
      </c>
      <c r="F281" s="3" t="s">
        <v>1158</v>
      </c>
      <c r="G281" s="3" t="s">
        <v>1159</v>
      </c>
      <c r="H281" s="43">
        <v>45454</v>
      </c>
      <c r="I281" s="43">
        <v>45496</v>
      </c>
      <c r="J281" s="47" t="str">
        <f>IF(GroDB3[[#This Row],[Last_Order_Date]]&lt;=GroDB3[[#This Row],[Date_Received]], "Yes", "No")</f>
        <v>No</v>
      </c>
      <c r="K281" s="43">
        <f>IF(GroDB3[[#This Row],[Column1]]="No",GroDB3[[#This Row],[Last_Order_Date]],GroDB3[[#This Row],[Date_Received]])</f>
        <v>45496</v>
      </c>
      <c r="L281" s="43">
        <f>IF(GroDB3[[#This Row],[Column1]]="No",GroDB3[[#This Row],[Date_Received]],GroDB3[[#This Row],[Last_Order_Date]])</f>
        <v>45454</v>
      </c>
      <c r="M281" s="43">
        <v>45593</v>
      </c>
      <c r="N281" s="3">
        <v>39</v>
      </c>
      <c r="O281" s="3">
        <v>22</v>
      </c>
      <c r="P281" s="3">
        <v>73</v>
      </c>
      <c r="Q281" s="4">
        <v>2</v>
      </c>
      <c r="R281" s="3">
        <v>60</v>
      </c>
      <c r="S281" s="3">
        <v>2</v>
      </c>
      <c r="T281" s="7">
        <v>0.05</v>
      </c>
    </row>
    <row r="282" spans="1:20" x14ac:dyDescent="0.35">
      <c r="A282" s="5" t="s">
        <v>470</v>
      </c>
      <c r="B282" s="3" t="s">
        <v>18</v>
      </c>
      <c r="C282" s="3" t="s">
        <v>1160</v>
      </c>
      <c r="D282" s="3" t="s">
        <v>1161</v>
      </c>
      <c r="E282" s="3" t="s">
        <v>28</v>
      </c>
      <c r="F282" s="3" t="s">
        <v>1162</v>
      </c>
      <c r="G282" s="3" t="s">
        <v>1163</v>
      </c>
      <c r="H282" s="43">
        <v>45454</v>
      </c>
      <c r="I282" s="43">
        <v>45709</v>
      </c>
      <c r="J282" s="47" t="str">
        <f>IF(GroDB3[[#This Row],[Last_Order_Date]]&lt;=GroDB3[[#This Row],[Date_Received]], "Yes", "No")</f>
        <v>No</v>
      </c>
      <c r="K282" s="43">
        <f>IF(GroDB3[[#This Row],[Column1]]="No",GroDB3[[#This Row],[Last_Order_Date]],GroDB3[[#This Row],[Date_Received]])</f>
        <v>45709</v>
      </c>
      <c r="L282" s="43">
        <f>IF(GroDB3[[#This Row],[Column1]]="No",GroDB3[[#This Row],[Date_Received]],GroDB3[[#This Row],[Last_Order_Date]])</f>
        <v>45454</v>
      </c>
      <c r="M282" s="43">
        <v>45538</v>
      </c>
      <c r="N282" s="3">
        <v>15</v>
      </c>
      <c r="O282" s="3">
        <v>27</v>
      </c>
      <c r="P282" s="3">
        <v>21</v>
      </c>
      <c r="Q282" s="4">
        <v>4</v>
      </c>
      <c r="R282" s="3">
        <v>37</v>
      </c>
      <c r="S282" s="3">
        <v>67</v>
      </c>
      <c r="T282" s="7">
        <v>0.97</v>
      </c>
    </row>
    <row r="283" spans="1:20" x14ac:dyDescent="0.35">
      <c r="A283" s="5" t="s">
        <v>1109</v>
      </c>
      <c r="B283" s="3" t="s">
        <v>18</v>
      </c>
      <c r="C283" s="3" t="s">
        <v>1164</v>
      </c>
      <c r="D283" s="3" t="s">
        <v>1165</v>
      </c>
      <c r="E283" s="3" t="s">
        <v>21</v>
      </c>
      <c r="F283" s="3" t="s">
        <v>1166</v>
      </c>
      <c r="G283" s="3" t="s">
        <v>1167</v>
      </c>
      <c r="H283" s="43">
        <v>45454</v>
      </c>
      <c r="I283" s="43">
        <v>45386</v>
      </c>
      <c r="J283" s="47" t="str">
        <f>IF(GroDB3[[#This Row],[Last_Order_Date]]&lt;=GroDB3[[#This Row],[Date_Received]], "Yes", "No")</f>
        <v>Yes</v>
      </c>
      <c r="K283" s="43">
        <f>IF(GroDB3[[#This Row],[Column1]]="No",GroDB3[[#This Row],[Last_Order_Date]],GroDB3[[#This Row],[Date_Received]])</f>
        <v>45454</v>
      </c>
      <c r="L283" s="43">
        <f>IF(GroDB3[[#This Row],[Column1]]="No",GroDB3[[#This Row],[Date_Received]],GroDB3[[#This Row],[Last_Order_Date]])</f>
        <v>45386</v>
      </c>
      <c r="M283" s="43">
        <v>45361</v>
      </c>
      <c r="N283" s="3">
        <v>52</v>
      </c>
      <c r="O283" s="3">
        <v>79</v>
      </c>
      <c r="P283" s="3">
        <v>87</v>
      </c>
      <c r="Q283" s="4">
        <v>2.5</v>
      </c>
      <c r="R283" s="3">
        <v>36</v>
      </c>
      <c r="S283" s="3">
        <v>100</v>
      </c>
      <c r="T283" s="7">
        <v>-0.81</v>
      </c>
    </row>
    <row r="284" spans="1:20" x14ac:dyDescent="0.35">
      <c r="A284" s="5" t="s">
        <v>438</v>
      </c>
      <c r="B284" s="3" t="s">
        <v>18</v>
      </c>
      <c r="C284" s="3" t="s">
        <v>1168</v>
      </c>
      <c r="D284" s="3" t="s">
        <v>1169</v>
      </c>
      <c r="E284" s="3" t="s">
        <v>21</v>
      </c>
      <c r="F284" s="3" t="s">
        <v>1170</v>
      </c>
      <c r="G284" s="3" t="s">
        <v>1171</v>
      </c>
      <c r="H284" s="43">
        <v>45454</v>
      </c>
      <c r="I284" s="43">
        <v>45677</v>
      </c>
      <c r="J284" s="47" t="str">
        <f>IF(GroDB3[[#This Row],[Last_Order_Date]]&lt;=GroDB3[[#This Row],[Date_Received]], "Yes", "No")</f>
        <v>No</v>
      </c>
      <c r="K284" s="43">
        <f>IF(GroDB3[[#This Row],[Column1]]="No",GroDB3[[#This Row],[Last_Order_Date]],GroDB3[[#This Row],[Date_Received]])</f>
        <v>45677</v>
      </c>
      <c r="L284" s="43">
        <f>IF(GroDB3[[#This Row],[Column1]]="No",GroDB3[[#This Row],[Date_Received]],GroDB3[[#This Row],[Last_Order_Date]])</f>
        <v>45454</v>
      </c>
      <c r="M284" s="43">
        <v>45449</v>
      </c>
      <c r="N284" s="3">
        <v>16</v>
      </c>
      <c r="O284" s="3">
        <v>53</v>
      </c>
      <c r="P284" s="3">
        <v>12</v>
      </c>
      <c r="Q284" s="4">
        <v>5</v>
      </c>
      <c r="R284" s="3">
        <v>21</v>
      </c>
      <c r="S284" s="3">
        <v>29</v>
      </c>
      <c r="T284" s="7">
        <v>-1.78</v>
      </c>
    </row>
    <row r="285" spans="1:20" x14ac:dyDescent="0.35">
      <c r="A285" s="5" t="s">
        <v>80</v>
      </c>
      <c r="B285" s="3" t="s">
        <v>25</v>
      </c>
      <c r="C285" s="3" t="s">
        <v>176</v>
      </c>
      <c r="D285" s="3" t="s">
        <v>1172</v>
      </c>
      <c r="E285" s="3" t="s">
        <v>56</v>
      </c>
      <c r="F285" s="3" t="s">
        <v>1173</v>
      </c>
      <c r="G285" s="3" t="s">
        <v>1174</v>
      </c>
      <c r="H285" s="43">
        <v>45454</v>
      </c>
      <c r="I285" s="43">
        <v>45633</v>
      </c>
      <c r="J285" s="47" t="str">
        <f>IF(GroDB3[[#This Row],[Last_Order_Date]]&lt;=GroDB3[[#This Row],[Date_Received]], "Yes", "No")</f>
        <v>No</v>
      </c>
      <c r="K285" s="43">
        <f>IF(GroDB3[[#This Row],[Column1]]="No",GroDB3[[#This Row],[Last_Order_Date]],GroDB3[[#This Row],[Date_Received]])</f>
        <v>45633</v>
      </c>
      <c r="L285" s="43">
        <f>IF(GroDB3[[#This Row],[Column1]]="No",GroDB3[[#This Row],[Date_Received]],GroDB3[[#This Row],[Last_Order_Date]])</f>
        <v>45454</v>
      </c>
      <c r="M285" s="43">
        <v>45412</v>
      </c>
      <c r="N285" s="3">
        <v>30</v>
      </c>
      <c r="O285" s="3">
        <v>48</v>
      </c>
      <c r="P285" s="3">
        <v>52</v>
      </c>
      <c r="Q285" s="4">
        <v>10</v>
      </c>
      <c r="R285" s="3">
        <v>22</v>
      </c>
      <c r="S285" s="3">
        <v>78</v>
      </c>
      <c r="T285" s="7">
        <v>-0.38</v>
      </c>
    </row>
    <row r="286" spans="1:20" x14ac:dyDescent="0.35">
      <c r="A286" s="5" t="s">
        <v>325</v>
      </c>
      <c r="B286" s="3" t="s">
        <v>53</v>
      </c>
      <c r="C286" s="3" t="s">
        <v>1175</v>
      </c>
      <c r="D286" s="3" t="s">
        <v>1176</v>
      </c>
      <c r="E286" s="3" t="s">
        <v>28</v>
      </c>
      <c r="F286" s="3" t="s">
        <v>1177</v>
      </c>
      <c r="G286" s="3" t="s">
        <v>1178</v>
      </c>
      <c r="H286" s="43">
        <v>45484</v>
      </c>
      <c r="I286" s="43">
        <v>45676</v>
      </c>
      <c r="J286" s="47" t="str">
        <f>IF(GroDB3[[#This Row],[Last_Order_Date]]&lt;=GroDB3[[#This Row],[Date_Received]], "Yes", "No")</f>
        <v>No</v>
      </c>
      <c r="K286" s="43">
        <f>IF(GroDB3[[#This Row],[Column1]]="No",GroDB3[[#This Row],[Last_Order_Date]],GroDB3[[#This Row],[Date_Received]])</f>
        <v>45676</v>
      </c>
      <c r="L286" s="43">
        <f>IF(GroDB3[[#This Row],[Column1]]="No",GroDB3[[#This Row],[Date_Received]],GroDB3[[#This Row],[Last_Order_Date]])</f>
        <v>45484</v>
      </c>
      <c r="M286" s="43">
        <v>45704</v>
      </c>
      <c r="N286" s="3">
        <v>75</v>
      </c>
      <c r="O286" s="3">
        <v>69</v>
      </c>
      <c r="P286" s="3">
        <v>100</v>
      </c>
      <c r="Q286" s="4">
        <v>4.5</v>
      </c>
      <c r="R286" s="3">
        <v>43</v>
      </c>
      <c r="S286" s="3">
        <v>18</v>
      </c>
      <c r="T286" s="7">
        <v>-2.5499999999999998</v>
      </c>
    </row>
    <row r="287" spans="1:20" x14ac:dyDescent="0.35">
      <c r="A287" s="5" t="s">
        <v>1179</v>
      </c>
      <c r="B287" s="3" t="s">
        <v>91</v>
      </c>
      <c r="C287" s="3" t="s">
        <v>1180</v>
      </c>
      <c r="D287" s="3" t="s">
        <v>1181</v>
      </c>
      <c r="E287" s="3" t="s">
        <v>56</v>
      </c>
      <c r="F287" s="3" t="s">
        <v>1182</v>
      </c>
      <c r="G287" s="3" t="s">
        <v>1183</v>
      </c>
      <c r="H287" s="43">
        <v>45484</v>
      </c>
      <c r="I287" s="43">
        <v>45614</v>
      </c>
      <c r="J287" s="47" t="str">
        <f>IF(GroDB3[[#This Row],[Last_Order_Date]]&lt;=GroDB3[[#This Row],[Date_Received]], "Yes", "No")</f>
        <v>No</v>
      </c>
      <c r="K287" s="43">
        <f>IF(GroDB3[[#This Row],[Column1]]="No",GroDB3[[#This Row],[Last_Order_Date]],GroDB3[[#This Row],[Date_Received]])</f>
        <v>45614</v>
      </c>
      <c r="L287" s="43">
        <f>IF(GroDB3[[#This Row],[Column1]]="No",GroDB3[[#This Row],[Date_Received]],GroDB3[[#This Row],[Last_Order_Date]])</f>
        <v>45484</v>
      </c>
      <c r="M287" s="43">
        <v>45418</v>
      </c>
      <c r="N287" s="3">
        <v>30</v>
      </c>
      <c r="O287" s="3">
        <v>91</v>
      </c>
      <c r="P287" s="3">
        <v>34</v>
      </c>
      <c r="Q287" s="4">
        <v>2.5</v>
      </c>
      <c r="R287" s="3">
        <v>97</v>
      </c>
      <c r="S287" s="3">
        <v>88</v>
      </c>
      <c r="T287" s="7">
        <v>0.57999999999999996</v>
      </c>
    </row>
    <row r="288" spans="1:20" x14ac:dyDescent="0.35">
      <c r="A288" s="5" t="s">
        <v>984</v>
      </c>
      <c r="B288" s="3" t="s">
        <v>18</v>
      </c>
      <c r="C288" s="3" t="s">
        <v>1184</v>
      </c>
      <c r="D288" s="3" t="s">
        <v>1185</v>
      </c>
      <c r="E288" s="3" t="s">
        <v>56</v>
      </c>
      <c r="F288" s="3" t="s">
        <v>1186</v>
      </c>
      <c r="G288" s="3" t="s">
        <v>1187</v>
      </c>
      <c r="H288" s="43">
        <v>45484</v>
      </c>
      <c r="I288" s="43">
        <v>45418</v>
      </c>
      <c r="J288" s="47" t="str">
        <f>IF(GroDB3[[#This Row],[Last_Order_Date]]&lt;=GroDB3[[#This Row],[Date_Received]], "Yes", "No")</f>
        <v>Yes</v>
      </c>
      <c r="K288" s="43">
        <f>IF(GroDB3[[#This Row],[Column1]]="No",GroDB3[[#This Row],[Last_Order_Date]],GroDB3[[#This Row],[Date_Received]])</f>
        <v>45484</v>
      </c>
      <c r="L288" s="43">
        <f>IF(GroDB3[[#This Row],[Column1]]="No",GroDB3[[#This Row],[Date_Received]],GroDB3[[#This Row],[Last_Order_Date]])</f>
        <v>45418</v>
      </c>
      <c r="M288" s="43">
        <v>45413</v>
      </c>
      <c r="N288" s="3">
        <v>79</v>
      </c>
      <c r="O288" s="3">
        <v>72</v>
      </c>
      <c r="P288" s="3">
        <v>6</v>
      </c>
      <c r="Q288" s="4">
        <v>4</v>
      </c>
      <c r="R288" s="3">
        <v>67</v>
      </c>
      <c r="S288" s="3">
        <v>63</v>
      </c>
      <c r="T288" s="7">
        <v>0.09</v>
      </c>
    </row>
    <row r="289" spans="1:20" x14ac:dyDescent="0.35">
      <c r="A289" s="5" t="s">
        <v>531</v>
      </c>
      <c r="B289" s="3" t="s">
        <v>53</v>
      </c>
      <c r="C289" s="3" t="s">
        <v>641</v>
      </c>
      <c r="D289" s="3" t="s">
        <v>1188</v>
      </c>
      <c r="E289" s="3" t="s">
        <v>56</v>
      </c>
      <c r="F289" s="3" t="s">
        <v>1189</v>
      </c>
      <c r="G289" s="3" t="s">
        <v>1190</v>
      </c>
      <c r="H289" s="43">
        <v>45515</v>
      </c>
      <c r="I289" s="43">
        <v>45367</v>
      </c>
      <c r="J289" s="47" t="str">
        <f>IF(GroDB3[[#This Row],[Last_Order_Date]]&lt;=GroDB3[[#This Row],[Date_Received]], "Yes", "No")</f>
        <v>Yes</v>
      </c>
      <c r="K289" s="43">
        <f>IF(GroDB3[[#This Row],[Column1]]="No",GroDB3[[#This Row],[Last_Order_Date]],GroDB3[[#This Row],[Date_Received]])</f>
        <v>45515</v>
      </c>
      <c r="L289" s="43">
        <f>IF(GroDB3[[#This Row],[Column1]]="No",GroDB3[[#This Row],[Date_Received]],GroDB3[[#This Row],[Last_Order_Date]])</f>
        <v>45367</v>
      </c>
      <c r="M289" s="43">
        <v>45438</v>
      </c>
      <c r="N289" s="3">
        <v>71</v>
      </c>
      <c r="O289" s="3">
        <v>10</v>
      </c>
      <c r="P289" s="3">
        <v>49</v>
      </c>
      <c r="Q289" s="4">
        <v>1.5</v>
      </c>
      <c r="R289" s="3">
        <v>66</v>
      </c>
      <c r="S289" s="3">
        <v>43</v>
      </c>
      <c r="T289" s="7">
        <v>0.06</v>
      </c>
    </row>
    <row r="290" spans="1:20" x14ac:dyDescent="0.35">
      <c r="A290" s="5" t="s">
        <v>276</v>
      </c>
      <c r="B290" s="3" t="s">
        <v>18</v>
      </c>
      <c r="C290" s="3" t="s">
        <v>388</v>
      </c>
      <c r="D290" s="3" t="s">
        <v>1191</v>
      </c>
      <c r="E290" s="3" t="s">
        <v>56</v>
      </c>
      <c r="F290" s="3" t="s">
        <v>1192</v>
      </c>
      <c r="G290" s="3" t="s">
        <v>1193</v>
      </c>
      <c r="H290" s="43">
        <v>45515</v>
      </c>
      <c r="I290" s="43">
        <v>45675</v>
      </c>
      <c r="J290" s="47" t="str">
        <f>IF(GroDB3[[#This Row],[Last_Order_Date]]&lt;=GroDB3[[#This Row],[Date_Received]], "Yes", "No")</f>
        <v>No</v>
      </c>
      <c r="K290" s="43">
        <f>IF(GroDB3[[#This Row],[Column1]]="No",GroDB3[[#This Row],[Last_Order_Date]],GroDB3[[#This Row],[Date_Received]])</f>
        <v>45675</v>
      </c>
      <c r="L290" s="43">
        <f>IF(GroDB3[[#This Row],[Column1]]="No",GroDB3[[#This Row],[Date_Received]],GroDB3[[#This Row],[Last_Order_Date]])</f>
        <v>45515</v>
      </c>
      <c r="M290" s="43">
        <v>45562</v>
      </c>
      <c r="N290" s="3">
        <v>65</v>
      </c>
      <c r="O290" s="3">
        <v>35</v>
      </c>
      <c r="P290" s="3">
        <v>3</v>
      </c>
      <c r="Q290" s="4">
        <v>3.5</v>
      </c>
      <c r="R290" s="3">
        <v>25</v>
      </c>
      <c r="S290" s="3">
        <v>13</v>
      </c>
      <c r="T290" s="7">
        <v>0.35</v>
      </c>
    </row>
    <row r="291" spans="1:20" x14ac:dyDescent="0.35">
      <c r="A291" s="5" t="s">
        <v>239</v>
      </c>
      <c r="B291" s="3" t="s">
        <v>25</v>
      </c>
      <c r="C291" s="3" t="s">
        <v>1194</v>
      </c>
      <c r="D291" s="3" t="s">
        <v>1195</v>
      </c>
      <c r="E291" s="3" t="s">
        <v>56</v>
      </c>
      <c r="F291" s="3" t="s">
        <v>1196</v>
      </c>
      <c r="G291" s="3" t="s">
        <v>1197</v>
      </c>
      <c r="H291" s="43">
        <v>45515</v>
      </c>
      <c r="I291" s="43">
        <v>45394</v>
      </c>
      <c r="J291" s="47" t="str">
        <f>IF(GroDB3[[#This Row],[Last_Order_Date]]&lt;=GroDB3[[#This Row],[Date_Received]], "Yes", "No")</f>
        <v>Yes</v>
      </c>
      <c r="K291" s="43">
        <f>IF(GroDB3[[#This Row],[Column1]]="No",GroDB3[[#This Row],[Last_Order_Date]],GroDB3[[#This Row],[Date_Received]])</f>
        <v>45515</v>
      </c>
      <c r="L291" s="43">
        <f>IF(GroDB3[[#This Row],[Column1]]="No",GroDB3[[#This Row],[Date_Received]],GroDB3[[#This Row],[Last_Order_Date]])</f>
        <v>45394</v>
      </c>
      <c r="M291" s="43">
        <v>45447</v>
      </c>
      <c r="N291" s="3">
        <v>100</v>
      </c>
      <c r="O291" s="3">
        <v>86</v>
      </c>
      <c r="P291" s="3">
        <v>94</v>
      </c>
      <c r="Q291" s="4">
        <v>6.5</v>
      </c>
      <c r="R291" s="3">
        <v>77</v>
      </c>
      <c r="S291" s="3">
        <v>57</v>
      </c>
      <c r="T291" s="7">
        <v>0.48</v>
      </c>
    </row>
    <row r="292" spans="1:20" x14ac:dyDescent="0.35">
      <c r="A292" s="5" t="s">
        <v>420</v>
      </c>
      <c r="B292" s="3" t="s">
        <v>60</v>
      </c>
      <c r="C292" s="3" t="s">
        <v>1198</v>
      </c>
      <c r="D292" s="3" t="s">
        <v>1199</v>
      </c>
      <c r="E292" s="3" t="s">
        <v>21</v>
      </c>
      <c r="F292" s="3" t="s">
        <v>1200</v>
      </c>
      <c r="G292" s="3" t="s">
        <v>1201</v>
      </c>
      <c r="H292" s="43">
        <v>45546</v>
      </c>
      <c r="I292" s="43">
        <v>45399</v>
      </c>
      <c r="J292" s="47" t="str">
        <f>IF(GroDB3[[#This Row],[Last_Order_Date]]&lt;=GroDB3[[#This Row],[Date_Received]], "Yes", "No")</f>
        <v>Yes</v>
      </c>
      <c r="K292" s="43">
        <f>IF(GroDB3[[#This Row],[Column1]]="No",GroDB3[[#This Row],[Last_Order_Date]],GroDB3[[#This Row],[Date_Received]])</f>
        <v>45546</v>
      </c>
      <c r="L292" s="43">
        <f>IF(GroDB3[[#This Row],[Column1]]="No",GroDB3[[#This Row],[Date_Received]],GroDB3[[#This Row],[Last_Order_Date]])</f>
        <v>45399</v>
      </c>
      <c r="M292" s="43">
        <v>45381</v>
      </c>
      <c r="N292" s="3">
        <v>58</v>
      </c>
      <c r="O292" s="3">
        <v>77</v>
      </c>
      <c r="P292" s="3">
        <v>96</v>
      </c>
      <c r="Q292" s="4">
        <v>18</v>
      </c>
      <c r="R292" s="3">
        <v>25</v>
      </c>
      <c r="S292" s="3">
        <v>17</v>
      </c>
      <c r="T292" s="7">
        <v>0.26</v>
      </c>
    </row>
    <row r="293" spans="1:20" x14ac:dyDescent="0.35">
      <c r="A293" s="5" t="s">
        <v>1202</v>
      </c>
      <c r="B293" s="3" t="s">
        <v>18</v>
      </c>
      <c r="C293" s="3" t="s">
        <v>1203</v>
      </c>
      <c r="D293" s="3" t="s">
        <v>1204</v>
      </c>
      <c r="E293" s="3" t="s">
        <v>56</v>
      </c>
      <c r="F293" s="3" t="s">
        <v>1205</v>
      </c>
      <c r="G293" s="3" t="s">
        <v>1206</v>
      </c>
      <c r="H293" s="43">
        <v>45546</v>
      </c>
      <c r="I293" s="43">
        <v>45667</v>
      </c>
      <c r="J293" s="47" t="str">
        <f>IF(GroDB3[[#This Row],[Last_Order_Date]]&lt;=GroDB3[[#This Row],[Date_Received]], "Yes", "No")</f>
        <v>No</v>
      </c>
      <c r="K293" s="43">
        <f>IF(GroDB3[[#This Row],[Column1]]="No",GroDB3[[#This Row],[Last_Order_Date]],GroDB3[[#This Row],[Date_Received]])</f>
        <v>45667</v>
      </c>
      <c r="L293" s="43">
        <f>IF(GroDB3[[#This Row],[Column1]]="No",GroDB3[[#This Row],[Date_Received]],GroDB3[[#This Row],[Last_Order_Date]])</f>
        <v>45546</v>
      </c>
      <c r="M293" s="43">
        <v>45629</v>
      </c>
      <c r="N293" s="3">
        <v>75</v>
      </c>
      <c r="O293" s="3">
        <v>10</v>
      </c>
      <c r="P293" s="3">
        <v>68</v>
      </c>
      <c r="Q293" s="4">
        <v>3</v>
      </c>
      <c r="R293" s="3">
        <v>90</v>
      </c>
      <c r="S293" s="3">
        <v>42</v>
      </c>
      <c r="T293" s="7">
        <v>0.32</v>
      </c>
    </row>
    <row r="294" spans="1:20" x14ac:dyDescent="0.35">
      <c r="A294" s="5" t="s">
        <v>65</v>
      </c>
      <c r="B294" s="3" t="s">
        <v>32</v>
      </c>
      <c r="C294" s="3" t="s">
        <v>1207</v>
      </c>
      <c r="D294" s="3" t="s">
        <v>1208</v>
      </c>
      <c r="E294" s="3" t="s">
        <v>56</v>
      </c>
      <c r="F294" s="3" t="s">
        <v>1209</v>
      </c>
      <c r="G294" s="3" t="s">
        <v>1210</v>
      </c>
      <c r="H294" s="43">
        <v>45546</v>
      </c>
      <c r="I294" s="43">
        <v>45440</v>
      </c>
      <c r="J294" s="47" t="str">
        <f>IF(GroDB3[[#This Row],[Last_Order_Date]]&lt;=GroDB3[[#This Row],[Date_Received]], "Yes", "No")</f>
        <v>Yes</v>
      </c>
      <c r="K294" s="43">
        <f>IF(GroDB3[[#This Row],[Column1]]="No",GroDB3[[#This Row],[Last_Order_Date]],GroDB3[[#This Row],[Date_Received]])</f>
        <v>45546</v>
      </c>
      <c r="L294" s="43">
        <f>IF(GroDB3[[#This Row],[Column1]]="No",GroDB3[[#This Row],[Date_Received]],GroDB3[[#This Row],[Last_Order_Date]])</f>
        <v>45440</v>
      </c>
      <c r="M294" s="43">
        <v>45456</v>
      </c>
      <c r="N294" s="3">
        <v>69</v>
      </c>
      <c r="O294" s="3">
        <v>53</v>
      </c>
      <c r="P294" s="3">
        <v>32</v>
      </c>
      <c r="Q294" s="4">
        <v>9.1999999999999993</v>
      </c>
      <c r="R294" s="3">
        <v>28</v>
      </c>
      <c r="S294" s="3">
        <v>56</v>
      </c>
      <c r="T294" s="7">
        <v>0.53</v>
      </c>
    </row>
    <row r="295" spans="1:20" x14ac:dyDescent="0.35">
      <c r="A295" s="5" t="s">
        <v>220</v>
      </c>
      <c r="B295" s="3" t="s">
        <v>127</v>
      </c>
      <c r="C295" s="3" t="s">
        <v>43</v>
      </c>
      <c r="D295" s="3" t="s">
        <v>1211</v>
      </c>
      <c r="E295" s="3" t="s">
        <v>28</v>
      </c>
      <c r="F295" s="3" t="s">
        <v>1212</v>
      </c>
      <c r="G295" s="3" t="s">
        <v>1213</v>
      </c>
      <c r="H295" s="43">
        <v>45546</v>
      </c>
      <c r="I295" s="43">
        <v>45489</v>
      </c>
      <c r="J295" s="47" t="str">
        <f>IF(GroDB3[[#This Row],[Last_Order_Date]]&lt;=GroDB3[[#This Row],[Date_Received]], "Yes", "No")</f>
        <v>Yes</v>
      </c>
      <c r="K295" s="43">
        <f>IF(GroDB3[[#This Row],[Column1]]="No",GroDB3[[#This Row],[Last_Order_Date]],GroDB3[[#This Row],[Date_Received]])</f>
        <v>45546</v>
      </c>
      <c r="L295" s="43">
        <f>IF(GroDB3[[#This Row],[Column1]]="No",GroDB3[[#This Row],[Date_Received]],GroDB3[[#This Row],[Last_Order_Date]])</f>
        <v>45489</v>
      </c>
      <c r="M295" s="43">
        <v>45347</v>
      </c>
      <c r="N295" s="3">
        <v>59</v>
      </c>
      <c r="O295" s="3">
        <v>62</v>
      </c>
      <c r="P295" s="3">
        <v>57</v>
      </c>
      <c r="Q295" s="4">
        <v>10.3</v>
      </c>
      <c r="R295" s="3">
        <v>90</v>
      </c>
      <c r="S295" s="3">
        <v>94</v>
      </c>
      <c r="T295" s="7">
        <v>-1</v>
      </c>
    </row>
    <row r="296" spans="1:20" x14ac:dyDescent="0.35">
      <c r="A296" s="5" t="s">
        <v>736</v>
      </c>
      <c r="B296" s="3" t="s">
        <v>91</v>
      </c>
      <c r="C296" s="3" t="s">
        <v>1214</v>
      </c>
      <c r="D296" s="3" t="s">
        <v>1215</v>
      </c>
      <c r="E296" s="3" t="s">
        <v>56</v>
      </c>
      <c r="F296" s="3" t="s">
        <v>1216</v>
      </c>
      <c r="G296" s="3" t="s">
        <v>1217</v>
      </c>
      <c r="H296" s="43">
        <v>45576</v>
      </c>
      <c r="I296" s="43">
        <v>45472</v>
      </c>
      <c r="J296" s="47" t="str">
        <f>IF(GroDB3[[#This Row],[Last_Order_Date]]&lt;=GroDB3[[#This Row],[Date_Received]], "Yes", "No")</f>
        <v>Yes</v>
      </c>
      <c r="K296" s="43">
        <f>IF(GroDB3[[#This Row],[Column1]]="No",GroDB3[[#This Row],[Last_Order_Date]],GroDB3[[#This Row],[Date_Received]])</f>
        <v>45576</v>
      </c>
      <c r="L296" s="43">
        <f>IF(GroDB3[[#This Row],[Column1]]="No",GroDB3[[#This Row],[Date_Received]],GroDB3[[#This Row],[Last_Order_Date]])</f>
        <v>45472</v>
      </c>
      <c r="M296" s="43">
        <v>45611</v>
      </c>
      <c r="N296" s="3">
        <v>34</v>
      </c>
      <c r="O296" s="3">
        <v>55</v>
      </c>
      <c r="P296" s="3">
        <v>22</v>
      </c>
      <c r="Q296" s="4">
        <v>5</v>
      </c>
      <c r="R296" s="3">
        <v>77</v>
      </c>
      <c r="S296" s="3">
        <v>85</v>
      </c>
      <c r="T296" s="7">
        <v>-0.04</v>
      </c>
    </row>
    <row r="297" spans="1:20" x14ac:dyDescent="0.35">
      <c r="A297" s="5" t="s">
        <v>707</v>
      </c>
      <c r="B297" s="3" t="s">
        <v>25</v>
      </c>
      <c r="C297" s="3" t="s">
        <v>755</v>
      </c>
      <c r="D297" s="3" t="s">
        <v>1218</v>
      </c>
      <c r="E297" s="3" t="s">
        <v>28</v>
      </c>
      <c r="F297" s="3" t="s">
        <v>1219</v>
      </c>
      <c r="G297" s="3" t="s">
        <v>1220</v>
      </c>
      <c r="H297" s="43">
        <v>45576</v>
      </c>
      <c r="I297" s="43">
        <v>45588</v>
      </c>
      <c r="J297" s="47" t="str">
        <f>IF(GroDB3[[#This Row],[Last_Order_Date]]&lt;=GroDB3[[#This Row],[Date_Received]], "Yes", "No")</f>
        <v>No</v>
      </c>
      <c r="K297" s="43">
        <f>IF(GroDB3[[#This Row],[Column1]]="No",GroDB3[[#This Row],[Last_Order_Date]],GroDB3[[#This Row],[Date_Received]])</f>
        <v>45588</v>
      </c>
      <c r="L297" s="43">
        <f>IF(GroDB3[[#This Row],[Column1]]="No",GroDB3[[#This Row],[Date_Received]],GroDB3[[#This Row],[Last_Order_Date]])</f>
        <v>45576</v>
      </c>
      <c r="M297" s="43">
        <v>45656</v>
      </c>
      <c r="N297" s="3">
        <v>19</v>
      </c>
      <c r="O297" s="3">
        <v>80</v>
      </c>
      <c r="P297" s="3">
        <v>87</v>
      </c>
      <c r="Q297" s="4">
        <v>2.2999999999999998</v>
      </c>
      <c r="R297" s="3">
        <v>33</v>
      </c>
      <c r="S297" s="3">
        <v>38</v>
      </c>
      <c r="T297" s="7">
        <v>-0.1</v>
      </c>
    </row>
    <row r="298" spans="1:20" x14ac:dyDescent="0.35">
      <c r="A298" s="5" t="s">
        <v>691</v>
      </c>
      <c r="B298" s="3" t="s">
        <v>32</v>
      </c>
      <c r="C298" s="3" t="s">
        <v>112</v>
      </c>
      <c r="D298" s="3" t="s">
        <v>1221</v>
      </c>
      <c r="E298" s="3" t="s">
        <v>28</v>
      </c>
      <c r="F298" s="3" t="s">
        <v>1222</v>
      </c>
      <c r="G298" s="3" t="s">
        <v>1223</v>
      </c>
      <c r="H298" s="43">
        <v>45607</v>
      </c>
      <c r="I298" s="43">
        <v>45550</v>
      </c>
      <c r="J298" s="47" t="str">
        <f>IF(GroDB3[[#This Row],[Last_Order_Date]]&lt;=GroDB3[[#This Row],[Date_Received]], "Yes", "No")</f>
        <v>Yes</v>
      </c>
      <c r="K298" s="43">
        <f>IF(GroDB3[[#This Row],[Column1]]="No",GroDB3[[#This Row],[Last_Order_Date]],GroDB3[[#This Row],[Date_Received]])</f>
        <v>45607</v>
      </c>
      <c r="L298" s="43">
        <f>IF(GroDB3[[#This Row],[Column1]]="No",GroDB3[[#This Row],[Date_Received]],GroDB3[[#This Row],[Last_Order_Date]])</f>
        <v>45550</v>
      </c>
      <c r="M298" s="43">
        <v>45475</v>
      </c>
      <c r="N298" s="3">
        <v>97</v>
      </c>
      <c r="O298" s="3">
        <v>77</v>
      </c>
      <c r="P298" s="3">
        <v>13</v>
      </c>
      <c r="Q298" s="4">
        <v>7</v>
      </c>
      <c r="R298" s="3">
        <v>43</v>
      </c>
      <c r="S298" s="3">
        <v>40</v>
      </c>
      <c r="T298" s="7">
        <v>-0.15</v>
      </c>
    </row>
    <row r="299" spans="1:20" x14ac:dyDescent="0.35">
      <c r="A299" s="5" t="s">
        <v>600</v>
      </c>
      <c r="B299" s="3" t="s">
        <v>32</v>
      </c>
      <c r="C299" s="3" t="s">
        <v>334</v>
      </c>
      <c r="D299" s="3" t="s">
        <v>1224</v>
      </c>
      <c r="E299" s="3" t="s">
        <v>56</v>
      </c>
      <c r="F299" s="3" t="s">
        <v>1225</v>
      </c>
      <c r="G299" s="3" t="s">
        <v>1226</v>
      </c>
      <c r="H299" s="43">
        <v>45607</v>
      </c>
      <c r="I299" s="43">
        <v>45484</v>
      </c>
      <c r="J299" s="47" t="str">
        <f>IF(GroDB3[[#This Row],[Last_Order_Date]]&lt;=GroDB3[[#This Row],[Date_Received]], "Yes", "No")</f>
        <v>Yes</v>
      </c>
      <c r="K299" s="43">
        <f>IF(GroDB3[[#This Row],[Column1]]="No",GroDB3[[#This Row],[Last_Order_Date]],GroDB3[[#This Row],[Date_Received]])</f>
        <v>45607</v>
      </c>
      <c r="L299" s="43">
        <f>IF(GroDB3[[#This Row],[Column1]]="No",GroDB3[[#This Row],[Date_Received]],GroDB3[[#This Row],[Last_Order_Date]])</f>
        <v>45484</v>
      </c>
      <c r="M299" s="43">
        <v>45379</v>
      </c>
      <c r="N299" s="3">
        <v>70</v>
      </c>
      <c r="O299" s="3">
        <v>66</v>
      </c>
      <c r="P299" s="3">
        <v>74</v>
      </c>
      <c r="Q299" s="4">
        <v>2.5</v>
      </c>
      <c r="R299" s="3">
        <v>47</v>
      </c>
      <c r="S299" s="3">
        <v>77</v>
      </c>
      <c r="T299" s="7">
        <v>7.0000000000000007E-2</v>
      </c>
    </row>
    <row r="300" spans="1:20" x14ac:dyDescent="0.35">
      <c r="A300" s="5" t="s">
        <v>517</v>
      </c>
      <c r="B300" s="3" t="s">
        <v>127</v>
      </c>
      <c r="C300" s="3" t="s">
        <v>1050</v>
      </c>
      <c r="D300" s="3" t="s">
        <v>1227</v>
      </c>
      <c r="E300" s="3" t="s">
        <v>28</v>
      </c>
      <c r="F300" s="3" t="s">
        <v>1228</v>
      </c>
      <c r="G300" s="3" t="s">
        <v>1229</v>
      </c>
      <c r="H300" s="43">
        <v>45637</v>
      </c>
      <c r="I300" s="43">
        <v>45511</v>
      </c>
      <c r="J300" s="47" t="str">
        <f>IF(GroDB3[[#This Row],[Last_Order_Date]]&lt;=GroDB3[[#This Row],[Date_Received]], "Yes", "No")</f>
        <v>Yes</v>
      </c>
      <c r="K300" s="43">
        <f>IF(GroDB3[[#This Row],[Column1]]="No",GroDB3[[#This Row],[Last_Order_Date]],GroDB3[[#This Row],[Date_Received]])</f>
        <v>45637</v>
      </c>
      <c r="L300" s="43">
        <f>IF(GroDB3[[#This Row],[Column1]]="No",GroDB3[[#This Row],[Date_Received]],GroDB3[[#This Row],[Last_Order_Date]])</f>
        <v>45511</v>
      </c>
      <c r="M300" s="43">
        <v>45430</v>
      </c>
      <c r="N300" s="3">
        <v>36</v>
      </c>
      <c r="O300" s="3">
        <v>90</v>
      </c>
      <c r="P300" s="3">
        <v>57</v>
      </c>
      <c r="Q300" s="4">
        <v>25</v>
      </c>
      <c r="R300" s="3">
        <v>35</v>
      </c>
      <c r="S300" s="3">
        <v>68</v>
      </c>
      <c r="T300" s="7">
        <v>-0.64</v>
      </c>
    </row>
    <row r="301" spans="1:20" x14ac:dyDescent="0.35">
      <c r="A301" s="5" t="s">
        <v>397</v>
      </c>
      <c r="B301" s="3" t="s">
        <v>25</v>
      </c>
      <c r="C301" s="3" t="s">
        <v>926</v>
      </c>
      <c r="D301" s="3" t="s">
        <v>1230</v>
      </c>
      <c r="E301" s="3" t="s">
        <v>21</v>
      </c>
      <c r="F301" s="3" t="s">
        <v>1231</v>
      </c>
      <c r="G301" s="3" t="s">
        <v>1232</v>
      </c>
      <c r="H301" s="43">
        <v>45637</v>
      </c>
      <c r="I301" s="43">
        <v>45593</v>
      </c>
      <c r="J301" s="47" t="str">
        <f>IF(GroDB3[[#This Row],[Last_Order_Date]]&lt;=GroDB3[[#This Row],[Date_Received]], "Yes", "No")</f>
        <v>Yes</v>
      </c>
      <c r="K301" s="43">
        <f>IF(GroDB3[[#This Row],[Column1]]="No",GroDB3[[#This Row],[Last_Order_Date]],GroDB3[[#This Row],[Date_Received]])</f>
        <v>45637</v>
      </c>
      <c r="L301" s="43">
        <f>IF(GroDB3[[#This Row],[Column1]]="No",GroDB3[[#This Row],[Date_Received]],GroDB3[[#This Row],[Last_Order_Date]])</f>
        <v>45593</v>
      </c>
      <c r="M301" s="43">
        <v>45635</v>
      </c>
      <c r="N301" s="3">
        <v>88</v>
      </c>
      <c r="O301" s="3">
        <v>100</v>
      </c>
      <c r="P301" s="3">
        <v>17</v>
      </c>
      <c r="Q301" s="4">
        <v>2.5</v>
      </c>
      <c r="R301" s="3">
        <v>25</v>
      </c>
      <c r="S301" s="3">
        <v>28</v>
      </c>
      <c r="T301" s="7">
        <v>-0.94</v>
      </c>
    </row>
    <row r="302" spans="1:20" x14ac:dyDescent="0.35">
      <c r="A302" s="5" t="s">
        <v>85</v>
      </c>
      <c r="B302" s="3" t="s">
        <v>18</v>
      </c>
      <c r="C302" s="3" t="s">
        <v>294</v>
      </c>
      <c r="D302" s="3" t="s">
        <v>1233</v>
      </c>
      <c r="E302" s="3" t="s">
        <v>28</v>
      </c>
      <c r="F302" s="3" t="s">
        <v>1234</v>
      </c>
      <c r="G302" s="3" t="s">
        <v>1235</v>
      </c>
      <c r="H302" s="43">
        <v>45637</v>
      </c>
      <c r="I302" s="43">
        <v>45521</v>
      </c>
      <c r="J302" s="47" t="str">
        <f>IF(GroDB3[[#This Row],[Last_Order_Date]]&lt;=GroDB3[[#This Row],[Date_Received]], "Yes", "No")</f>
        <v>Yes</v>
      </c>
      <c r="K302" s="43">
        <f>IF(GroDB3[[#This Row],[Column1]]="No",GroDB3[[#This Row],[Last_Order_Date]],GroDB3[[#This Row],[Date_Received]])</f>
        <v>45637</v>
      </c>
      <c r="L302" s="43">
        <f>IF(GroDB3[[#This Row],[Column1]]="No",GroDB3[[#This Row],[Date_Received]],GroDB3[[#This Row],[Last_Order_Date]])</f>
        <v>45521</v>
      </c>
      <c r="M302" s="43">
        <v>45533</v>
      </c>
      <c r="N302" s="3">
        <v>75</v>
      </c>
      <c r="O302" s="3">
        <v>48</v>
      </c>
      <c r="P302" s="3">
        <v>25</v>
      </c>
      <c r="Q302" s="4">
        <v>3</v>
      </c>
      <c r="R302" s="3">
        <v>96</v>
      </c>
      <c r="S302" s="3">
        <v>65</v>
      </c>
      <c r="T302" s="7">
        <v>-0.12</v>
      </c>
    </row>
    <row r="303" spans="1:20" x14ac:dyDescent="0.35">
      <c r="A303" s="5" t="s">
        <v>156</v>
      </c>
      <c r="B303" s="3" t="s">
        <v>127</v>
      </c>
      <c r="C303" s="3" t="s">
        <v>1236</v>
      </c>
      <c r="D303" s="3" t="s">
        <v>1237</v>
      </c>
      <c r="E303" s="3" t="s">
        <v>56</v>
      </c>
      <c r="F303" s="3" t="s">
        <v>1238</v>
      </c>
      <c r="G303" s="3" t="s">
        <v>1239</v>
      </c>
      <c r="H303" s="43">
        <v>45363</v>
      </c>
      <c r="I303" s="43">
        <v>45700</v>
      </c>
      <c r="J303" s="47" t="str">
        <f>IF(GroDB3[[#This Row],[Last_Order_Date]]&lt;=GroDB3[[#This Row],[Date_Received]], "Yes", "No")</f>
        <v>No</v>
      </c>
      <c r="K303" s="43">
        <f>IF(GroDB3[[#This Row],[Column1]]="No",GroDB3[[#This Row],[Last_Order_Date]],GroDB3[[#This Row],[Date_Received]])</f>
        <v>45700</v>
      </c>
      <c r="L303" s="43">
        <f>IF(GroDB3[[#This Row],[Column1]]="No",GroDB3[[#This Row],[Date_Received]],GroDB3[[#This Row],[Last_Order_Date]])</f>
        <v>45363</v>
      </c>
      <c r="M303" s="43">
        <v>45624</v>
      </c>
      <c r="N303" s="3">
        <v>62</v>
      </c>
      <c r="O303" s="3">
        <v>89</v>
      </c>
      <c r="P303" s="3">
        <v>18</v>
      </c>
      <c r="Q303" s="4">
        <v>12</v>
      </c>
      <c r="R303" s="3">
        <v>35</v>
      </c>
      <c r="S303" s="3">
        <v>36</v>
      </c>
      <c r="T303" s="7">
        <v>0.32</v>
      </c>
    </row>
    <row r="304" spans="1:20" x14ac:dyDescent="0.35">
      <c r="A304" s="5" t="s">
        <v>96</v>
      </c>
      <c r="B304" s="3" t="s">
        <v>18</v>
      </c>
      <c r="C304" s="3" t="s">
        <v>138</v>
      </c>
      <c r="D304" s="3" t="s">
        <v>1240</v>
      </c>
      <c r="E304" s="3" t="s">
        <v>28</v>
      </c>
      <c r="F304" s="3" t="s">
        <v>1241</v>
      </c>
      <c r="G304" s="3" t="s">
        <v>1242</v>
      </c>
      <c r="H304" s="43">
        <v>45363</v>
      </c>
      <c r="I304" s="43">
        <v>45515</v>
      </c>
      <c r="J304" s="47" t="str">
        <f>IF(GroDB3[[#This Row],[Last_Order_Date]]&lt;=GroDB3[[#This Row],[Date_Received]], "Yes", "No")</f>
        <v>No</v>
      </c>
      <c r="K304" s="43">
        <f>IF(GroDB3[[#This Row],[Column1]]="No",GroDB3[[#This Row],[Last_Order_Date]],GroDB3[[#This Row],[Date_Received]])</f>
        <v>45515</v>
      </c>
      <c r="L304" s="43">
        <f>IF(GroDB3[[#This Row],[Column1]]="No",GroDB3[[#This Row],[Date_Received]],GroDB3[[#This Row],[Last_Order_Date]])</f>
        <v>45363</v>
      </c>
      <c r="M304" s="43">
        <v>45455</v>
      </c>
      <c r="N304" s="3">
        <v>19</v>
      </c>
      <c r="O304" s="3">
        <v>73</v>
      </c>
      <c r="P304" s="3">
        <v>60</v>
      </c>
      <c r="Q304" s="4">
        <v>2.4500000000000002</v>
      </c>
      <c r="R304" s="3">
        <v>70</v>
      </c>
      <c r="S304" s="3">
        <v>48</v>
      </c>
      <c r="T304" s="7">
        <v>-0.03</v>
      </c>
    </row>
    <row r="305" spans="1:20" x14ac:dyDescent="0.35">
      <c r="A305" s="5" t="s">
        <v>549</v>
      </c>
      <c r="B305" s="3" t="s">
        <v>32</v>
      </c>
      <c r="C305" s="3" t="s">
        <v>985</v>
      </c>
      <c r="D305" s="3" t="s">
        <v>1243</v>
      </c>
      <c r="E305" s="3" t="s">
        <v>21</v>
      </c>
      <c r="F305" s="3" t="s">
        <v>1244</v>
      </c>
      <c r="G305" s="3" t="s">
        <v>1245</v>
      </c>
      <c r="H305" s="43">
        <v>45394</v>
      </c>
      <c r="I305" s="43">
        <v>45676</v>
      </c>
      <c r="J305" s="47" t="str">
        <f>IF(GroDB3[[#This Row],[Last_Order_Date]]&lt;=GroDB3[[#This Row],[Date_Received]], "Yes", "No")</f>
        <v>No</v>
      </c>
      <c r="K305" s="43">
        <f>IF(GroDB3[[#This Row],[Column1]]="No",GroDB3[[#This Row],[Last_Order_Date]],GroDB3[[#This Row],[Date_Received]])</f>
        <v>45676</v>
      </c>
      <c r="L305" s="43">
        <f>IF(GroDB3[[#This Row],[Column1]]="No",GroDB3[[#This Row],[Date_Received]],GroDB3[[#This Row],[Last_Order_Date]])</f>
        <v>45394</v>
      </c>
      <c r="M305" s="43">
        <v>45477</v>
      </c>
      <c r="N305" s="3">
        <v>35</v>
      </c>
      <c r="O305" s="3">
        <v>78</v>
      </c>
      <c r="P305" s="3">
        <v>68</v>
      </c>
      <c r="Q305" s="4">
        <v>2.5</v>
      </c>
      <c r="R305" s="3">
        <v>95</v>
      </c>
      <c r="S305" s="3">
        <v>91</v>
      </c>
      <c r="T305" s="7">
        <v>0.31</v>
      </c>
    </row>
    <row r="306" spans="1:20" x14ac:dyDescent="0.35">
      <c r="A306" s="5" t="s">
        <v>1085</v>
      </c>
      <c r="B306" s="3" t="s">
        <v>32</v>
      </c>
      <c r="C306" s="3" t="s">
        <v>364</v>
      </c>
      <c r="D306" s="3" t="s">
        <v>1246</v>
      </c>
      <c r="E306" s="3" t="s">
        <v>28</v>
      </c>
      <c r="F306" s="3" t="s">
        <v>1247</v>
      </c>
      <c r="G306" s="3" t="s">
        <v>1248</v>
      </c>
      <c r="H306" s="43">
        <v>45424</v>
      </c>
      <c r="I306" s="43">
        <v>45527</v>
      </c>
      <c r="J306" s="47" t="str">
        <f>IF(GroDB3[[#This Row],[Last_Order_Date]]&lt;=GroDB3[[#This Row],[Date_Received]], "Yes", "No")</f>
        <v>No</v>
      </c>
      <c r="K306" s="43">
        <f>IF(GroDB3[[#This Row],[Column1]]="No",GroDB3[[#This Row],[Last_Order_Date]],GroDB3[[#This Row],[Date_Received]])</f>
        <v>45527</v>
      </c>
      <c r="L306" s="43">
        <f>IF(GroDB3[[#This Row],[Column1]]="No",GroDB3[[#This Row],[Date_Received]],GroDB3[[#This Row],[Last_Order_Date]])</f>
        <v>45424</v>
      </c>
      <c r="M306" s="43">
        <v>45429</v>
      </c>
      <c r="N306" s="3">
        <v>50</v>
      </c>
      <c r="O306" s="3">
        <v>99</v>
      </c>
      <c r="P306" s="3">
        <v>73</v>
      </c>
      <c r="Q306" s="4">
        <v>8</v>
      </c>
      <c r="R306" s="3">
        <v>42</v>
      </c>
      <c r="S306" s="3">
        <v>1</v>
      </c>
      <c r="T306" s="7">
        <v>0.04</v>
      </c>
    </row>
    <row r="307" spans="1:20" x14ac:dyDescent="0.35">
      <c r="A307" s="5" t="s">
        <v>632</v>
      </c>
      <c r="B307" s="3" t="s">
        <v>60</v>
      </c>
      <c r="C307" s="3" t="s">
        <v>1249</v>
      </c>
      <c r="D307" s="3" t="s">
        <v>1250</v>
      </c>
      <c r="E307" s="3" t="s">
        <v>21</v>
      </c>
      <c r="F307" s="3" t="s">
        <v>1251</v>
      </c>
      <c r="G307" s="3" t="s">
        <v>1252</v>
      </c>
      <c r="H307" s="43">
        <v>45424</v>
      </c>
      <c r="I307" s="43">
        <v>45568</v>
      </c>
      <c r="J307" s="47" t="str">
        <f>IF(GroDB3[[#This Row],[Last_Order_Date]]&lt;=GroDB3[[#This Row],[Date_Received]], "Yes", "No")</f>
        <v>No</v>
      </c>
      <c r="K307" s="43">
        <f>IF(GroDB3[[#This Row],[Column1]]="No",GroDB3[[#This Row],[Last_Order_Date]],GroDB3[[#This Row],[Date_Received]])</f>
        <v>45568</v>
      </c>
      <c r="L307" s="43">
        <f>IF(GroDB3[[#This Row],[Column1]]="No",GroDB3[[#This Row],[Date_Received]],GroDB3[[#This Row],[Last_Order_Date]])</f>
        <v>45424</v>
      </c>
      <c r="M307" s="43">
        <v>45442</v>
      </c>
      <c r="N307" s="3">
        <v>65</v>
      </c>
      <c r="O307" s="3">
        <v>79</v>
      </c>
      <c r="P307" s="3">
        <v>52</v>
      </c>
      <c r="Q307" s="4">
        <v>8</v>
      </c>
      <c r="R307" s="3">
        <v>56</v>
      </c>
      <c r="S307" s="3">
        <v>94</v>
      </c>
      <c r="T307" s="7">
        <v>0.98</v>
      </c>
    </row>
    <row r="308" spans="1:20" x14ac:dyDescent="0.35">
      <c r="A308" s="5" t="s">
        <v>508</v>
      </c>
      <c r="B308" s="3" t="s">
        <v>127</v>
      </c>
      <c r="C308" s="3" t="s">
        <v>1253</v>
      </c>
      <c r="D308" s="3" t="s">
        <v>1254</v>
      </c>
      <c r="E308" s="3" t="s">
        <v>56</v>
      </c>
      <c r="F308" s="3" t="s">
        <v>1255</v>
      </c>
      <c r="G308" s="3" t="s">
        <v>1256</v>
      </c>
      <c r="H308" s="43">
        <v>45424</v>
      </c>
      <c r="I308" s="43">
        <v>45413</v>
      </c>
      <c r="J308" s="47" t="str">
        <f>IF(GroDB3[[#This Row],[Last_Order_Date]]&lt;=GroDB3[[#This Row],[Date_Received]], "Yes", "No")</f>
        <v>Yes</v>
      </c>
      <c r="K308" s="43">
        <f>IF(GroDB3[[#This Row],[Column1]]="No",GroDB3[[#This Row],[Last_Order_Date]],GroDB3[[#This Row],[Date_Received]])</f>
        <v>45424</v>
      </c>
      <c r="L308" s="43">
        <f>IF(GroDB3[[#This Row],[Column1]]="No",GroDB3[[#This Row],[Date_Received]],GroDB3[[#This Row],[Last_Order_Date]])</f>
        <v>45413</v>
      </c>
      <c r="M308" s="43">
        <v>45467</v>
      </c>
      <c r="N308" s="3">
        <v>18</v>
      </c>
      <c r="O308" s="3">
        <v>36</v>
      </c>
      <c r="P308" s="3">
        <v>53</v>
      </c>
      <c r="Q308" s="4">
        <v>5.3</v>
      </c>
      <c r="R308" s="3">
        <v>65</v>
      </c>
      <c r="S308" s="3">
        <v>100</v>
      </c>
      <c r="T308" s="7">
        <v>-0.68</v>
      </c>
    </row>
    <row r="309" spans="1:20" x14ac:dyDescent="0.35">
      <c r="A309" s="5" t="s">
        <v>1257</v>
      </c>
      <c r="B309" s="3" t="s">
        <v>91</v>
      </c>
      <c r="C309" s="3" t="s">
        <v>721</v>
      </c>
      <c r="D309" s="3" t="s">
        <v>1258</v>
      </c>
      <c r="E309" s="3" t="s">
        <v>21</v>
      </c>
      <c r="F309" s="3" t="s">
        <v>1259</v>
      </c>
      <c r="G309" s="3" t="s">
        <v>1260</v>
      </c>
      <c r="H309" s="43">
        <v>45424</v>
      </c>
      <c r="I309" s="43">
        <v>45468</v>
      </c>
      <c r="J309" s="47" t="str">
        <f>IF(GroDB3[[#This Row],[Last_Order_Date]]&lt;=GroDB3[[#This Row],[Date_Received]], "Yes", "No")</f>
        <v>No</v>
      </c>
      <c r="K309" s="43">
        <f>IF(GroDB3[[#This Row],[Column1]]="No",GroDB3[[#This Row],[Last_Order_Date]],GroDB3[[#This Row],[Date_Received]])</f>
        <v>45468</v>
      </c>
      <c r="L309" s="43">
        <f>IF(GroDB3[[#This Row],[Column1]]="No",GroDB3[[#This Row],[Date_Received]],GroDB3[[#This Row],[Last_Order_Date]])</f>
        <v>45424</v>
      </c>
      <c r="M309" s="43">
        <v>45518</v>
      </c>
      <c r="N309" s="3">
        <v>89</v>
      </c>
      <c r="O309" s="3">
        <v>22</v>
      </c>
      <c r="P309" s="3">
        <v>23</v>
      </c>
      <c r="Q309" s="4">
        <v>5.5</v>
      </c>
      <c r="R309" s="3">
        <v>83</v>
      </c>
      <c r="S309" s="3">
        <v>25</v>
      </c>
      <c r="T309" s="7">
        <v>-0.54</v>
      </c>
    </row>
    <row r="310" spans="1:20" x14ac:dyDescent="0.35">
      <c r="A310" s="5" t="s">
        <v>495</v>
      </c>
      <c r="B310" s="3" t="s">
        <v>18</v>
      </c>
      <c r="C310" s="3" t="s">
        <v>1261</v>
      </c>
      <c r="D310" s="3" t="s">
        <v>1262</v>
      </c>
      <c r="E310" s="3" t="s">
        <v>21</v>
      </c>
      <c r="F310" s="3" t="s">
        <v>1263</v>
      </c>
      <c r="G310" s="3" t="s">
        <v>1264</v>
      </c>
      <c r="H310" s="43">
        <v>45455</v>
      </c>
      <c r="I310" s="43">
        <v>45646</v>
      </c>
      <c r="J310" s="47" t="str">
        <f>IF(GroDB3[[#This Row],[Last_Order_Date]]&lt;=GroDB3[[#This Row],[Date_Received]], "Yes", "No")</f>
        <v>No</v>
      </c>
      <c r="K310" s="43">
        <f>IF(GroDB3[[#This Row],[Column1]]="No",GroDB3[[#This Row],[Last_Order_Date]],GroDB3[[#This Row],[Date_Received]])</f>
        <v>45646</v>
      </c>
      <c r="L310" s="43">
        <f>IF(GroDB3[[#This Row],[Column1]]="No",GroDB3[[#This Row],[Date_Received]],GroDB3[[#This Row],[Last_Order_Date]])</f>
        <v>45455</v>
      </c>
      <c r="M310" s="43">
        <v>45543</v>
      </c>
      <c r="N310" s="3">
        <v>34</v>
      </c>
      <c r="O310" s="3">
        <v>1</v>
      </c>
      <c r="P310" s="3">
        <v>79</v>
      </c>
      <c r="Q310" s="4">
        <v>6.2</v>
      </c>
      <c r="R310" s="3">
        <v>58</v>
      </c>
      <c r="S310" s="3">
        <v>36</v>
      </c>
      <c r="T310" s="7">
        <v>0.7</v>
      </c>
    </row>
    <row r="311" spans="1:20" x14ac:dyDescent="0.35">
      <c r="A311" s="5" t="s">
        <v>175</v>
      </c>
      <c r="B311" s="3" t="s">
        <v>53</v>
      </c>
      <c r="C311" s="3" t="s">
        <v>678</v>
      </c>
      <c r="D311" s="3" t="s">
        <v>1265</v>
      </c>
      <c r="E311" s="3" t="s">
        <v>56</v>
      </c>
      <c r="F311" s="3" t="s">
        <v>1266</v>
      </c>
      <c r="G311" s="3" t="s">
        <v>1267</v>
      </c>
      <c r="H311" s="43">
        <v>45455</v>
      </c>
      <c r="I311" s="43">
        <v>45558</v>
      </c>
      <c r="J311" s="47" t="str">
        <f>IF(GroDB3[[#This Row],[Last_Order_Date]]&lt;=GroDB3[[#This Row],[Date_Received]], "Yes", "No")</f>
        <v>No</v>
      </c>
      <c r="K311" s="43">
        <f>IF(GroDB3[[#This Row],[Column1]]="No",GroDB3[[#This Row],[Last_Order_Date]],GroDB3[[#This Row],[Date_Received]])</f>
        <v>45558</v>
      </c>
      <c r="L311" s="43">
        <f>IF(GroDB3[[#This Row],[Column1]]="No",GroDB3[[#This Row],[Date_Received]],GroDB3[[#This Row],[Last_Order_Date]])</f>
        <v>45455</v>
      </c>
      <c r="M311" s="43">
        <v>45400</v>
      </c>
      <c r="N311" s="3">
        <v>87</v>
      </c>
      <c r="O311" s="3">
        <v>97</v>
      </c>
      <c r="P311" s="3">
        <v>28</v>
      </c>
      <c r="Q311" s="4">
        <v>1.5</v>
      </c>
      <c r="R311" s="3">
        <v>58</v>
      </c>
      <c r="S311" s="3">
        <v>21</v>
      </c>
      <c r="T311" s="7">
        <v>0.38</v>
      </c>
    </row>
    <row r="312" spans="1:20" x14ac:dyDescent="0.35">
      <c r="A312" s="5" t="s">
        <v>707</v>
      </c>
      <c r="B312" s="3" t="s">
        <v>25</v>
      </c>
      <c r="C312" s="3" t="s">
        <v>259</v>
      </c>
      <c r="D312" s="3" t="s">
        <v>1268</v>
      </c>
      <c r="E312" s="3" t="s">
        <v>28</v>
      </c>
      <c r="F312" s="3" t="s">
        <v>1269</v>
      </c>
      <c r="G312" s="3" t="s">
        <v>1270</v>
      </c>
      <c r="H312" s="43">
        <v>45455</v>
      </c>
      <c r="I312" s="43">
        <v>45566</v>
      </c>
      <c r="J312" s="47" t="str">
        <f>IF(GroDB3[[#This Row],[Last_Order_Date]]&lt;=GroDB3[[#This Row],[Date_Received]], "Yes", "No")</f>
        <v>No</v>
      </c>
      <c r="K312" s="43">
        <f>IF(GroDB3[[#This Row],[Column1]]="No",GroDB3[[#This Row],[Last_Order_Date]],GroDB3[[#This Row],[Date_Received]])</f>
        <v>45566</v>
      </c>
      <c r="L312" s="43">
        <f>IF(GroDB3[[#This Row],[Column1]]="No",GroDB3[[#This Row],[Date_Received]],GroDB3[[#This Row],[Last_Order_Date]])</f>
        <v>45455</v>
      </c>
      <c r="M312" s="43">
        <v>45661</v>
      </c>
      <c r="N312" s="3">
        <v>53</v>
      </c>
      <c r="O312" s="3">
        <v>20</v>
      </c>
      <c r="P312" s="3">
        <v>75</v>
      </c>
      <c r="Q312" s="4">
        <v>2.2999999999999998</v>
      </c>
      <c r="R312" s="3">
        <v>83</v>
      </c>
      <c r="S312" s="3">
        <v>77</v>
      </c>
      <c r="T312" s="7">
        <v>0.64</v>
      </c>
    </row>
    <row r="313" spans="1:20" x14ac:dyDescent="0.35">
      <c r="A313" s="5" t="s">
        <v>717</v>
      </c>
      <c r="B313" s="3" t="s">
        <v>53</v>
      </c>
      <c r="C313" s="3" t="s">
        <v>1271</v>
      </c>
      <c r="D313" s="3" t="s">
        <v>1272</v>
      </c>
      <c r="E313" s="3" t="s">
        <v>56</v>
      </c>
      <c r="F313" s="3" t="s">
        <v>1273</v>
      </c>
      <c r="G313" s="3" t="s">
        <v>1274</v>
      </c>
      <c r="H313" s="43">
        <v>45485</v>
      </c>
      <c r="I313" s="43">
        <v>45497</v>
      </c>
      <c r="J313" s="47" t="str">
        <f>IF(GroDB3[[#This Row],[Last_Order_Date]]&lt;=GroDB3[[#This Row],[Date_Received]], "Yes", "No")</f>
        <v>No</v>
      </c>
      <c r="K313" s="43">
        <f>IF(GroDB3[[#This Row],[Column1]]="No",GroDB3[[#This Row],[Last_Order_Date]],GroDB3[[#This Row],[Date_Received]])</f>
        <v>45497</v>
      </c>
      <c r="L313" s="43">
        <f>IF(GroDB3[[#This Row],[Column1]]="No",GroDB3[[#This Row],[Date_Received]],GroDB3[[#This Row],[Last_Order_Date]])</f>
        <v>45485</v>
      </c>
      <c r="M313" s="43">
        <v>45685</v>
      </c>
      <c r="N313" s="3">
        <v>56</v>
      </c>
      <c r="O313" s="3">
        <v>53</v>
      </c>
      <c r="P313" s="3">
        <v>77</v>
      </c>
      <c r="Q313" s="4">
        <v>4.5</v>
      </c>
      <c r="R313" s="3">
        <v>69</v>
      </c>
      <c r="S313" s="3">
        <v>69</v>
      </c>
      <c r="T313" s="7">
        <v>7.0000000000000007E-2</v>
      </c>
    </row>
    <row r="314" spans="1:20" x14ac:dyDescent="0.35">
      <c r="A314" s="5" t="s">
        <v>665</v>
      </c>
      <c r="B314" s="3" t="s">
        <v>18</v>
      </c>
      <c r="C314" s="3" t="s">
        <v>451</v>
      </c>
      <c r="D314" s="3" t="s">
        <v>1275</v>
      </c>
      <c r="E314" s="3" t="s">
        <v>21</v>
      </c>
      <c r="F314" s="3" t="s">
        <v>1276</v>
      </c>
      <c r="G314" s="3" t="s">
        <v>1277</v>
      </c>
      <c r="H314" s="43">
        <v>45485</v>
      </c>
      <c r="I314" s="43">
        <v>45705</v>
      </c>
      <c r="J314" s="47" t="str">
        <f>IF(GroDB3[[#This Row],[Last_Order_Date]]&lt;=GroDB3[[#This Row],[Date_Received]], "Yes", "No")</f>
        <v>No</v>
      </c>
      <c r="K314" s="43">
        <f>IF(GroDB3[[#This Row],[Column1]]="No",GroDB3[[#This Row],[Last_Order_Date]],GroDB3[[#This Row],[Date_Received]])</f>
        <v>45705</v>
      </c>
      <c r="L314" s="43">
        <f>IF(GroDB3[[#This Row],[Column1]]="No",GroDB3[[#This Row],[Date_Received]],GroDB3[[#This Row],[Last_Order_Date]])</f>
        <v>45485</v>
      </c>
      <c r="M314" s="43">
        <v>45617</v>
      </c>
      <c r="N314" s="3">
        <v>38</v>
      </c>
      <c r="O314" s="3">
        <v>91</v>
      </c>
      <c r="P314" s="3">
        <v>94</v>
      </c>
      <c r="Q314" s="4">
        <v>5.7</v>
      </c>
      <c r="R314" s="3">
        <v>53</v>
      </c>
      <c r="S314" s="3">
        <v>87</v>
      </c>
      <c r="T314" s="7">
        <v>0</v>
      </c>
    </row>
    <row r="315" spans="1:20" x14ac:dyDescent="0.35">
      <c r="A315" s="5" t="s">
        <v>1278</v>
      </c>
      <c r="B315" s="3" t="s">
        <v>18</v>
      </c>
      <c r="C315" s="3" t="s">
        <v>316</v>
      </c>
      <c r="D315" s="3" t="s">
        <v>1279</v>
      </c>
      <c r="E315" s="3" t="s">
        <v>56</v>
      </c>
      <c r="F315" s="3" t="s">
        <v>1280</v>
      </c>
      <c r="G315" s="3" t="s">
        <v>1281</v>
      </c>
      <c r="H315" s="43">
        <v>45485</v>
      </c>
      <c r="I315" s="43">
        <v>45564</v>
      </c>
      <c r="J315" s="47" t="str">
        <f>IF(GroDB3[[#This Row],[Last_Order_Date]]&lt;=GroDB3[[#This Row],[Date_Received]], "Yes", "No")</f>
        <v>No</v>
      </c>
      <c r="K315" s="43">
        <f>IF(GroDB3[[#This Row],[Column1]]="No",GroDB3[[#This Row],[Last_Order_Date]],GroDB3[[#This Row],[Date_Received]])</f>
        <v>45564</v>
      </c>
      <c r="L315" s="43">
        <f>IF(GroDB3[[#This Row],[Column1]]="No",GroDB3[[#This Row],[Date_Received]],GroDB3[[#This Row],[Last_Order_Date]])</f>
        <v>45485</v>
      </c>
      <c r="M315" s="43">
        <v>45526</v>
      </c>
      <c r="N315" s="3">
        <v>97</v>
      </c>
      <c r="O315" s="3">
        <v>97</v>
      </c>
      <c r="P315" s="3">
        <v>71</v>
      </c>
      <c r="Q315" s="4">
        <v>4.5</v>
      </c>
      <c r="R315" s="3">
        <v>53</v>
      </c>
      <c r="S315" s="3">
        <v>31</v>
      </c>
      <c r="T315" s="7">
        <v>-0.64</v>
      </c>
    </row>
    <row r="316" spans="1:20" x14ac:dyDescent="0.35">
      <c r="A316" s="5" t="s">
        <v>288</v>
      </c>
      <c r="B316" s="3" t="s">
        <v>60</v>
      </c>
      <c r="C316" s="3" t="s">
        <v>1282</v>
      </c>
      <c r="D316" s="3" t="s">
        <v>1283</v>
      </c>
      <c r="E316" s="3" t="s">
        <v>28</v>
      </c>
      <c r="F316" s="3" t="s">
        <v>1284</v>
      </c>
      <c r="G316" s="3" t="s">
        <v>1285</v>
      </c>
      <c r="H316" s="43">
        <v>45516</v>
      </c>
      <c r="I316" s="43">
        <v>45579</v>
      </c>
      <c r="J316" s="47" t="str">
        <f>IF(GroDB3[[#This Row],[Last_Order_Date]]&lt;=GroDB3[[#This Row],[Date_Received]], "Yes", "No")</f>
        <v>No</v>
      </c>
      <c r="K316" s="43">
        <f>IF(GroDB3[[#This Row],[Column1]]="No",GroDB3[[#This Row],[Last_Order_Date]],GroDB3[[#This Row],[Date_Received]])</f>
        <v>45579</v>
      </c>
      <c r="L316" s="43">
        <f>IF(GroDB3[[#This Row],[Column1]]="No",GroDB3[[#This Row],[Date_Received]],GroDB3[[#This Row],[Last_Order_Date]])</f>
        <v>45516</v>
      </c>
      <c r="M316" s="43">
        <v>45615</v>
      </c>
      <c r="N316" s="3">
        <v>91</v>
      </c>
      <c r="O316" s="3">
        <v>68</v>
      </c>
      <c r="P316" s="3">
        <v>80</v>
      </c>
      <c r="Q316" s="4">
        <v>11.5</v>
      </c>
      <c r="R316" s="3">
        <v>81</v>
      </c>
      <c r="S316" s="3">
        <v>85</v>
      </c>
      <c r="T316" s="7">
        <v>0.42</v>
      </c>
    </row>
    <row r="317" spans="1:20" x14ac:dyDescent="0.35">
      <c r="A317" s="5" t="s">
        <v>490</v>
      </c>
      <c r="B317" s="3" t="s">
        <v>18</v>
      </c>
      <c r="C317" s="3" t="s">
        <v>1286</v>
      </c>
      <c r="D317" s="3" t="s">
        <v>1287</v>
      </c>
      <c r="E317" s="3" t="s">
        <v>56</v>
      </c>
      <c r="F317" s="3" t="s">
        <v>1288</v>
      </c>
      <c r="G317" s="3" t="s">
        <v>1289</v>
      </c>
      <c r="H317" s="43">
        <v>45547</v>
      </c>
      <c r="I317" s="43">
        <v>45657</v>
      </c>
      <c r="J317" s="47" t="str">
        <f>IF(GroDB3[[#This Row],[Last_Order_Date]]&lt;=GroDB3[[#This Row],[Date_Received]], "Yes", "No")</f>
        <v>No</v>
      </c>
      <c r="K317" s="43">
        <f>IF(GroDB3[[#This Row],[Column1]]="No",GroDB3[[#This Row],[Last_Order_Date]],GroDB3[[#This Row],[Date_Received]])</f>
        <v>45657</v>
      </c>
      <c r="L317" s="43">
        <f>IF(GroDB3[[#This Row],[Column1]]="No",GroDB3[[#This Row],[Date_Received]],GroDB3[[#This Row],[Last_Order_Date]])</f>
        <v>45547</v>
      </c>
      <c r="M317" s="43">
        <v>45683</v>
      </c>
      <c r="N317" s="3">
        <v>22</v>
      </c>
      <c r="O317" s="3">
        <v>40</v>
      </c>
      <c r="P317" s="3">
        <v>7</v>
      </c>
      <c r="Q317" s="4">
        <v>5</v>
      </c>
      <c r="R317" s="3">
        <v>98</v>
      </c>
      <c r="S317" s="3">
        <v>60</v>
      </c>
      <c r="T317" s="7">
        <v>-0.05</v>
      </c>
    </row>
    <row r="318" spans="1:20" x14ac:dyDescent="0.35">
      <c r="A318" s="5" t="s">
        <v>1179</v>
      </c>
      <c r="B318" s="3" t="s">
        <v>91</v>
      </c>
      <c r="C318" s="3" t="s">
        <v>1286</v>
      </c>
      <c r="D318" s="3" t="s">
        <v>1290</v>
      </c>
      <c r="E318" s="3" t="s">
        <v>28</v>
      </c>
      <c r="F318" s="3" t="s">
        <v>1291</v>
      </c>
      <c r="G318" s="3" t="s">
        <v>1292</v>
      </c>
      <c r="H318" s="43">
        <v>45547</v>
      </c>
      <c r="I318" s="43">
        <v>45356</v>
      </c>
      <c r="J318" s="47" t="str">
        <f>IF(GroDB3[[#This Row],[Last_Order_Date]]&lt;=GroDB3[[#This Row],[Date_Received]], "Yes", "No")</f>
        <v>Yes</v>
      </c>
      <c r="K318" s="43">
        <f>IF(GroDB3[[#This Row],[Column1]]="No",GroDB3[[#This Row],[Last_Order_Date]],GroDB3[[#This Row],[Date_Received]])</f>
        <v>45547</v>
      </c>
      <c r="L318" s="43">
        <f>IF(GroDB3[[#This Row],[Column1]]="No",GroDB3[[#This Row],[Date_Received]],GroDB3[[#This Row],[Last_Order_Date]])</f>
        <v>45356</v>
      </c>
      <c r="M318" s="43">
        <v>45651</v>
      </c>
      <c r="N318" s="3">
        <v>78</v>
      </c>
      <c r="O318" s="3">
        <v>68</v>
      </c>
      <c r="P318" s="3">
        <v>68</v>
      </c>
      <c r="Q318" s="4">
        <v>2.5</v>
      </c>
      <c r="R318" s="3">
        <v>89</v>
      </c>
      <c r="S318" s="3">
        <v>24</v>
      </c>
      <c r="T318" s="7">
        <v>0.39</v>
      </c>
    </row>
    <row r="319" spans="1:20" x14ac:dyDescent="0.35">
      <c r="A319" s="5" t="s">
        <v>1202</v>
      </c>
      <c r="B319" s="3" t="s">
        <v>18</v>
      </c>
      <c r="C319" s="3" t="s">
        <v>26</v>
      </c>
      <c r="D319" s="3" t="s">
        <v>1293</v>
      </c>
      <c r="E319" s="3" t="s">
        <v>28</v>
      </c>
      <c r="F319" s="3" t="s">
        <v>1294</v>
      </c>
      <c r="G319" s="3" t="s">
        <v>1295</v>
      </c>
      <c r="H319" s="43">
        <v>45577</v>
      </c>
      <c r="I319" s="43">
        <v>45496</v>
      </c>
      <c r="J319" s="47" t="str">
        <f>IF(GroDB3[[#This Row],[Last_Order_Date]]&lt;=GroDB3[[#This Row],[Date_Received]], "Yes", "No")</f>
        <v>Yes</v>
      </c>
      <c r="K319" s="43">
        <f>IF(GroDB3[[#This Row],[Column1]]="No",GroDB3[[#This Row],[Last_Order_Date]],GroDB3[[#This Row],[Date_Received]])</f>
        <v>45577</v>
      </c>
      <c r="L319" s="43">
        <f>IF(GroDB3[[#This Row],[Column1]]="No",GroDB3[[#This Row],[Date_Received]],GroDB3[[#This Row],[Last_Order_Date]])</f>
        <v>45496</v>
      </c>
      <c r="M319" s="43">
        <v>45685</v>
      </c>
      <c r="N319" s="3">
        <v>23</v>
      </c>
      <c r="O319" s="3">
        <v>85</v>
      </c>
      <c r="P319" s="3">
        <v>94</v>
      </c>
      <c r="Q319" s="4">
        <v>3</v>
      </c>
      <c r="R319" s="3">
        <v>92</v>
      </c>
      <c r="S319" s="3">
        <v>72</v>
      </c>
      <c r="T319" s="7">
        <v>0.73</v>
      </c>
    </row>
    <row r="320" spans="1:20" x14ac:dyDescent="0.35">
      <c r="A320" s="5" t="s">
        <v>490</v>
      </c>
      <c r="B320" s="3" t="s">
        <v>18</v>
      </c>
      <c r="C320" s="3" t="s">
        <v>1296</v>
      </c>
      <c r="D320" s="3" t="s">
        <v>1297</v>
      </c>
      <c r="E320" s="3" t="s">
        <v>28</v>
      </c>
      <c r="F320" s="3" t="s">
        <v>1298</v>
      </c>
      <c r="G320" s="3" t="s">
        <v>1299</v>
      </c>
      <c r="H320" s="43">
        <v>45577</v>
      </c>
      <c r="I320" s="43">
        <v>45630</v>
      </c>
      <c r="J320" s="47" t="str">
        <f>IF(GroDB3[[#This Row],[Last_Order_Date]]&lt;=GroDB3[[#This Row],[Date_Received]], "Yes", "No")</f>
        <v>No</v>
      </c>
      <c r="K320" s="43">
        <f>IF(GroDB3[[#This Row],[Column1]]="No",GroDB3[[#This Row],[Last_Order_Date]],GroDB3[[#This Row],[Date_Received]])</f>
        <v>45630</v>
      </c>
      <c r="L320" s="43">
        <f>IF(GroDB3[[#This Row],[Column1]]="No",GroDB3[[#This Row],[Date_Received]],GroDB3[[#This Row],[Last_Order_Date]])</f>
        <v>45577</v>
      </c>
      <c r="M320" s="43">
        <v>45444</v>
      </c>
      <c r="N320" s="3">
        <v>78</v>
      </c>
      <c r="O320" s="3">
        <v>16</v>
      </c>
      <c r="P320" s="3">
        <v>37</v>
      </c>
      <c r="Q320" s="4">
        <v>4.7</v>
      </c>
      <c r="R320" s="3">
        <v>25</v>
      </c>
      <c r="S320" s="3">
        <v>96</v>
      </c>
      <c r="T320" s="7">
        <v>0.22</v>
      </c>
    </row>
    <row r="321" spans="1:20" x14ac:dyDescent="0.35">
      <c r="A321" s="5" t="s">
        <v>132</v>
      </c>
      <c r="B321" s="3" t="s">
        <v>18</v>
      </c>
      <c r="C321" s="3" t="s">
        <v>1139</v>
      </c>
      <c r="D321" s="3" t="s">
        <v>1300</v>
      </c>
      <c r="E321" s="3" t="s">
        <v>28</v>
      </c>
      <c r="F321" s="3" t="s">
        <v>1301</v>
      </c>
      <c r="G321" s="3" t="s">
        <v>1302</v>
      </c>
      <c r="H321" s="43">
        <v>45577</v>
      </c>
      <c r="I321" s="43">
        <v>45353</v>
      </c>
      <c r="J321" s="47" t="str">
        <f>IF(GroDB3[[#This Row],[Last_Order_Date]]&lt;=GroDB3[[#This Row],[Date_Received]], "Yes", "No")</f>
        <v>Yes</v>
      </c>
      <c r="K321" s="43">
        <f>IF(GroDB3[[#This Row],[Column1]]="No",GroDB3[[#This Row],[Last_Order_Date]],GroDB3[[#This Row],[Date_Received]])</f>
        <v>45577</v>
      </c>
      <c r="L321" s="43">
        <f>IF(GroDB3[[#This Row],[Column1]]="No",GroDB3[[#This Row],[Date_Received]],GroDB3[[#This Row],[Last_Order_Date]])</f>
        <v>45353</v>
      </c>
      <c r="M321" s="43">
        <v>45508</v>
      </c>
      <c r="N321" s="3">
        <v>95</v>
      </c>
      <c r="O321" s="3">
        <v>87</v>
      </c>
      <c r="P321" s="3">
        <v>13</v>
      </c>
      <c r="Q321" s="4">
        <v>2</v>
      </c>
      <c r="R321" s="3">
        <v>61</v>
      </c>
      <c r="S321" s="3">
        <v>4</v>
      </c>
      <c r="T321" s="7">
        <v>-2.84</v>
      </c>
    </row>
    <row r="322" spans="1:20" x14ac:dyDescent="0.35">
      <c r="A322" s="5" t="s">
        <v>111</v>
      </c>
      <c r="B322" s="3" t="s">
        <v>32</v>
      </c>
      <c r="C322" s="3" t="s">
        <v>1303</v>
      </c>
      <c r="D322" s="3" t="s">
        <v>1304</v>
      </c>
      <c r="E322" s="3" t="s">
        <v>56</v>
      </c>
      <c r="F322" s="3" t="s">
        <v>1305</v>
      </c>
      <c r="G322" s="3" t="s">
        <v>1306</v>
      </c>
      <c r="H322" s="43">
        <v>45638</v>
      </c>
      <c r="I322" s="43">
        <v>45514</v>
      </c>
      <c r="J322" s="47" t="str">
        <f>IF(GroDB3[[#This Row],[Last_Order_Date]]&lt;=GroDB3[[#This Row],[Date_Received]], "Yes", "No")</f>
        <v>Yes</v>
      </c>
      <c r="K322" s="43">
        <f>IF(GroDB3[[#This Row],[Column1]]="No",GroDB3[[#This Row],[Last_Order_Date]],GroDB3[[#This Row],[Date_Received]])</f>
        <v>45638</v>
      </c>
      <c r="L322" s="43">
        <f>IF(GroDB3[[#This Row],[Column1]]="No",GroDB3[[#This Row],[Date_Received]],GroDB3[[#This Row],[Last_Order_Date]])</f>
        <v>45514</v>
      </c>
      <c r="M322" s="43">
        <v>45398</v>
      </c>
      <c r="N322" s="3">
        <v>49</v>
      </c>
      <c r="O322" s="3">
        <v>94</v>
      </c>
      <c r="P322" s="3">
        <v>18</v>
      </c>
      <c r="Q322" s="4">
        <v>6</v>
      </c>
      <c r="R322" s="3">
        <v>38</v>
      </c>
      <c r="S322" s="3">
        <v>11</v>
      </c>
      <c r="T322" s="7">
        <v>0.93</v>
      </c>
    </row>
    <row r="323" spans="1:20" x14ac:dyDescent="0.35">
      <c r="A323" s="5" t="s">
        <v>320</v>
      </c>
      <c r="B323" s="3" t="s">
        <v>18</v>
      </c>
      <c r="C323" s="3" t="s">
        <v>1307</v>
      </c>
      <c r="D323" s="3" t="s">
        <v>1308</v>
      </c>
      <c r="E323" s="3" t="s">
        <v>56</v>
      </c>
      <c r="F323" s="3" t="s">
        <v>1309</v>
      </c>
      <c r="G323" s="3" t="s">
        <v>1310</v>
      </c>
      <c r="H323" s="43">
        <v>45638</v>
      </c>
      <c r="I323" s="43">
        <v>45451</v>
      </c>
      <c r="J323" s="47" t="str">
        <f>IF(GroDB3[[#This Row],[Last_Order_Date]]&lt;=GroDB3[[#This Row],[Date_Received]], "Yes", "No")</f>
        <v>Yes</v>
      </c>
      <c r="K323" s="43">
        <f>IF(GroDB3[[#This Row],[Column1]]="No",GroDB3[[#This Row],[Last_Order_Date]],GroDB3[[#This Row],[Date_Received]])</f>
        <v>45638</v>
      </c>
      <c r="L323" s="43">
        <f>IF(GroDB3[[#This Row],[Column1]]="No",GroDB3[[#This Row],[Date_Received]],GroDB3[[#This Row],[Last_Order_Date]])</f>
        <v>45451</v>
      </c>
      <c r="M323" s="43">
        <v>45492</v>
      </c>
      <c r="N323" s="3">
        <v>26</v>
      </c>
      <c r="O323" s="3">
        <v>69</v>
      </c>
      <c r="P323" s="3">
        <v>90</v>
      </c>
      <c r="Q323" s="4">
        <v>4</v>
      </c>
      <c r="R323" s="3">
        <v>47</v>
      </c>
      <c r="S323" s="3">
        <v>35</v>
      </c>
      <c r="T323" s="7">
        <v>0.71</v>
      </c>
    </row>
    <row r="324" spans="1:20" x14ac:dyDescent="0.35">
      <c r="A324" s="5" t="s">
        <v>293</v>
      </c>
      <c r="B324" s="3" t="s">
        <v>18</v>
      </c>
      <c r="C324" s="3" t="s">
        <v>1311</v>
      </c>
      <c r="D324" s="3" t="s">
        <v>1312</v>
      </c>
      <c r="E324" s="3" t="s">
        <v>21</v>
      </c>
      <c r="F324" s="3" t="s">
        <v>1313</v>
      </c>
      <c r="G324" s="3" t="s">
        <v>1314</v>
      </c>
      <c r="H324" s="43">
        <v>45638</v>
      </c>
      <c r="I324" s="43">
        <v>45421</v>
      </c>
      <c r="J324" s="47" t="str">
        <f>IF(GroDB3[[#This Row],[Last_Order_Date]]&lt;=GroDB3[[#This Row],[Date_Received]], "Yes", "No")</f>
        <v>Yes</v>
      </c>
      <c r="K324" s="43">
        <f>IF(GroDB3[[#This Row],[Column1]]="No",GroDB3[[#This Row],[Last_Order_Date]],GroDB3[[#This Row],[Date_Received]])</f>
        <v>45638</v>
      </c>
      <c r="L324" s="43">
        <f>IF(GroDB3[[#This Row],[Column1]]="No",GroDB3[[#This Row],[Date_Received]],GroDB3[[#This Row],[Last_Order_Date]])</f>
        <v>45421</v>
      </c>
      <c r="M324" s="43">
        <v>45448</v>
      </c>
      <c r="N324" s="3">
        <v>50</v>
      </c>
      <c r="O324" s="3">
        <v>68</v>
      </c>
      <c r="P324" s="3">
        <v>90</v>
      </c>
      <c r="Q324" s="4">
        <v>2</v>
      </c>
      <c r="R324" s="3">
        <v>40</v>
      </c>
      <c r="S324" s="3">
        <v>13</v>
      </c>
      <c r="T324" s="7">
        <v>0.26</v>
      </c>
    </row>
    <row r="325" spans="1:20" x14ac:dyDescent="0.35">
      <c r="A325" s="5" t="s">
        <v>239</v>
      </c>
      <c r="B325" s="3" t="s">
        <v>25</v>
      </c>
      <c r="C325" s="3" t="s">
        <v>900</v>
      </c>
      <c r="D325" s="3" t="s">
        <v>1315</v>
      </c>
      <c r="E325" s="3" t="s">
        <v>28</v>
      </c>
      <c r="F325" s="3" t="s">
        <v>1316</v>
      </c>
      <c r="G325" s="3" t="s">
        <v>1317</v>
      </c>
      <c r="H325" s="43">
        <v>45638</v>
      </c>
      <c r="I325" s="43">
        <v>45516</v>
      </c>
      <c r="J325" s="47" t="str">
        <f>IF(GroDB3[[#This Row],[Last_Order_Date]]&lt;=GroDB3[[#This Row],[Date_Received]], "Yes", "No")</f>
        <v>Yes</v>
      </c>
      <c r="K325" s="43">
        <f>IF(GroDB3[[#This Row],[Column1]]="No",GroDB3[[#This Row],[Last_Order_Date]],GroDB3[[#This Row],[Date_Received]])</f>
        <v>45638</v>
      </c>
      <c r="L325" s="43">
        <f>IF(GroDB3[[#This Row],[Column1]]="No",GroDB3[[#This Row],[Date_Received]],GroDB3[[#This Row],[Last_Order_Date]])</f>
        <v>45516</v>
      </c>
      <c r="M325" s="43">
        <v>45474</v>
      </c>
      <c r="N325" s="3">
        <v>50</v>
      </c>
      <c r="O325" s="3">
        <v>36</v>
      </c>
      <c r="P325" s="3">
        <v>96</v>
      </c>
      <c r="Q325" s="4">
        <v>6.5</v>
      </c>
      <c r="R325" s="3">
        <v>53</v>
      </c>
      <c r="S325" s="3">
        <v>73</v>
      </c>
      <c r="T325" s="7">
        <v>0.68</v>
      </c>
    </row>
    <row r="326" spans="1:20" x14ac:dyDescent="0.35">
      <c r="A326" s="5" t="s">
        <v>146</v>
      </c>
      <c r="B326" s="3" t="s">
        <v>53</v>
      </c>
      <c r="C326" s="3" t="s">
        <v>1318</v>
      </c>
      <c r="D326" s="3" t="s">
        <v>1319</v>
      </c>
      <c r="E326" s="3" t="s">
        <v>21</v>
      </c>
      <c r="F326" s="3" t="s">
        <v>1320</v>
      </c>
      <c r="G326" s="3" t="s">
        <v>1321</v>
      </c>
      <c r="H326" s="43">
        <v>45689</v>
      </c>
      <c r="I326" s="43">
        <v>45528</v>
      </c>
      <c r="J326" s="47" t="str">
        <f>IF(GroDB3[[#This Row],[Last_Order_Date]]&lt;=GroDB3[[#This Row],[Date_Received]], "Yes", "No")</f>
        <v>Yes</v>
      </c>
      <c r="K326" s="43">
        <f>IF(GroDB3[[#This Row],[Column1]]="No",GroDB3[[#This Row],[Last_Order_Date]],GroDB3[[#This Row],[Date_Received]])</f>
        <v>45689</v>
      </c>
      <c r="L326" s="43">
        <f>IF(GroDB3[[#This Row],[Column1]]="No",GroDB3[[#This Row],[Date_Received]],GroDB3[[#This Row],[Last_Order_Date]])</f>
        <v>45528</v>
      </c>
      <c r="M326" s="43">
        <v>45633</v>
      </c>
      <c r="N326" s="3">
        <v>91</v>
      </c>
      <c r="O326" s="3">
        <v>73</v>
      </c>
      <c r="P326" s="3">
        <v>77</v>
      </c>
      <c r="Q326" s="4">
        <v>4.75</v>
      </c>
      <c r="R326" s="3">
        <v>51</v>
      </c>
      <c r="S326" s="3">
        <v>49</v>
      </c>
      <c r="T326" s="7">
        <v>-0.38</v>
      </c>
    </row>
    <row r="327" spans="1:20" x14ac:dyDescent="0.35">
      <c r="A327" s="5" t="s">
        <v>632</v>
      </c>
      <c r="B327" s="3" t="s">
        <v>60</v>
      </c>
      <c r="C327" s="3" t="s">
        <v>628</v>
      </c>
      <c r="D327" s="3" t="s">
        <v>1322</v>
      </c>
      <c r="E327" s="3" t="s">
        <v>28</v>
      </c>
      <c r="F327" s="3" t="s">
        <v>1323</v>
      </c>
      <c r="G327" s="3" t="s">
        <v>1324</v>
      </c>
      <c r="H327" s="43">
        <v>45689</v>
      </c>
      <c r="I327" s="43">
        <v>45488</v>
      </c>
      <c r="J327" s="47" t="str">
        <f>IF(GroDB3[[#This Row],[Last_Order_Date]]&lt;=GroDB3[[#This Row],[Date_Received]], "Yes", "No")</f>
        <v>Yes</v>
      </c>
      <c r="K327" s="43">
        <f>IF(GroDB3[[#This Row],[Column1]]="No",GroDB3[[#This Row],[Last_Order_Date]],GroDB3[[#This Row],[Date_Received]])</f>
        <v>45689</v>
      </c>
      <c r="L327" s="43">
        <f>IF(GroDB3[[#This Row],[Column1]]="No",GroDB3[[#This Row],[Date_Received]],GroDB3[[#This Row],[Last_Order_Date]])</f>
        <v>45488</v>
      </c>
      <c r="M327" s="43">
        <v>45375</v>
      </c>
      <c r="N327" s="3">
        <v>23</v>
      </c>
      <c r="O327" s="3">
        <v>42</v>
      </c>
      <c r="P327" s="3">
        <v>87</v>
      </c>
      <c r="Q327" s="4">
        <v>8</v>
      </c>
      <c r="R327" s="3">
        <v>63</v>
      </c>
      <c r="S327" s="3">
        <v>5</v>
      </c>
      <c r="T327" s="7">
        <v>0.04</v>
      </c>
    </row>
    <row r="328" spans="1:20" x14ac:dyDescent="0.35">
      <c r="A328" s="5" t="s">
        <v>65</v>
      </c>
      <c r="B328" s="3" t="s">
        <v>32</v>
      </c>
      <c r="C328" s="3" t="s">
        <v>1054</v>
      </c>
      <c r="D328" s="3" t="s">
        <v>1325</v>
      </c>
      <c r="E328" s="3" t="s">
        <v>21</v>
      </c>
      <c r="F328" s="3" t="s">
        <v>1326</v>
      </c>
      <c r="G328" s="3" t="s">
        <v>1327</v>
      </c>
      <c r="H328" s="43">
        <v>45689</v>
      </c>
      <c r="I328" s="43">
        <v>45499</v>
      </c>
      <c r="J328" s="47" t="str">
        <f>IF(GroDB3[[#This Row],[Last_Order_Date]]&lt;=GroDB3[[#This Row],[Date_Received]], "Yes", "No")</f>
        <v>Yes</v>
      </c>
      <c r="K328" s="43">
        <f>IF(GroDB3[[#This Row],[Column1]]="No",GroDB3[[#This Row],[Last_Order_Date]],GroDB3[[#This Row],[Date_Received]])</f>
        <v>45689</v>
      </c>
      <c r="L328" s="43">
        <f>IF(GroDB3[[#This Row],[Column1]]="No",GroDB3[[#This Row],[Date_Received]],GroDB3[[#This Row],[Last_Order_Date]])</f>
        <v>45499</v>
      </c>
      <c r="M328" s="43">
        <v>45418</v>
      </c>
      <c r="N328" s="3">
        <v>76</v>
      </c>
      <c r="O328" s="3">
        <v>15</v>
      </c>
      <c r="P328" s="3">
        <v>99</v>
      </c>
      <c r="Q328" s="4">
        <v>9.5</v>
      </c>
      <c r="R328" s="3">
        <v>60</v>
      </c>
      <c r="S328" s="3">
        <v>49</v>
      </c>
      <c r="T328" s="7">
        <v>0.92</v>
      </c>
    </row>
    <row r="329" spans="1:20" x14ac:dyDescent="0.35">
      <c r="A329" s="5" t="s">
        <v>615</v>
      </c>
      <c r="B329" s="3" t="s">
        <v>32</v>
      </c>
      <c r="C329" s="3" t="s">
        <v>1328</v>
      </c>
      <c r="D329" s="3" t="s">
        <v>1329</v>
      </c>
      <c r="E329" s="3" t="s">
        <v>21</v>
      </c>
      <c r="F329" s="3" t="s">
        <v>1330</v>
      </c>
      <c r="G329" s="3" t="s">
        <v>1331</v>
      </c>
      <c r="H329" s="43">
        <v>45689</v>
      </c>
      <c r="I329" s="43">
        <v>45700</v>
      </c>
      <c r="J329" s="47" t="str">
        <f>IF(GroDB3[[#This Row],[Last_Order_Date]]&lt;=GroDB3[[#This Row],[Date_Received]], "Yes", "No")</f>
        <v>No</v>
      </c>
      <c r="K329" s="43">
        <f>IF(GroDB3[[#This Row],[Column1]]="No",GroDB3[[#This Row],[Last_Order_Date]],GroDB3[[#This Row],[Date_Received]])</f>
        <v>45700</v>
      </c>
      <c r="L329" s="43">
        <f>IF(GroDB3[[#This Row],[Column1]]="No",GroDB3[[#This Row],[Date_Received]],GroDB3[[#This Row],[Last_Order_Date]])</f>
        <v>45689</v>
      </c>
      <c r="M329" s="43">
        <v>45702</v>
      </c>
      <c r="N329" s="3">
        <v>15</v>
      </c>
      <c r="O329" s="3">
        <v>75</v>
      </c>
      <c r="P329" s="3">
        <v>78</v>
      </c>
      <c r="Q329" s="4">
        <v>1.9</v>
      </c>
      <c r="R329" s="3">
        <v>71</v>
      </c>
      <c r="S329" s="3">
        <v>21</v>
      </c>
      <c r="T329" s="7">
        <v>0.18</v>
      </c>
    </row>
    <row r="330" spans="1:20" x14ac:dyDescent="0.35">
      <c r="A330" s="5" t="s">
        <v>980</v>
      </c>
      <c r="B330" s="3" t="s">
        <v>60</v>
      </c>
      <c r="C330" s="3" t="s">
        <v>1332</v>
      </c>
      <c r="D330" s="3" t="s">
        <v>1333</v>
      </c>
      <c r="E330" s="3" t="s">
        <v>56</v>
      </c>
      <c r="F330" s="3" t="s">
        <v>1334</v>
      </c>
      <c r="G330" s="3" t="s">
        <v>1335</v>
      </c>
      <c r="H330" s="43">
        <v>45689</v>
      </c>
      <c r="I330" s="43">
        <v>45555</v>
      </c>
      <c r="J330" s="47" t="str">
        <f>IF(GroDB3[[#This Row],[Last_Order_Date]]&lt;=GroDB3[[#This Row],[Date_Received]], "Yes", "No")</f>
        <v>Yes</v>
      </c>
      <c r="K330" s="43">
        <f>IF(GroDB3[[#This Row],[Column1]]="No",GroDB3[[#This Row],[Last_Order_Date]],GroDB3[[#This Row],[Date_Received]])</f>
        <v>45689</v>
      </c>
      <c r="L330" s="43">
        <f>IF(GroDB3[[#This Row],[Column1]]="No",GroDB3[[#This Row],[Date_Received]],GroDB3[[#This Row],[Last_Order_Date]])</f>
        <v>45555</v>
      </c>
      <c r="M330" s="43">
        <v>45429</v>
      </c>
      <c r="N330" s="3">
        <v>79</v>
      </c>
      <c r="O330" s="3">
        <v>28</v>
      </c>
      <c r="P330" s="3">
        <v>4</v>
      </c>
      <c r="Q330" s="4">
        <v>15</v>
      </c>
      <c r="R330" s="3">
        <v>42</v>
      </c>
      <c r="S330" s="3">
        <v>46</v>
      </c>
      <c r="T330" s="7">
        <v>0.7</v>
      </c>
    </row>
    <row r="331" spans="1:20" x14ac:dyDescent="0.35">
      <c r="A331" s="5" t="s">
        <v>211</v>
      </c>
      <c r="B331" s="3" t="s">
        <v>32</v>
      </c>
      <c r="C331" s="3" t="s">
        <v>1336</v>
      </c>
      <c r="D331" s="3" t="s">
        <v>1337</v>
      </c>
      <c r="E331" s="3" t="s">
        <v>28</v>
      </c>
      <c r="F331" s="3" t="s">
        <v>1338</v>
      </c>
      <c r="G331" s="3" t="s">
        <v>1339</v>
      </c>
      <c r="H331" s="43">
        <v>45689</v>
      </c>
      <c r="I331" s="43">
        <v>45499</v>
      </c>
      <c r="J331" s="47" t="str">
        <f>IF(GroDB3[[#This Row],[Last_Order_Date]]&lt;=GroDB3[[#This Row],[Date_Received]], "Yes", "No")</f>
        <v>Yes</v>
      </c>
      <c r="K331" s="43">
        <f>IF(GroDB3[[#This Row],[Column1]]="No",GroDB3[[#This Row],[Last_Order_Date]],GroDB3[[#This Row],[Date_Received]])</f>
        <v>45689</v>
      </c>
      <c r="L331" s="43">
        <f>IF(GroDB3[[#This Row],[Column1]]="No",GroDB3[[#This Row],[Date_Received]],GroDB3[[#This Row],[Last_Order_Date]])</f>
        <v>45499</v>
      </c>
      <c r="M331" s="43">
        <v>45573</v>
      </c>
      <c r="N331" s="3">
        <v>22</v>
      </c>
      <c r="O331" s="3">
        <v>43</v>
      </c>
      <c r="P331" s="3">
        <v>3</v>
      </c>
      <c r="Q331" s="4">
        <v>4.0999999999999996</v>
      </c>
      <c r="R331" s="3">
        <v>45</v>
      </c>
      <c r="S331" s="3">
        <v>87</v>
      </c>
      <c r="T331" s="7">
        <v>-0.1</v>
      </c>
    </row>
    <row r="332" spans="1:20" x14ac:dyDescent="0.35">
      <c r="A332" s="5" t="s">
        <v>828</v>
      </c>
      <c r="B332" s="3" t="s">
        <v>32</v>
      </c>
      <c r="C332" s="3" t="s">
        <v>513</v>
      </c>
      <c r="D332" s="3" t="s">
        <v>1340</v>
      </c>
      <c r="E332" s="3" t="s">
        <v>56</v>
      </c>
      <c r="F332" s="3" t="s">
        <v>1341</v>
      </c>
      <c r="G332" s="3" t="s">
        <v>1342</v>
      </c>
      <c r="H332" s="43">
        <v>45659</v>
      </c>
      <c r="I332" s="43">
        <v>45348</v>
      </c>
      <c r="J332" s="47" t="str">
        <f>IF(GroDB3[[#This Row],[Last_Order_Date]]&lt;=GroDB3[[#This Row],[Date_Received]], "Yes", "No")</f>
        <v>Yes</v>
      </c>
      <c r="K332" s="43">
        <f>IF(GroDB3[[#This Row],[Column1]]="No",GroDB3[[#This Row],[Last_Order_Date]],GroDB3[[#This Row],[Date_Received]])</f>
        <v>45659</v>
      </c>
      <c r="L332" s="43">
        <f>IF(GroDB3[[#This Row],[Column1]]="No",GroDB3[[#This Row],[Date_Received]],GroDB3[[#This Row],[Last_Order_Date]])</f>
        <v>45348</v>
      </c>
      <c r="M332" s="43">
        <v>45624</v>
      </c>
      <c r="N332" s="3">
        <v>37</v>
      </c>
      <c r="O332" s="3">
        <v>5</v>
      </c>
      <c r="P332" s="3">
        <v>1</v>
      </c>
      <c r="Q332" s="4">
        <v>5</v>
      </c>
      <c r="R332" s="3">
        <v>68</v>
      </c>
      <c r="S332" s="3">
        <v>99</v>
      </c>
      <c r="T332" s="7">
        <v>-0.93</v>
      </c>
    </row>
    <row r="333" spans="1:20" x14ac:dyDescent="0.35">
      <c r="A333" s="5" t="s">
        <v>420</v>
      </c>
      <c r="B333" s="3" t="s">
        <v>60</v>
      </c>
      <c r="C333" s="3" t="s">
        <v>466</v>
      </c>
      <c r="D333" s="3" t="s">
        <v>1343</v>
      </c>
      <c r="E333" s="3" t="s">
        <v>56</v>
      </c>
      <c r="F333" s="3" t="s">
        <v>1344</v>
      </c>
      <c r="G333" s="3" t="s">
        <v>1345</v>
      </c>
      <c r="H333" s="43">
        <v>45659</v>
      </c>
      <c r="I333" s="43">
        <v>45570</v>
      </c>
      <c r="J333" s="47" t="str">
        <f>IF(GroDB3[[#This Row],[Last_Order_Date]]&lt;=GroDB3[[#This Row],[Date_Received]], "Yes", "No")</f>
        <v>Yes</v>
      </c>
      <c r="K333" s="43">
        <f>IF(GroDB3[[#This Row],[Column1]]="No",GroDB3[[#This Row],[Last_Order_Date]],GroDB3[[#This Row],[Date_Received]])</f>
        <v>45659</v>
      </c>
      <c r="L333" s="43">
        <f>IF(GroDB3[[#This Row],[Column1]]="No",GroDB3[[#This Row],[Date_Received]],GroDB3[[#This Row],[Last_Order_Date]])</f>
        <v>45570</v>
      </c>
      <c r="M333" s="43">
        <v>45416</v>
      </c>
      <c r="N333" s="3">
        <v>25</v>
      </c>
      <c r="O333" s="3">
        <v>75</v>
      </c>
      <c r="P333" s="3">
        <v>27</v>
      </c>
      <c r="Q333" s="4">
        <v>18</v>
      </c>
      <c r="R333" s="3">
        <v>31</v>
      </c>
      <c r="S333" s="3">
        <v>36</v>
      </c>
      <c r="T333" s="7">
        <v>-0.46</v>
      </c>
    </row>
    <row r="334" spans="1:20" x14ac:dyDescent="0.35">
      <c r="A334" s="5" t="s">
        <v>674</v>
      </c>
      <c r="B334" s="3" t="s">
        <v>60</v>
      </c>
      <c r="C334" s="3" t="s">
        <v>1346</v>
      </c>
      <c r="D334" s="3" t="s">
        <v>1347</v>
      </c>
      <c r="E334" s="3" t="s">
        <v>56</v>
      </c>
      <c r="F334" s="3" t="s">
        <v>1348</v>
      </c>
      <c r="G334" s="3" t="s">
        <v>1349</v>
      </c>
      <c r="H334" s="43">
        <v>45659</v>
      </c>
      <c r="I334" s="43">
        <v>45449</v>
      </c>
      <c r="J334" s="47" t="str">
        <f>IF(GroDB3[[#This Row],[Last_Order_Date]]&lt;=GroDB3[[#This Row],[Date_Received]], "Yes", "No")</f>
        <v>Yes</v>
      </c>
      <c r="K334" s="43">
        <f>IF(GroDB3[[#This Row],[Column1]]="No",GroDB3[[#This Row],[Last_Order_Date]],GroDB3[[#This Row],[Date_Received]])</f>
        <v>45659</v>
      </c>
      <c r="L334" s="43">
        <f>IF(GroDB3[[#This Row],[Column1]]="No",GroDB3[[#This Row],[Date_Received]],GroDB3[[#This Row],[Last_Order_Date]])</f>
        <v>45449</v>
      </c>
      <c r="M334" s="43">
        <v>45697</v>
      </c>
      <c r="N334" s="3">
        <v>11</v>
      </c>
      <c r="O334" s="3">
        <v>87</v>
      </c>
      <c r="P334" s="3">
        <v>43</v>
      </c>
      <c r="Q334" s="4">
        <v>9</v>
      </c>
      <c r="R334" s="3">
        <v>86</v>
      </c>
      <c r="S334" s="3">
        <v>91</v>
      </c>
      <c r="T334" s="7">
        <v>-0.16</v>
      </c>
    </row>
    <row r="335" spans="1:20" x14ac:dyDescent="0.35">
      <c r="A335" s="5" t="s">
        <v>1350</v>
      </c>
      <c r="B335" s="3" t="s">
        <v>32</v>
      </c>
      <c r="C335" s="3" t="s">
        <v>1351</v>
      </c>
      <c r="D335" s="3" t="s">
        <v>1352</v>
      </c>
      <c r="E335" s="3" t="s">
        <v>21</v>
      </c>
      <c r="F335" s="3" t="s">
        <v>1353</v>
      </c>
      <c r="G335" s="3" t="s">
        <v>1354</v>
      </c>
      <c r="H335" s="43">
        <v>45660</v>
      </c>
      <c r="I335" s="43">
        <v>45680</v>
      </c>
      <c r="J335" s="47" t="str">
        <f>IF(GroDB3[[#This Row],[Last_Order_Date]]&lt;=GroDB3[[#This Row],[Date_Received]], "Yes", "No")</f>
        <v>No</v>
      </c>
      <c r="K335" s="43">
        <f>IF(GroDB3[[#This Row],[Column1]]="No",GroDB3[[#This Row],[Last_Order_Date]],GroDB3[[#This Row],[Date_Received]])</f>
        <v>45680</v>
      </c>
      <c r="L335" s="43">
        <f>IF(GroDB3[[#This Row],[Column1]]="No",GroDB3[[#This Row],[Date_Received]],GroDB3[[#This Row],[Last_Order_Date]])</f>
        <v>45660</v>
      </c>
      <c r="M335" s="43">
        <v>45382</v>
      </c>
      <c r="N335" s="3">
        <v>21</v>
      </c>
      <c r="O335" s="3">
        <v>87</v>
      </c>
      <c r="P335" s="3">
        <v>67</v>
      </c>
      <c r="Q335" s="4">
        <v>3.1</v>
      </c>
      <c r="R335" s="3">
        <v>64</v>
      </c>
      <c r="S335" s="3">
        <v>69</v>
      </c>
      <c r="T335" s="7">
        <v>-0.06</v>
      </c>
    </row>
    <row r="336" spans="1:20" x14ac:dyDescent="0.35">
      <c r="A336" s="5" t="s">
        <v>582</v>
      </c>
      <c r="B336" s="3" t="s">
        <v>32</v>
      </c>
      <c r="C336" s="3" t="s">
        <v>112</v>
      </c>
      <c r="D336" s="3" t="s">
        <v>1355</v>
      </c>
      <c r="E336" s="3" t="s">
        <v>28</v>
      </c>
      <c r="F336" s="3" t="s">
        <v>1356</v>
      </c>
      <c r="G336" s="3" t="s">
        <v>1357</v>
      </c>
      <c r="H336" s="43">
        <v>45660</v>
      </c>
      <c r="I336" s="43">
        <v>45363</v>
      </c>
      <c r="J336" s="47" t="str">
        <f>IF(GroDB3[[#This Row],[Last_Order_Date]]&lt;=GroDB3[[#This Row],[Date_Received]], "Yes", "No")</f>
        <v>Yes</v>
      </c>
      <c r="K336" s="43">
        <f>IF(GroDB3[[#This Row],[Column1]]="No",GroDB3[[#This Row],[Last_Order_Date]],GroDB3[[#This Row],[Date_Received]])</f>
        <v>45660</v>
      </c>
      <c r="L336" s="43">
        <f>IF(GroDB3[[#This Row],[Column1]]="No",GroDB3[[#This Row],[Date_Received]],GroDB3[[#This Row],[Last_Order_Date]])</f>
        <v>45363</v>
      </c>
      <c r="M336" s="43">
        <v>45490</v>
      </c>
      <c r="N336" s="3">
        <v>34</v>
      </c>
      <c r="O336" s="3">
        <v>94</v>
      </c>
      <c r="P336" s="3">
        <v>69</v>
      </c>
      <c r="Q336" s="4">
        <v>0.8</v>
      </c>
      <c r="R336" s="3">
        <v>96</v>
      </c>
      <c r="S336" s="3">
        <v>30</v>
      </c>
      <c r="T336" s="7">
        <v>-0.08</v>
      </c>
    </row>
    <row r="337" spans="1:20" x14ac:dyDescent="0.35">
      <c r="A337" s="5" t="s">
        <v>549</v>
      </c>
      <c r="B337" s="3" t="s">
        <v>32</v>
      </c>
      <c r="C337" s="3" t="s">
        <v>1358</v>
      </c>
      <c r="D337" s="3" t="s">
        <v>1359</v>
      </c>
      <c r="E337" s="3" t="s">
        <v>21</v>
      </c>
      <c r="F337" s="3" t="s">
        <v>1360</v>
      </c>
      <c r="G337" s="3" t="s">
        <v>1361</v>
      </c>
      <c r="H337" s="43">
        <v>45691</v>
      </c>
      <c r="I337" s="43">
        <v>45391</v>
      </c>
      <c r="J337" s="47" t="str">
        <f>IF(GroDB3[[#This Row],[Last_Order_Date]]&lt;=GroDB3[[#This Row],[Date_Received]], "Yes", "No")</f>
        <v>Yes</v>
      </c>
      <c r="K337" s="43">
        <f>IF(GroDB3[[#This Row],[Column1]]="No",GroDB3[[#This Row],[Last_Order_Date]],GroDB3[[#This Row],[Date_Received]])</f>
        <v>45691</v>
      </c>
      <c r="L337" s="43">
        <f>IF(GroDB3[[#This Row],[Column1]]="No",GroDB3[[#This Row],[Date_Received]],GroDB3[[#This Row],[Last_Order_Date]])</f>
        <v>45391</v>
      </c>
      <c r="M337" s="43">
        <v>45693</v>
      </c>
      <c r="N337" s="3">
        <v>44</v>
      </c>
      <c r="O337" s="3">
        <v>90</v>
      </c>
      <c r="P337" s="3">
        <v>17</v>
      </c>
      <c r="Q337" s="4">
        <v>2.5</v>
      </c>
      <c r="R337" s="3">
        <v>21</v>
      </c>
      <c r="S337" s="3">
        <v>91</v>
      </c>
      <c r="T337" s="7">
        <v>0.69</v>
      </c>
    </row>
    <row r="338" spans="1:20" x14ac:dyDescent="0.35">
      <c r="A338" s="5" t="s">
        <v>85</v>
      </c>
      <c r="B338" s="3" t="s">
        <v>18</v>
      </c>
      <c r="C338" s="3" t="s">
        <v>316</v>
      </c>
      <c r="D338" s="3" t="s">
        <v>1362</v>
      </c>
      <c r="E338" s="3" t="s">
        <v>21</v>
      </c>
      <c r="F338" s="3" t="s">
        <v>1363</v>
      </c>
      <c r="G338" s="3" t="s">
        <v>1364</v>
      </c>
      <c r="H338" s="43">
        <v>45691</v>
      </c>
      <c r="I338" s="43">
        <v>45609</v>
      </c>
      <c r="J338" s="47" t="str">
        <f>IF(GroDB3[[#This Row],[Last_Order_Date]]&lt;=GroDB3[[#This Row],[Date_Received]], "Yes", "No")</f>
        <v>Yes</v>
      </c>
      <c r="K338" s="43">
        <f>IF(GroDB3[[#This Row],[Column1]]="No",GroDB3[[#This Row],[Last_Order_Date]],GroDB3[[#This Row],[Date_Received]])</f>
        <v>45691</v>
      </c>
      <c r="L338" s="43">
        <f>IF(GroDB3[[#This Row],[Column1]]="No",GroDB3[[#This Row],[Date_Received]],GroDB3[[#This Row],[Last_Order_Date]])</f>
        <v>45609</v>
      </c>
      <c r="M338" s="43">
        <v>45370</v>
      </c>
      <c r="N338" s="3">
        <v>88</v>
      </c>
      <c r="O338" s="3">
        <v>37</v>
      </c>
      <c r="P338" s="3">
        <v>61</v>
      </c>
      <c r="Q338" s="4">
        <v>2.9</v>
      </c>
      <c r="R338" s="3">
        <v>63</v>
      </c>
      <c r="S338" s="3">
        <v>35</v>
      </c>
      <c r="T338" s="7">
        <v>-3.33</v>
      </c>
    </row>
    <row r="339" spans="1:20" x14ac:dyDescent="0.35">
      <c r="A339" s="5" t="s">
        <v>566</v>
      </c>
      <c r="B339" s="3" t="s">
        <v>127</v>
      </c>
      <c r="C339" s="3" t="s">
        <v>1365</v>
      </c>
      <c r="D339" s="3" t="s">
        <v>1366</v>
      </c>
      <c r="E339" s="3" t="s">
        <v>21</v>
      </c>
      <c r="F339" s="3" t="s">
        <v>1367</v>
      </c>
      <c r="G339" s="3" t="s">
        <v>1368</v>
      </c>
      <c r="H339" s="43">
        <v>45691</v>
      </c>
      <c r="I339" s="43">
        <v>45590</v>
      </c>
      <c r="J339" s="47" t="str">
        <f>IF(GroDB3[[#This Row],[Last_Order_Date]]&lt;=GroDB3[[#This Row],[Date_Received]], "Yes", "No")</f>
        <v>Yes</v>
      </c>
      <c r="K339" s="43">
        <f>IF(GroDB3[[#This Row],[Column1]]="No",GroDB3[[#This Row],[Last_Order_Date]],GroDB3[[#This Row],[Date_Received]])</f>
        <v>45691</v>
      </c>
      <c r="L339" s="43">
        <f>IF(GroDB3[[#This Row],[Column1]]="No",GroDB3[[#This Row],[Date_Received]],GroDB3[[#This Row],[Last_Order_Date]])</f>
        <v>45590</v>
      </c>
      <c r="M339" s="43">
        <v>45354</v>
      </c>
      <c r="N339" s="3">
        <v>61</v>
      </c>
      <c r="O339" s="3">
        <v>43</v>
      </c>
      <c r="P339" s="3">
        <v>29</v>
      </c>
      <c r="Q339" s="4">
        <v>15</v>
      </c>
      <c r="R339" s="3">
        <v>67</v>
      </c>
      <c r="S339" s="3">
        <v>6</v>
      </c>
      <c r="T339" s="7">
        <v>0.44</v>
      </c>
    </row>
    <row r="340" spans="1:20" x14ac:dyDescent="0.35">
      <c r="A340" s="5" t="s">
        <v>1369</v>
      </c>
      <c r="B340" s="3" t="s">
        <v>32</v>
      </c>
      <c r="C340" s="3" t="s">
        <v>1370</v>
      </c>
      <c r="D340" s="3" t="s">
        <v>1371</v>
      </c>
      <c r="E340" s="3" t="s">
        <v>21</v>
      </c>
      <c r="F340" s="3" t="s">
        <v>1372</v>
      </c>
      <c r="G340" s="3" t="s">
        <v>1373</v>
      </c>
      <c r="H340" s="43">
        <v>45691</v>
      </c>
      <c r="I340" s="43">
        <v>45367</v>
      </c>
      <c r="J340" s="47" t="str">
        <f>IF(GroDB3[[#This Row],[Last_Order_Date]]&lt;=GroDB3[[#This Row],[Date_Received]], "Yes", "No")</f>
        <v>Yes</v>
      </c>
      <c r="K340" s="43">
        <f>IF(GroDB3[[#This Row],[Column1]]="No",GroDB3[[#This Row],[Last_Order_Date]],GroDB3[[#This Row],[Date_Received]])</f>
        <v>45691</v>
      </c>
      <c r="L340" s="43">
        <f>IF(GroDB3[[#This Row],[Column1]]="No",GroDB3[[#This Row],[Date_Received]],GroDB3[[#This Row],[Last_Order_Date]])</f>
        <v>45367</v>
      </c>
      <c r="M340" s="43">
        <v>45536</v>
      </c>
      <c r="N340" s="3">
        <v>12</v>
      </c>
      <c r="O340" s="3">
        <v>60</v>
      </c>
      <c r="P340" s="3">
        <v>73</v>
      </c>
      <c r="Q340" s="4">
        <v>4</v>
      </c>
      <c r="R340" s="3">
        <v>20</v>
      </c>
      <c r="S340" s="3">
        <v>35</v>
      </c>
      <c r="T340" s="7">
        <v>0.91</v>
      </c>
    </row>
    <row r="341" spans="1:20" x14ac:dyDescent="0.35">
      <c r="A341" s="5" t="s">
        <v>293</v>
      </c>
      <c r="B341" s="3" t="s">
        <v>18</v>
      </c>
      <c r="C341" s="3" t="s">
        <v>1374</v>
      </c>
      <c r="D341" s="3" t="s">
        <v>1375</v>
      </c>
      <c r="E341" s="3" t="s">
        <v>56</v>
      </c>
      <c r="F341" s="3" t="s">
        <v>1376</v>
      </c>
      <c r="G341" s="3" t="s">
        <v>1377</v>
      </c>
      <c r="H341" s="43">
        <v>45691</v>
      </c>
      <c r="I341" s="43">
        <v>45595</v>
      </c>
      <c r="J341" s="47" t="str">
        <f>IF(GroDB3[[#This Row],[Last_Order_Date]]&lt;=GroDB3[[#This Row],[Date_Received]], "Yes", "No")</f>
        <v>Yes</v>
      </c>
      <c r="K341" s="43">
        <f>IF(GroDB3[[#This Row],[Column1]]="No",GroDB3[[#This Row],[Last_Order_Date]],GroDB3[[#This Row],[Date_Received]])</f>
        <v>45691</v>
      </c>
      <c r="L341" s="43">
        <f>IF(GroDB3[[#This Row],[Column1]]="No",GroDB3[[#This Row],[Date_Received]],GroDB3[[#This Row],[Last_Order_Date]])</f>
        <v>45595</v>
      </c>
      <c r="M341" s="43">
        <v>45645</v>
      </c>
      <c r="N341" s="3">
        <v>98</v>
      </c>
      <c r="O341" s="3">
        <v>40</v>
      </c>
      <c r="P341" s="3">
        <v>100</v>
      </c>
      <c r="Q341" s="4">
        <v>2</v>
      </c>
      <c r="R341" s="3">
        <v>46</v>
      </c>
      <c r="S341" s="3">
        <v>9</v>
      </c>
      <c r="T341" s="7">
        <v>-0.75</v>
      </c>
    </row>
    <row r="342" spans="1:20" x14ac:dyDescent="0.35">
      <c r="A342" s="5" t="s">
        <v>126</v>
      </c>
      <c r="B342" s="3" t="s">
        <v>127</v>
      </c>
      <c r="C342" s="3" t="s">
        <v>1378</v>
      </c>
      <c r="D342" s="3" t="s">
        <v>1379</v>
      </c>
      <c r="E342" s="3" t="s">
        <v>28</v>
      </c>
      <c r="F342" s="3" t="s">
        <v>1380</v>
      </c>
      <c r="G342" s="3" t="s">
        <v>1381</v>
      </c>
      <c r="H342" s="43">
        <v>45661</v>
      </c>
      <c r="I342" s="43">
        <v>45372</v>
      </c>
      <c r="J342" s="47" t="str">
        <f>IF(GroDB3[[#This Row],[Last_Order_Date]]&lt;=GroDB3[[#This Row],[Date_Received]], "Yes", "No")</f>
        <v>Yes</v>
      </c>
      <c r="K342" s="43">
        <f>IF(GroDB3[[#This Row],[Column1]]="No",GroDB3[[#This Row],[Last_Order_Date]],GroDB3[[#This Row],[Date_Received]])</f>
        <v>45661</v>
      </c>
      <c r="L342" s="43">
        <f>IF(GroDB3[[#This Row],[Column1]]="No",GroDB3[[#This Row],[Date_Received]],GroDB3[[#This Row],[Last_Order_Date]])</f>
        <v>45372</v>
      </c>
      <c r="M342" s="43">
        <v>45357</v>
      </c>
      <c r="N342" s="3">
        <v>46</v>
      </c>
      <c r="O342" s="3">
        <v>31</v>
      </c>
      <c r="P342" s="3">
        <v>89</v>
      </c>
      <c r="Q342" s="4">
        <v>20</v>
      </c>
      <c r="R342" s="3">
        <v>59</v>
      </c>
      <c r="S342" s="3">
        <v>65</v>
      </c>
      <c r="T342" s="7">
        <v>0.8</v>
      </c>
    </row>
    <row r="343" spans="1:20" x14ac:dyDescent="0.35">
      <c r="A343" s="5" t="s">
        <v>65</v>
      </c>
      <c r="B343" s="3" t="s">
        <v>32</v>
      </c>
      <c r="C343" s="3" t="s">
        <v>755</v>
      </c>
      <c r="D343" s="3" t="s">
        <v>1382</v>
      </c>
      <c r="E343" s="3" t="s">
        <v>21</v>
      </c>
      <c r="F343" s="3" t="s">
        <v>1383</v>
      </c>
      <c r="G343" s="3" t="s">
        <v>1384</v>
      </c>
      <c r="H343" s="43">
        <v>45661</v>
      </c>
      <c r="I343" s="43">
        <v>45650</v>
      </c>
      <c r="J343" s="47" t="str">
        <f>IF(GroDB3[[#This Row],[Last_Order_Date]]&lt;=GroDB3[[#This Row],[Date_Received]], "Yes", "No")</f>
        <v>Yes</v>
      </c>
      <c r="K343" s="43">
        <f>IF(GroDB3[[#This Row],[Column1]]="No",GroDB3[[#This Row],[Last_Order_Date]],GroDB3[[#This Row],[Date_Received]])</f>
        <v>45661</v>
      </c>
      <c r="L343" s="43">
        <f>IF(GroDB3[[#This Row],[Column1]]="No",GroDB3[[#This Row],[Date_Received]],GroDB3[[#This Row],[Last_Order_Date]])</f>
        <v>45650</v>
      </c>
      <c r="M343" s="43">
        <v>45694</v>
      </c>
      <c r="N343" s="3">
        <v>88</v>
      </c>
      <c r="O343" s="3">
        <v>53</v>
      </c>
      <c r="P343" s="3">
        <v>44</v>
      </c>
      <c r="Q343" s="4">
        <v>9</v>
      </c>
      <c r="R343" s="3">
        <v>56</v>
      </c>
      <c r="S343" s="3">
        <v>14</v>
      </c>
      <c r="T343" s="7">
        <v>-0.1</v>
      </c>
    </row>
    <row r="344" spans="1:20" x14ac:dyDescent="0.35">
      <c r="A344" s="5" t="s">
        <v>549</v>
      </c>
      <c r="B344" s="3" t="s">
        <v>32</v>
      </c>
      <c r="C344" s="3" t="s">
        <v>1139</v>
      </c>
      <c r="D344" s="3" t="s">
        <v>1385</v>
      </c>
      <c r="E344" s="3" t="s">
        <v>21</v>
      </c>
      <c r="F344" s="3" t="s">
        <v>1386</v>
      </c>
      <c r="G344" s="3" t="s">
        <v>1387</v>
      </c>
      <c r="H344" s="43">
        <v>45661</v>
      </c>
      <c r="I344" s="43">
        <v>45564</v>
      </c>
      <c r="J344" s="47" t="str">
        <f>IF(GroDB3[[#This Row],[Last_Order_Date]]&lt;=GroDB3[[#This Row],[Date_Received]], "Yes", "No")</f>
        <v>Yes</v>
      </c>
      <c r="K344" s="43">
        <f>IF(GroDB3[[#This Row],[Column1]]="No",GroDB3[[#This Row],[Last_Order_Date]],GroDB3[[#This Row],[Date_Received]])</f>
        <v>45661</v>
      </c>
      <c r="L344" s="43">
        <f>IF(GroDB3[[#This Row],[Column1]]="No",GroDB3[[#This Row],[Date_Received]],GroDB3[[#This Row],[Last_Order_Date]])</f>
        <v>45564</v>
      </c>
      <c r="M344" s="43">
        <v>45696</v>
      </c>
      <c r="N344" s="3">
        <v>88</v>
      </c>
      <c r="O344" s="3">
        <v>22</v>
      </c>
      <c r="P344" s="3">
        <v>61</v>
      </c>
      <c r="Q344" s="4">
        <v>2.5</v>
      </c>
      <c r="R344" s="3">
        <v>54</v>
      </c>
      <c r="S344" s="3">
        <v>100</v>
      </c>
      <c r="T344" s="7">
        <v>0.75</v>
      </c>
    </row>
    <row r="345" spans="1:20" x14ac:dyDescent="0.35">
      <c r="A345" s="5" t="s">
        <v>151</v>
      </c>
      <c r="B345" s="3" t="s">
        <v>91</v>
      </c>
      <c r="C345" s="3" t="s">
        <v>641</v>
      </c>
      <c r="D345" s="3" t="s">
        <v>1388</v>
      </c>
      <c r="E345" s="3" t="s">
        <v>28</v>
      </c>
      <c r="F345" s="3" t="s">
        <v>1389</v>
      </c>
      <c r="G345" s="3" t="s">
        <v>1390</v>
      </c>
      <c r="H345" s="43">
        <v>45661</v>
      </c>
      <c r="I345" s="43">
        <v>45628</v>
      </c>
      <c r="J345" s="47" t="str">
        <f>IF(GroDB3[[#This Row],[Last_Order_Date]]&lt;=GroDB3[[#This Row],[Date_Received]], "Yes", "No")</f>
        <v>Yes</v>
      </c>
      <c r="K345" s="43">
        <f>IF(GroDB3[[#This Row],[Column1]]="No",GroDB3[[#This Row],[Last_Order_Date]],GroDB3[[#This Row],[Date_Received]])</f>
        <v>45661</v>
      </c>
      <c r="L345" s="43">
        <f>IF(GroDB3[[#This Row],[Column1]]="No",GroDB3[[#This Row],[Date_Received]],GroDB3[[#This Row],[Last_Order_Date]])</f>
        <v>45628</v>
      </c>
      <c r="M345" s="43">
        <v>45562</v>
      </c>
      <c r="N345" s="3">
        <v>94</v>
      </c>
      <c r="O345" s="3">
        <v>56</v>
      </c>
      <c r="P345" s="3">
        <v>80</v>
      </c>
      <c r="Q345" s="4">
        <v>4</v>
      </c>
      <c r="R345" s="3">
        <v>47</v>
      </c>
      <c r="S345" s="3">
        <v>96</v>
      </c>
      <c r="T345" s="7">
        <v>-0.85</v>
      </c>
    </row>
    <row r="346" spans="1:20" x14ac:dyDescent="0.35">
      <c r="A346" s="5" t="s">
        <v>329</v>
      </c>
      <c r="B346" s="3" t="s">
        <v>53</v>
      </c>
      <c r="C346" s="3" t="s">
        <v>1296</v>
      </c>
      <c r="D346" s="3" t="s">
        <v>1391</v>
      </c>
      <c r="E346" s="3" t="s">
        <v>56</v>
      </c>
      <c r="F346" s="3" t="s">
        <v>1392</v>
      </c>
      <c r="G346" s="3" t="s">
        <v>1393</v>
      </c>
      <c r="H346" s="43">
        <v>45661</v>
      </c>
      <c r="I346" s="43">
        <v>45478</v>
      </c>
      <c r="J346" s="47" t="str">
        <f>IF(GroDB3[[#This Row],[Last_Order_Date]]&lt;=GroDB3[[#This Row],[Date_Received]], "Yes", "No")</f>
        <v>Yes</v>
      </c>
      <c r="K346" s="43">
        <f>IF(GroDB3[[#This Row],[Column1]]="No",GroDB3[[#This Row],[Last_Order_Date]],GroDB3[[#This Row],[Date_Received]])</f>
        <v>45661</v>
      </c>
      <c r="L346" s="43">
        <f>IF(GroDB3[[#This Row],[Column1]]="No",GroDB3[[#This Row],[Date_Received]],GroDB3[[#This Row],[Last_Order_Date]])</f>
        <v>45478</v>
      </c>
      <c r="M346" s="43">
        <v>45364</v>
      </c>
      <c r="N346" s="3">
        <v>18</v>
      </c>
      <c r="O346" s="3">
        <v>78</v>
      </c>
      <c r="P346" s="3">
        <v>43</v>
      </c>
      <c r="Q346" s="4">
        <v>6</v>
      </c>
      <c r="R346" s="3">
        <v>85</v>
      </c>
      <c r="S346" s="3">
        <v>97</v>
      </c>
      <c r="T346" s="7">
        <v>-1.04</v>
      </c>
    </row>
    <row r="347" spans="1:20" x14ac:dyDescent="0.35">
      <c r="A347" s="5" t="s">
        <v>17</v>
      </c>
      <c r="B347" s="3" t="s">
        <v>18</v>
      </c>
      <c r="C347" s="3" t="s">
        <v>1394</v>
      </c>
      <c r="D347" s="3" t="s">
        <v>1395</v>
      </c>
      <c r="E347" s="3" t="s">
        <v>21</v>
      </c>
      <c r="F347" s="3" t="s">
        <v>1396</v>
      </c>
      <c r="G347" s="3" t="s">
        <v>1397</v>
      </c>
      <c r="H347" s="43">
        <v>45661</v>
      </c>
      <c r="I347" s="43">
        <v>45580</v>
      </c>
      <c r="J347" s="47" t="str">
        <f>IF(GroDB3[[#This Row],[Last_Order_Date]]&lt;=GroDB3[[#This Row],[Date_Received]], "Yes", "No")</f>
        <v>Yes</v>
      </c>
      <c r="K347" s="43">
        <f>IF(GroDB3[[#This Row],[Column1]]="No",GroDB3[[#This Row],[Last_Order_Date]],GroDB3[[#This Row],[Date_Received]])</f>
        <v>45661</v>
      </c>
      <c r="L347" s="43">
        <f>IF(GroDB3[[#This Row],[Column1]]="No",GroDB3[[#This Row],[Date_Received]],GroDB3[[#This Row],[Last_Order_Date]])</f>
        <v>45580</v>
      </c>
      <c r="M347" s="43">
        <v>45552</v>
      </c>
      <c r="N347" s="3">
        <v>94</v>
      </c>
      <c r="O347" s="3">
        <v>18</v>
      </c>
      <c r="P347" s="3">
        <v>84</v>
      </c>
      <c r="Q347" s="4">
        <v>4.5</v>
      </c>
      <c r="R347" s="3">
        <v>44</v>
      </c>
      <c r="S347" s="3">
        <v>49</v>
      </c>
      <c r="T347" s="7">
        <v>-0.14000000000000001</v>
      </c>
    </row>
    <row r="348" spans="1:20" x14ac:dyDescent="0.35">
      <c r="A348" s="5" t="s">
        <v>85</v>
      </c>
      <c r="B348" s="3" t="s">
        <v>18</v>
      </c>
      <c r="C348" s="3" t="s">
        <v>1398</v>
      </c>
      <c r="D348" s="3" t="s">
        <v>1399</v>
      </c>
      <c r="E348" s="3" t="s">
        <v>21</v>
      </c>
      <c r="F348" s="3" t="s">
        <v>1400</v>
      </c>
      <c r="G348" s="3" t="s">
        <v>1401</v>
      </c>
      <c r="H348" s="43">
        <v>45692</v>
      </c>
      <c r="I348" s="43">
        <v>45499</v>
      </c>
      <c r="J348" s="47" t="str">
        <f>IF(GroDB3[[#This Row],[Last_Order_Date]]&lt;=GroDB3[[#This Row],[Date_Received]], "Yes", "No")</f>
        <v>Yes</v>
      </c>
      <c r="K348" s="43">
        <f>IF(GroDB3[[#This Row],[Column1]]="No",GroDB3[[#This Row],[Last_Order_Date]],GroDB3[[#This Row],[Date_Received]])</f>
        <v>45692</v>
      </c>
      <c r="L348" s="43">
        <f>IF(GroDB3[[#This Row],[Column1]]="No",GroDB3[[#This Row],[Date_Received]],GroDB3[[#This Row],[Last_Order_Date]])</f>
        <v>45499</v>
      </c>
      <c r="M348" s="43">
        <v>45405</v>
      </c>
      <c r="N348" s="3">
        <v>41</v>
      </c>
      <c r="O348" s="3">
        <v>94</v>
      </c>
      <c r="P348" s="3">
        <v>4</v>
      </c>
      <c r="Q348" s="4">
        <v>3</v>
      </c>
      <c r="R348" s="3">
        <v>88</v>
      </c>
      <c r="S348" s="3">
        <v>92</v>
      </c>
      <c r="T348" s="7">
        <v>-0.11</v>
      </c>
    </row>
    <row r="349" spans="1:20" x14ac:dyDescent="0.35">
      <c r="A349" s="5" t="s">
        <v>298</v>
      </c>
      <c r="B349" s="3" t="s">
        <v>32</v>
      </c>
      <c r="C349" s="3" t="s">
        <v>1402</v>
      </c>
      <c r="D349" s="3" t="s">
        <v>1403</v>
      </c>
      <c r="E349" s="3" t="s">
        <v>28</v>
      </c>
      <c r="F349" s="3" t="s">
        <v>1404</v>
      </c>
      <c r="G349" s="3" t="s">
        <v>1405</v>
      </c>
      <c r="H349" s="43">
        <v>45662</v>
      </c>
      <c r="I349" s="43">
        <v>45424</v>
      </c>
      <c r="J349" s="47" t="str">
        <f>IF(GroDB3[[#This Row],[Last_Order_Date]]&lt;=GroDB3[[#This Row],[Date_Received]], "Yes", "No")</f>
        <v>Yes</v>
      </c>
      <c r="K349" s="43">
        <f>IF(GroDB3[[#This Row],[Column1]]="No",GroDB3[[#This Row],[Last_Order_Date]],GroDB3[[#This Row],[Date_Received]])</f>
        <v>45662</v>
      </c>
      <c r="L349" s="43">
        <f>IF(GroDB3[[#This Row],[Column1]]="No",GroDB3[[#This Row],[Date_Received]],GroDB3[[#This Row],[Last_Order_Date]])</f>
        <v>45424</v>
      </c>
      <c r="M349" s="43">
        <v>45437</v>
      </c>
      <c r="N349" s="3">
        <v>18</v>
      </c>
      <c r="O349" s="3">
        <v>14</v>
      </c>
      <c r="P349" s="3">
        <v>77</v>
      </c>
      <c r="Q349" s="4">
        <v>2.5</v>
      </c>
      <c r="R349" s="3">
        <v>78</v>
      </c>
      <c r="S349" s="3">
        <v>4</v>
      </c>
      <c r="T349" s="7">
        <v>-0.05</v>
      </c>
    </row>
    <row r="350" spans="1:20" x14ac:dyDescent="0.35">
      <c r="A350" s="5" t="s">
        <v>789</v>
      </c>
      <c r="B350" s="3" t="s">
        <v>18</v>
      </c>
      <c r="C350" s="3" t="s">
        <v>33</v>
      </c>
      <c r="D350" s="3" t="s">
        <v>1406</v>
      </c>
      <c r="E350" s="3" t="s">
        <v>56</v>
      </c>
      <c r="F350" s="3" t="s">
        <v>1407</v>
      </c>
      <c r="G350" s="3" t="s">
        <v>1408</v>
      </c>
      <c r="H350" s="43">
        <v>45662</v>
      </c>
      <c r="I350" s="43">
        <v>45668</v>
      </c>
      <c r="J350" s="47" t="str">
        <f>IF(GroDB3[[#This Row],[Last_Order_Date]]&lt;=GroDB3[[#This Row],[Date_Received]], "Yes", "No")</f>
        <v>No</v>
      </c>
      <c r="K350" s="43">
        <f>IF(GroDB3[[#This Row],[Column1]]="No",GroDB3[[#This Row],[Last_Order_Date]],GroDB3[[#This Row],[Date_Received]])</f>
        <v>45668</v>
      </c>
      <c r="L350" s="43">
        <f>IF(GroDB3[[#This Row],[Column1]]="No",GroDB3[[#This Row],[Date_Received]],GroDB3[[#This Row],[Last_Order_Date]])</f>
        <v>45662</v>
      </c>
      <c r="M350" s="43">
        <v>45578</v>
      </c>
      <c r="N350" s="3">
        <v>19</v>
      </c>
      <c r="O350" s="3">
        <v>92</v>
      </c>
      <c r="P350" s="3">
        <v>41</v>
      </c>
      <c r="Q350" s="4">
        <v>2</v>
      </c>
      <c r="R350" s="3">
        <v>51</v>
      </c>
      <c r="S350" s="3">
        <v>79</v>
      </c>
      <c r="T350" s="7">
        <v>0.95</v>
      </c>
    </row>
    <row r="351" spans="1:20" x14ac:dyDescent="0.35">
      <c r="A351" s="5" t="s">
        <v>329</v>
      </c>
      <c r="B351" s="3" t="s">
        <v>53</v>
      </c>
      <c r="C351" s="3" t="s">
        <v>1058</v>
      </c>
      <c r="D351" s="3" t="s">
        <v>1409</v>
      </c>
      <c r="E351" s="3" t="s">
        <v>28</v>
      </c>
      <c r="F351" s="3" t="s">
        <v>1410</v>
      </c>
      <c r="G351" s="3" t="s">
        <v>1411</v>
      </c>
      <c r="H351" s="43">
        <v>45662</v>
      </c>
      <c r="I351" s="43">
        <v>45535</v>
      </c>
      <c r="J351" s="47" t="str">
        <f>IF(GroDB3[[#This Row],[Last_Order_Date]]&lt;=GroDB3[[#This Row],[Date_Received]], "Yes", "No")</f>
        <v>Yes</v>
      </c>
      <c r="K351" s="43">
        <f>IF(GroDB3[[#This Row],[Column1]]="No",GroDB3[[#This Row],[Last_Order_Date]],GroDB3[[#This Row],[Date_Received]])</f>
        <v>45662</v>
      </c>
      <c r="L351" s="43">
        <f>IF(GroDB3[[#This Row],[Column1]]="No",GroDB3[[#This Row],[Date_Received]],GroDB3[[#This Row],[Last_Order_Date]])</f>
        <v>45535</v>
      </c>
      <c r="M351" s="43">
        <v>45675</v>
      </c>
      <c r="N351" s="3">
        <v>98</v>
      </c>
      <c r="O351" s="3">
        <v>41</v>
      </c>
      <c r="P351" s="3">
        <v>98</v>
      </c>
      <c r="Q351" s="4">
        <v>6.35</v>
      </c>
      <c r="R351" s="3">
        <v>70</v>
      </c>
      <c r="S351" s="3">
        <v>75</v>
      </c>
      <c r="T351" s="7">
        <v>-0.55000000000000004</v>
      </c>
    </row>
    <row r="352" spans="1:20" x14ac:dyDescent="0.35">
      <c r="A352" s="5" t="s">
        <v>627</v>
      </c>
      <c r="B352" s="3" t="s">
        <v>53</v>
      </c>
      <c r="C352" s="3" t="s">
        <v>926</v>
      </c>
      <c r="D352" s="3" t="s">
        <v>1412</v>
      </c>
      <c r="E352" s="3" t="s">
        <v>56</v>
      </c>
      <c r="F352" s="3" t="s">
        <v>1413</v>
      </c>
      <c r="G352" s="3" t="s">
        <v>1414</v>
      </c>
      <c r="H352" s="43">
        <v>45693</v>
      </c>
      <c r="I352" s="43">
        <v>45576</v>
      </c>
      <c r="J352" s="47" t="str">
        <f>IF(GroDB3[[#This Row],[Last_Order_Date]]&lt;=GroDB3[[#This Row],[Date_Received]], "Yes", "No")</f>
        <v>Yes</v>
      </c>
      <c r="K352" s="43">
        <f>IF(GroDB3[[#This Row],[Column1]]="No",GroDB3[[#This Row],[Last_Order_Date]],GroDB3[[#This Row],[Date_Received]])</f>
        <v>45693</v>
      </c>
      <c r="L352" s="43">
        <f>IF(GroDB3[[#This Row],[Column1]]="No",GroDB3[[#This Row],[Date_Received]],GroDB3[[#This Row],[Last_Order_Date]])</f>
        <v>45576</v>
      </c>
      <c r="M352" s="43">
        <v>45512</v>
      </c>
      <c r="N352" s="3">
        <v>21</v>
      </c>
      <c r="O352" s="3">
        <v>15</v>
      </c>
      <c r="P352" s="3">
        <v>27</v>
      </c>
      <c r="Q352" s="4">
        <v>2.5</v>
      </c>
      <c r="R352" s="3">
        <v>37</v>
      </c>
      <c r="S352" s="3">
        <v>41</v>
      </c>
      <c r="T352" s="7">
        <v>-7.0000000000000007E-2</v>
      </c>
    </row>
    <row r="353" spans="1:20" x14ac:dyDescent="0.35">
      <c r="A353" s="5" t="s">
        <v>1117</v>
      </c>
      <c r="B353" s="3" t="s">
        <v>91</v>
      </c>
      <c r="C353" s="3" t="s">
        <v>868</v>
      </c>
      <c r="D353" s="3" t="s">
        <v>1415</v>
      </c>
      <c r="E353" s="3" t="s">
        <v>56</v>
      </c>
      <c r="F353" s="3" t="s">
        <v>1416</v>
      </c>
      <c r="G353" s="3" t="s">
        <v>1417</v>
      </c>
      <c r="H353" s="43">
        <v>45693</v>
      </c>
      <c r="I353" s="43">
        <v>45414</v>
      </c>
      <c r="J353" s="47" t="str">
        <f>IF(GroDB3[[#This Row],[Last_Order_Date]]&lt;=GroDB3[[#This Row],[Date_Received]], "Yes", "No")</f>
        <v>Yes</v>
      </c>
      <c r="K353" s="43">
        <f>IF(GroDB3[[#This Row],[Column1]]="No",GroDB3[[#This Row],[Last_Order_Date]],GroDB3[[#This Row],[Date_Received]])</f>
        <v>45693</v>
      </c>
      <c r="L353" s="43">
        <f>IF(GroDB3[[#This Row],[Column1]]="No",GroDB3[[#This Row],[Date_Received]],GroDB3[[#This Row],[Last_Order_Date]])</f>
        <v>45414</v>
      </c>
      <c r="M353" s="43">
        <v>45439</v>
      </c>
      <c r="N353" s="3">
        <v>74</v>
      </c>
      <c r="O353" s="3">
        <v>81</v>
      </c>
      <c r="P353" s="3">
        <v>41</v>
      </c>
      <c r="Q353" s="4">
        <v>6</v>
      </c>
      <c r="R353" s="3">
        <v>51</v>
      </c>
      <c r="S353" s="3">
        <v>67</v>
      </c>
      <c r="T353" s="7">
        <v>-0.11</v>
      </c>
    </row>
    <row r="354" spans="1:20" x14ac:dyDescent="0.35">
      <c r="A354" s="5" t="s">
        <v>526</v>
      </c>
      <c r="B354" s="3" t="s">
        <v>53</v>
      </c>
      <c r="C354" s="3" t="s">
        <v>1418</v>
      </c>
      <c r="D354" s="3" t="s">
        <v>1419</v>
      </c>
      <c r="E354" s="3" t="s">
        <v>28</v>
      </c>
      <c r="F354" s="3" t="s">
        <v>1420</v>
      </c>
      <c r="G354" s="3" t="s">
        <v>1421</v>
      </c>
      <c r="H354" s="43">
        <v>45663</v>
      </c>
      <c r="I354" s="43">
        <v>45444</v>
      </c>
      <c r="J354" s="47" t="str">
        <f>IF(GroDB3[[#This Row],[Last_Order_Date]]&lt;=GroDB3[[#This Row],[Date_Received]], "Yes", "No")</f>
        <v>Yes</v>
      </c>
      <c r="K354" s="43">
        <f>IF(GroDB3[[#This Row],[Column1]]="No",GroDB3[[#This Row],[Last_Order_Date]],GroDB3[[#This Row],[Date_Received]])</f>
        <v>45663</v>
      </c>
      <c r="L354" s="43">
        <f>IF(GroDB3[[#This Row],[Column1]]="No",GroDB3[[#This Row],[Date_Received]],GroDB3[[#This Row],[Last_Order_Date]])</f>
        <v>45444</v>
      </c>
      <c r="M354" s="43">
        <v>45418</v>
      </c>
      <c r="N354" s="3">
        <v>20</v>
      </c>
      <c r="O354" s="3">
        <v>20</v>
      </c>
      <c r="P354" s="3">
        <v>56</v>
      </c>
      <c r="Q354" s="4">
        <v>1.8</v>
      </c>
      <c r="R354" s="3">
        <v>62</v>
      </c>
      <c r="S354" s="3">
        <v>69</v>
      </c>
      <c r="T354" s="7">
        <v>-0.31</v>
      </c>
    </row>
    <row r="355" spans="1:20" x14ac:dyDescent="0.35">
      <c r="A355" s="5" t="s">
        <v>495</v>
      </c>
      <c r="B355" s="3" t="s">
        <v>18</v>
      </c>
      <c r="C355" s="3" t="s">
        <v>1207</v>
      </c>
      <c r="D355" s="3" t="s">
        <v>1422</v>
      </c>
      <c r="E355" s="3" t="s">
        <v>28</v>
      </c>
      <c r="F355" s="3" t="s">
        <v>1423</v>
      </c>
      <c r="G355" s="3" t="s">
        <v>1424</v>
      </c>
      <c r="H355" s="43">
        <v>45663</v>
      </c>
      <c r="I355" s="43">
        <v>45626</v>
      </c>
      <c r="J355" s="47" t="str">
        <f>IF(GroDB3[[#This Row],[Last_Order_Date]]&lt;=GroDB3[[#This Row],[Date_Received]], "Yes", "No")</f>
        <v>Yes</v>
      </c>
      <c r="K355" s="43">
        <f>IF(GroDB3[[#This Row],[Column1]]="No",GroDB3[[#This Row],[Last_Order_Date]],GroDB3[[#This Row],[Date_Received]])</f>
        <v>45663</v>
      </c>
      <c r="L355" s="43">
        <f>IF(GroDB3[[#This Row],[Column1]]="No",GroDB3[[#This Row],[Date_Received]],GroDB3[[#This Row],[Last_Order_Date]])</f>
        <v>45626</v>
      </c>
      <c r="M355" s="43">
        <v>45605</v>
      </c>
      <c r="N355" s="3">
        <v>35</v>
      </c>
      <c r="O355" s="3">
        <v>19</v>
      </c>
      <c r="P355" s="3">
        <v>30</v>
      </c>
      <c r="Q355" s="4">
        <v>6.5</v>
      </c>
      <c r="R355" s="3">
        <v>88</v>
      </c>
      <c r="S355" s="3">
        <v>6</v>
      </c>
      <c r="T355" s="7">
        <v>-0.11</v>
      </c>
    </row>
    <row r="356" spans="1:20" x14ac:dyDescent="0.35">
      <c r="A356" s="5" t="s">
        <v>1278</v>
      </c>
      <c r="B356" s="3" t="s">
        <v>18</v>
      </c>
      <c r="C356" s="3" t="s">
        <v>518</v>
      </c>
      <c r="D356" s="3" t="s">
        <v>1425</v>
      </c>
      <c r="E356" s="3" t="s">
        <v>28</v>
      </c>
      <c r="F356" s="3" t="s">
        <v>1426</v>
      </c>
      <c r="G356" s="3" t="s">
        <v>1427</v>
      </c>
      <c r="H356" s="43">
        <v>45663</v>
      </c>
      <c r="I356" s="43">
        <v>45508</v>
      </c>
      <c r="J356" s="47" t="str">
        <f>IF(GroDB3[[#This Row],[Last_Order_Date]]&lt;=GroDB3[[#This Row],[Date_Received]], "Yes", "No")</f>
        <v>Yes</v>
      </c>
      <c r="K356" s="43">
        <f>IF(GroDB3[[#This Row],[Column1]]="No",GroDB3[[#This Row],[Last_Order_Date]],GroDB3[[#This Row],[Date_Received]])</f>
        <v>45663</v>
      </c>
      <c r="L356" s="43">
        <f>IF(GroDB3[[#This Row],[Column1]]="No",GroDB3[[#This Row],[Date_Received]],GroDB3[[#This Row],[Last_Order_Date]])</f>
        <v>45508</v>
      </c>
      <c r="M356" s="43">
        <v>45498</v>
      </c>
      <c r="N356" s="3">
        <v>81</v>
      </c>
      <c r="O356" s="3">
        <v>16</v>
      </c>
      <c r="P356" s="3">
        <v>69</v>
      </c>
      <c r="Q356" s="4">
        <v>4.3</v>
      </c>
      <c r="R356" s="3">
        <v>23</v>
      </c>
      <c r="S356" s="3">
        <v>96</v>
      </c>
      <c r="T356" s="7">
        <v>0.93</v>
      </c>
    </row>
    <row r="357" spans="1:20" x14ac:dyDescent="0.35">
      <c r="A357" s="5" t="s">
        <v>1369</v>
      </c>
      <c r="B357" s="3" t="s">
        <v>32</v>
      </c>
      <c r="C357" s="3" t="s">
        <v>226</v>
      </c>
      <c r="D357" s="3" t="s">
        <v>1428</v>
      </c>
      <c r="E357" s="3" t="s">
        <v>21</v>
      </c>
      <c r="F357" s="3" t="s">
        <v>1429</v>
      </c>
      <c r="G357" s="3" t="s">
        <v>1430</v>
      </c>
      <c r="H357" s="43">
        <v>45663</v>
      </c>
      <c r="I357" s="43">
        <v>45596</v>
      </c>
      <c r="J357" s="47" t="str">
        <f>IF(GroDB3[[#This Row],[Last_Order_Date]]&lt;=GroDB3[[#This Row],[Date_Received]], "Yes", "No")</f>
        <v>Yes</v>
      </c>
      <c r="K357" s="43">
        <f>IF(GroDB3[[#This Row],[Column1]]="No",GroDB3[[#This Row],[Last_Order_Date]],GroDB3[[#This Row],[Date_Received]])</f>
        <v>45663</v>
      </c>
      <c r="L357" s="43">
        <f>IF(GroDB3[[#This Row],[Column1]]="No",GroDB3[[#This Row],[Date_Received]],GroDB3[[#This Row],[Last_Order_Date]])</f>
        <v>45596</v>
      </c>
      <c r="M357" s="43">
        <v>45544</v>
      </c>
      <c r="N357" s="3">
        <v>85</v>
      </c>
      <c r="O357" s="3">
        <v>66</v>
      </c>
      <c r="P357" s="3">
        <v>85</v>
      </c>
      <c r="Q357" s="4">
        <v>4.2</v>
      </c>
      <c r="R357" s="3">
        <v>65</v>
      </c>
      <c r="S357" s="3">
        <v>58</v>
      </c>
      <c r="T357" s="7">
        <v>-3.17</v>
      </c>
    </row>
    <row r="358" spans="1:20" x14ac:dyDescent="0.35">
      <c r="A358" s="5" t="s">
        <v>508</v>
      </c>
      <c r="B358" s="3" t="s">
        <v>127</v>
      </c>
      <c r="C358" s="3" t="s">
        <v>1431</v>
      </c>
      <c r="D358" s="3" t="s">
        <v>1432</v>
      </c>
      <c r="E358" s="3" t="s">
        <v>56</v>
      </c>
      <c r="F358" s="3" t="s">
        <v>1433</v>
      </c>
      <c r="G358" s="3" t="s">
        <v>1434</v>
      </c>
      <c r="H358" s="43">
        <v>45663</v>
      </c>
      <c r="I358" s="43">
        <v>45372</v>
      </c>
      <c r="J358" s="47" t="str">
        <f>IF(GroDB3[[#This Row],[Last_Order_Date]]&lt;=GroDB3[[#This Row],[Date_Received]], "Yes", "No")</f>
        <v>Yes</v>
      </c>
      <c r="K358" s="43">
        <f>IF(GroDB3[[#This Row],[Column1]]="No",GroDB3[[#This Row],[Last_Order_Date]],GroDB3[[#This Row],[Date_Received]])</f>
        <v>45663</v>
      </c>
      <c r="L358" s="43">
        <f>IF(GroDB3[[#This Row],[Column1]]="No",GroDB3[[#This Row],[Date_Received]],GroDB3[[#This Row],[Last_Order_Date]])</f>
        <v>45372</v>
      </c>
      <c r="M358" s="43">
        <v>45381</v>
      </c>
      <c r="N358" s="3">
        <v>45</v>
      </c>
      <c r="O358" s="3">
        <v>58</v>
      </c>
      <c r="P358" s="3">
        <v>84</v>
      </c>
      <c r="Q358" s="4">
        <v>5</v>
      </c>
      <c r="R358" s="3">
        <v>90</v>
      </c>
      <c r="S358" s="3">
        <v>67</v>
      </c>
      <c r="T358" s="7">
        <v>0.11</v>
      </c>
    </row>
    <row r="359" spans="1:20" x14ac:dyDescent="0.35">
      <c r="A359" s="5" t="s">
        <v>665</v>
      </c>
      <c r="B359" s="3" t="s">
        <v>18</v>
      </c>
      <c r="C359" s="3" t="s">
        <v>774</v>
      </c>
      <c r="D359" s="3" t="s">
        <v>1435</v>
      </c>
      <c r="E359" s="3" t="s">
        <v>21</v>
      </c>
      <c r="F359" s="3" t="s">
        <v>1436</v>
      </c>
      <c r="G359" s="3" t="s">
        <v>1437</v>
      </c>
      <c r="H359" s="43">
        <v>45694</v>
      </c>
      <c r="I359" s="43">
        <v>45568</v>
      </c>
      <c r="J359" s="47" t="str">
        <f>IF(GroDB3[[#This Row],[Last_Order_Date]]&lt;=GroDB3[[#This Row],[Date_Received]], "Yes", "No")</f>
        <v>Yes</v>
      </c>
      <c r="K359" s="43">
        <f>IF(GroDB3[[#This Row],[Column1]]="No",GroDB3[[#This Row],[Last_Order_Date]],GroDB3[[#This Row],[Date_Received]])</f>
        <v>45694</v>
      </c>
      <c r="L359" s="43">
        <f>IF(GroDB3[[#This Row],[Column1]]="No",GroDB3[[#This Row],[Date_Received]],GroDB3[[#This Row],[Last_Order_Date]])</f>
        <v>45568</v>
      </c>
      <c r="M359" s="43">
        <v>45476</v>
      </c>
      <c r="N359" s="3">
        <v>47</v>
      </c>
      <c r="O359" s="3">
        <v>75</v>
      </c>
      <c r="P359" s="3">
        <v>53</v>
      </c>
      <c r="Q359" s="4">
        <v>6</v>
      </c>
      <c r="R359" s="3">
        <v>70</v>
      </c>
      <c r="S359" s="3">
        <v>20</v>
      </c>
      <c r="T359" s="7">
        <v>0.26</v>
      </c>
    </row>
    <row r="360" spans="1:20" x14ac:dyDescent="0.35">
      <c r="A360" s="5" t="s">
        <v>1117</v>
      </c>
      <c r="B360" s="3" t="s">
        <v>91</v>
      </c>
      <c r="C360" s="3" t="s">
        <v>1438</v>
      </c>
      <c r="D360" s="3" t="s">
        <v>1439</v>
      </c>
      <c r="E360" s="3" t="s">
        <v>21</v>
      </c>
      <c r="F360" s="3" t="s">
        <v>1440</v>
      </c>
      <c r="G360" s="3" t="s">
        <v>1441</v>
      </c>
      <c r="H360" s="43">
        <v>45694</v>
      </c>
      <c r="I360" s="43">
        <v>45705</v>
      </c>
      <c r="J360" s="47" t="str">
        <f>IF(GroDB3[[#This Row],[Last_Order_Date]]&lt;=GroDB3[[#This Row],[Date_Received]], "Yes", "No")</f>
        <v>No</v>
      </c>
      <c r="K360" s="43">
        <f>IF(GroDB3[[#This Row],[Column1]]="No",GroDB3[[#This Row],[Last_Order_Date]],GroDB3[[#This Row],[Date_Received]])</f>
        <v>45705</v>
      </c>
      <c r="L360" s="43">
        <f>IF(GroDB3[[#This Row],[Column1]]="No",GroDB3[[#This Row],[Date_Received]],GroDB3[[#This Row],[Last_Order_Date]])</f>
        <v>45694</v>
      </c>
      <c r="M360" s="43">
        <v>45466</v>
      </c>
      <c r="N360" s="3">
        <v>12</v>
      </c>
      <c r="O360" s="3">
        <v>7</v>
      </c>
      <c r="P360" s="3">
        <v>23</v>
      </c>
      <c r="Q360" s="4">
        <v>6</v>
      </c>
      <c r="R360" s="3">
        <v>72</v>
      </c>
      <c r="S360" s="3">
        <v>16</v>
      </c>
      <c r="T360" s="7">
        <v>0.71</v>
      </c>
    </row>
    <row r="361" spans="1:20" x14ac:dyDescent="0.35">
      <c r="A361" s="5" t="s">
        <v>517</v>
      </c>
      <c r="B361" s="3" t="s">
        <v>127</v>
      </c>
      <c r="C361" s="3" t="s">
        <v>482</v>
      </c>
      <c r="D361" s="3" t="s">
        <v>1442</v>
      </c>
      <c r="E361" s="3" t="s">
        <v>56</v>
      </c>
      <c r="F361" s="3" t="s">
        <v>1443</v>
      </c>
      <c r="G361" s="3" t="s">
        <v>1444</v>
      </c>
      <c r="H361" s="43">
        <v>45664</v>
      </c>
      <c r="I361" s="43">
        <v>45349</v>
      </c>
      <c r="J361" s="47" t="str">
        <f>IF(GroDB3[[#This Row],[Last_Order_Date]]&lt;=GroDB3[[#This Row],[Date_Received]], "Yes", "No")</f>
        <v>Yes</v>
      </c>
      <c r="K361" s="43">
        <f>IF(GroDB3[[#This Row],[Column1]]="No",GroDB3[[#This Row],[Last_Order_Date]],GroDB3[[#This Row],[Date_Received]])</f>
        <v>45664</v>
      </c>
      <c r="L361" s="43">
        <f>IF(GroDB3[[#This Row],[Column1]]="No",GroDB3[[#This Row],[Date_Received]],GroDB3[[#This Row],[Last_Order_Date]])</f>
        <v>45349</v>
      </c>
      <c r="M361" s="43">
        <v>45380</v>
      </c>
      <c r="N361" s="3">
        <v>20</v>
      </c>
      <c r="O361" s="3">
        <v>43</v>
      </c>
      <c r="P361" s="3">
        <v>43</v>
      </c>
      <c r="Q361" s="4">
        <v>25</v>
      </c>
      <c r="R361" s="3">
        <v>73</v>
      </c>
      <c r="S361" s="3">
        <v>6</v>
      </c>
      <c r="T361" s="7">
        <v>0.78</v>
      </c>
    </row>
    <row r="362" spans="1:20" x14ac:dyDescent="0.35">
      <c r="A362" s="5" t="s">
        <v>1445</v>
      </c>
      <c r="B362" s="3" t="s">
        <v>18</v>
      </c>
      <c r="C362" s="3" t="s">
        <v>1365</v>
      </c>
      <c r="D362" s="3" t="s">
        <v>1446</v>
      </c>
      <c r="E362" s="3" t="s">
        <v>28</v>
      </c>
      <c r="F362" s="3" t="s">
        <v>1447</v>
      </c>
      <c r="G362" s="3" t="s">
        <v>1448</v>
      </c>
      <c r="H362" s="43">
        <v>45664</v>
      </c>
      <c r="I362" s="43">
        <v>45448</v>
      </c>
      <c r="J362" s="47" t="str">
        <f>IF(GroDB3[[#This Row],[Last_Order_Date]]&lt;=GroDB3[[#This Row],[Date_Received]], "Yes", "No")</f>
        <v>Yes</v>
      </c>
      <c r="K362" s="43">
        <f>IF(GroDB3[[#This Row],[Column1]]="No",GroDB3[[#This Row],[Last_Order_Date]],GroDB3[[#This Row],[Date_Received]])</f>
        <v>45664</v>
      </c>
      <c r="L362" s="43">
        <f>IF(GroDB3[[#This Row],[Column1]]="No",GroDB3[[#This Row],[Date_Received]],GroDB3[[#This Row],[Last_Order_Date]])</f>
        <v>45448</v>
      </c>
      <c r="M362" s="43">
        <v>45418</v>
      </c>
      <c r="N362" s="3">
        <v>87</v>
      </c>
      <c r="O362" s="3">
        <v>51</v>
      </c>
      <c r="P362" s="3">
        <v>67</v>
      </c>
      <c r="Q362" s="4">
        <v>10</v>
      </c>
      <c r="R362" s="3">
        <v>55</v>
      </c>
      <c r="S362" s="3">
        <v>100</v>
      </c>
      <c r="T362" s="7">
        <v>0.92</v>
      </c>
    </row>
    <row r="363" spans="1:20" x14ac:dyDescent="0.35">
      <c r="A363" s="5" t="s">
        <v>225</v>
      </c>
      <c r="B363" s="3" t="s">
        <v>91</v>
      </c>
      <c r="C363" s="3" t="s">
        <v>381</v>
      </c>
      <c r="D363" s="3" t="s">
        <v>1449</v>
      </c>
      <c r="E363" s="3" t="s">
        <v>28</v>
      </c>
      <c r="F363" s="3" t="s">
        <v>1450</v>
      </c>
      <c r="G363" s="3" t="s">
        <v>1451</v>
      </c>
      <c r="H363" s="43">
        <v>45664</v>
      </c>
      <c r="I363" s="43">
        <v>45554</v>
      </c>
      <c r="J363" s="47" t="str">
        <f>IF(GroDB3[[#This Row],[Last_Order_Date]]&lt;=GroDB3[[#This Row],[Date_Received]], "Yes", "No")</f>
        <v>Yes</v>
      </c>
      <c r="K363" s="43">
        <f>IF(GroDB3[[#This Row],[Column1]]="No",GroDB3[[#This Row],[Last_Order_Date]],GroDB3[[#This Row],[Date_Received]])</f>
        <v>45664</v>
      </c>
      <c r="L363" s="43">
        <f>IF(GroDB3[[#This Row],[Column1]]="No",GroDB3[[#This Row],[Date_Received]],GroDB3[[#This Row],[Last_Order_Date]])</f>
        <v>45554</v>
      </c>
      <c r="M363" s="43">
        <v>45536</v>
      </c>
      <c r="N363" s="3">
        <v>23</v>
      </c>
      <c r="O363" s="3">
        <v>76</v>
      </c>
      <c r="P363" s="3">
        <v>70</v>
      </c>
      <c r="Q363" s="4">
        <v>5</v>
      </c>
      <c r="R363" s="3">
        <v>97</v>
      </c>
      <c r="S363" s="3">
        <v>38</v>
      </c>
      <c r="T363" s="7">
        <v>-0.82</v>
      </c>
    </row>
    <row r="364" spans="1:20" x14ac:dyDescent="0.35">
      <c r="A364" s="5" t="s">
        <v>85</v>
      </c>
      <c r="B364" s="3" t="s">
        <v>18</v>
      </c>
      <c r="C364" s="3" t="s">
        <v>687</v>
      </c>
      <c r="D364" s="3" t="s">
        <v>1452</v>
      </c>
      <c r="E364" s="3" t="s">
        <v>28</v>
      </c>
      <c r="F364" s="3" t="s">
        <v>1453</v>
      </c>
      <c r="G364" s="3" t="s">
        <v>1454</v>
      </c>
      <c r="H364" s="43">
        <v>45695</v>
      </c>
      <c r="I364" s="43">
        <v>45674</v>
      </c>
      <c r="J364" s="47" t="str">
        <f>IF(GroDB3[[#This Row],[Last_Order_Date]]&lt;=GroDB3[[#This Row],[Date_Received]], "Yes", "No")</f>
        <v>Yes</v>
      </c>
      <c r="K364" s="43">
        <f>IF(GroDB3[[#This Row],[Column1]]="No",GroDB3[[#This Row],[Last_Order_Date]],GroDB3[[#This Row],[Date_Received]])</f>
        <v>45695</v>
      </c>
      <c r="L364" s="43">
        <f>IF(GroDB3[[#This Row],[Column1]]="No",GroDB3[[#This Row],[Date_Received]],GroDB3[[#This Row],[Last_Order_Date]])</f>
        <v>45674</v>
      </c>
      <c r="M364" s="43">
        <v>45639</v>
      </c>
      <c r="N364" s="3">
        <v>92</v>
      </c>
      <c r="O364" s="3">
        <v>54</v>
      </c>
      <c r="P364" s="3">
        <v>73</v>
      </c>
      <c r="Q364" s="4">
        <v>3.1</v>
      </c>
      <c r="R364" s="3">
        <v>79</v>
      </c>
      <c r="S364" s="3">
        <v>1</v>
      </c>
      <c r="T364" s="7">
        <v>0.61</v>
      </c>
    </row>
    <row r="365" spans="1:20" x14ac:dyDescent="0.35">
      <c r="A365" s="5" t="s">
        <v>1138</v>
      </c>
      <c r="B365" s="3" t="s">
        <v>32</v>
      </c>
      <c r="C365" s="3" t="s">
        <v>1455</v>
      </c>
      <c r="D365" s="3" t="s">
        <v>1456</v>
      </c>
      <c r="E365" s="3" t="s">
        <v>56</v>
      </c>
      <c r="F365" s="3" t="s">
        <v>1457</v>
      </c>
      <c r="G365" s="3" t="s">
        <v>1458</v>
      </c>
      <c r="H365" s="43">
        <v>45695</v>
      </c>
      <c r="I365" s="43">
        <v>45471</v>
      </c>
      <c r="J365" s="47" t="str">
        <f>IF(GroDB3[[#This Row],[Last_Order_Date]]&lt;=GroDB3[[#This Row],[Date_Received]], "Yes", "No")</f>
        <v>Yes</v>
      </c>
      <c r="K365" s="43">
        <f>IF(GroDB3[[#This Row],[Column1]]="No",GroDB3[[#This Row],[Last_Order_Date]],GroDB3[[#This Row],[Date_Received]])</f>
        <v>45695</v>
      </c>
      <c r="L365" s="43">
        <f>IF(GroDB3[[#This Row],[Column1]]="No",GroDB3[[#This Row],[Date_Received]],GroDB3[[#This Row],[Last_Order_Date]])</f>
        <v>45471</v>
      </c>
      <c r="M365" s="43">
        <v>45610</v>
      </c>
      <c r="N365" s="3">
        <v>22</v>
      </c>
      <c r="O365" s="3">
        <v>58</v>
      </c>
      <c r="P365" s="3">
        <v>2</v>
      </c>
      <c r="Q365" s="4">
        <v>0.2</v>
      </c>
      <c r="R365" s="3">
        <v>33</v>
      </c>
      <c r="S365" s="3">
        <v>68</v>
      </c>
      <c r="T365" s="7">
        <v>0.99</v>
      </c>
    </row>
    <row r="366" spans="1:20" x14ac:dyDescent="0.35">
      <c r="A366" s="5" t="s">
        <v>146</v>
      </c>
      <c r="B366" s="3" t="s">
        <v>53</v>
      </c>
      <c r="C366" s="3" t="s">
        <v>19</v>
      </c>
      <c r="D366" s="3" t="s">
        <v>1459</v>
      </c>
      <c r="E366" s="3" t="s">
        <v>28</v>
      </c>
      <c r="F366" s="3" t="s">
        <v>1460</v>
      </c>
      <c r="G366" s="3" t="s">
        <v>1461</v>
      </c>
      <c r="H366" s="43">
        <v>45695</v>
      </c>
      <c r="I366" s="43">
        <v>45594</v>
      </c>
      <c r="J366" s="47" t="str">
        <f>IF(GroDB3[[#This Row],[Last_Order_Date]]&lt;=GroDB3[[#This Row],[Date_Received]], "Yes", "No")</f>
        <v>Yes</v>
      </c>
      <c r="K366" s="43">
        <f>IF(GroDB3[[#This Row],[Column1]]="No",GroDB3[[#This Row],[Last_Order_Date]],GroDB3[[#This Row],[Date_Received]])</f>
        <v>45695</v>
      </c>
      <c r="L366" s="43">
        <f>IF(GroDB3[[#This Row],[Column1]]="No",GroDB3[[#This Row],[Date_Received]],GroDB3[[#This Row],[Last_Order_Date]])</f>
        <v>45594</v>
      </c>
      <c r="M366" s="43">
        <v>45429</v>
      </c>
      <c r="N366" s="3">
        <v>26</v>
      </c>
      <c r="O366" s="3">
        <v>83</v>
      </c>
      <c r="P366" s="3">
        <v>24</v>
      </c>
      <c r="Q366" s="4">
        <v>4.75</v>
      </c>
      <c r="R366" s="3">
        <v>75</v>
      </c>
      <c r="S366" s="3">
        <v>12</v>
      </c>
      <c r="T366" s="7">
        <v>-1.06</v>
      </c>
    </row>
    <row r="367" spans="1:20" x14ac:dyDescent="0.35">
      <c r="A367" s="5" t="s">
        <v>465</v>
      </c>
      <c r="B367" s="3" t="s">
        <v>18</v>
      </c>
      <c r="C367" s="3" t="s">
        <v>343</v>
      </c>
      <c r="D367" s="3" t="s">
        <v>1462</v>
      </c>
      <c r="E367" s="3" t="s">
        <v>21</v>
      </c>
      <c r="F367" s="3" t="s">
        <v>1463</v>
      </c>
      <c r="G367" s="3" t="s">
        <v>1464</v>
      </c>
      <c r="H367" s="43">
        <v>45665</v>
      </c>
      <c r="I367" s="43">
        <v>45398</v>
      </c>
      <c r="J367" s="47" t="str">
        <f>IF(GroDB3[[#This Row],[Last_Order_Date]]&lt;=GroDB3[[#This Row],[Date_Received]], "Yes", "No")</f>
        <v>Yes</v>
      </c>
      <c r="K367" s="43">
        <f>IF(GroDB3[[#This Row],[Column1]]="No",GroDB3[[#This Row],[Last_Order_Date]],GroDB3[[#This Row],[Date_Received]])</f>
        <v>45665</v>
      </c>
      <c r="L367" s="43">
        <f>IF(GroDB3[[#This Row],[Column1]]="No",GroDB3[[#This Row],[Date_Received]],GroDB3[[#This Row],[Last_Order_Date]])</f>
        <v>45398</v>
      </c>
      <c r="M367" s="43">
        <v>45486</v>
      </c>
      <c r="N367" s="3">
        <v>62</v>
      </c>
      <c r="O367" s="3">
        <v>44</v>
      </c>
      <c r="P367" s="3">
        <v>11</v>
      </c>
      <c r="Q367" s="4">
        <v>51.17</v>
      </c>
      <c r="R367" s="3">
        <v>92</v>
      </c>
      <c r="S367" s="3">
        <v>37</v>
      </c>
      <c r="T367" s="7">
        <v>0.84</v>
      </c>
    </row>
    <row r="368" spans="1:20" x14ac:dyDescent="0.35">
      <c r="A368" s="5" t="s">
        <v>175</v>
      </c>
      <c r="B368" s="3" t="s">
        <v>53</v>
      </c>
      <c r="C368" s="3" t="s">
        <v>1465</v>
      </c>
      <c r="D368" s="3" t="s">
        <v>1466</v>
      </c>
      <c r="E368" s="3" t="s">
        <v>28</v>
      </c>
      <c r="F368" s="3" t="s">
        <v>1467</v>
      </c>
      <c r="G368" s="3" t="s">
        <v>1468</v>
      </c>
      <c r="H368" s="43">
        <v>45665</v>
      </c>
      <c r="I368" s="43">
        <v>45633</v>
      </c>
      <c r="J368" s="47" t="str">
        <f>IF(GroDB3[[#This Row],[Last_Order_Date]]&lt;=GroDB3[[#This Row],[Date_Received]], "Yes", "No")</f>
        <v>Yes</v>
      </c>
      <c r="K368" s="43">
        <f>IF(GroDB3[[#This Row],[Column1]]="No",GroDB3[[#This Row],[Last_Order_Date]],GroDB3[[#This Row],[Date_Received]])</f>
        <v>45665</v>
      </c>
      <c r="L368" s="43">
        <f>IF(GroDB3[[#This Row],[Column1]]="No",GroDB3[[#This Row],[Date_Received]],GroDB3[[#This Row],[Last_Order_Date]])</f>
        <v>45633</v>
      </c>
      <c r="M368" s="43">
        <v>45618</v>
      </c>
      <c r="N368" s="3">
        <v>84</v>
      </c>
      <c r="O368" s="3">
        <v>91</v>
      </c>
      <c r="P368" s="3">
        <v>86</v>
      </c>
      <c r="Q368" s="4">
        <v>1.5</v>
      </c>
      <c r="R368" s="3">
        <v>83</v>
      </c>
      <c r="S368" s="3">
        <v>95</v>
      </c>
      <c r="T368" s="7">
        <v>0.6</v>
      </c>
    </row>
    <row r="369" spans="1:20" x14ac:dyDescent="0.35">
      <c r="A369" s="5" t="s">
        <v>342</v>
      </c>
      <c r="B369" s="3" t="s">
        <v>18</v>
      </c>
      <c r="C369" s="3" t="s">
        <v>562</v>
      </c>
      <c r="D369" s="3" t="s">
        <v>1469</v>
      </c>
      <c r="E369" s="3" t="s">
        <v>28</v>
      </c>
      <c r="F369" s="3" t="s">
        <v>1470</v>
      </c>
      <c r="G369" s="3" t="s">
        <v>1471</v>
      </c>
      <c r="H369" s="43">
        <v>45665</v>
      </c>
      <c r="I369" s="43">
        <v>45682</v>
      </c>
      <c r="J369" s="47" t="str">
        <f>IF(GroDB3[[#This Row],[Last_Order_Date]]&lt;=GroDB3[[#This Row],[Date_Received]], "Yes", "No")</f>
        <v>No</v>
      </c>
      <c r="K369" s="43">
        <f>IF(GroDB3[[#This Row],[Column1]]="No",GroDB3[[#This Row],[Last_Order_Date]],GroDB3[[#This Row],[Date_Received]])</f>
        <v>45682</v>
      </c>
      <c r="L369" s="43">
        <f>IF(GroDB3[[#This Row],[Column1]]="No",GroDB3[[#This Row],[Date_Received]],GroDB3[[#This Row],[Last_Order_Date]])</f>
        <v>45665</v>
      </c>
      <c r="M369" s="43">
        <v>45544</v>
      </c>
      <c r="N369" s="3">
        <v>81</v>
      </c>
      <c r="O369" s="3">
        <v>87</v>
      </c>
      <c r="P369" s="3">
        <v>15</v>
      </c>
      <c r="Q369" s="4">
        <v>6</v>
      </c>
      <c r="R369" s="3">
        <v>94</v>
      </c>
      <c r="S369" s="3">
        <v>10</v>
      </c>
      <c r="T369" s="7">
        <v>-0.14000000000000001</v>
      </c>
    </row>
    <row r="370" spans="1:20" x14ac:dyDescent="0.35">
      <c r="A370" s="5" t="s">
        <v>674</v>
      </c>
      <c r="B370" s="3" t="s">
        <v>60</v>
      </c>
      <c r="C370" s="3" t="s">
        <v>92</v>
      </c>
      <c r="D370" s="3" t="s">
        <v>1472</v>
      </c>
      <c r="E370" s="3" t="s">
        <v>56</v>
      </c>
      <c r="F370" s="3" t="s">
        <v>1473</v>
      </c>
      <c r="G370" s="3" t="s">
        <v>1474</v>
      </c>
      <c r="H370" s="43">
        <v>45665</v>
      </c>
      <c r="I370" s="43">
        <v>45531</v>
      </c>
      <c r="J370" s="47" t="str">
        <f>IF(GroDB3[[#This Row],[Last_Order_Date]]&lt;=GroDB3[[#This Row],[Date_Received]], "Yes", "No")</f>
        <v>Yes</v>
      </c>
      <c r="K370" s="43">
        <f>IF(GroDB3[[#This Row],[Column1]]="No",GroDB3[[#This Row],[Last_Order_Date]],GroDB3[[#This Row],[Date_Received]])</f>
        <v>45665</v>
      </c>
      <c r="L370" s="43">
        <f>IF(GroDB3[[#This Row],[Column1]]="No",GroDB3[[#This Row],[Date_Received]],GroDB3[[#This Row],[Last_Order_Date]])</f>
        <v>45531</v>
      </c>
      <c r="M370" s="43">
        <v>45452</v>
      </c>
      <c r="N370" s="3">
        <v>61</v>
      </c>
      <c r="O370" s="3">
        <v>91</v>
      </c>
      <c r="P370" s="3">
        <v>40</v>
      </c>
      <c r="Q370" s="4">
        <v>9</v>
      </c>
      <c r="R370" s="3">
        <v>34</v>
      </c>
      <c r="S370" s="3">
        <v>76</v>
      </c>
      <c r="T370" s="7">
        <v>0.89</v>
      </c>
    </row>
    <row r="371" spans="1:20" x14ac:dyDescent="0.35">
      <c r="A371" s="5" t="s">
        <v>75</v>
      </c>
      <c r="B371" s="3" t="s">
        <v>32</v>
      </c>
      <c r="C371" s="3" t="s">
        <v>1475</v>
      </c>
      <c r="D371" s="3" t="s">
        <v>1476</v>
      </c>
      <c r="E371" s="3" t="s">
        <v>28</v>
      </c>
      <c r="F371" s="3" t="s">
        <v>1477</v>
      </c>
      <c r="G371" s="3" t="s">
        <v>1478</v>
      </c>
      <c r="H371" s="43">
        <v>45696</v>
      </c>
      <c r="I371" s="43">
        <v>45467</v>
      </c>
      <c r="J371" s="47" t="str">
        <f>IF(GroDB3[[#This Row],[Last_Order_Date]]&lt;=GroDB3[[#This Row],[Date_Received]], "Yes", "No")</f>
        <v>Yes</v>
      </c>
      <c r="K371" s="43">
        <f>IF(GroDB3[[#This Row],[Column1]]="No",GroDB3[[#This Row],[Last_Order_Date]],GroDB3[[#This Row],[Date_Received]])</f>
        <v>45696</v>
      </c>
      <c r="L371" s="43">
        <f>IF(GroDB3[[#This Row],[Column1]]="No",GroDB3[[#This Row],[Date_Received]],GroDB3[[#This Row],[Last_Order_Date]])</f>
        <v>45467</v>
      </c>
      <c r="M371" s="43">
        <v>45674</v>
      </c>
      <c r="N371" s="3">
        <v>70</v>
      </c>
      <c r="O371" s="3">
        <v>96</v>
      </c>
      <c r="P371" s="3">
        <v>35</v>
      </c>
      <c r="Q371" s="4">
        <v>9</v>
      </c>
      <c r="R371" s="3">
        <v>63</v>
      </c>
      <c r="S371" s="3">
        <v>84</v>
      </c>
      <c r="T371" s="7">
        <v>-1.24</v>
      </c>
    </row>
    <row r="372" spans="1:20" x14ac:dyDescent="0.35">
      <c r="A372" s="5" t="s">
        <v>111</v>
      </c>
      <c r="B372" s="3" t="s">
        <v>32</v>
      </c>
      <c r="C372" s="3" t="s">
        <v>1479</v>
      </c>
      <c r="D372" s="3" t="s">
        <v>1480</v>
      </c>
      <c r="E372" s="3" t="s">
        <v>21</v>
      </c>
      <c r="F372" s="3" t="s">
        <v>1481</v>
      </c>
      <c r="G372" s="3" t="s">
        <v>1482</v>
      </c>
      <c r="H372" s="43">
        <v>45666</v>
      </c>
      <c r="I372" s="43">
        <v>45671</v>
      </c>
      <c r="J372" s="47" t="str">
        <f>IF(GroDB3[[#This Row],[Last_Order_Date]]&lt;=GroDB3[[#This Row],[Date_Received]], "Yes", "No")</f>
        <v>No</v>
      </c>
      <c r="K372" s="43">
        <f>IF(GroDB3[[#This Row],[Column1]]="No",GroDB3[[#This Row],[Last_Order_Date]],GroDB3[[#This Row],[Date_Received]])</f>
        <v>45671</v>
      </c>
      <c r="L372" s="43">
        <f>IF(GroDB3[[#This Row],[Column1]]="No",GroDB3[[#This Row],[Date_Received]],GroDB3[[#This Row],[Last_Order_Date]])</f>
        <v>45666</v>
      </c>
      <c r="M372" s="43">
        <v>45407</v>
      </c>
      <c r="N372" s="3">
        <v>49</v>
      </c>
      <c r="O372" s="3">
        <v>28</v>
      </c>
      <c r="P372" s="3">
        <v>74</v>
      </c>
      <c r="Q372" s="4">
        <v>6</v>
      </c>
      <c r="R372" s="3">
        <v>70</v>
      </c>
      <c r="S372" s="3">
        <v>38</v>
      </c>
      <c r="T372" s="7">
        <v>-0.33</v>
      </c>
    </row>
    <row r="373" spans="1:20" x14ac:dyDescent="0.35">
      <c r="A373" s="5" t="s">
        <v>156</v>
      </c>
      <c r="B373" s="3" t="s">
        <v>127</v>
      </c>
      <c r="C373" s="3" t="s">
        <v>1175</v>
      </c>
      <c r="D373" s="3" t="s">
        <v>1483</v>
      </c>
      <c r="E373" s="3" t="s">
        <v>56</v>
      </c>
      <c r="F373" s="3" t="s">
        <v>1484</v>
      </c>
      <c r="G373" s="3" t="s">
        <v>1485</v>
      </c>
      <c r="H373" s="43">
        <v>45666</v>
      </c>
      <c r="I373" s="43">
        <v>45477</v>
      </c>
      <c r="J373" s="47" t="str">
        <f>IF(GroDB3[[#This Row],[Last_Order_Date]]&lt;=GroDB3[[#This Row],[Date_Received]], "Yes", "No")</f>
        <v>Yes</v>
      </c>
      <c r="K373" s="43">
        <f>IF(GroDB3[[#This Row],[Column1]]="No",GroDB3[[#This Row],[Last_Order_Date]],GroDB3[[#This Row],[Date_Received]])</f>
        <v>45666</v>
      </c>
      <c r="L373" s="43">
        <f>IF(GroDB3[[#This Row],[Column1]]="No",GroDB3[[#This Row],[Date_Received]],GroDB3[[#This Row],[Last_Order_Date]])</f>
        <v>45477</v>
      </c>
      <c r="M373" s="43">
        <v>45598</v>
      </c>
      <c r="N373" s="3">
        <v>20</v>
      </c>
      <c r="O373" s="3">
        <v>68</v>
      </c>
      <c r="P373" s="3">
        <v>20</v>
      </c>
      <c r="Q373" s="4">
        <v>12</v>
      </c>
      <c r="R373" s="3">
        <v>38</v>
      </c>
      <c r="S373" s="3">
        <v>51</v>
      </c>
      <c r="T373" s="7">
        <v>0.46</v>
      </c>
    </row>
    <row r="374" spans="1:20" x14ac:dyDescent="0.35">
      <c r="A374" s="5" t="s">
        <v>146</v>
      </c>
      <c r="B374" s="3" t="s">
        <v>53</v>
      </c>
      <c r="C374" s="3" t="s">
        <v>1040</v>
      </c>
      <c r="D374" s="3" t="s">
        <v>1486</v>
      </c>
      <c r="E374" s="3" t="s">
        <v>56</v>
      </c>
      <c r="F374" s="3" t="s">
        <v>1487</v>
      </c>
      <c r="G374" s="3" t="s">
        <v>1488</v>
      </c>
      <c r="H374" s="43">
        <v>45666</v>
      </c>
      <c r="I374" s="43">
        <v>45379</v>
      </c>
      <c r="J374" s="47" t="str">
        <f>IF(GroDB3[[#This Row],[Last_Order_Date]]&lt;=GroDB3[[#This Row],[Date_Received]], "Yes", "No")</f>
        <v>Yes</v>
      </c>
      <c r="K374" s="43">
        <f>IF(GroDB3[[#This Row],[Column1]]="No",GroDB3[[#This Row],[Last_Order_Date]],GroDB3[[#This Row],[Date_Received]])</f>
        <v>45666</v>
      </c>
      <c r="L374" s="43">
        <f>IF(GroDB3[[#This Row],[Column1]]="No",GroDB3[[#This Row],[Date_Received]],GroDB3[[#This Row],[Last_Order_Date]])</f>
        <v>45379</v>
      </c>
      <c r="M374" s="43">
        <v>45397</v>
      </c>
      <c r="N374" s="3">
        <v>50</v>
      </c>
      <c r="O374" s="3">
        <v>14</v>
      </c>
      <c r="P374" s="3">
        <v>99</v>
      </c>
      <c r="Q374" s="4">
        <v>4.75</v>
      </c>
      <c r="R374" s="3">
        <v>52</v>
      </c>
      <c r="S374" s="3">
        <v>75</v>
      </c>
      <c r="T374" s="7">
        <v>-0.34</v>
      </c>
    </row>
    <row r="375" spans="1:20" x14ac:dyDescent="0.35">
      <c r="A375" s="5" t="s">
        <v>1109</v>
      </c>
      <c r="B375" s="3" t="s">
        <v>18</v>
      </c>
      <c r="C375" s="3" t="s">
        <v>912</v>
      </c>
      <c r="D375" s="3" t="s">
        <v>1489</v>
      </c>
      <c r="E375" s="3" t="s">
        <v>28</v>
      </c>
      <c r="F375" s="3" t="s">
        <v>1490</v>
      </c>
      <c r="G375" s="3" t="s">
        <v>1491</v>
      </c>
      <c r="H375" s="43">
        <v>45666</v>
      </c>
      <c r="I375" s="43">
        <v>45450</v>
      </c>
      <c r="J375" s="47" t="str">
        <f>IF(GroDB3[[#This Row],[Last_Order_Date]]&lt;=GroDB3[[#This Row],[Date_Received]], "Yes", "No")</f>
        <v>Yes</v>
      </c>
      <c r="K375" s="43">
        <f>IF(GroDB3[[#This Row],[Column1]]="No",GroDB3[[#This Row],[Last_Order_Date]],GroDB3[[#This Row],[Date_Received]])</f>
        <v>45666</v>
      </c>
      <c r="L375" s="43">
        <f>IF(GroDB3[[#This Row],[Column1]]="No",GroDB3[[#This Row],[Date_Received]],GroDB3[[#This Row],[Last_Order_Date]])</f>
        <v>45450</v>
      </c>
      <c r="M375" s="43">
        <v>45581</v>
      </c>
      <c r="N375" s="3">
        <v>63</v>
      </c>
      <c r="O375" s="3">
        <v>56</v>
      </c>
      <c r="P375" s="3">
        <v>33</v>
      </c>
      <c r="Q375" s="4">
        <v>2.5</v>
      </c>
      <c r="R375" s="3">
        <v>35</v>
      </c>
      <c r="S375" s="3">
        <v>16</v>
      </c>
      <c r="T375" s="7">
        <v>-0.44</v>
      </c>
    </row>
    <row r="376" spans="1:20" x14ac:dyDescent="0.35">
      <c r="A376" s="5" t="s">
        <v>789</v>
      </c>
      <c r="B376" s="3" t="s">
        <v>18</v>
      </c>
      <c r="C376" s="3" t="s">
        <v>181</v>
      </c>
      <c r="D376" s="3" t="s">
        <v>1492</v>
      </c>
      <c r="E376" s="3" t="s">
        <v>56</v>
      </c>
      <c r="F376" s="3" t="s">
        <v>1493</v>
      </c>
      <c r="G376" s="3" t="s">
        <v>1494</v>
      </c>
      <c r="H376" s="43">
        <v>45666</v>
      </c>
      <c r="I376" s="43">
        <v>45401</v>
      </c>
      <c r="J376" s="47" t="str">
        <f>IF(GroDB3[[#This Row],[Last_Order_Date]]&lt;=GroDB3[[#This Row],[Date_Received]], "Yes", "No")</f>
        <v>Yes</v>
      </c>
      <c r="K376" s="43">
        <f>IF(GroDB3[[#This Row],[Column1]]="No",GroDB3[[#This Row],[Last_Order_Date]],GroDB3[[#This Row],[Date_Received]])</f>
        <v>45666</v>
      </c>
      <c r="L376" s="43">
        <f>IF(GroDB3[[#This Row],[Column1]]="No",GroDB3[[#This Row],[Date_Received]],GroDB3[[#This Row],[Last_Order_Date]])</f>
        <v>45401</v>
      </c>
      <c r="M376" s="43">
        <v>45405</v>
      </c>
      <c r="N376" s="3">
        <v>42</v>
      </c>
      <c r="O376" s="3">
        <v>48</v>
      </c>
      <c r="P376" s="3">
        <v>18</v>
      </c>
      <c r="Q376" s="4">
        <v>2</v>
      </c>
      <c r="R376" s="3">
        <v>39</v>
      </c>
      <c r="S376" s="3">
        <v>57</v>
      </c>
      <c r="T376" s="7">
        <v>0.54</v>
      </c>
    </row>
    <row r="377" spans="1:20" x14ac:dyDescent="0.35">
      <c r="A377" s="5" t="s">
        <v>392</v>
      </c>
      <c r="B377" s="3" t="s">
        <v>18</v>
      </c>
      <c r="C377" s="3" t="s">
        <v>813</v>
      </c>
      <c r="D377" s="3" t="s">
        <v>1495</v>
      </c>
      <c r="E377" s="3" t="s">
        <v>28</v>
      </c>
      <c r="F377" s="3" t="s">
        <v>1496</v>
      </c>
      <c r="G377" s="3" t="s">
        <v>1497</v>
      </c>
      <c r="H377" s="43">
        <v>45697</v>
      </c>
      <c r="I377" s="43">
        <v>45458</v>
      </c>
      <c r="J377" s="47" t="str">
        <f>IF(GroDB3[[#This Row],[Last_Order_Date]]&lt;=GroDB3[[#This Row],[Date_Received]], "Yes", "No")</f>
        <v>Yes</v>
      </c>
      <c r="K377" s="43">
        <f>IF(GroDB3[[#This Row],[Column1]]="No",GroDB3[[#This Row],[Last_Order_Date]],GroDB3[[#This Row],[Date_Received]])</f>
        <v>45697</v>
      </c>
      <c r="L377" s="43">
        <f>IF(GroDB3[[#This Row],[Column1]]="No",GroDB3[[#This Row],[Date_Received]],GroDB3[[#This Row],[Last_Order_Date]])</f>
        <v>45458</v>
      </c>
      <c r="M377" s="43">
        <v>45708</v>
      </c>
      <c r="N377" s="3">
        <v>22</v>
      </c>
      <c r="O377" s="3">
        <v>69</v>
      </c>
      <c r="P377" s="3">
        <v>87</v>
      </c>
      <c r="Q377" s="4">
        <v>5.5</v>
      </c>
      <c r="R377" s="3">
        <v>34</v>
      </c>
      <c r="S377" s="3">
        <v>26</v>
      </c>
      <c r="T377" s="7">
        <v>-0.46</v>
      </c>
    </row>
    <row r="378" spans="1:20" x14ac:dyDescent="0.35">
      <c r="A378" s="5" t="s">
        <v>1278</v>
      </c>
      <c r="B378" s="3" t="s">
        <v>18</v>
      </c>
      <c r="C378" s="3" t="s">
        <v>1498</v>
      </c>
      <c r="D378" s="3" t="s">
        <v>1499</v>
      </c>
      <c r="E378" s="3" t="s">
        <v>21</v>
      </c>
      <c r="F378" s="3" t="s">
        <v>1500</v>
      </c>
      <c r="G378" s="3" t="s">
        <v>1501</v>
      </c>
      <c r="H378" s="43">
        <v>45697</v>
      </c>
      <c r="I378" s="43">
        <v>45703</v>
      </c>
      <c r="J378" s="47" t="str">
        <f>IF(GroDB3[[#This Row],[Last_Order_Date]]&lt;=GroDB3[[#This Row],[Date_Received]], "Yes", "No")</f>
        <v>No</v>
      </c>
      <c r="K378" s="43">
        <f>IF(GroDB3[[#This Row],[Column1]]="No",GroDB3[[#This Row],[Last_Order_Date]],GroDB3[[#This Row],[Date_Received]])</f>
        <v>45703</v>
      </c>
      <c r="L378" s="43">
        <f>IF(GroDB3[[#This Row],[Column1]]="No",GroDB3[[#This Row],[Date_Received]],GroDB3[[#This Row],[Last_Order_Date]])</f>
        <v>45697</v>
      </c>
      <c r="M378" s="43">
        <v>45640</v>
      </c>
      <c r="N378" s="3">
        <v>84</v>
      </c>
      <c r="O378" s="3">
        <v>28</v>
      </c>
      <c r="P378" s="3">
        <v>29</v>
      </c>
      <c r="Q378" s="4">
        <v>4.4000000000000004</v>
      </c>
      <c r="R378" s="3">
        <v>54</v>
      </c>
      <c r="S378" s="3">
        <v>32</v>
      </c>
      <c r="T378" s="7">
        <v>0.24</v>
      </c>
    </row>
    <row r="379" spans="1:20" x14ac:dyDescent="0.35">
      <c r="A379" s="5" t="s">
        <v>582</v>
      </c>
      <c r="B379" s="3" t="s">
        <v>32</v>
      </c>
      <c r="C379" s="3" t="s">
        <v>751</v>
      </c>
      <c r="D379" s="3" t="s">
        <v>1502</v>
      </c>
      <c r="E379" s="3" t="s">
        <v>21</v>
      </c>
      <c r="F379" s="3" t="s">
        <v>1503</v>
      </c>
      <c r="G379" s="3" t="s">
        <v>1504</v>
      </c>
      <c r="H379" s="43">
        <v>45697</v>
      </c>
      <c r="I379" s="43">
        <v>45362</v>
      </c>
      <c r="J379" s="47" t="str">
        <f>IF(GroDB3[[#This Row],[Last_Order_Date]]&lt;=GroDB3[[#This Row],[Date_Received]], "Yes", "No")</f>
        <v>Yes</v>
      </c>
      <c r="K379" s="43">
        <f>IF(GroDB3[[#This Row],[Column1]]="No",GroDB3[[#This Row],[Last_Order_Date]],GroDB3[[#This Row],[Date_Received]])</f>
        <v>45697</v>
      </c>
      <c r="L379" s="43">
        <f>IF(GroDB3[[#This Row],[Column1]]="No",GroDB3[[#This Row],[Date_Received]],GroDB3[[#This Row],[Last_Order_Date]])</f>
        <v>45362</v>
      </c>
      <c r="M379" s="43">
        <v>45552</v>
      </c>
      <c r="N379" s="3">
        <v>93</v>
      </c>
      <c r="O379" s="3">
        <v>68</v>
      </c>
      <c r="P379" s="3">
        <v>71</v>
      </c>
      <c r="Q379" s="4">
        <v>0.8</v>
      </c>
      <c r="R379" s="3">
        <v>30</v>
      </c>
      <c r="S379" s="3">
        <v>37</v>
      </c>
      <c r="T379" s="7">
        <v>0.41</v>
      </c>
    </row>
    <row r="380" spans="1:20" x14ac:dyDescent="0.35">
      <c r="A380" s="5" t="s">
        <v>836</v>
      </c>
      <c r="B380" s="3" t="s">
        <v>91</v>
      </c>
      <c r="C380" s="3" t="s">
        <v>1505</v>
      </c>
      <c r="D380" s="3" t="s">
        <v>1506</v>
      </c>
      <c r="E380" s="3" t="s">
        <v>28</v>
      </c>
      <c r="F380" s="3" t="s">
        <v>1507</v>
      </c>
      <c r="G380" s="3" t="s">
        <v>1508</v>
      </c>
      <c r="H380" s="43">
        <v>45667</v>
      </c>
      <c r="I380" s="43">
        <v>45570</v>
      </c>
      <c r="J380" s="47" t="str">
        <f>IF(GroDB3[[#This Row],[Last_Order_Date]]&lt;=GroDB3[[#This Row],[Date_Received]], "Yes", "No")</f>
        <v>Yes</v>
      </c>
      <c r="K380" s="43">
        <f>IF(GroDB3[[#This Row],[Column1]]="No",GroDB3[[#This Row],[Last_Order_Date]],GroDB3[[#This Row],[Date_Received]])</f>
        <v>45667</v>
      </c>
      <c r="L380" s="43">
        <f>IF(GroDB3[[#This Row],[Column1]]="No",GroDB3[[#This Row],[Date_Received]],GroDB3[[#This Row],[Last_Order_Date]])</f>
        <v>45570</v>
      </c>
      <c r="M380" s="43">
        <v>45552</v>
      </c>
      <c r="N380" s="3">
        <v>46</v>
      </c>
      <c r="O380" s="3">
        <v>43</v>
      </c>
      <c r="P380" s="3">
        <v>46</v>
      </c>
      <c r="Q380" s="4">
        <v>3.5</v>
      </c>
      <c r="R380" s="3">
        <v>68</v>
      </c>
      <c r="S380" s="3">
        <v>59</v>
      </c>
      <c r="T380" s="7">
        <v>-0.23</v>
      </c>
    </row>
    <row r="381" spans="1:20" x14ac:dyDescent="0.35">
      <c r="A381" s="5" t="s">
        <v>1445</v>
      </c>
      <c r="B381" s="3" t="s">
        <v>18</v>
      </c>
      <c r="C381" s="3" t="s">
        <v>1509</v>
      </c>
      <c r="D381" s="3" t="s">
        <v>1510</v>
      </c>
      <c r="E381" s="3" t="s">
        <v>56</v>
      </c>
      <c r="F381" s="3" t="s">
        <v>1511</v>
      </c>
      <c r="G381" s="3" t="s">
        <v>1512</v>
      </c>
      <c r="H381" s="43">
        <v>45667</v>
      </c>
      <c r="I381" s="43">
        <v>45478</v>
      </c>
      <c r="J381" s="47" t="str">
        <f>IF(GroDB3[[#This Row],[Last_Order_Date]]&lt;=GroDB3[[#This Row],[Date_Received]], "Yes", "No")</f>
        <v>Yes</v>
      </c>
      <c r="K381" s="43">
        <f>IF(GroDB3[[#This Row],[Column1]]="No",GroDB3[[#This Row],[Last_Order_Date]],GroDB3[[#This Row],[Date_Received]])</f>
        <v>45667</v>
      </c>
      <c r="L381" s="43">
        <f>IF(GroDB3[[#This Row],[Column1]]="No",GroDB3[[#This Row],[Date_Received]],GroDB3[[#This Row],[Last_Order_Date]])</f>
        <v>45478</v>
      </c>
      <c r="M381" s="43">
        <v>45394</v>
      </c>
      <c r="N381" s="3">
        <v>42</v>
      </c>
      <c r="O381" s="3">
        <v>4</v>
      </c>
      <c r="P381" s="3">
        <v>53</v>
      </c>
      <c r="Q381" s="4">
        <v>10</v>
      </c>
      <c r="R381" s="3">
        <v>37</v>
      </c>
      <c r="S381" s="3">
        <v>53</v>
      </c>
      <c r="T381" s="7">
        <v>0.13</v>
      </c>
    </row>
    <row r="382" spans="1:20" x14ac:dyDescent="0.35">
      <c r="A382" s="5" t="s">
        <v>216</v>
      </c>
      <c r="B382" s="3" t="s">
        <v>91</v>
      </c>
      <c r="C382" s="3" t="s">
        <v>696</v>
      </c>
      <c r="D382" s="3" t="s">
        <v>1513</v>
      </c>
      <c r="E382" s="3" t="s">
        <v>56</v>
      </c>
      <c r="F382" s="3" t="s">
        <v>1514</v>
      </c>
      <c r="G382" s="3" t="s">
        <v>1515</v>
      </c>
      <c r="H382" s="43">
        <v>45667</v>
      </c>
      <c r="I382" s="43">
        <v>45505</v>
      </c>
      <c r="J382" s="47" t="str">
        <f>IF(GroDB3[[#This Row],[Last_Order_Date]]&lt;=GroDB3[[#This Row],[Date_Received]], "Yes", "No")</f>
        <v>Yes</v>
      </c>
      <c r="K382" s="43">
        <f>IF(GroDB3[[#This Row],[Column1]]="No",GroDB3[[#This Row],[Last_Order_Date]],GroDB3[[#This Row],[Date_Received]])</f>
        <v>45667</v>
      </c>
      <c r="L382" s="43">
        <f>IF(GroDB3[[#This Row],[Column1]]="No",GroDB3[[#This Row],[Date_Received]],GroDB3[[#This Row],[Last_Order_Date]])</f>
        <v>45505</v>
      </c>
      <c r="M382" s="43">
        <v>45446</v>
      </c>
      <c r="N382" s="3">
        <v>91</v>
      </c>
      <c r="O382" s="3">
        <v>71</v>
      </c>
      <c r="P382" s="3">
        <v>17</v>
      </c>
      <c r="Q382" s="4">
        <v>3.5</v>
      </c>
      <c r="R382" s="3">
        <v>74</v>
      </c>
      <c r="S382" s="3">
        <v>57</v>
      </c>
      <c r="T382" s="7">
        <v>-0.43</v>
      </c>
    </row>
    <row r="383" spans="1:20" x14ac:dyDescent="0.35">
      <c r="A383" s="5" t="s">
        <v>1516</v>
      </c>
      <c r="B383" s="3" t="s">
        <v>32</v>
      </c>
      <c r="C383" s="3" t="s">
        <v>1286</v>
      </c>
      <c r="D383" s="3" t="s">
        <v>1517</v>
      </c>
      <c r="E383" s="3" t="s">
        <v>21</v>
      </c>
      <c r="F383" s="3" t="s">
        <v>1518</v>
      </c>
      <c r="G383" s="3" t="s">
        <v>1519</v>
      </c>
      <c r="H383" s="43">
        <v>45698</v>
      </c>
      <c r="I383" s="43">
        <v>45361</v>
      </c>
      <c r="J383" s="47" t="str">
        <f>IF(GroDB3[[#This Row],[Last_Order_Date]]&lt;=GroDB3[[#This Row],[Date_Received]], "Yes", "No")</f>
        <v>Yes</v>
      </c>
      <c r="K383" s="43">
        <f>IF(GroDB3[[#This Row],[Column1]]="No",GroDB3[[#This Row],[Last_Order_Date]],GroDB3[[#This Row],[Date_Received]])</f>
        <v>45698</v>
      </c>
      <c r="L383" s="43">
        <f>IF(GroDB3[[#This Row],[Column1]]="No",GroDB3[[#This Row],[Date_Received]],GroDB3[[#This Row],[Last_Order_Date]])</f>
        <v>45361</v>
      </c>
      <c r="M383" s="43">
        <v>45567</v>
      </c>
      <c r="N383" s="3">
        <v>16</v>
      </c>
      <c r="O383" s="3">
        <v>56</v>
      </c>
      <c r="P383" s="3">
        <v>13</v>
      </c>
      <c r="Q383" s="4">
        <v>7.2</v>
      </c>
      <c r="R383" s="3">
        <v>56</v>
      </c>
      <c r="S383" s="3">
        <v>28</v>
      </c>
      <c r="T383" s="7">
        <v>0.23</v>
      </c>
    </row>
    <row r="384" spans="1:20" x14ac:dyDescent="0.35">
      <c r="A384" s="5" t="s">
        <v>111</v>
      </c>
      <c r="B384" s="3" t="s">
        <v>32</v>
      </c>
      <c r="C384" s="3" t="s">
        <v>1402</v>
      </c>
      <c r="D384" s="3" t="s">
        <v>1520</v>
      </c>
      <c r="E384" s="3" t="s">
        <v>28</v>
      </c>
      <c r="F384" s="3" t="s">
        <v>1521</v>
      </c>
      <c r="G384" s="3" t="s">
        <v>1522</v>
      </c>
      <c r="H384" s="43">
        <v>45698</v>
      </c>
      <c r="I384" s="43">
        <v>45682</v>
      </c>
      <c r="J384" s="47" t="str">
        <f>IF(GroDB3[[#This Row],[Last_Order_Date]]&lt;=GroDB3[[#This Row],[Date_Received]], "Yes", "No")</f>
        <v>Yes</v>
      </c>
      <c r="K384" s="43">
        <f>IF(GroDB3[[#This Row],[Column1]]="No",GroDB3[[#This Row],[Last_Order_Date]],GroDB3[[#This Row],[Date_Received]])</f>
        <v>45698</v>
      </c>
      <c r="L384" s="43">
        <f>IF(GroDB3[[#This Row],[Column1]]="No",GroDB3[[#This Row],[Date_Received]],GroDB3[[#This Row],[Last_Order_Date]])</f>
        <v>45682</v>
      </c>
      <c r="M384" s="43">
        <v>45679</v>
      </c>
      <c r="N384" s="3">
        <v>91</v>
      </c>
      <c r="O384" s="3">
        <v>14</v>
      </c>
      <c r="P384" s="3">
        <v>99</v>
      </c>
      <c r="Q384" s="4">
        <v>6</v>
      </c>
      <c r="R384" s="3">
        <v>50</v>
      </c>
      <c r="S384" s="3">
        <v>5</v>
      </c>
      <c r="T384" s="7">
        <v>0.5</v>
      </c>
    </row>
    <row r="385" spans="1:20" x14ac:dyDescent="0.35">
      <c r="A385" s="5" t="s">
        <v>342</v>
      </c>
      <c r="B385" s="3" t="s">
        <v>18</v>
      </c>
      <c r="C385" s="3" t="s">
        <v>138</v>
      </c>
      <c r="D385" s="3" t="s">
        <v>1523</v>
      </c>
      <c r="E385" s="3" t="s">
        <v>28</v>
      </c>
      <c r="F385" s="3" t="s">
        <v>1524</v>
      </c>
      <c r="G385" s="3" t="s">
        <v>1525</v>
      </c>
      <c r="H385" s="43">
        <v>45698</v>
      </c>
      <c r="I385" s="43">
        <v>45387</v>
      </c>
      <c r="J385" s="47" t="str">
        <f>IF(GroDB3[[#This Row],[Last_Order_Date]]&lt;=GroDB3[[#This Row],[Date_Received]], "Yes", "No")</f>
        <v>Yes</v>
      </c>
      <c r="K385" s="43">
        <f>IF(GroDB3[[#This Row],[Column1]]="No",GroDB3[[#This Row],[Last_Order_Date]],GroDB3[[#This Row],[Date_Received]])</f>
        <v>45698</v>
      </c>
      <c r="L385" s="43">
        <f>IF(GroDB3[[#This Row],[Column1]]="No",GroDB3[[#This Row],[Date_Received]],GroDB3[[#This Row],[Last_Order_Date]])</f>
        <v>45387</v>
      </c>
      <c r="M385" s="43">
        <v>45628</v>
      </c>
      <c r="N385" s="3">
        <v>26</v>
      </c>
      <c r="O385" s="3">
        <v>1</v>
      </c>
      <c r="P385" s="3">
        <v>9</v>
      </c>
      <c r="Q385" s="4">
        <v>6</v>
      </c>
      <c r="R385" s="3">
        <v>82</v>
      </c>
      <c r="S385" s="3">
        <v>8</v>
      </c>
      <c r="T385" s="7">
        <v>0.9</v>
      </c>
    </row>
    <row r="386" spans="1:20" x14ac:dyDescent="0.35">
      <c r="A386" s="5" t="s">
        <v>665</v>
      </c>
      <c r="B386" s="3" t="s">
        <v>18</v>
      </c>
      <c r="C386" s="3" t="s">
        <v>1526</v>
      </c>
      <c r="D386" s="3" t="s">
        <v>1527</v>
      </c>
      <c r="E386" s="3" t="s">
        <v>21</v>
      </c>
      <c r="F386" s="3" t="s">
        <v>1528</v>
      </c>
      <c r="G386" s="3" t="s">
        <v>1529</v>
      </c>
      <c r="H386" s="43">
        <v>45668</v>
      </c>
      <c r="I386" s="43">
        <v>45649</v>
      </c>
      <c r="J386" s="47" t="str">
        <f>IF(GroDB3[[#This Row],[Last_Order_Date]]&lt;=GroDB3[[#This Row],[Date_Received]], "Yes", "No")</f>
        <v>Yes</v>
      </c>
      <c r="K386" s="43">
        <f>IF(GroDB3[[#This Row],[Column1]]="No",GroDB3[[#This Row],[Last_Order_Date]],GroDB3[[#This Row],[Date_Received]])</f>
        <v>45668</v>
      </c>
      <c r="L386" s="43">
        <f>IF(GroDB3[[#This Row],[Column1]]="No",GroDB3[[#This Row],[Date_Received]],GroDB3[[#This Row],[Last_Order_Date]])</f>
        <v>45649</v>
      </c>
      <c r="M386" s="43">
        <v>45422</v>
      </c>
      <c r="N386" s="3">
        <v>63</v>
      </c>
      <c r="O386" s="3">
        <v>57</v>
      </c>
      <c r="P386" s="3">
        <v>11</v>
      </c>
      <c r="Q386" s="4">
        <v>5.8</v>
      </c>
      <c r="R386" s="3">
        <v>20</v>
      </c>
      <c r="S386" s="3">
        <v>100</v>
      </c>
      <c r="T386" s="7">
        <v>0.9</v>
      </c>
    </row>
    <row r="387" spans="1:20" x14ac:dyDescent="0.35">
      <c r="A387" s="5" t="s">
        <v>549</v>
      </c>
      <c r="B387" s="3" t="s">
        <v>32</v>
      </c>
      <c r="C387" s="3" t="s">
        <v>641</v>
      </c>
      <c r="D387" s="3" t="s">
        <v>1530</v>
      </c>
      <c r="E387" s="3" t="s">
        <v>28</v>
      </c>
      <c r="F387" s="3" t="s">
        <v>1531</v>
      </c>
      <c r="G387" s="3" t="s">
        <v>1532</v>
      </c>
      <c r="H387" s="43">
        <v>45668</v>
      </c>
      <c r="I387" s="43">
        <v>45353</v>
      </c>
      <c r="J387" s="47" t="str">
        <f>IF(GroDB3[[#This Row],[Last_Order_Date]]&lt;=GroDB3[[#This Row],[Date_Received]], "Yes", "No")</f>
        <v>Yes</v>
      </c>
      <c r="K387" s="43">
        <f>IF(GroDB3[[#This Row],[Column1]]="No",GroDB3[[#This Row],[Last_Order_Date]],GroDB3[[#This Row],[Date_Received]])</f>
        <v>45668</v>
      </c>
      <c r="L387" s="43">
        <f>IF(GroDB3[[#This Row],[Column1]]="No",GroDB3[[#This Row],[Date_Received]],GroDB3[[#This Row],[Last_Order_Date]])</f>
        <v>45353</v>
      </c>
      <c r="M387" s="43">
        <v>45424</v>
      </c>
      <c r="N387" s="3">
        <v>50</v>
      </c>
      <c r="O387" s="3">
        <v>93</v>
      </c>
      <c r="P387" s="3">
        <v>37</v>
      </c>
      <c r="Q387" s="4">
        <v>2.4500000000000002</v>
      </c>
      <c r="R387" s="3">
        <v>78</v>
      </c>
      <c r="S387" s="3">
        <v>79</v>
      </c>
      <c r="T387" s="7">
        <v>-4</v>
      </c>
    </row>
    <row r="388" spans="1:20" x14ac:dyDescent="0.35">
      <c r="A388" s="5" t="s">
        <v>836</v>
      </c>
      <c r="B388" s="3" t="s">
        <v>91</v>
      </c>
      <c r="C388" s="3" t="s">
        <v>43</v>
      </c>
      <c r="D388" s="3" t="s">
        <v>1533</v>
      </c>
      <c r="E388" s="3" t="s">
        <v>28</v>
      </c>
      <c r="F388" s="3" t="s">
        <v>1534</v>
      </c>
      <c r="G388" s="3" t="s">
        <v>1535</v>
      </c>
      <c r="H388" s="43">
        <v>45699</v>
      </c>
      <c r="I388" s="43">
        <v>45356</v>
      </c>
      <c r="J388" s="47" t="str">
        <f>IF(GroDB3[[#This Row],[Last_Order_Date]]&lt;=GroDB3[[#This Row],[Date_Received]], "Yes", "No")</f>
        <v>Yes</v>
      </c>
      <c r="K388" s="43">
        <f>IF(GroDB3[[#This Row],[Column1]]="No",GroDB3[[#This Row],[Last_Order_Date]],GroDB3[[#This Row],[Date_Received]])</f>
        <v>45699</v>
      </c>
      <c r="L388" s="43">
        <f>IF(GroDB3[[#This Row],[Column1]]="No",GroDB3[[#This Row],[Date_Received]],GroDB3[[#This Row],[Last_Order_Date]])</f>
        <v>45356</v>
      </c>
      <c r="M388" s="43">
        <v>45645</v>
      </c>
      <c r="N388" s="3">
        <v>93</v>
      </c>
      <c r="O388" s="3">
        <v>55</v>
      </c>
      <c r="P388" s="3">
        <v>95</v>
      </c>
      <c r="Q388" s="4">
        <v>3.25</v>
      </c>
      <c r="R388" s="3">
        <v>56</v>
      </c>
      <c r="S388" s="3">
        <v>72</v>
      </c>
      <c r="T388" s="7">
        <v>-0.01</v>
      </c>
    </row>
    <row r="389" spans="1:20" x14ac:dyDescent="0.35">
      <c r="A389" s="5" t="s">
        <v>243</v>
      </c>
      <c r="B389" s="3" t="s">
        <v>18</v>
      </c>
      <c r="C389" s="3" t="s">
        <v>1536</v>
      </c>
      <c r="D389" s="3" t="s">
        <v>1537</v>
      </c>
      <c r="E389" s="3" t="s">
        <v>56</v>
      </c>
      <c r="F389" s="3" t="s">
        <v>1538</v>
      </c>
      <c r="G389" s="3" t="s">
        <v>1539</v>
      </c>
      <c r="H389" s="43">
        <v>45669</v>
      </c>
      <c r="I389" s="43">
        <v>45394</v>
      </c>
      <c r="J389" s="47" t="str">
        <f>IF(GroDB3[[#This Row],[Last_Order_Date]]&lt;=GroDB3[[#This Row],[Date_Received]], "Yes", "No")</f>
        <v>Yes</v>
      </c>
      <c r="K389" s="43">
        <f>IF(GroDB3[[#This Row],[Column1]]="No",GroDB3[[#This Row],[Last_Order_Date]],GroDB3[[#This Row],[Date_Received]])</f>
        <v>45669</v>
      </c>
      <c r="L389" s="43">
        <f>IF(GroDB3[[#This Row],[Column1]]="No",GroDB3[[#This Row],[Date_Received]],GroDB3[[#This Row],[Last_Order_Date]])</f>
        <v>45394</v>
      </c>
      <c r="M389" s="43">
        <v>45471</v>
      </c>
      <c r="N389" s="3">
        <v>88</v>
      </c>
      <c r="O389" s="3">
        <v>56</v>
      </c>
      <c r="P389" s="3">
        <v>72</v>
      </c>
      <c r="Q389" s="4">
        <v>2</v>
      </c>
      <c r="R389" s="3">
        <v>25</v>
      </c>
      <c r="S389" s="3">
        <v>36</v>
      </c>
      <c r="T389" s="7">
        <v>-0.28999999999999998</v>
      </c>
    </row>
    <row r="390" spans="1:20" x14ac:dyDescent="0.35">
      <c r="A390" s="5" t="s">
        <v>392</v>
      </c>
      <c r="B390" s="3" t="s">
        <v>18</v>
      </c>
      <c r="C390" s="3" t="s">
        <v>1540</v>
      </c>
      <c r="D390" s="3" t="s">
        <v>1541</v>
      </c>
      <c r="E390" s="3" t="s">
        <v>28</v>
      </c>
      <c r="F390" s="3" t="s">
        <v>1542</v>
      </c>
      <c r="G390" s="3" t="s">
        <v>1543</v>
      </c>
      <c r="H390" s="43">
        <v>45700</v>
      </c>
      <c r="I390" s="43">
        <v>45436</v>
      </c>
      <c r="J390" s="47" t="str">
        <f>IF(GroDB3[[#This Row],[Last_Order_Date]]&lt;=GroDB3[[#This Row],[Date_Received]], "Yes", "No")</f>
        <v>Yes</v>
      </c>
      <c r="K390" s="43">
        <f>IF(GroDB3[[#This Row],[Column1]]="No",GroDB3[[#This Row],[Last_Order_Date]],GroDB3[[#This Row],[Date_Received]])</f>
        <v>45700</v>
      </c>
      <c r="L390" s="43">
        <f>IF(GroDB3[[#This Row],[Column1]]="No",GroDB3[[#This Row],[Date_Received]],GroDB3[[#This Row],[Last_Order_Date]])</f>
        <v>45436</v>
      </c>
      <c r="M390" s="43">
        <v>45401</v>
      </c>
      <c r="N390" s="3">
        <v>54</v>
      </c>
      <c r="O390" s="3">
        <v>88</v>
      </c>
      <c r="P390" s="3">
        <v>43</v>
      </c>
      <c r="Q390" s="4">
        <v>5.5</v>
      </c>
      <c r="R390" s="3">
        <v>81</v>
      </c>
      <c r="S390" s="3">
        <v>77</v>
      </c>
      <c r="T390" s="7">
        <v>-0.44</v>
      </c>
    </row>
    <row r="391" spans="1:20" x14ac:dyDescent="0.35">
      <c r="A391" s="5" t="s">
        <v>70</v>
      </c>
      <c r="B391" s="3" t="s">
        <v>32</v>
      </c>
      <c r="C391" s="3" t="s">
        <v>832</v>
      </c>
      <c r="D391" s="3" t="s">
        <v>1544</v>
      </c>
      <c r="E391" s="3" t="s">
        <v>21</v>
      </c>
      <c r="F391" s="3" t="s">
        <v>1545</v>
      </c>
      <c r="G391" s="3" t="s">
        <v>1546</v>
      </c>
      <c r="H391" s="43">
        <v>45700</v>
      </c>
      <c r="I391" s="43">
        <v>45480</v>
      </c>
      <c r="J391" s="47" t="str">
        <f>IF(GroDB3[[#This Row],[Last_Order_Date]]&lt;=GroDB3[[#This Row],[Date_Received]], "Yes", "No")</f>
        <v>Yes</v>
      </c>
      <c r="K391" s="43">
        <f>IF(GroDB3[[#This Row],[Column1]]="No",GroDB3[[#This Row],[Last_Order_Date]],GroDB3[[#This Row],[Date_Received]])</f>
        <v>45700</v>
      </c>
      <c r="L391" s="43">
        <f>IF(GroDB3[[#This Row],[Column1]]="No",GroDB3[[#This Row],[Date_Received]],GroDB3[[#This Row],[Last_Order_Date]])</f>
        <v>45480</v>
      </c>
      <c r="M391" s="43">
        <v>45507</v>
      </c>
      <c r="N391" s="3">
        <v>86</v>
      </c>
      <c r="O391" s="3">
        <v>20</v>
      </c>
      <c r="P391" s="3">
        <v>67</v>
      </c>
      <c r="Q391" s="4">
        <v>1.75</v>
      </c>
      <c r="R391" s="3">
        <v>83</v>
      </c>
      <c r="S391" s="3">
        <v>82</v>
      </c>
      <c r="T391" s="7">
        <v>0.05</v>
      </c>
    </row>
    <row r="392" spans="1:20" x14ac:dyDescent="0.35">
      <c r="A392" s="5" t="s">
        <v>96</v>
      </c>
      <c r="B392" s="3" t="s">
        <v>18</v>
      </c>
      <c r="C392" s="3" t="s">
        <v>583</v>
      </c>
      <c r="D392" s="3" t="s">
        <v>1547</v>
      </c>
      <c r="E392" s="3" t="s">
        <v>21</v>
      </c>
      <c r="F392" s="3" t="s">
        <v>1548</v>
      </c>
      <c r="G392" s="3" t="s">
        <v>1549</v>
      </c>
      <c r="H392" s="43">
        <v>45670</v>
      </c>
      <c r="I392" s="43">
        <v>45394</v>
      </c>
      <c r="J392" s="47" t="str">
        <f>IF(GroDB3[[#This Row],[Last_Order_Date]]&lt;=GroDB3[[#This Row],[Date_Received]], "Yes", "No")</f>
        <v>Yes</v>
      </c>
      <c r="K392" s="43">
        <f>IF(GroDB3[[#This Row],[Column1]]="No",GroDB3[[#This Row],[Last_Order_Date]],GroDB3[[#This Row],[Date_Received]])</f>
        <v>45670</v>
      </c>
      <c r="L392" s="43">
        <f>IF(GroDB3[[#This Row],[Column1]]="No",GroDB3[[#This Row],[Date_Received]],GroDB3[[#This Row],[Last_Order_Date]])</f>
        <v>45394</v>
      </c>
      <c r="M392" s="43">
        <v>45442</v>
      </c>
      <c r="N392" s="3">
        <v>48</v>
      </c>
      <c r="O392" s="3">
        <v>27</v>
      </c>
      <c r="P392" s="3">
        <v>73</v>
      </c>
      <c r="Q392" s="4">
        <v>2.5499999999999998</v>
      </c>
      <c r="R392" s="3">
        <v>52</v>
      </c>
      <c r="S392" s="3">
        <v>97</v>
      </c>
      <c r="T392" s="7">
        <v>0.01</v>
      </c>
    </row>
    <row r="393" spans="1:20" x14ac:dyDescent="0.35">
      <c r="A393" s="5" t="s">
        <v>239</v>
      </c>
      <c r="B393" s="3" t="s">
        <v>25</v>
      </c>
      <c r="C393" s="3" t="s">
        <v>1550</v>
      </c>
      <c r="D393" s="3" t="s">
        <v>1551</v>
      </c>
      <c r="E393" s="3" t="s">
        <v>56</v>
      </c>
      <c r="F393" s="3" t="s">
        <v>1552</v>
      </c>
      <c r="G393" s="3" t="s">
        <v>1553</v>
      </c>
      <c r="H393" s="43">
        <v>45670</v>
      </c>
      <c r="I393" s="43">
        <v>45615</v>
      </c>
      <c r="J393" s="47" t="str">
        <f>IF(GroDB3[[#This Row],[Last_Order_Date]]&lt;=GroDB3[[#This Row],[Date_Received]], "Yes", "No")</f>
        <v>Yes</v>
      </c>
      <c r="K393" s="43">
        <f>IF(GroDB3[[#This Row],[Column1]]="No",GroDB3[[#This Row],[Last_Order_Date]],GroDB3[[#This Row],[Date_Received]])</f>
        <v>45670</v>
      </c>
      <c r="L393" s="43">
        <f>IF(GroDB3[[#This Row],[Column1]]="No",GroDB3[[#This Row],[Date_Received]],GroDB3[[#This Row],[Last_Order_Date]])</f>
        <v>45615</v>
      </c>
      <c r="M393" s="43">
        <v>45621</v>
      </c>
      <c r="N393" s="3">
        <v>89</v>
      </c>
      <c r="O393" s="3">
        <v>66</v>
      </c>
      <c r="P393" s="3">
        <v>28</v>
      </c>
      <c r="Q393" s="4">
        <v>6.5</v>
      </c>
      <c r="R393" s="3">
        <v>39</v>
      </c>
      <c r="S393" s="3">
        <v>25</v>
      </c>
      <c r="T393" s="7">
        <v>-0.87</v>
      </c>
    </row>
    <row r="394" spans="1:20" x14ac:dyDescent="0.35">
      <c r="A394" s="5" t="s">
        <v>175</v>
      </c>
      <c r="B394" s="3" t="s">
        <v>53</v>
      </c>
      <c r="C394" s="3" t="s">
        <v>500</v>
      </c>
      <c r="D394" s="3" t="s">
        <v>1554</v>
      </c>
      <c r="E394" s="3" t="s">
        <v>21</v>
      </c>
      <c r="F394" s="3" t="s">
        <v>1555</v>
      </c>
      <c r="G394" s="3" t="s">
        <v>1556</v>
      </c>
      <c r="H394" s="43">
        <v>45671</v>
      </c>
      <c r="I394" s="43">
        <v>45569</v>
      </c>
      <c r="J394" s="47" t="str">
        <f>IF(GroDB3[[#This Row],[Last_Order_Date]]&lt;=GroDB3[[#This Row],[Date_Received]], "Yes", "No")</f>
        <v>Yes</v>
      </c>
      <c r="K394" s="43">
        <f>IF(GroDB3[[#This Row],[Column1]]="No",GroDB3[[#This Row],[Last_Order_Date]],GroDB3[[#This Row],[Date_Received]])</f>
        <v>45671</v>
      </c>
      <c r="L394" s="43">
        <f>IF(GroDB3[[#This Row],[Column1]]="No",GroDB3[[#This Row],[Date_Received]],GroDB3[[#This Row],[Last_Order_Date]])</f>
        <v>45569</v>
      </c>
      <c r="M394" s="43">
        <v>45664</v>
      </c>
      <c r="N394" s="3">
        <v>97</v>
      </c>
      <c r="O394" s="3">
        <v>41</v>
      </c>
      <c r="P394" s="3">
        <v>68</v>
      </c>
      <c r="Q394" s="4">
        <v>1.5</v>
      </c>
      <c r="R394" s="3">
        <v>35</v>
      </c>
      <c r="S394" s="3">
        <v>16</v>
      </c>
      <c r="T394" s="7">
        <v>0.36</v>
      </c>
    </row>
    <row r="395" spans="1:20" x14ac:dyDescent="0.35">
      <c r="A395" s="5" t="s">
        <v>674</v>
      </c>
      <c r="B395" s="3" t="s">
        <v>60</v>
      </c>
      <c r="C395" s="3" t="s">
        <v>1557</v>
      </c>
      <c r="D395" s="3" t="s">
        <v>1558</v>
      </c>
      <c r="E395" s="3" t="s">
        <v>56</v>
      </c>
      <c r="F395" s="3" t="s">
        <v>1559</v>
      </c>
      <c r="G395" s="3" t="s">
        <v>1560</v>
      </c>
      <c r="H395" s="43">
        <v>45671</v>
      </c>
      <c r="I395" s="43">
        <v>45405</v>
      </c>
      <c r="J395" s="47" t="str">
        <f>IF(GroDB3[[#This Row],[Last_Order_Date]]&lt;=GroDB3[[#This Row],[Date_Received]], "Yes", "No")</f>
        <v>Yes</v>
      </c>
      <c r="K395" s="43">
        <f>IF(GroDB3[[#This Row],[Column1]]="No",GroDB3[[#This Row],[Last_Order_Date]],GroDB3[[#This Row],[Date_Received]])</f>
        <v>45671</v>
      </c>
      <c r="L395" s="43">
        <f>IF(GroDB3[[#This Row],[Column1]]="No",GroDB3[[#This Row],[Date_Received]],GroDB3[[#This Row],[Last_Order_Date]])</f>
        <v>45405</v>
      </c>
      <c r="M395" s="43">
        <v>45360</v>
      </c>
      <c r="N395" s="3">
        <v>84</v>
      </c>
      <c r="O395" s="3">
        <v>8</v>
      </c>
      <c r="P395" s="3">
        <v>54</v>
      </c>
      <c r="Q395" s="4">
        <v>9</v>
      </c>
      <c r="R395" s="3">
        <v>60</v>
      </c>
      <c r="S395" s="3">
        <v>38</v>
      </c>
      <c r="T395" s="7">
        <v>0.54</v>
      </c>
    </row>
    <row r="396" spans="1:20" x14ac:dyDescent="0.35">
      <c r="A396" s="5" t="s">
        <v>707</v>
      </c>
      <c r="B396" s="3" t="s">
        <v>25</v>
      </c>
      <c r="C396" s="3" t="s">
        <v>989</v>
      </c>
      <c r="D396" s="3" t="s">
        <v>1561</v>
      </c>
      <c r="E396" s="3" t="s">
        <v>28</v>
      </c>
      <c r="F396" s="3" t="s">
        <v>1562</v>
      </c>
      <c r="G396" s="3" t="s">
        <v>1563</v>
      </c>
      <c r="H396" s="43">
        <v>45671</v>
      </c>
      <c r="I396" s="43">
        <v>45461</v>
      </c>
      <c r="J396" s="47" t="str">
        <f>IF(GroDB3[[#This Row],[Last_Order_Date]]&lt;=GroDB3[[#This Row],[Date_Received]], "Yes", "No")</f>
        <v>Yes</v>
      </c>
      <c r="K396" s="43">
        <f>IF(GroDB3[[#This Row],[Column1]]="No",GroDB3[[#This Row],[Last_Order_Date]],GroDB3[[#This Row],[Date_Received]])</f>
        <v>45671</v>
      </c>
      <c r="L396" s="43">
        <f>IF(GroDB3[[#This Row],[Column1]]="No",GroDB3[[#This Row],[Date_Received]],GroDB3[[#This Row],[Last_Order_Date]])</f>
        <v>45461</v>
      </c>
      <c r="M396" s="43">
        <v>45441</v>
      </c>
      <c r="N396" s="3">
        <v>69</v>
      </c>
      <c r="O396" s="3">
        <v>17</v>
      </c>
      <c r="P396" s="3">
        <v>27</v>
      </c>
      <c r="Q396" s="4">
        <v>2.2999999999999998</v>
      </c>
      <c r="R396" s="3">
        <v>79</v>
      </c>
      <c r="S396" s="3">
        <v>75</v>
      </c>
      <c r="T396" s="7">
        <v>0.37</v>
      </c>
    </row>
    <row r="397" spans="1:20" x14ac:dyDescent="0.35">
      <c r="A397" s="5" t="s">
        <v>490</v>
      </c>
      <c r="B397" s="3" t="s">
        <v>18</v>
      </c>
      <c r="C397" s="3" t="s">
        <v>1564</v>
      </c>
      <c r="D397" s="3" t="s">
        <v>1565</v>
      </c>
      <c r="E397" s="3" t="s">
        <v>21</v>
      </c>
      <c r="F397" s="3" t="s">
        <v>1566</v>
      </c>
      <c r="G397" s="3" t="s">
        <v>1567</v>
      </c>
      <c r="H397" s="43">
        <v>45671</v>
      </c>
      <c r="I397" s="43">
        <v>45677</v>
      </c>
      <c r="J397" s="47" t="str">
        <f>IF(GroDB3[[#This Row],[Last_Order_Date]]&lt;=GroDB3[[#This Row],[Date_Received]], "Yes", "No")</f>
        <v>No</v>
      </c>
      <c r="K397" s="43">
        <f>IF(GroDB3[[#This Row],[Column1]]="No",GroDB3[[#This Row],[Last_Order_Date]],GroDB3[[#This Row],[Date_Received]])</f>
        <v>45677</v>
      </c>
      <c r="L397" s="43">
        <f>IF(GroDB3[[#This Row],[Column1]]="No",GroDB3[[#This Row],[Date_Received]],GroDB3[[#This Row],[Last_Order_Date]])</f>
        <v>45671</v>
      </c>
      <c r="M397" s="43">
        <v>45551</v>
      </c>
      <c r="N397" s="3">
        <v>80</v>
      </c>
      <c r="O397" s="3">
        <v>6</v>
      </c>
      <c r="P397" s="3">
        <v>92</v>
      </c>
      <c r="Q397" s="4">
        <v>5</v>
      </c>
      <c r="R397" s="3">
        <v>26</v>
      </c>
      <c r="S397" s="3">
        <v>71</v>
      </c>
      <c r="T397" s="7">
        <v>0.05</v>
      </c>
    </row>
    <row r="398" spans="1:20" x14ac:dyDescent="0.35">
      <c r="A398" s="5" t="s">
        <v>243</v>
      </c>
      <c r="B398" s="3" t="s">
        <v>18</v>
      </c>
      <c r="C398" s="3" t="s">
        <v>1568</v>
      </c>
      <c r="D398" s="3" t="s">
        <v>1569</v>
      </c>
      <c r="E398" s="3" t="s">
        <v>28</v>
      </c>
      <c r="F398" s="3" t="s">
        <v>1570</v>
      </c>
      <c r="G398" s="3" t="s">
        <v>1571</v>
      </c>
      <c r="H398" s="43">
        <v>45672</v>
      </c>
      <c r="I398" s="43">
        <v>45412</v>
      </c>
      <c r="J398" s="47" t="str">
        <f>IF(GroDB3[[#This Row],[Last_Order_Date]]&lt;=GroDB3[[#This Row],[Date_Received]], "Yes", "No")</f>
        <v>Yes</v>
      </c>
      <c r="K398" s="43">
        <f>IF(GroDB3[[#This Row],[Column1]]="No",GroDB3[[#This Row],[Last_Order_Date]],GroDB3[[#This Row],[Date_Received]])</f>
        <v>45672</v>
      </c>
      <c r="L398" s="43">
        <f>IF(GroDB3[[#This Row],[Column1]]="No",GroDB3[[#This Row],[Date_Received]],GroDB3[[#This Row],[Last_Order_Date]])</f>
        <v>45412</v>
      </c>
      <c r="M398" s="43">
        <v>45455</v>
      </c>
      <c r="N398" s="3">
        <v>22</v>
      </c>
      <c r="O398" s="3">
        <v>22</v>
      </c>
      <c r="P398" s="3">
        <v>65</v>
      </c>
      <c r="Q398" s="4">
        <v>2</v>
      </c>
      <c r="R398" s="3">
        <v>62</v>
      </c>
      <c r="S398" s="3">
        <v>78</v>
      </c>
      <c r="T398" s="7">
        <v>-1.73</v>
      </c>
    </row>
    <row r="399" spans="1:20" x14ac:dyDescent="0.35">
      <c r="A399" s="5" t="s">
        <v>180</v>
      </c>
      <c r="B399" s="3" t="s">
        <v>18</v>
      </c>
      <c r="C399" s="3" t="s">
        <v>491</v>
      </c>
      <c r="D399" s="3" t="s">
        <v>1572</v>
      </c>
      <c r="E399" s="3" t="s">
        <v>21</v>
      </c>
      <c r="F399" s="3" t="s">
        <v>1573</v>
      </c>
      <c r="G399" s="3" t="s">
        <v>1574</v>
      </c>
      <c r="H399" s="43">
        <v>45673</v>
      </c>
      <c r="I399" s="43">
        <v>45673</v>
      </c>
      <c r="J399" s="47" t="str">
        <f>IF(GroDB3[[#This Row],[Last_Order_Date]]&lt;=GroDB3[[#This Row],[Date_Received]], "Yes", "No")</f>
        <v>Yes</v>
      </c>
      <c r="K399" s="43">
        <f>IF(GroDB3[[#This Row],[Column1]]="No",GroDB3[[#This Row],[Last_Order_Date]],GroDB3[[#This Row],[Date_Received]])</f>
        <v>45673</v>
      </c>
      <c r="L399" s="43">
        <f>IF(GroDB3[[#This Row],[Column1]]="No",GroDB3[[#This Row],[Date_Received]],GroDB3[[#This Row],[Last_Order_Date]])</f>
        <v>45673</v>
      </c>
      <c r="M399" s="43">
        <v>45355</v>
      </c>
      <c r="N399" s="3">
        <v>28</v>
      </c>
      <c r="O399" s="3">
        <v>5</v>
      </c>
      <c r="P399" s="3">
        <v>9</v>
      </c>
      <c r="Q399" s="4">
        <v>1.8</v>
      </c>
      <c r="R399" s="3">
        <v>33</v>
      </c>
      <c r="S399" s="3">
        <v>9</v>
      </c>
      <c r="T399" s="7">
        <v>-0.26</v>
      </c>
    </row>
    <row r="400" spans="1:20" x14ac:dyDescent="0.35">
      <c r="A400" s="5" t="s">
        <v>1445</v>
      </c>
      <c r="B400" s="3" t="s">
        <v>18</v>
      </c>
      <c r="C400" s="3" t="s">
        <v>1175</v>
      </c>
      <c r="D400" s="3" t="s">
        <v>1575</v>
      </c>
      <c r="E400" s="3" t="s">
        <v>56</v>
      </c>
      <c r="F400" s="3" t="s">
        <v>1576</v>
      </c>
      <c r="G400" s="3" t="s">
        <v>1577</v>
      </c>
      <c r="H400" s="43">
        <v>45674</v>
      </c>
      <c r="I400" s="43">
        <v>45487</v>
      </c>
      <c r="J400" s="47" t="str">
        <f>IF(GroDB3[[#This Row],[Last_Order_Date]]&lt;=GroDB3[[#This Row],[Date_Received]], "Yes", "No")</f>
        <v>Yes</v>
      </c>
      <c r="K400" s="43">
        <f>IF(GroDB3[[#This Row],[Column1]]="No",GroDB3[[#This Row],[Last_Order_Date]],GroDB3[[#This Row],[Date_Received]])</f>
        <v>45674</v>
      </c>
      <c r="L400" s="43">
        <f>IF(GroDB3[[#This Row],[Column1]]="No",GroDB3[[#This Row],[Date_Received]],GroDB3[[#This Row],[Last_Order_Date]])</f>
        <v>45487</v>
      </c>
      <c r="M400" s="43">
        <v>45397</v>
      </c>
      <c r="N400" s="3">
        <v>23</v>
      </c>
      <c r="O400" s="3">
        <v>38</v>
      </c>
      <c r="P400" s="3">
        <v>54</v>
      </c>
      <c r="Q400" s="4">
        <v>10</v>
      </c>
      <c r="R400" s="3">
        <v>40</v>
      </c>
      <c r="S400" s="3">
        <v>15</v>
      </c>
      <c r="T400" s="7">
        <v>0.73</v>
      </c>
    </row>
    <row r="401" spans="1:20" x14ac:dyDescent="0.35">
      <c r="A401" s="5" t="s">
        <v>17</v>
      </c>
      <c r="B401" s="3" t="s">
        <v>18</v>
      </c>
      <c r="C401" s="3" t="s">
        <v>1578</v>
      </c>
      <c r="D401" s="3" t="s">
        <v>1579</v>
      </c>
      <c r="E401" s="3" t="s">
        <v>28</v>
      </c>
      <c r="F401" s="3" t="s">
        <v>1580</v>
      </c>
      <c r="G401" s="3" t="s">
        <v>1581</v>
      </c>
      <c r="H401" s="43">
        <v>45674</v>
      </c>
      <c r="I401" s="43">
        <v>45551</v>
      </c>
      <c r="J401" s="47" t="str">
        <f>IF(GroDB3[[#This Row],[Last_Order_Date]]&lt;=GroDB3[[#This Row],[Date_Received]], "Yes", "No")</f>
        <v>Yes</v>
      </c>
      <c r="K401" s="43">
        <f>IF(GroDB3[[#This Row],[Column1]]="No",GroDB3[[#This Row],[Last_Order_Date]],GroDB3[[#This Row],[Date_Received]])</f>
        <v>45674</v>
      </c>
      <c r="L401" s="43">
        <f>IF(GroDB3[[#This Row],[Column1]]="No",GroDB3[[#This Row],[Date_Received]],GroDB3[[#This Row],[Last_Order_Date]])</f>
        <v>45551</v>
      </c>
      <c r="M401" s="43">
        <v>45712</v>
      </c>
      <c r="N401" s="3">
        <v>26</v>
      </c>
      <c r="O401" s="3">
        <v>12</v>
      </c>
      <c r="P401" s="3">
        <v>43</v>
      </c>
      <c r="Q401" s="4">
        <v>4.4000000000000004</v>
      </c>
      <c r="R401" s="3">
        <v>73</v>
      </c>
      <c r="S401" s="3">
        <v>20</v>
      </c>
      <c r="T401" s="7">
        <v>0.63</v>
      </c>
    </row>
    <row r="402" spans="1:20" x14ac:dyDescent="0.35">
      <c r="A402" s="5" t="s">
        <v>75</v>
      </c>
      <c r="B402" s="3" t="s">
        <v>32</v>
      </c>
      <c r="C402" s="3" t="s">
        <v>1582</v>
      </c>
      <c r="D402" s="3" t="s">
        <v>1583</v>
      </c>
      <c r="E402" s="3" t="s">
        <v>28</v>
      </c>
      <c r="F402" s="3" t="s">
        <v>1584</v>
      </c>
      <c r="G402" s="3" t="s">
        <v>1585</v>
      </c>
      <c r="H402" s="43">
        <v>45674</v>
      </c>
      <c r="I402" s="43">
        <v>45468</v>
      </c>
      <c r="J402" s="47" t="str">
        <f>IF(GroDB3[[#This Row],[Last_Order_Date]]&lt;=GroDB3[[#This Row],[Date_Received]], "Yes", "No")</f>
        <v>Yes</v>
      </c>
      <c r="K402" s="43">
        <f>IF(GroDB3[[#This Row],[Column1]]="No",GroDB3[[#This Row],[Last_Order_Date]],GroDB3[[#This Row],[Date_Received]])</f>
        <v>45674</v>
      </c>
      <c r="L402" s="43">
        <f>IF(GroDB3[[#This Row],[Column1]]="No",GroDB3[[#This Row],[Date_Received]],GroDB3[[#This Row],[Last_Order_Date]])</f>
        <v>45468</v>
      </c>
      <c r="M402" s="43">
        <v>45685</v>
      </c>
      <c r="N402" s="3">
        <v>85</v>
      </c>
      <c r="O402" s="3">
        <v>28</v>
      </c>
      <c r="P402" s="3">
        <v>32</v>
      </c>
      <c r="Q402" s="4">
        <v>8.9</v>
      </c>
      <c r="R402" s="3">
        <v>57</v>
      </c>
      <c r="S402" s="3">
        <v>41</v>
      </c>
      <c r="T402" s="7">
        <v>0.73</v>
      </c>
    </row>
    <row r="403" spans="1:20" x14ac:dyDescent="0.35">
      <c r="A403" s="5" t="s">
        <v>1516</v>
      </c>
      <c r="B403" s="3" t="s">
        <v>32</v>
      </c>
      <c r="C403" s="3" t="s">
        <v>102</v>
      </c>
      <c r="D403" s="3" t="s">
        <v>1586</v>
      </c>
      <c r="E403" s="3" t="s">
        <v>21</v>
      </c>
      <c r="F403" s="3" t="s">
        <v>1587</v>
      </c>
      <c r="G403" s="3" t="s">
        <v>1588</v>
      </c>
      <c r="H403" s="43">
        <v>45674</v>
      </c>
      <c r="I403" s="43">
        <v>45485</v>
      </c>
      <c r="J403" s="47" t="str">
        <f>IF(GroDB3[[#This Row],[Last_Order_Date]]&lt;=GroDB3[[#This Row],[Date_Received]], "Yes", "No")</f>
        <v>Yes</v>
      </c>
      <c r="K403" s="43">
        <f>IF(GroDB3[[#This Row],[Column1]]="No",GroDB3[[#This Row],[Last_Order_Date]],GroDB3[[#This Row],[Date_Received]])</f>
        <v>45674</v>
      </c>
      <c r="L403" s="43">
        <f>IF(GroDB3[[#This Row],[Column1]]="No",GroDB3[[#This Row],[Date_Received]],GroDB3[[#This Row],[Last_Order_Date]])</f>
        <v>45485</v>
      </c>
      <c r="M403" s="43">
        <v>45558</v>
      </c>
      <c r="N403" s="3">
        <v>55</v>
      </c>
      <c r="O403" s="3">
        <v>58</v>
      </c>
      <c r="P403" s="3">
        <v>6</v>
      </c>
      <c r="Q403" s="4">
        <v>7.2</v>
      </c>
      <c r="R403" s="3">
        <v>48</v>
      </c>
      <c r="S403" s="3">
        <v>17</v>
      </c>
      <c r="T403" s="7">
        <v>0.28000000000000003</v>
      </c>
    </row>
    <row r="404" spans="1:20" x14ac:dyDescent="0.35">
      <c r="A404" s="5" t="s">
        <v>615</v>
      </c>
      <c r="B404" s="3" t="s">
        <v>32</v>
      </c>
      <c r="C404" s="3" t="s">
        <v>778</v>
      </c>
      <c r="D404" s="3" t="s">
        <v>1589</v>
      </c>
      <c r="E404" s="3" t="s">
        <v>28</v>
      </c>
      <c r="F404" s="3" t="s">
        <v>1590</v>
      </c>
      <c r="G404" s="3" t="s">
        <v>1591</v>
      </c>
      <c r="H404" s="43">
        <v>45675</v>
      </c>
      <c r="I404" s="43">
        <v>45504</v>
      </c>
      <c r="J404" s="47" t="str">
        <f>IF(GroDB3[[#This Row],[Last_Order_Date]]&lt;=GroDB3[[#This Row],[Date_Received]], "Yes", "No")</f>
        <v>Yes</v>
      </c>
      <c r="K404" s="43">
        <f>IF(GroDB3[[#This Row],[Column1]]="No",GroDB3[[#This Row],[Last_Order_Date]],GroDB3[[#This Row],[Date_Received]])</f>
        <v>45675</v>
      </c>
      <c r="L404" s="43">
        <f>IF(GroDB3[[#This Row],[Column1]]="No",GroDB3[[#This Row],[Date_Received]],GroDB3[[#This Row],[Last_Order_Date]])</f>
        <v>45504</v>
      </c>
      <c r="M404" s="43">
        <v>45570</v>
      </c>
      <c r="N404" s="3">
        <v>72</v>
      </c>
      <c r="O404" s="3">
        <v>3</v>
      </c>
      <c r="P404" s="3">
        <v>10</v>
      </c>
      <c r="Q404" s="4">
        <v>2</v>
      </c>
      <c r="R404" s="3">
        <v>52</v>
      </c>
      <c r="S404" s="3">
        <v>14</v>
      </c>
      <c r="T404" s="7">
        <v>0.65</v>
      </c>
    </row>
    <row r="405" spans="1:20" x14ac:dyDescent="0.35">
      <c r="A405" s="5" t="s">
        <v>1085</v>
      </c>
      <c r="B405" s="3" t="s">
        <v>32</v>
      </c>
      <c r="C405" s="3" t="s">
        <v>97</v>
      </c>
      <c r="D405" s="3" t="s">
        <v>1592</v>
      </c>
      <c r="E405" s="3" t="s">
        <v>56</v>
      </c>
      <c r="F405" s="3" t="s">
        <v>1593</v>
      </c>
      <c r="G405" s="3" t="s">
        <v>1594</v>
      </c>
      <c r="H405" s="43">
        <v>45676</v>
      </c>
      <c r="I405" s="43">
        <v>45609</v>
      </c>
      <c r="J405" s="47" t="str">
        <f>IF(GroDB3[[#This Row],[Last_Order_Date]]&lt;=GroDB3[[#This Row],[Date_Received]], "Yes", "No")</f>
        <v>Yes</v>
      </c>
      <c r="K405" s="43">
        <f>IF(GroDB3[[#This Row],[Column1]]="No",GroDB3[[#This Row],[Last_Order_Date]],GroDB3[[#This Row],[Date_Received]])</f>
        <v>45676</v>
      </c>
      <c r="L405" s="43">
        <f>IF(GroDB3[[#This Row],[Column1]]="No",GroDB3[[#This Row],[Date_Received]],GroDB3[[#This Row],[Last_Order_Date]])</f>
        <v>45609</v>
      </c>
      <c r="M405" s="43">
        <v>45460</v>
      </c>
      <c r="N405" s="3">
        <v>29</v>
      </c>
      <c r="O405" s="3">
        <v>4</v>
      </c>
      <c r="P405" s="3">
        <v>17</v>
      </c>
      <c r="Q405" s="4">
        <v>8</v>
      </c>
      <c r="R405" s="3">
        <v>59</v>
      </c>
      <c r="S405" s="3">
        <v>52</v>
      </c>
      <c r="T405" s="7">
        <v>0.73</v>
      </c>
    </row>
    <row r="406" spans="1:20" x14ac:dyDescent="0.35">
      <c r="A406" s="5" t="s">
        <v>180</v>
      </c>
      <c r="B406" s="3" t="s">
        <v>18</v>
      </c>
      <c r="C406" s="3" t="s">
        <v>1595</v>
      </c>
      <c r="D406" s="3" t="s">
        <v>1596</v>
      </c>
      <c r="E406" s="3" t="s">
        <v>28</v>
      </c>
      <c r="F406" s="3" t="s">
        <v>1597</v>
      </c>
      <c r="G406" s="3" t="s">
        <v>1598</v>
      </c>
      <c r="H406" s="43">
        <v>45676</v>
      </c>
      <c r="I406" s="43">
        <v>45669</v>
      </c>
      <c r="J406" s="47" t="str">
        <f>IF(GroDB3[[#This Row],[Last_Order_Date]]&lt;=GroDB3[[#This Row],[Date_Received]], "Yes", "No")</f>
        <v>Yes</v>
      </c>
      <c r="K406" s="43">
        <f>IF(GroDB3[[#This Row],[Column1]]="No",GroDB3[[#This Row],[Last_Order_Date]],GroDB3[[#This Row],[Date_Received]])</f>
        <v>45676</v>
      </c>
      <c r="L406" s="43">
        <f>IF(GroDB3[[#This Row],[Column1]]="No",GroDB3[[#This Row],[Date_Received]],GroDB3[[#This Row],[Last_Order_Date]])</f>
        <v>45669</v>
      </c>
      <c r="M406" s="43">
        <v>45382</v>
      </c>
      <c r="N406" s="3">
        <v>47</v>
      </c>
      <c r="O406" s="3">
        <v>20</v>
      </c>
      <c r="P406" s="3">
        <v>65</v>
      </c>
      <c r="Q406" s="4">
        <v>1.75</v>
      </c>
      <c r="R406" s="3">
        <v>49</v>
      </c>
      <c r="S406" s="3">
        <v>19</v>
      </c>
      <c r="T406" s="7">
        <v>0.12</v>
      </c>
    </row>
    <row r="407" spans="1:20" x14ac:dyDescent="0.35">
      <c r="A407" s="5" t="s">
        <v>947</v>
      </c>
      <c r="B407" s="3" t="s">
        <v>18</v>
      </c>
      <c r="C407" s="3" t="s">
        <v>1599</v>
      </c>
      <c r="D407" s="3" t="s">
        <v>1600</v>
      </c>
      <c r="E407" s="3" t="s">
        <v>56</v>
      </c>
      <c r="F407" s="3" t="s">
        <v>1601</v>
      </c>
      <c r="G407" s="3" t="s">
        <v>1602</v>
      </c>
      <c r="H407" s="43">
        <v>45676</v>
      </c>
      <c r="I407" s="43">
        <v>45357</v>
      </c>
      <c r="J407" s="47" t="str">
        <f>IF(GroDB3[[#This Row],[Last_Order_Date]]&lt;=GroDB3[[#This Row],[Date_Received]], "Yes", "No")</f>
        <v>Yes</v>
      </c>
      <c r="K407" s="43">
        <f>IF(GroDB3[[#This Row],[Column1]]="No",GroDB3[[#This Row],[Last_Order_Date]],GroDB3[[#This Row],[Date_Received]])</f>
        <v>45676</v>
      </c>
      <c r="L407" s="43">
        <f>IF(GroDB3[[#This Row],[Column1]]="No",GroDB3[[#This Row],[Date_Received]],GroDB3[[#This Row],[Last_Order_Date]])</f>
        <v>45357</v>
      </c>
      <c r="M407" s="43">
        <v>45352</v>
      </c>
      <c r="N407" s="3">
        <v>42</v>
      </c>
      <c r="O407" s="3">
        <v>69</v>
      </c>
      <c r="P407" s="3">
        <v>54</v>
      </c>
      <c r="Q407" s="4">
        <v>1.2</v>
      </c>
      <c r="R407" s="3">
        <v>43</v>
      </c>
      <c r="S407" s="3">
        <v>96</v>
      </c>
      <c r="T407" s="7">
        <v>0.61</v>
      </c>
    </row>
    <row r="408" spans="1:20" x14ac:dyDescent="0.35">
      <c r="A408" s="5" t="s">
        <v>116</v>
      </c>
      <c r="B408" s="3" t="s">
        <v>18</v>
      </c>
      <c r="C408" s="3" t="s">
        <v>289</v>
      </c>
      <c r="D408" s="3" t="s">
        <v>1603</v>
      </c>
      <c r="E408" s="3" t="s">
        <v>28</v>
      </c>
      <c r="F408" s="3" t="s">
        <v>1604</v>
      </c>
      <c r="G408" s="3" t="s">
        <v>1605</v>
      </c>
      <c r="H408" s="43">
        <v>45676</v>
      </c>
      <c r="I408" s="43">
        <v>45490</v>
      </c>
      <c r="J408" s="47" t="str">
        <f>IF(GroDB3[[#This Row],[Last_Order_Date]]&lt;=GroDB3[[#This Row],[Date_Received]], "Yes", "No")</f>
        <v>Yes</v>
      </c>
      <c r="K408" s="43">
        <f>IF(GroDB3[[#This Row],[Column1]]="No",GroDB3[[#This Row],[Last_Order_Date]],GroDB3[[#This Row],[Date_Received]])</f>
        <v>45676</v>
      </c>
      <c r="L408" s="43">
        <f>IF(GroDB3[[#This Row],[Column1]]="No",GroDB3[[#This Row],[Date_Received]],GroDB3[[#This Row],[Last_Order_Date]])</f>
        <v>45490</v>
      </c>
      <c r="M408" s="43">
        <v>45578</v>
      </c>
      <c r="N408" s="3">
        <v>97</v>
      </c>
      <c r="O408" s="3">
        <v>52</v>
      </c>
      <c r="P408" s="3">
        <v>80</v>
      </c>
      <c r="Q408" s="4">
        <v>3</v>
      </c>
      <c r="R408" s="3">
        <v>22</v>
      </c>
      <c r="S408" s="3">
        <v>90</v>
      </c>
      <c r="T408" s="7">
        <v>-1.23</v>
      </c>
    </row>
    <row r="409" spans="1:20" x14ac:dyDescent="0.35">
      <c r="A409" s="5" t="s">
        <v>465</v>
      </c>
      <c r="B409" s="3" t="s">
        <v>32</v>
      </c>
      <c r="C409" s="3" t="s">
        <v>157</v>
      </c>
      <c r="D409" s="3" t="s">
        <v>1606</v>
      </c>
      <c r="E409" s="3" t="s">
        <v>21</v>
      </c>
      <c r="F409" s="3" t="s">
        <v>1607</v>
      </c>
      <c r="G409" s="3" t="s">
        <v>1608</v>
      </c>
      <c r="H409" s="43">
        <v>45677</v>
      </c>
      <c r="I409" s="43">
        <v>45542</v>
      </c>
      <c r="J409" s="47" t="str">
        <f>IF(GroDB3[[#This Row],[Last_Order_Date]]&lt;=GroDB3[[#This Row],[Date_Received]], "Yes", "No")</f>
        <v>Yes</v>
      </c>
      <c r="K409" s="43">
        <f>IF(GroDB3[[#This Row],[Column1]]="No",GroDB3[[#This Row],[Last_Order_Date]],GroDB3[[#This Row],[Date_Received]])</f>
        <v>45677</v>
      </c>
      <c r="L409" s="43">
        <f>IF(GroDB3[[#This Row],[Column1]]="No",GroDB3[[#This Row],[Date_Received]],GroDB3[[#This Row],[Last_Order_Date]])</f>
        <v>45542</v>
      </c>
      <c r="M409" s="43">
        <v>45641</v>
      </c>
      <c r="N409" s="3">
        <v>90</v>
      </c>
      <c r="O409" s="3">
        <v>62</v>
      </c>
      <c r="P409" s="3">
        <v>54</v>
      </c>
      <c r="Q409" s="4">
        <v>3</v>
      </c>
      <c r="R409" s="3">
        <v>70</v>
      </c>
      <c r="S409" s="3">
        <v>83</v>
      </c>
      <c r="T409" s="7">
        <v>-3.09</v>
      </c>
    </row>
    <row r="410" spans="1:20" x14ac:dyDescent="0.35">
      <c r="A410" s="5" t="s">
        <v>812</v>
      </c>
      <c r="B410" s="3" t="s">
        <v>18</v>
      </c>
      <c r="C410" s="3" t="s">
        <v>1609</v>
      </c>
      <c r="D410" s="3" t="s">
        <v>1610</v>
      </c>
      <c r="E410" s="3" t="s">
        <v>21</v>
      </c>
      <c r="F410" s="3" t="s">
        <v>1611</v>
      </c>
      <c r="G410" s="3" t="s">
        <v>1612</v>
      </c>
      <c r="H410" s="43">
        <v>45677</v>
      </c>
      <c r="I410" s="43">
        <v>45684</v>
      </c>
      <c r="J410" s="47" t="str">
        <f>IF(GroDB3[[#This Row],[Last_Order_Date]]&lt;=GroDB3[[#This Row],[Date_Received]], "Yes", "No")</f>
        <v>No</v>
      </c>
      <c r="K410" s="43">
        <f>IF(GroDB3[[#This Row],[Column1]]="No",GroDB3[[#This Row],[Last_Order_Date]],GroDB3[[#This Row],[Date_Received]])</f>
        <v>45684</v>
      </c>
      <c r="L410" s="43">
        <f>IF(GroDB3[[#This Row],[Column1]]="No",GroDB3[[#This Row],[Date_Received]],GroDB3[[#This Row],[Last_Order_Date]])</f>
        <v>45677</v>
      </c>
      <c r="M410" s="43">
        <v>45669</v>
      </c>
      <c r="N410" s="3">
        <v>81</v>
      </c>
      <c r="O410" s="3">
        <v>74</v>
      </c>
      <c r="P410" s="3">
        <v>45</v>
      </c>
      <c r="Q410" s="4">
        <v>3.5</v>
      </c>
      <c r="R410" s="3">
        <v>42</v>
      </c>
      <c r="S410" s="3">
        <v>23</v>
      </c>
      <c r="T410" s="7">
        <v>-0.19</v>
      </c>
    </row>
    <row r="411" spans="1:20" x14ac:dyDescent="0.35">
      <c r="A411" s="5" t="s">
        <v>416</v>
      </c>
      <c r="B411" s="3" t="s">
        <v>53</v>
      </c>
      <c r="C411" s="3" t="s">
        <v>1613</v>
      </c>
      <c r="D411" s="3" t="s">
        <v>1614</v>
      </c>
      <c r="E411" s="3" t="s">
        <v>21</v>
      </c>
      <c r="F411" s="3" t="s">
        <v>1615</v>
      </c>
      <c r="G411" s="3" t="s">
        <v>1616</v>
      </c>
      <c r="H411" s="43">
        <v>45678</v>
      </c>
      <c r="I411" s="43">
        <v>45371</v>
      </c>
      <c r="J411" s="47" t="str">
        <f>IF(GroDB3[[#This Row],[Last_Order_Date]]&lt;=GroDB3[[#This Row],[Date_Received]], "Yes", "No")</f>
        <v>Yes</v>
      </c>
      <c r="K411" s="43">
        <f>IF(GroDB3[[#This Row],[Column1]]="No",GroDB3[[#This Row],[Last_Order_Date]],GroDB3[[#This Row],[Date_Received]])</f>
        <v>45678</v>
      </c>
      <c r="L411" s="43">
        <f>IF(GroDB3[[#This Row],[Column1]]="No",GroDB3[[#This Row],[Date_Received]],GroDB3[[#This Row],[Last_Order_Date]])</f>
        <v>45371</v>
      </c>
      <c r="M411" s="43">
        <v>45528</v>
      </c>
      <c r="N411" s="3">
        <v>60</v>
      </c>
      <c r="O411" s="3">
        <v>90</v>
      </c>
      <c r="P411" s="3">
        <v>85</v>
      </c>
      <c r="Q411" s="4">
        <v>3</v>
      </c>
      <c r="R411" s="3">
        <v>47</v>
      </c>
      <c r="S411" s="3">
        <v>9</v>
      </c>
      <c r="T411" s="7">
        <v>0.45</v>
      </c>
    </row>
    <row r="412" spans="1:20" x14ac:dyDescent="0.35">
      <c r="A412" s="5" t="s">
        <v>665</v>
      </c>
      <c r="B412" s="3" t="s">
        <v>18</v>
      </c>
      <c r="C412" s="3" t="s">
        <v>1617</v>
      </c>
      <c r="D412" s="3" t="s">
        <v>1618</v>
      </c>
      <c r="E412" s="3" t="s">
        <v>28</v>
      </c>
      <c r="F412" s="3" t="s">
        <v>1619</v>
      </c>
      <c r="G412" s="3" t="s">
        <v>1620</v>
      </c>
      <c r="H412" s="43">
        <v>45678</v>
      </c>
      <c r="I412" s="43">
        <v>45695</v>
      </c>
      <c r="J412" s="47" t="str">
        <f>IF(GroDB3[[#This Row],[Last_Order_Date]]&lt;=GroDB3[[#This Row],[Date_Received]], "Yes", "No")</f>
        <v>No</v>
      </c>
      <c r="K412" s="43">
        <f>IF(GroDB3[[#This Row],[Column1]]="No",GroDB3[[#This Row],[Last_Order_Date]],GroDB3[[#This Row],[Date_Received]])</f>
        <v>45695</v>
      </c>
      <c r="L412" s="43">
        <f>IF(GroDB3[[#This Row],[Column1]]="No",GroDB3[[#This Row],[Date_Received]],GroDB3[[#This Row],[Last_Order_Date]])</f>
        <v>45678</v>
      </c>
      <c r="M412" s="43">
        <v>45703</v>
      </c>
      <c r="N412" s="3">
        <v>45</v>
      </c>
      <c r="O412" s="3">
        <v>24</v>
      </c>
      <c r="P412" s="3">
        <v>61</v>
      </c>
      <c r="Q412" s="4">
        <v>6</v>
      </c>
      <c r="R412" s="3">
        <v>44</v>
      </c>
      <c r="S412" s="3">
        <v>34</v>
      </c>
      <c r="T412" s="7">
        <v>0.81</v>
      </c>
    </row>
    <row r="413" spans="1:20" x14ac:dyDescent="0.35">
      <c r="A413" s="5" t="s">
        <v>70</v>
      </c>
      <c r="B413" s="3" t="s">
        <v>32</v>
      </c>
      <c r="C413" s="3" t="s">
        <v>19</v>
      </c>
      <c r="D413" s="3" t="s">
        <v>1621</v>
      </c>
      <c r="E413" s="3" t="s">
        <v>21</v>
      </c>
      <c r="F413" s="3" t="s">
        <v>1622</v>
      </c>
      <c r="G413" s="3" t="s">
        <v>1623</v>
      </c>
      <c r="H413" s="43">
        <v>45678</v>
      </c>
      <c r="I413" s="43">
        <v>45545</v>
      </c>
      <c r="J413" s="47" t="str">
        <f>IF(GroDB3[[#This Row],[Last_Order_Date]]&lt;=GroDB3[[#This Row],[Date_Received]], "Yes", "No")</f>
        <v>Yes</v>
      </c>
      <c r="K413" s="43">
        <f>IF(GroDB3[[#This Row],[Column1]]="No",GroDB3[[#This Row],[Last_Order_Date]],GroDB3[[#This Row],[Date_Received]])</f>
        <v>45678</v>
      </c>
      <c r="L413" s="43">
        <f>IF(GroDB3[[#This Row],[Column1]]="No",GroDB3[[#This Row],[Date_Received]],GroDB3[[#This Row],[Last_Order_Date]])</f>
        <v>45545</v>
      </c>
      <c r="M413" s="43">
        <v>45648</v>
      </c>
      <c r="N413" s="3">
        <v>92</v>
      </c>
      <c r="O413" s="3">
        <v>92</v>
      </c>
      <c r="P413" s="3">
        <v>28</v>
      </c>
      <c r="Q413" s="4">
        <v>1.75</v>
      </c>
      <c r="R413" s="3">
        <v>50</v>
      </c>
      <c r="S413" s="3">
        <v>67</v>
      </c>
      <c r="T413" s="7">
        <v>0.23</v>
      </c>
    </row>
    <row r="414" spans="1:20" x14ac:dyDescent="0.35">
      <c r="A414" s="5" t="s">
        <v>1624</v>
      </c>
      <c r="B414" s="3" t="s">
        <v>60</v>
      </c>
      <c r="C414" s="3" t="s">
        <v>1625</v>
      </c>
      <c r="D414" s="3" t="s">
        <v>1626</v>
      </c>
      <c r="E414" s="3" t="s">
        <v>21</v>
      </c>
      <c r="F414" s="3" t="s">
        <v>1627</v>
      </c>
      <c r="G414" s="3" t="s">
        <v>1628</v>
      </c>
      <c r="H414" s="43">
        <v>45678</v>
      </c>
      <c r="I414" s="43">
        <v>45514</v>
      </c>
      <c r="J414" s="47" t="str">
        <f>IF(GroDB3[[#This Row],[Last_Order_Date]]&lt;=GroDB3[[#This Row],[Date_Received]], "Yes", "No")</f>
        <v>Yes</v>
      </c>
      <c r="K414" s="43">
        <f>IF(GroDB3[[#This Row],[Column1]]="No",GroDB3[[#This Row],[Last_Order_Date]],GroDB3[[#This Row],[Date_Received]])</f>
        <v>45678</v>
      </c>
      <c r="L414" s="43">
        <f>IF(GroDB3[[#This Row],[Column1]]="No",GroDB3[[#This Row],[Date_Received]],GroDB3[[#This Row],[Last_Order_Date]])</f>
        <v>45514</v>
      </c>
      <c r="M414" s="43">
        <v>45365</v>
      </c>
      <c r="N414" s="3">
        <v>76</v>
      </c>
      <c r="O414" s="3">
        <v>21</v>
      </c>
      <c r="P414" s="3">
        <v>3</v>
      </c>
      <c r="Q414" s="4">
        <v>7.5</v>
      </c>
      <c r="R414" s="3">
        <v>31</v>
      </c>
      <c r="S414" s="3">
        <v>47</v>
      </c>
      <c r="T414" s="7">
        <v>-0.34</v>
      </c>
    </row>
    <row r="415" spans="1:20" x14ac:dyDescent="0.35">
      <c r="A415" s="5" t="s">
        <v>397</v>
      </c>
      <c r="B415" s="3" t="s">
        <v>25</v>
      </c>
      <c r="C415" s="3" t="s">
        <v>1438</v>
      </c>
      <c r="D415" s="3" t="s">
        <v>1629</v>
      </c>
      <c r="E415" s="3" t="s">
        <v>56</v>
      </c>
      <c r="F415" s="3" t="s">
        <v>1630</v>
      </c>
      <c r="G415" s="3" t="s">
        <v>1631</v>
      </c>
      <c r="H415" s="43">
        <v>45678</v>
      </c>
      <c r="I415" s="43">
        <v>45609</v>
      </c>
      <c r="J415" s="47" t="str">
        <f>IF(GroDB3[[#This Row],[Last_Order_Date]]&lt;=GroDB3[[#This Row],[Date_Received]], "Yes", "No")</f>
        <v>Yes</v>
      </c>
      <c r="K415" s="43">
        <f>IF(GroDB3[[#This Row],[Column1]]="No",GroDB3[[#This Row],[Last_Order_Date]],GroDB3[[#This Row],[Date_Received]])</f>
        <v>45678</v>
      </c>
      <c r="L415" s="43">
        <f>IF(GroDB3[[#This Row],[Column1]]="No",GroDB3[[#This Row],[Date_Received]],GroDB3[[#This Row],[Last_Order_Date]])</f>
        <v>45609</v>
      </c>
      <c r="M415" s="43">
        <v>45410</v>
      </c>
      <c r="N415" s="3">
        <v>80</v>
      </c>
      <c r="O415" s="3">
        <v>24</v>
      </c>
      <c r="P415" s="3">
        <v>60</v>
      </c>
      <c r="Q415" s="4">
        <v>2.5</v>
      </c>
      <c r="R415" s="3">
        <v>98</v>
      </c>
      <c r="S415" s="3">
        <v>38</v>
      </c>
      <c r="T415" s="7">
        <v>-0.52</v>
      </c>
    </row>
    <row r="416" spans="1:20" x14ac:dyDescent="0.35">
      <c r="A416" s="5" t="s">
        <v>193</v>
      </c>
      <c r="B416" s="3" t="s">
        <v>18</v>
      </c>
      <c r="C416" s="3" t="s">
        <v>166</v>
      </c>
      <c r="D416" s="3" t="s">
        <v>1632</v>
      </c>
      <c r="E416" s="3" t="s">
        <v>28</v>
      </c>
      <c r="F416" s="3" t="s">
        <v>1633</v>
      </c>
      <c r="G416" s="3" t="s">
        <v>1634</v>
      </c>
      <c r="H416" s="43">
        <v>45679</v>
      </c>
      <c r="I416" s="43">
        <v>45695</v>
      </c>
      <c r="J416" s="47" t="str">
        <f>IF(GroDB3[[#This Row],[Last_Order_Date]]&lt;=GroDB3[[#This Row],[Date_Received]], "Yes", "No")</f>
        <v>No</v>
      </c>
      <c r="K416" s="43">
        <f>IF(GroDB3[[#This Row],[Column1]]="No",GroDB3[[#This Row],[Last_Order_Date]],GroDB3[[#This Row],[Date_Received]])</f>
        <v>45695</v>
      </c>
      <c r="L416" s="43">
        <f>IF(GroDB3[[#This Row],[Column1]]="No",GroDB3[[#This Row],[Date_Received]],GroDB3[[#This Row],[Last_Order_Date]])</f>
        <v>45679</v>
      </c>
      <c r="M416" s="43">
        <v>45361</v>
      </c>
      <c r="N416" s="3">
        <v>21</v>
      </c>
      <c r="O416" s="3">
        <v>30</v>
      </c>
      <c r="P416" s="3">
        <v>32</v>
      </c>
      <c r="Q416" s="4">
        <v>2</v>
      </c>
      <c r="R416" s="3">
        <v>43</v>
      </c>
      <c r="S416" s="3">
        <v>54</v>
      </c>
      <c r="T416" s="7">
        <v>0.61</v>
      </c>
    </row>
    <row r="417" spans="1:20" x14ac:dyDescent="0.35">
      <c r="A417" s="5" t="s">
        <v>325</v>
      </c>
      <c r="B417" s="3" t="s">
        <v>53</v>
      </c>
      <c r="C417" s="3" t="s">
        <v>1351</v>
      </c>
      <c r="D417" s="3" t="s">
        <v>1635</v>
      </c>
      <c r="E417" s="3" t="s">
        <v>28</v>
      </c>
      <c r="F417" s="3" t="s">
        <v>1636</v>
      </c>
      <c r="G417" s="3" t="s">
        <v>1637</v>
      </c>
      <c r="H417" s="43">
        <v>45679</v>
      </c>
      <c r="I417" s="43">
        <v>45654</v>
      </c>
      <c r="J417" s="47" t="str">
        <f>IF(GroDB3[[#This Row],[Last_Order_Date]]&lt;=GroDB3[[#This Row],[Date_Received]], "Yes", "No")</f>
        <v>Yes</v>
      </c>
      <c r="K417" s="43">
        <f>IF(GroDB3[[#This Row],[Column1]]="No",GroDB3[[#This Row],[Last_Order_Date]],GroDB3[[#This Row],[Date_Received]])</f>
        <v>45679</v>
      </c>
      <c r="L417" s="43">
        <f>IF(GroDB3[[#This Row],[Column1]]="No",GroDB3[[#This Row],[Date_Received]],GroDB3[[#This Row],[Last_Order_Date]])</f>
        <v>45654</v>
      </c>
      <c r="M417" s="43">
        <v>45444</v>
      </c>
      <c r="N417" s="3">
        <v>84</v>
      </c>
      <c r="O417" s="3">
        <v>69</v>
      </c>
      <c r="P417" s="3">
        <v>77</v>
      </c>
      <c r="Q417" s="4">
        <v>4.5</v>
      </c>
      <c r="R417" s="3">
        <v>39</v>
      </c>
      <c r="S417" s="3">
        <v>69</v>
      </c>
      <c r="T417" s="7">
        <v>-0.26</v>
      </c>
    </row>
    <row r="418" spans="1:20" x14ac:dyDescent="0.35">
      <c r="A418" s="5" t="s">
        <v>1202</v>
      </c>
      <c r="B418" s="3" t="s">
        <v>18</v>
      </c>
      <c r="C418" s="3" t="s">
        <v>1054</v>
      </c>
      <c r="D418" s="3" t="s">
        <v>1638</v>
      </c>
      <c r="E418" s="3" t="s">
        <v>56</v>
      </c>
      <c r="F418" s="3" t="s">
        <v>1639</v>
      </c>
      <c r="G418" s="3" t="s">
        <v>1640</v>
      </c>
      <c r="H418" s="43">
        <v>45679</v>
      </c>
      <c r="I418" s="43">
        <v>45669</v>
      </c>
      <c r="J418" s="47" t="str">
        <f>IF(GroDB3[[#This Row],[Last_Order_Date]]&lt;=GroDB3[[#This Row],[Date_Received]], "Yes", "No")</f>
        <v>Yes</v>
      </c>
      <c r="K418" s="43">
        <f>IF(GroDB3[[#This Row],[Column1]]="No",GroDB3[[#This Row],[Last_Order_Date]],GroDB3[[#This Row],[Date_Received]])</f>
        <v>45679</v>
      </c>
      <c r="L418" s="43">
        <f>IF(GroDB3[[#This Row],[Column1]]="No",GroDB3[[#This Row],[Date_Received]],GroDB3[[#This Row],[Last_Order_Date]])</f>
        <v>45669</v>
      </c>
      <c r="M418" s="43">
        <v>45438</v>
      </c>
      <c r="N418" s="3">
        <v>58</v>
      </c>
      <c r="O418" s="3">
        <v>12</v>
      </c>
      <c r="P418" s="3">
        <v>99</v>
      </c>
      <c r="Q418" s="4">
        <v>3</v>
      </c>
      <c r="R418" s="3">
        <v>71</v>
      </c>
      <c r="S418" s="3">
        <v>30</v>
      </c>
      <c r="T418" s="7">
        <v>-0.77</v>
      </c>
    </row>
    <row r="419" spans="1:20" x14ac:dyDescent="0.35">
      <c r="A419" s="5" t="s">
        <v>1081</v>
      </c>
      <c r="B419" s="3" t="s">
        <v>127</v>
      </c>
      <c r="C419" s="3" t="s">
        <v>608</v>
      </c>
      <c r="D419" s="3" t="s">
        <v>1641</v>
      </c>
      <c r="E419" s="3" t="s">
        <v>28</v>
      </c>
      <c r="F419" s="3" t="s">
        <v>1642</v>
      </c>
      <c r="G419" s="3" t="s">
        <v>1643</v>
      </c>
      <c r="H419" s="43">
        <v>45680</v>
      </c>
      <c r="I419" s="43">
        <v>45476</v>
      </c>
      <c r="J419" s="47" t="str">
        <f>IF(GroDB3[[#This Row],[Last_Order_Date]]&lt;=GroDB3[[#This Row],[Date_Received]], "Yes", "No")</f>
        <v>Yes</v>
      </c>
      <c r="K419" s="43">
        <f>IF(GroDB3[[#This Row],[Column1]]="No",GroDB3[[#This Row],[Last_Order_Date]],GroDB3[[#This Row],[Date_Received]])</f>
        <v>45680</v>
      </c>
      <c r="L419" s="43">
        <f>IF(GroDB3[[#This Row],[Column1]]="No",GroDB3[[#This Row],[Date_Received]],GroDB3[[#This Row],[Last_Order_Date]])</f>
        <v>45476</v>
      </c>
      <c r="M419" s="43">
        <v>45619</v>
      </c>
      <c r="N419" s="3">
        <v>34</v>
      </c>
      <c r="O419" s="3">
        <v>47</v>
      </c>
      <c r="P419" s="3">
        <v>99</v>
      </c>
      <c r="Q419" s="4">
        <v>8</v>
      </c>
      <c r="R419" s="3">
        <v>97</v>
      </c>
      <c r="S419" s="3">
        <v>47</v>
      </c>
      <c r="T419" s="7">
        <v>0.57999999999999996</v>
      </c>
    </row>
    <row r="420" spans="1:20" x14ac:dyDescent="0.35">
      <c r="A420" s="5" t="s">
        <v>446</v>
      </c>
      <c r="B420" s="3" t="s">
        <v>53</v>
      </c>
      <c r="C420" s="3" t="s">
        <v>588</v>
      </c>
      <c r="D420" s="3" t="s">
        <v>1644</v>
      </c>
      <c r="E420" s="3" t="s">
        <v>56</v>
      </c>
      <c r="F420" s="3" t="s">
        <v>1645</v>
      </c>
      <c r="G420" s="3" t="s">
        <v>1646</v>
      </c>
      <c r="H420" s="43">
        <v>45680</v>
      </c>
      <c r="I420" s="43">
        <v>45511</v>
      </c>
      <c r="J420" s="47" t="str">
        <f>IF(GroDB3[[#This Row],[Last_Order_Date]]&lt;=GroDB3[[#This Row],[Date_Received]], "Yes", "No")</f>
        <v>Yes</v>
      </c>
      <c r="K420" s="43">
        <f>IF(GroDB3[[#This Row],[Column1]]="No",GroDB3[[#This Row],[Last_Order_Date]],GroDB3[[#This Row],[Date_Received]])</f>
        <v>45680</v>
      </c>
      <c r="L420" s="43">
        <f>IF(GroDB3[[#This Row],[Column1]]="No",GroDB3[[#This Row],[Date_Received]],GroDB3[[#This Row],[Last_Order_Date]])</f>
        <v>45511</v>
      </c>
      <c r="M420" s="43">
        <v>45696</v>
      </c>
      <c r="N420" s="3">
        <v>54</v>
      </c>
      <c r="O420" s="3">
        <v>17</v>
      </c>
      <c r="P420" s="3">
        <v>90</v>
      </c>
      <c r="Q420" s="4">
        <v>9.5</v>
      </c>
      <c r="R420" s="3">
        <v>60</v>
      </c>
      <c r="S420" s="3">
        <v>20</v>
      </c>
      <c r="T420" s="7">
        <v>0.52</v>
      </c>
    </row>
    <row r="421" spans="1:20" x14ac:dyDescent="0.35">
      <c r="A421" s="5" t="s">
        <v>1016</v>
      </c>
      <c r="B421" s="3" t="s">
        <v>25</v>
      </c>
      <c r="C421" s="3" t="s">
        <v>818</v>
      </c>
      <c r="D421" s="3" t="s">
        <v>1647</v>
      </c>
      <c r="E421" s="3" t="s">
        <v>28</v>
      </c>
      <c r="F421" s="3" t="s">
        <v>1648</v>
      </c>
      <c r="G421" s="3" t="s">
        <v>1649</v>
      </c>
      <c r="H421" s="43">
        <v>45682</v>
      </c>
      <c r="I421" s="43">
        <v>45681</v>
      </c>
      <c r="J421" s="47" t="str">
        <f>IF(GroDB3[[#This Row],[Last_Order_Date]]&lt;=GroDB3[[#This Row],[Date_Received]], "Yes", "No")</f>
        <v>Yes</v>
      </c>
      <c r="K421" s="43">
        <f>IF(GroDB3[[#This Row],[Column1]]="No",GroDB3[[#This Row],[Last_Order_Date]],GroDB3[[#This Row],[Date_Received]])</f>
        <v>45682</v>
      </c>
      <c r="L421" s="43">
        <f>IF(GroDB3[[#This Row],[Column1]]="No",GroDB3[[#This Row],[Date_Received]],GroDB3[[#This Row],[Last_Order_Date]])</f>
        <v>45681</v>
      </c>
      <c r="M421" s="43">
        <v>45617</v>
      </c>
      <c r="N421" s="3">
        <v>17</v>
      </c>
      <c r="O421" s="3">
        <v>63</v>
      </c>
      <c r="P421" s="3">
        <v>66</v>
      </c>
      <c r="Q421" s="4">
        <v>2.5</v>
      </c>
      <c r="R421" s="3">
        <v>23</v>
      </c>
      <c r="S421" s="3">
        <v>46</v>
      </c>
      <c r="T421" s="7">
        <v>0.67</v>
      </c>
    </row>
    <row r="422" spans="1:20" x14ac:dyDescent="0.35">
      <c r="A422" s="5" t="s">
        <v>566</v>
      </c>
      <c r="B422" s="3" t="s">
        <v>127</v>
      </c>
      <c r="C422" s="3" t="s">
        <v>583</v>
      </c>
      <c r="D422" s="3" t="s">
        <v>1650</v>
      </c>
      <c r="E422" s="3" t="s">
        <v>28</v>
      </c>
      <c r="F422" s="3" t="s">
        <v>1651</v>
      </c>
      <c r="G422" s="3" t="s">
        <v>1652</v>
      </c>
      <c r="H422" s="43">
        <v>45683</v>
      </c>
      <c r="I422" s="43">
        <v>45630</v>
      </c>
      <c r="J422" s="47" t="str">
        <f>IF(GroDB3[[#This Row],[Last_Order_Date]]&lt;=GroDB3[[#This Row],[Date_Received]], "Yes", "No")</f>
        <v>Yes</v>
      </c>
      <c r="K422" s="43">
        <f>IF(GroDB3[[#This Row],[Column1]]="No",GroDB3[[#This Row],[Last_Order_Date]],GroDB3[[#This Row],[Date_Received]])</f>
        <v>45683</v>
      </c>
      <c r="L422" s="43">
        <f>IF(GroDB3[[#This Row],[Column1]]="No",GroDB3[[#This Row],[Date_Received]],GroDB3[[#This Row],[Last_Order_Date]])</f>
        <v>45630</v>
      </c>
      <c r="M422" s="43">
        <v>45495</v>
      </c>
      <c r="N422" s="3">
        <v>84</v>
      </c>
      <c r="O422" s="3">
        <v>13</v>
      </c>
      <c r="P422" s="3">
        <v>88</v>
      </c>
      <c r="Q422" s="4">
        <v>15</v>
      </c>
      <c r="R422" s="3">
        <v>25</v>
      </c>
      <c r="S422" s="3">
        <v>34</v>
      </c>
      <c r="T422" s="7">
        <v>-1</v>
      </c>
    </row>
    <row r="423" spans="1:20" x14ac:dyDescent="0.35">
      <c r="A423" s="5" t="s">
        <v>303</v>
      </c>
      <c r="B423" s="3" t="s">
        <v>60</v>
      </c>
      <c r="C423" s="3" t="s">
        <v>1303</v>
      </c>
      <c r="D423" s="3" t="s">
        <v>1653</v>
      </c>
      <c r="E423" s="3" t="s">
        <v>21</v>
      </c>
      <c r="F423" s="3" t="s">
        <v>1654</v>
      </c>
      <c r="G423" s="3" t="s">
        <v>1655</v>
      </c>
      <c r="H423" s="43">
        <v>45683</v>
      </c>
      <c r="I423" s="43">
        <v>45353</v>
      </c>
      <c r="J423" s="47" t="str">
        <f>IF(GroDB3[[#This Row],[Last_Order_Date]]&lt;=GroDB3[[#This Row],[Date_Received]], "Yes", "No")</f>
        <v>Yes</v>
      </c>
      <c r="K423" s="43">
        <f>IF(GroDB3[[#This Row],[Column1]]="No",GroDB3[[#This Row],[Last_Order_Date]],GroDB3[[#This Row],[Date_Received]])</f>
        <v>45683</v>
      </c>
      <c r="L423" s="43">
        <f>IF(GroDB3[[#This Row],[Column1]]="No",GroDB3[[#This Row],[Date_Received]],GroDB3[[#This Row],[Last_Order_Date]])</f>
        <v>45353</v>
      </c>
      <c r="M423" s="43">
        <v>45357</v>
      </c>
      <c r="N423" s="3">
        <v>73</v>
      </c>
      <c r="O423" s="3">
        <v>31</v>
      </c>
      <c r="P423" s="3">
        <v>49</v>
      </c>
      <c r="Q423" s="4">
        <v>6</v>
      </c>
      <c r="R423" s="3">
        <v>22</v>
      </c>
      <c r="S423" s="3">
        <v>47</v>
      </c>
      <c r="T423" s="7">
        <v>-0.36</v>
      </c>
    </row>
    <row r="424" spans="1:20" x14ac:dyDescent="0.35">
      <c r="A424" s="5" t="s">
        <v>31</v>
      </c>
      <c r="B424" s="3" t="s">
        <v>32</v>
      </c>
      <c r="C424" s="3" t="s">
        <v>203</v>
      </c>
      <c r="D424" s="3" t="s">
        <v>1656</v>
      </c>
      <c r="E424" s="3" t="s">
        <v>56</v>
      </c>
      <c r="F424" s="3" t="s">
        <v>1657</v>
      </c>
      <c r="G424" s="3" t="s">
        <v>1658</v>
      </c>
      <c r="H424" s="43">
        <v>45683</v>
      </c>
      <c r="I424" s="43">
        <v>45459</v>
      </c>
      <c r="J424" s="47" t="str">
        <f>IF(GroDB3[[#This Row],[Last_Order_Date]]&lt;=GroDB3[[#This Row],[Date_Received]], "Yes", "No")</f>
        <v>Yes</v>
      </c>
      <c r="K424" s="43">
        <f>IF(GroDB3[[#This Row],[Column1]]="No",GroDB3[[#This Row],[Last_Order_Date]],GroDB3[[#This Row],[Date_Received]])</f>
        <v>45683</v>
      </c>
      <c r="L424" s="43">
        <f>IF(GroDB3[[#This Row],[Column1]]="No",GroDB3[[#This Row],[Date_Received]],GroDB3[[#This Row],[Last_Order_Date]])</f>
        <v>45459</v>
      </c>
      <c r="M424" s="43">
        <v>45510</v>
      </c>
      <c r="N424" s="3">
        <v>96</v>
      </c>
      <c r="O424" s="3">
        <v>9</v>
      </c>
      <c r="P424" s="3">
        <v>57</v>
      </c>
      <c r="Q424" s="4">
        <v>11.8</v>
      </c>
      <c r="R424" s="3">
        <v>78</v>
      </c>
      <c r="S424" s="3">
        <v>67</v>
      </c>
      <c r="T424" s="7">
        <v>-1.1399999999999999</v>
      </c>
    </row>
    <row r="425" spans="1:20" x14ac:dyDescent="0.35">
      <c r="A425" s="5" t="s">
        <v>165</v>
      </c>
      <c r="B425" s="3" t="s">
        <v>60</v>
      </c>
      <c r="C425" s="3" t="s">
        <v>171</v>
      </c>
      <c r="D425" s="3" t="s">
        <v>1659</v>
      </c>
      <c r="E425" s="3" t="s">
        <v>56</v>
      </c>
      <c r="F425" s="3" t="s">
        <v>1660</v>
      </c>
      <c r="G425" s="3" t="s">
        <v>1661</v>
      </c>
      <c r="H425" s="43">
        <v>45683</v>
      </c>
      <c r="I425" s="43">
        <v>45649</v>
      </c>
      <c r="J425" s="47" t="str">
        <f>IF(GroDB3[[#This Row],[Last_Order_Date]]&lt;=GroDB3[[#This Row],[Date_Received]], "Yes", "No")</f>
        <v>Yes</v>
      </c>
      <c r="K425" s="43">
        <f>IF(GroDB3[[#This Row],[Column1]]="No",GroDB3[[#This Row],[Last_Order_Date]],GroDB3[[#This Row],[Date_Received]])</f>
        <v>45683</v>
      </c>
      <c r="L425" s="43">
        <f>IF(GroDB3[[#This Row],[Column1]]="No",GroDB3[[#This Row],[Date_Received]],GroDB3[[#This Row],[Last_Order_Date]])</f>
        <v>45649</v>
      </c>
      <c r="M425" s="43">
        <v>45502</v>
      </c>
      <c r="N425" s="3">
        <v>56</v>
      </c>
      <c r="O425" s="3">
        <v>59</v>
      </c>
      <c r="P425" s="3">
        <v>87</v>
      </c>
      <c r="Q425" s="4">
        <v>7</v>
      </c>
      <c r="R425" s="3">
        <v>65</v>
      </c>
      <c r="S425" s="3">
        <v>45</v>
      </c>
      <c r="T425" s="7">
        <v>0.14000000000000001</v>
      </c>
    </row>
    <row r="426" spans="1:20" x14ac:dyDescent="0.35">
      <c r="A426" s="5" t="s">
        <v>180</v>
      </c>
      <c r="B426" s="3" t="s">
        <v>18</v>
      </c>
      <c r="C426" s="3" t="s">
        <v>832</v>
      </c>
      <c r="D426" s="3" t="s">
        <v>1662</v>
      </c>
      <c r="E426" s="3" t="s">
        <v>56</v>
      </c>
      <c r="F426" s="3" t="s">
        <v>1663</v>
      </c>
      <c r="G426" s="3" t="s">
        <v>1664</v>
      </c>
      <c r="H426" s="43">
        <v>45683</v>
      </c>
      <c r="I426" s="43">
        <v>45568</v>
      </c>
      <c r="J426" s="47" t="str">
        <f>IF(GroDB3[[#This Row],[Last_Order_Date]]&lt;=GroDB3[[#This Row],[Date_Received]], "Yes", "No")</f>
        <v>Yes</v>
      </c>
      <c r="K426" s="43">
        <f>IF(GroDB3[[#This Row],[Column1]]="No",GroDB3[[#This Row],[Last_Order_Date]],GroDB3[[#This Row],[Date_Received]])</f>
        <v>45683</v>
      </c>
      <c r="L426" s="43">
        <f>IF(GroDB3[[#This Row],[Column1]]="No",GroDB3[[#This Row],[Date_Received]],GroDB3[[#This Row],[Last_Order_Date]])</f>
        <v>45568</v>
      </c>
      <c r="M426" s="43">
        <v>45413</v>
      </c>
      <c r="N426" s="3">
        <v>60</v>
      </c>
      <c r="O426" s="3">
        <v>63</v>
      </c>
      <c r="P426" s="3">
        <v>81</v>
      </c>
      <c r="Q426" s="4">
        <v>1.8</v>
      </c>
      <c r="R426" s="3">
        <v>74</v>
      </c>
      <c r="S426" s="3">
        <v>31</v>
      </c>
      <c r="T426" s="7">
        <v>0.31</v>
      </c>
    </row>
    <row r="427" spans="1:20" x14ac:dyDescent="0.35">
      <c r="A427" s="5" t="s">
        <v>151</v>
      </c>
      <c r="B427" s="3" t="s">
        <v>91</v>
      </c>
      <c r="C427" s="3" t="s">
        <v>532</v>
      </c>
      <c r="D427" s="3" t="s">
        <v>1665</v>
      </c>
      <c r="E427" s="3" t="s">
        <v>56</v>
      </c>
      <c r="F427" s="3" t="s">
        <v>1666</v>
      </c>
      <c r="G427" s="3" t="s">
        <v>1667</v>
      </c>
      <c r="H427" s="43">
        <v>45685</v>
      </c>
      <c r="I427" s="43">
        <v>45624</v>
      </c>
      <c r="J427" s="47" t="str">
        <f>IF(GroDB3[[#This Row],[Last_Order_Date]]&lt;=GroDB3[[#This Row],[Date_Received]], "Yes", "No")</f>
        <v>Yes</v>
      </c>
      <c r="K427" s="43">
        <f>IF(GroDB3[[#This Row],[Column1]]="No",GroDB3[[#This Row],[Last_Order_Date]],GroDB3[[#This Row],[Date_Received]])</f>
        <v>45685</v>
      </c>
      <c r="L427" s="43">
        <f>IF(GroDB3[[#This Row],[Column1]]="No",GroDB3[[#This Row],[Date_Received]],GroDB3[[#This Row],[Last_Order_Date]])</f>
        <v>45624</v>
      </c>
      <c r="M427" s="43">
        <v>45608</v>
      </c>
      <c r="N427" s="3">
        <v>41</v>
      </c>
      <c r="O427" s="3">
        <v>84</v>
      </c>
      <c r="P427" s="3">
        <v>90</v>
      </c>
      <c r="Q427" s="4">
        <v>4</v>
      </c>
      <c r="R427" s="3">
        <v>42</v>
      </c>
      <c r="S427" s="3">
        <v>65</v>
      </c>
      <c r="T427" s="7">
        <v>0.57999999999999996</v>
      </c>
    </row>
    <row r="428" spans="1:20" x14ac:dyDescent="0.35">
      <c r="A428" s="5" t="s">
        <v>1516</v>
      </c>
      <c r="B428" s="3" t="s">
        <v>32</v>
      </c>
      <c r="C428" s="3" t="s">
        <v>176</v>
      </c>
      <c r="D428" s="3" t="s">
        <v>1668</v>
      </c>
      <c r="E428" s="3" t="s">
        <v>21</v>
      </c>
      <c r="F428" s="3" t="s">
        <v>1669</v>
      </c>
      <c r="G428" s="3" t="s">
        <v>1670</v>
      </c>
      <c r="H428" s="43">
        <v>45685</v>
      </c>
      <c r="I428" s="43">
        <v>45616</v>
      </c>
      <c r="J428" s="47" t="str">
        <f>IF(GroDB3[[#This Row],[Last_Order_Date]]&lt;=GroDB3[[#This Row],[Date_Received]], "Yes", "No")</f>
        <v>Yes</v>
      </c>
      <c r="K428" s="43">
        <f>IF(GroDB3[[#This Row],[Column1]]="No",GroDB3[[#This Row],[Last_Order_Date]],GroDB3[[#This Row],[Date_Received]])</f>
        <v>45685</v>
      </c>
      <c r="L428" s="43">
        <f>IF(GroDB3[[#This Row],[Column1]]="No",GroDB3[[#This Row],[Date_Received]],GroDB3[[#This Row],[Last_Order_Date]])</f>
        <v>45616</v>
      </c>
      <c r="M428" s="43">
        <v>45697</v>
      </c>
      <c r="N428" s="3">
        <v>45</v>
      </c>
      <c r="O428" s="3">
        <v>63</v>
      </c>
      <c r="P428" s="3">
        <v>75</v>
      </c>
      <c r="Q428" s="4">
        <v>7</v>
      </c>
      <c r="R428" s="3">
        <v>83</v>
      </c>
      <c r="S428" s="3">
        <v>5</v>
      </c>
      <c r="T428" s="7">
        <v>-0.55000000000000004</v>
      </c>
    </row>
    <row r="429" spans="1:20" x14ac:dyDescent="0.35">
      <c r="A429" s="5" t="s">
        <v>587</v>
      </c>
      <c r="B429" s="3" t="s">
        <v>127</v>
      </c>
      <c r="C429" s="3" t="s">
        <v>1671</v>
      </c>
      <c r="D429" s="3" t="s">
        <v>1672</v>
      </c>
      <c r="E429" s="3" t="s">
        <v>28</v>
      </c>
      <c r="F429" s="3" t="s">
        <v>1673</v>
      </c>
      <c r="G429" s="3" t="s">
        <v>1674</v>
      </c>
      <c r="H429" s="43">
        <v>45685</v>
      </c>
      <c r="I429" s="43">
        <v>45570</v>
      </c>
      <c r="J429" s="47" t="str">
        <f>IF(GroDB3[[#This Row],[Last_Order_Date]]&lt;=GroDB3[[#This Row],[Date_Received]], "Yes", "No")</f>
        <v>Yes</v>
      </c>
      <c r="K429" s="43">
        <f>IF(GroDB3[[#This Row],[Column1]]="No",GroDB3[[#This Row],[Last_Order_Date]],GroDB3[[#This Row],[Date_Received]])</f>
        <v>45685</v>
      </c>
      <c r="L429" s="43">
        <f>IF(GroDB3[[#This Row],[Column1]]="No",GroDB3[[#This Row],[Date_Received]],GroDB3[[#This Row],[Last_Order_Date]])</f>
        <v>45570</v>
      </c>
      <c r="M429" s="43">
        <v>45633</v>
      </c>
      <c r="N429" s="3">
        <v>48</v>
      </c>
      <c r="O429" s="3">
        <v>77</v>
      </c>
      <c r="P429" s="3">
        <v>81</v>
      </c>
      <c r="Q429" s="4">
        <v>31</v>
      </c>
      <c r="R429" s="3">
        <v>70</v>
      </c>
      <c r="S429" s="3">
        <v>74</v>
      </c>
      <c r="T429" s="7">
        <v>0.94</v>
      </c>
    </row>
    <row r="430" spans="1:20" x14ac:dyDescent="0.35">
      <c r="A430" s="5" t="s">
        <v>75</v>
      </c>
      <c r="B430" s="3" t="s">
        <v>32</v>
      </c>
      <c r="C430" s="3" t="s">
        <v>1675</v>
      </c>
      <c r="D430" s="3" t="s">
        <v>1676</v>
      </c>
      <c r="E430" s="3" t="s">
        <v>28</v>
      </c>
      <c r="F430" s="3" t="s">
        <v>1677</v>
      </c>
      <c r="G430" s="3" t="s">
        <v>1678</v>
      </c>
      <c r="H430" s="43">
        <v>45685</v>
      </c>
      <c r="I430" s="43">
        <v>45350</v>
      </c>
      <c r="J430" s="47" t="str">
        <f>IF(GroDB3[[#This Row],[Last_Order_Date]]&lt;=GroDB3[[#This Row],[Date_Received]], "Yes", "No")</f>
        <v>Yes</v>
      </c>
      <c r="K430" s="43">
        <f>IF(GroDB3[[#This Row],[Column1]]="No",GroDB3[[#This Row],[Last_Order_Date]],GroDB3[[#This Row],[Date_Received]])</f>
        <v>45685</v>
      </c>
      <c r="L430" s="43">
        <f>IF(GroDB3[[#This Row],[Column1]]="No",GroDB3[[#This Row],[Date_Received]],GroDB3[[#This Row],[Last_Order_Date]])</f>
        <v>45350</v>
      </c>
      <c r="M430" s="43">
        <v>45347</v>
      </c>
      <c r="N430" s="3">
        <v>21</v>
      </c>
      <c r="O430" s="3">
        <v>28</v>
      </c>
      <c r="P430" s="3">
        <v>72</v>
      </c>
      <c r="Q430" s="4">
        <v>9</v>
      </c>
      <c r="R430" s="3">
        <v>69</v>
      </c>
      <c r="S430" s="3">
        <v>51</v>
      </c>
      <c r="T430" s="7">
        <v>-0.06</v>
      </c>
    </row>
    <row r="431" spans="1:20" x14ac:dyDescent="0.35">
      <c r="A431" s="5" t="s">
        <v>47</v>
      </c>
      <c r="B431" s="3" t="s">
        <v>18</v>
      </c>
      <c r="C431" s="3" t="s">
        <v>1394</v>
      </c>
      <c r="D431" s="3" t="s">
        <v>1679</v>
      </c>
      <c r="E431" s="3" t="s">
        <v>28</v>
      </c>
      <c r="F431" s="3" t="s">
        <v>1680</v>
      </c>
      <c r="G431" s="3" t="s">
        <v>1681</v>
      </c>
      <c r="H431" s="43">
        <v>45685</v>
      </c>
      <c r="I431" s="43">
        <v>45616</v>
      </c>
      <c r="J431" s="47" t="str">
        <f>IF(GroDB3[[#This Row],[Last_Order_Date]]&lt;=GroDB3[[#This Row],[Date_Received]], "Yes", "No")</f>
        <v>Yes</v>
      </c>
      <c r="K431" s="43">
        <f>IF(GroDB3[[#This Row],[Column1]]="No",GroDB3[[#This Row],[Last_Order_Date]],GroDB3[[#This Row],[Date_Received]])</f>
        <v>45685</v>
      </c>
      <c r="L431" s="43">
        <f>IF(GroDB3[[#This Row],[Column1]]="No",GroDB3[[#This Row],[Date_Received]],GroDB3[[#This Row],[Last_Order_Date]])</f>
        <v>45616</v>
      </c>
      <c r="M431" s="43">
        <v>45502</v>
      </c>
      <c r="N431" s="3">
        <v>65</v>
      </c>
      <c r="O431" s="3">
        <v>88</v>
      </c>
      <c r="P431" s="3">
        <v>20</v>
      </c>
      <c r="Q431" s="4">
        <v>2.5</v>
      </c>
      <c r="R431" s="3">
        <v>89</v>
      </c>
      <c r="S431" s="3">
        <v>37</v>
      </c>
      <c r="T431" s="7">
        <v>0.26</v>
      </c>
    </row>
    <row r="432" spans="1:20" x14ac:dyDescent="0.35">
      <c r="A432" s="5" t="s">
        <v>239</v>
      </c>
      <c r="B432" s="3" t="s">
        <v>25</v>
      </c>
      <c r="C432" s="3" t="s">
        <v>161</v>
      </c>
      <c r="D432" s="3" t="s">
        <v>1682</v>
      </c>
      <c r="E432" s="3" t="s">
        <v>56</v>
      </c>
      <c r="F432" s="3" t="s">
        <v>1683</v>
      </c>
      <c r="G432" s="3" t="s">
        <v>1684</v>
      </c>
      <c r="H432" s="43">
        <v>45685</v>
      </c>
      <c r="I432" s="43">
        <v>45695</v>
      </c>
      <c r="J432" s="47" t="str">
        <f>IF(GroDB3[[#This Row],[Last_Order_Date]]&lt;=GroDB3[[#This Row],[Date_Received]], "Yes", "No")</f>
        <v>No</v>
      </c>
      <c r="K432" s="43">
        <f>IF(GroDB3[[#This Row],[Column1]]="No",GroDB3[[#This Row],[Last_Order_Date]],GroDB3[[#This Row],[Date_Received]])</f>
        <v>45695</v>
      </c>
      <c r="L432" s="43">
        <f>IF(GroDB3[[#This Row],[Column1]]="No",GroDB3[[#This Row],[Date_Received]],GroDB3[[#This Row],[Last_Order_Date]])</f>
        <v>45685</v>
      </c>
      <c r="M432" s="43">
        <v>45638</v>
      </c>
      <c r="N432" s="3">
        <v>14</v>
      </c>
      <c r="O432" s="3">
        <v>84</v>
      </c>
      <c r="P432" s="3">
        <v>15</v>
      </c>
      <c r="Q432" s="4">
        <v>6.5</v>
      </c>
      <c r="R432" s="3">
        <v>51</v>
      </c>
      <c r="S432" s="3">
        <v>73</v>
      </c>
      <c r="T432" s="7">
        <v>0.57999999999999996</v>
      </c>
    </row>
    <row r="433" spans="1:20" x14ac:dyDescent="0.35">
      <c r="A433" s="5" t="s">
        <v>325</v>
      </c>
      <c r="B433" s="3" t="s">
        <v>53</v>
      </c>
      <c r="C433" s="3" t="s">
        <v>778</v>
      </c>
      <c r="D433" s="3" t="s">
        <v>1685</v>
      </c>
      <c r="E433" s="3" t="s">
        <v>21</v>
      </c>
      <c r="F433" s="3" t="s">
        <v>1686</v>
      </c>
      <c r="G433" s="3" t="s">
        <v>1687</v>
      </c>
      <c r="H433" s="43">
        <v>45686</v>
      </c>
      <c r="I433" s="43">
        <v>45431</v>
      </c>
      <c r="J433" s="47" t="str">
        <f>IF(GroDB3[[#This Row],[Last_Order_Date]]&lt;=GroDB3[[#This Row],[Date_Received]], "Yes", "No")</f>
        <v>Yes</v>
      </c>
      <c r="K433" s="43">
        <f>IF(GroDB3[[#This Row],[Column1]]="No",GroDB3[[#This Row],[Last_Order_Date]],GroDB3[[#This Row],[Date_Received]])</f>
        <v>45686</v>
      </c>
      <c r="L433" s="43">
        <f>IF(GroDB3[[#This Row],[Column1]]="No",GroDB3[[#This Row],[Date_Received]],GroDB3[[#This Row],[Last_Order_Date]])</f>
        <v>45431</v>
      </c>
      <c r="M433" s="43">
        <v>45400</v>
      </c>
      <c r="N433" s="3">
        <v>47</v>
      </c>
      <c r="O433" s="3">
        <v>1</v>
      </c>
      <c r="P433" s="3">
        <v>60</v>
      </c>
      <c r="Q433" s="4">
        <v>4.2</v>
      </c>
      <c r="R433" s="3">
        <v>32</v>
      </c>
      <c r="S433" s="3">
        <v>87</v>
      </c>
      <c r="T433" s="7">
        <v>-0.43</v>
      </c>
    </row>
    <row r="434" spans="1:20" x14ac:dyDescent="0.35">
      <c r="A434" s="5" t="s">
        <v>812</v>
      </c>
      <c r="B434" s="3" t="s">
        <v>18</v>
      </c>
      <c r="C434" s="3" t="s">
        <v>755</v>
      </c>
      <c r="D434" s="3" t="s">
        <v>1688</v>
      </c>
      <c r="E434" s="3" t="s">
        <v>28</v>
      </c>
      <c r="F434" s="3" t="s">
        <v>1689</v>
      </c>
      <c r="G434" s="3" t="s">
        <v>1690</v>
      </c>
      <c r="H434" s="43">
        <v>45686</v>
      </c>
      <c r="I434" s="43">
        <v>45613</v>
      </c>
      <c r="J434" s="47" t="str">
        <f>IF(GroDB3[[#This Row],[Last_Order_Date]]&lt;=GroDB3[[#This Row],[Date_Received]], "Yes", "No")</f>
        <v>Yes</v>
      </c>
      <c r="K434" s="43">
        <f>IF(GroDB3[[#This Row],[Column1]]="No",GroDB3[[#This Row],[Last_Order_Date]],GroDB3[[#This Row],[Date_Received]])</f>
        <v>45686</v>
      </c>
      <c r="L434" s="43">
        <f>IF(GroDB3[[#This Row],[Column1]]="No",GroDB3[[#This Row],[Date_Received]],GroDB3[[#This Row],[Last_Order_Date]])</f>
        <v>45613</v>
      </c>
      <c r="M434" s="43">
        <v>45659</v>
      </c>
      <c r="N434" s="3">
        <v>71</v>
      </c>
      <c r="O434" s="3">
        <v>36</v>
      </c>
      <c r="P434" s="3">
        <v>45</v>
      </c>
      <c r="Q434" s="4">
        <v>3.5</v>
      </c>
      <c r="R434" s="3">
        <v>87</v>
      </c>
      <c r="S434" s="3">
        <v>2</v>
      </c>
      <c r="T434" s="7">
        <v>-1.72</v>
      </c>
    </row>
    <row r="435" spans="1:20" x14ac:dyDescent="0.35">
      <c r="A435" s="5" t="s">
        <v>258</v>
      </c>
      <c r="B435" s="3" t="s">
        <v>25</v>
      </c>
      <c r="C435" s="3" t="s">
        <v>107</v>
      </c>
      <c r="D435" s="3" t="s">
        <v>1691</v>
      </c>
      <c r="E435" s="3" t="s">
        <v>28</v>
      </c>
      <c r="F435" s="3" t="s">
        <v>1692</v>
      </c>
      <c r="G435" s="3" t="s">
        <v>1693</v>
      </c>
      <c r="H435" s="43">
        <v>45687</v>
      </c>
      <c r="I435" s="43">
        <v>45576</v>
      </c>
      <c r="J435" s="47" t="str">
        <f>IF(GroDB3[[#This Row],[Last_Order_Date]]&lt;=GroDB3[[#This Row],[Date_Received]], "Yes", "No")</f>
        <v>Yes</v>
      </c>
      <c r="K435" s="43">
        <f>IF(GroDB3[[#This Row],[Column1]]="No",GroDB3[[#This Row],[Last_Order_Date]],GroDB3[[#This Row],[Date_Received]])</f>
        <v>45687</v>
      </c>
      <c r="L435" s="43">
        <f>IF(GroDB3[[#This Row],[Column1]]="No",GroDB3[[#This Row],[Date_Received]],GroDB3[[#This Row],[Last_Order_Date]])</f>
        <v>45576</v>
      </c>
      <c r="M435" s="43">
        <v>45612</v>
      </c>
      <c r="N435" s="3">
        <v>64</v>
      </c>
      <c r="O435" s="3">
        <v>21</v>
      </c>
      <c r="P435" s="3">
        <v>13</v>
      </c>
      <c r="Q435" s="4">
        <v>4</v>
      </c>
      <c r="R435" s="3">
        <v>51</v>
      </c>
      <c r="S435" s="3">
        <v>26</v>
      </c>
      <c r="T435" s="7">
        <v>0.98</v>
      </c>
    </row>
    <row r="436" spans="1:20" x14ac:dyDescent="0.35">
      <c r="A436" s="5" t="s">
        <v>248</v>
      </c>
      <c r="B436" s="3" t="s">
        <v>32</v>
      </c>
      <c r="C436" s="3" t="s">
        <v>466</v>
      </c>
      <c r="D436" s="3" t="s">
        <v>1694</v>
      </c>
      <c r="E436" s="3" t="s">
        <v>21</v>
      </c>
      <c r="F436" s="3" t="s">
        <v>1695</v>
      </c>
      <c r="G436" s="3" t="s">
        <v>1696</v>
      </c>
      <c r="H436" s="43">
        <v>45687</v>
      </c>
      <c r="I436" s="43">
        <v>45500</v>
      </c>
      <c r="J436" s="47" t="str">
        <f>IF(GroDB3[[#This Row],[Last_Order_Date]]&lt;=GroDB3[[#This Row],[Date_Received]], "Yes", "No")</f>
        <v>Yes</v>
      </c>
      <c r="K436" s="43">
        <f>IF(GroDB3[[#This Row],[Column1]]="No",GroDB3[[#This Row],[Last_Order_Date]],GroDB3[[#This Row],[Date_Received]])</f>
        <v>45687</v>
      </c>
      <c r="L436" s="43">
        <f>IF(GroDB3[[#This Row],[Column1]]="No",GroDB3[[#This Row],[Date_Received]],GroDB3[[#This Row],[Last_Order_Date]])</f>
        <v>45500</v>
      </c>
      <c r="M436" s="43">
        <v>45367</v>
      </c>
      <c r="N436" s="3">
        <v>74</v>
      </c>
      <c r="O436" s="3">
        <v>65</v>
      </c>
      <c r="P436" s="3">
        <v>5</v>
      </c>
      <c r="Q436" s="4">
        <v>7</v>
      </c>
      <c r="R436" s="3">
        <v>21</v>
      </c>
      <c r="S436" s="3">
        <v>42</v>
      </c>
      <c r="T436" s="7">
        <v>0.49</v>
      </c>
    </row>
    <row r="437" spans="1:20" x14ac:dyDescent="0.35">
      <c r="A437" s="5" t="s">
        <v>111</v>
      </c>
      <c r="B437" s="3" t="s">
        <v>32</v>
      </c>
      <c r="C437" s="3" t="s">
        <v>1697</v>
      </c>
      <c r="D437" s="3" t="s">
        <v>1698</v>
      </c>
      <c r="E437" s="3" t="s">
        <v>21</v>
      </c>
      <c r="F437" s="3" t="s">
        <v>1699</v>
      </c>
      <c r="G437" s="3" t="s">
        <v>1700</v>
      </c>
      <c r="H437" s="43">
        <v>45688</v>
      </c>
      <c r="I437" s="43">
        <v>45473</v>
      </c>
      <c r="J437" s="47" t="str">
        <f>IF(GroDB3[[#This Row],[Last_Order_Date]]&lt;=GroDB3[[#This Row],[Date_Received]], "Yes", "No")</f>
        <v>Yes</v>
      </c>
      <c r="K437" s="43">
        <f>IF(GroDB3[[#This Row],[Column1]]="No",GroDB3[[#This Row],[Last_Order_Date]],GroDB3[[#This Row],[Date_Received]])</f>
        <v>45688</v>
      </c>
      <c r="L437" s="43">
        <f>IF(GroDB3[[#This Row],[Column1]]="No",GroDB3[[#This Row],[Date_Received]],GroDB3[[#This Row],[Last_Order_Date]])</f>
        <v>45473</v>
      </c>
      <c r="M437" s="43">
        <v>45559</v>
      </c>
      <c r="N437" s="3">
        <v>51</v>
      </c>
      <c r="O437" s="3">
        <v>53</v>
      </c>
      <c r="P437" s="3">
        <v>88</v>
      </c>
      <c r="Q437" s="4">
        <v>6</v>
      </c>
      <c r="R437" s="3">
        <v>54</v>
      </c>
      <c r="S437" s="3">
        <v>59</v>
      </c>
      <c r="T437" s="7">
        <v>-1</v>
      </c>
    </row>
    <row r="438" spans="1:20" x14ac:dyDescent="0.35">
      <c r="A438" s="5" t="s">
        <v>253</v>
      </c>
      <c r="B438" s="3" t="s">
        <v>18</v>
      </c>
      <c r="C438" s="3" t="s">
        <v>1475</v>
      </c>
      <c r="D438" s="3" t="s">
        <v>1701</v>
      </c>
      <c r="E438" s="3" t="s">
        <v>21</v>
      </c>
      <c r="F438" s="3" t="s">
        <v>1702</v>
      </c>
      <c r="G438" s="3" t="s">
        <v>1703</v>
      </c>
      <c r="H438" s="43">
        <v>45688</v>
      </c>
      <c r="I438" s="43">
        <v>45573</v>
      </c>
      <c r="J438" s="47" t="str">
        <f>IF(GroDB3[[#This Row],[Last_Order_Date]]&lt;=GroDB3[[#This Row],[Date_Received]], "Yes", "No")</f>
        <v>Yes</v>
      </c>
      <c r="K438" s="43">
        <f>IF(GroDB3[[#This Row],[Column1]]="No",GroDB3[[#This Row],[Last_Order_Date]],GroDB3[[#This Row],[Date_Received]])</f>
        <v>45688</v>
      </c>
      <c r="L438" s="43">
        <f>IF(GroDB3[[#This Row],[Column1]]="No",GroDB3[[#This Row],[Date_Received]],GroDB3[[#This Row],[Last_Order_Date]])</f>
        <v>45573</v>
      </c>
      <c r="M438" s="43">
        <v>45419</v>
      </c>
      <c r="N438" s="3">
        <v>89</v>
      </c>
      <c r="O438" s="3">
        <v>35</v>
      </c>
      <c r="P438" s="3">
        <v>19</v>
      </c>
      <c r="Q438" s="4">
        <v>5</v>
      </c>
      <c r="R438" s="3">
        <v>49</v>
      </c>
      <c r="S438" s="3">
        <v>55</v>
      </c>
      <c r="T438" s="7">
        <v>-0.09</v>
      </c>
    </row>
    <row r="439" spans="1:20" x14ac:dyDescent="0.35">
      <c r="A439" s="5" t="s">
        <v>615</v>
      </c>
      <c r="B439" s="3" t="s">
        <v>32</v>
      </c>
      <c r="C439" s="3" t="s">
        <v>1704</v>
      </c>
      <c r="D439" s="3" t="s">
        <v>1705</v>
      </c>
      <c r="E439" s="3" t="s">
        <v>21</v>
      </c>
      <c r="F439" s="3" t="s">
        <v>1706</v>
      </c>
      <c r="G439" s="3" t="s">
        <v>1707</v>
      </c>
      <c r="H439" s="43">
        <v>45578</v>
      </c>
      <c r="I439" s="43">
        <v>45630</v>
      </c>
      <c r="J439" s="47" t="str">
        <f>IF(GroDB3[[#This Row],[Last_Order_Date]]&lt;=GroDB3[[#This Row],[Date_Received]], "Yes", "No")</f>
        <v>No</v>
      </c>
      <c r="K439" s="43">
        <f>IF(GroDB3[[#This Row],[Column1]]="No",GroDB3[[#This Row],[Last_Order_Date]],GroDB3[[#This Row],[Date_Received]])</f>
        <v>45630</v>
      </c>
      <c r="L439" s="43">
        <f>IF(GroDB3[[#This Row],[Column1]]="No",GroDB3[[#This Row],[Date_Received]],GroDB3[[#This Row],[Last_Order_Date]])</f>
        <v>45578</v>
      </c>
      <c r="M439" s="43">
        <v>45453</v>
      </c>
      <c r="N439" s="3">
        <v>11</v>
      </c>
      <c r="O439" s="3">
        <v>9</v>
      </c>
      <c r="P439" s="3">
        <v>65</v>
      </c>
      <c r="Q439" s="4">
        <v>2</v>
      </c>
      <c r="R439" s="3">
        <v>48</v>
      </c>
      <c r="S439" s="3">
        <v>96</v>
      </c>
      <c r="T439" s="7">
        <v>-0.12</v>
      </c>
    </row>
    <row r="440" spans="1:20" x14ac:dyDescent="0.35">
      <c r="A440" s="5" t="s">
        <v>674</v>
      </c>
      <c r="B440" s="3" t="s">
        <v>60</v>
      </c>
      <c r="C440" s="3" t="s">
        <v>1708</v>
      </c>
      <c r="D440" s="3" t="s">
        <v>1709</v>
      </c>
      <c r="E440" s="3" t="s">
        <v>56</v>
      </c>
      <c r="F440" s="3" t="s">
        <v>1710</v>
      </c>
      <c r="G440" s="3" t="s">
        <v>1711</v>
      </c>
      <c r="H440" s="43">
        <v>45578</v>
      </c>
      <c r="I440" s="43">
        <v>45350</v>
      </c>
      <c r="J440" s="47" t="str">
        <f>IF(GroDB3[[#This Row],[Last_Order_Date]]&lt;=GroDB3[[#This Row],[Date_Received]], "Yes", "No")</f>
        <v>Yes</v>
      </c>
      <c r="K440" s="43">
        <f>IF(GroDB3[[#This Row],[Column1]]="No",GroDB3[[#This Row],[Last_Order_Date]],GroDB3[[#This Row],[Date_Received]])</f>
        <v>45578</v>
      </c>
      <c r="L440" s="43">
        <f>IF(GroDB3[[#This Row],[Column1]]="No",GroDB3[[#This Row],[Date_Received]],GroDB3[[#This Row],[Last_Order_Date]])</f>
        <v>45350</v>
      </c>
      <c r="M440" s="43">
        <v>45531</v>
      </c>
      <c r="N440" s="3">
        <v>98</v>
      </c>
      <c r="O440" s="3">
        <v>100</v>
      </c>
      <c r="P440" s="3">
        <v>34</v>
      </c>
      <c r="Q440" s="4">
        <v>9</v>
      </c>
      <c r="R440" s="3">
        <v>53</v>
      </c>
      <c r="S440" s="3">
        <v>20</v>
      </c>
      <c r="T440" s="7">
        <v>-1</v>
      </c>
    </row>
    <row r="441" spans="1:20" x14ac:dyDescent="0.35">
      <c r="A441" s="5" t="s">
        <v>544</v>
      </c>
      <c r="B441" s="3" t="s">
        <v>91</v>
      </c>
      <c r="C441" s="3" t="s">
        <v>1712</v>
      </c>
      <c r="D441" s="3" t="s">
        <v>1713</v>
      </c>
      <c r="E441" s="3" t="s">
        <v>56</v>
      </c>
      <c r="F441" s="3" t="s">
        <v>1714</v>
      </c>
      <c r="G441" s="3" t="s">
        <v>1715</v>
      </c>
      <c r="H441" s="43">
        <v>45579</v>
      </c>
      <c r="I441" s="43">
        <v>45399</v>
      </c>
      <c r="J441" s="47" t="str">
        <f>IF(GroDB3[[#This Row],[Last_Order_Date]]&lt;=GroDB3[[#This Row],[Date_Received]], "Yes", "No")</f>
        <v>Yes</v>
      </c>
      <c r="K441" s="43">
        <f>IF(GroDB3[[#This Row],[Column1]]="No",GroDB3[[#This Row],[Last_Order_Date]],GroDB3[[#This Row],[Date_Received]])</f>
        <v>45579</v>
      </c>
      <c r="L441" s="43">
        <f>IF(GroDB3[[#This Row],[Column1]]="No",GroDB3[[#This Row],[Date_Received]],GroDB3[[#This Row],[Last_Order_Date]])</f>
        <v>45399</v>
      </c>
      <c r="M441" s="43">
        <v>45441</v>
      </c>
      <c r="N441" s="3">
        <v>50</v>
      </c>
      <c r="O441" s="3">
        <v>58</v>
      </c>
      <c r="P441" s="3">
        <v>78</v>
      </c>
      <c r="Q441" s="4">
        <v>3</v>
      </c>
      <c r="R441" s="3">
        <v>83</v>
      </c>
      <c r="S441" s="3">
        <v>49</v>
      </c>
      <c r="T441" s="7">
        <v>0.62</v>
      </c>
    </row>
    <row r="442" spans="1:20" x14ac:dyDescent="0.35">
      <c r="A442" s="5" t="s">
        <v>1081</v>
      </c>
      <c r="B442" s="3" t="s">
        <v>127</v>
      </c>
      <c r="C442" s="3" t="s">
        <v>962</v>
      </c>
      <c r="D442" s="3" t="s">
        <v>1716</v>
      </c>
      <c r="E442" s="3" t="s">
        <v>56</v>
      </c>
      <c r="F442" s="3" t="s">
        <v>1717</v>
      </c>
      <c r="G442" s="3" t="s">
        <v>1718</v>
      </c>
      <c r="H442" s="43">
        <v>45579</v>
      </c>
      <c r="I442" s="43">
        <v>45688</v>
      </c>
      <c r="J442" s="47" t="str">
        <f>IF(GroDB3[[#This Row],[Last_Order_Date]]&lt;=GroDB3[[#This Row],[Date_Received]], "Yes", "No")</f>
        <v>No</v>
      </c>
      <c r="K442" s="43">
        <f>IF(GroDB3[[#This Row],[Column1]]="No",GroDB3[[#This Row],[Last_Order_Date]],GroDB3[[#This Row],[Date_Received]])</f>
        <v>45688</v>
      </c>
      <c r="L442" s="43">
        <f>IF(GroDB3[[#This Row],[Column1]]="No",GroDB3[[#This Row],[Date_Received]],GroDB3[[#This Row],[Last_Order_Date]])</f>
        <v>45579</v>
      </c>
      <c r="M442" s="43">
        <v>45616</v>
      </c>
      <c r="N442" s="3">
        <v>24</v>
      </c>
      <c r="O442" s="3">
        <v>27</v>
      </c>
      <c r="P442" s="3">
        <v>35</v>
      </c>
      <c r="Q442" s="4">
        <v>8</v>
      </c>
      <c r="R442" s="3">
        <v>49</v>
      </c>
      <c r="S442" s="3">
        <v>58</v>
      </c>
      <c r="T442" s="7">
        <v>0.41</v>
      </c>
    </row>
    <row r="443" spans="1:20" x14ac:dyDescent="0.35">
      <c r="A443" s="5" t="s">
        <v>627</v>
      </c>
      <c r="B443" s="3" t="s">
        <v>53</v>
      </c>
      <c r="C443" s="3" t="s">
        <v>1719</v>
      </c>
      <c r="D443" s="3" t="s">
        <v>1720</v>
      </c>
      <c r="E443" s="3" t="s">
        <v>56</v>
      </c>
      <c r="F443" s="3" t="s">
        <v>1721</v>
      </c>
      <c r="G443" s="3" t="s">
        <v>1722</v>
      </c>
      <c r="H443" s="43">
        <v>45579</v>
      </c>
      <c r="I443" s="43">
        <v>45448</v>
      </c>
      <c r="J443" s="47" t="str">
        <f>IF(GroDB3[[#This Row],[Last_Order_Date]]&lt;=GroDB3[[#This Row],[Date_Received]], "Yes", "No")</f>
        <v>Yes</v>
      </c>
      <c r="K443" s="43">
        <f>IF(GroDB3[[#This Row],[Column1]]="No",GroDB3[[#This Row],[Last_Order_Date]],GroDB3[[#This Row],[Date_Received]])</f>
        <v>45579</v>
      </c>
      <c r="L443" s="43">
        <f>IF(GroDB3[[#This Row],[Column1]]="No",GroDB3[[#This Row],[Date_Received]],GroDB3[[#This Row],[Last_Order_Date]])</f>
        <v>45448</v>
      </c>
      <c r="M443" s="43">
        <v>45592</v>
      </c>
      <c r="N443" s="3">
        <v>64</v>
      </c>
      <c r="O443" s="3">
        <v>10</v>
      </c>
      <c r="P443" s="3">
        <v>100</v>
      </c>
      <c r="Q443" s="4">
        <v>2.5</v>
      </c>
      <c r="R443" s="3">
        <v>97</v>
      </c>
      <c r="S443" s="3">
        <v>52</v>
      </c>
      <c r="T443" s="7">
        <v>-0.18</v>
      </c>
    </row>
    <row r="444" spans="1:20" x14ac:dyDescent="0.35">
      <c r="A444" s="5" t="s">
        <v>490</v>
      </c>
      <c r="B444" s="3" t="s">
        <v>18</v>
      </c>
      <c r="C444" s="3" t="s">
        <v>1526</v>
      </c>
      <c r="D444" s="3" t="s">
        <v>1723</v>
      </c>
      <c r="E444" s="3" t="s">
        <v>21</v>
      </c>
      <c r="F444" s="3" t="s">
        <v>1724</v>
      </c>
      <c r="G444" s="3" t="s">
        <v>1725</v>
      </c>
      <c r="H444" s="43">
        <v>45579</v>
      </c>
      <c r="I444" s="43">
        <v>45582</v>
      </c>
      <c r="J444" s="47" t="str">
        <f>IF(GroDB3[[#This Row],[Last_Order_Date]]&lt;=GroDB3[[#This Row],[Date_Received]], "Yes", "No")</f>
        <v>No</v>
      </c>
      <c r="K444" s="43">
        <f>IF(GroDB3[[#This Row],[Column1]]="No",GroDB3[[#This Row],[Last_Order_Date]],GroDB3[[#This Row],[Date_Received]])</f>
        <v>45582</v>
      </c>
      <c r="L444" s="43">
        <f>IF(GroDB3[[#This Row],[Column1]]="No",GroDB3[[#This Row],[Date_Received]],GroDB3[[#This Row],[Last_Order_Date]])</f>
        <v>45579</v>
      </c>
      <c r="M444" s="43">
        <v>45424</v>
      </c>
      <c r="N444" s="3">
        <v>34</v>
      </c>
      <c r="O444" s="3">
        <v>95</v>
      </c>
      <c r="P444" s="3">
        <v>18</v>
      </c>
      <c r="Q444" s="4">
        <v>5</v>
      </c>
      <c r="R444" s="3">
        <v>41</v>
      </c>
      <c r="S444" s="3">
        <v>26</v>
      </c>
      <c r="T444" s="7">
        <v>0.46</v>
      </c>
    </row>
    <row r="445" spans="1:20" x14ac:dyDescent="0.35">
      <c r="A445" s="5" t="s">
        <v>465</v>
      </c>
      <c r="B445" s="3" t="s">
        <v>32</v>
      </c>
      <c r="C445" s="3" t="s">
        <v>308</v>
      </c>
      <c r="D445" s="3" t="s">
        <v>1726</v>
      </c>
      <c r="E445" s="3" t="s">
        <v>56</v>
      </c>
      <c r="F445" s="3" t="s">
        <v>1727</v>
      </c>
      <c r="G445" s="3" t="s">
        <v>1728</v>
      </c>
      <c r="H445" s="43">
        <v>45580</v>
      </c>
      <c r="I445" s="43">
        <v>45462</v>
      </c>
      <c r="J445" s="47" t="str">
        <f>IF(GroDB3[[#This Row],[Last_Order_Date]]&lt;=GroDB3[[#This Row],[Date_Received]], "Yes", "No")</f>
        <v>Yes</v>
      </c>
      <c r="K445" s="43">
        <f>IF(GroDB3[[#This Row],[Column1]]="No",GroDB3[[#This Row],[Last_Order_Date]],GroDB3[[#This Row],[Date_Received]])</f>
        <v>45580</v>
      </c>
      <c r="L445" s="43">
        <f>IF(GroDB3[[#This Row],[Column1]]="No",GroDB3[[#This Row],[Date_Received]],GroDB3[[#This Row],[Last_Order_Date]])</f>
        <v>45462</v>
      </c>
      <c r="M445" s="43">
        <v>45678</v>
      </c>
      <c r="N445" s="3">
        <v>26</v>
      </c>
      <c r="O445" s="3">
        <v>54</v>
      </c>
      <c r="P445" s="3">
        <v>90</v>
      </c>
      <c r="Q445" s="4">
        <v>3</v>
      </c>
      <c r="R445" s="3">
        <v>25</v>
      </c>
      <c r="S445" s="3">
        <v>81</v>
      </c>
      <c r="T445" s="7">
        <v>0.37</v>
      </c>
    </row>
    <row r="446" spans="1:20" x14ac:dyDescent="0.35">
      <c r="A446" s="5" t="s">
        <v>947</v>
      </c>
      <c r="B446" s="3" t="s">
        <v>18</v>
      </c>
      <c r="C446" s="3" t="s">
        <v>189</v>
      </c>
      <c r="D446" s="3" t="s">
        <v>1729</v>
      </c>
      <c r="E446" s="3" t="s">
        <v>28</v>
      </c>
      <c r="F446" s="3" t="s">
        <v>1730</v>
      </c>
      <c r="G446" s="3" t="s">
        <v>1731</v>
      </c>
      <c r="H446" s="43">
        <v>45581</v>
      </c>
      <c r="I446" s="43">
        <v>45691</v>
      </c>
      <c r="J446" s="47" t="str">
        <f>IF(GroDB3[[#This Row],[Last_Order_Date]]&lt;=GroDB3[[#This Row],[Date_Received]], "Yes", "No")</f>
        <v>No</v>
      </c>
      <c r="K446" s="43">
        <f>IF(GroDB3[[#This Row],[Column1]]="No",GroDB3[[#This Row],[Last_Order_Date]],GroDB3[[#This Row],[Date_Received]])</f>
        <v>45691</v>
      </c>
      <c r="L446" s="43">
        <f>IF(GroDB3[[#This Row],[Column1]]="No",GroDB3[[#This Row],[Date_Received]],GroDB3[[#This Row],[Last_Order_Date]])</f>
        <v>45581</v>
      </c>
      <c r="M446" s="43">
        <v>45711</v>
      </c>
      <c r="N446" s="3">
        <v>72</v>
      </c>
      <c r="O446" s="3">
        <v>58</v>
      </c>
      <c r="P446" s="3">
        <v>69</v>
      </c>
      <c r="Q446" s="4">
        <v>1.2</v>
      </c>
      <c r="R446" s="3">
        <v>96</v>
      </c>
      <c r="S446" s="3">
        <v>23</v>
      </c>
      <c r="T446" s="7">
        <v>-2.2400000000000002</v>
      </c>
    </row>
    <row r="447" spans="1:20" x14ac:dyDescent="0.35">
      <c r="A447" s="5" t="s">
        <v>984</v>
      </c>
      <c r="B447" s="3" t="s">
        <v>18</v>
      </c>
      <c r="C447" s="3" t="s">
        <v>152</v>
      </c>
      <c r="D447" s="3" t="s">
        <v>1732</v>
      </c>
      <c r="E447" s="3" t="s">
        <v>56</v>
      </c>
      <c r="F447" s="3" t="s">
        <v>1733</v>
      </c>
      <c r="G447" s="3" t="s">
        <v>1734</v>
      </c>
      <c r="H447" s="43">
        <v>45581</v>
      </c>
      <c r="I447" s="43">
        <v>45700</v>
      </c>
      <c r="J447" s="47" t="str">
        <f>IF(GroDB3[[#This Row],[Last_Order_Date]]&lt;=GroDB3[[#This Row],[Date_Received]], "Yes", "No")</f>
        <v>No</v>
      </c>
      <c r="K447" s="43">
        <f>IF(GroDB3[[#This Row],[Column1]]="No",GroDB3[[#This Row],[Last_Order_Date]],GroDB3[[#This Row],[Date_Received]])</f>
        <v>45700</v>
      </c>
      <c r="L447" s="43">
        <f>IF(GroDB3[[#This Row],[Column1]]="No",GroDB3[[#This Row],[Date_Received]],GroDB3[[#This Row],[Last_Order_Date]])</f>
        <v>45581</v>
      </c>
      <c r="M447" s="43">
        <v>45554</v>
      </c>
      <c r="N447" s="3">
        <v>89</v>
      </c>
      <c r="O447" s="3">
        <v>40</v>
      </c>
      <c r="P447" s="3">
        <v>64</v>
      </c>
      <c r="Q447" s="4">
        <v>4</v>
      </c>
      <c r="R447" s="3">
        <v>93</v>
      </c>
      <c r="S447" s="3">
        <v>48</v>
      </c>
      <c r="T447" s="7">
        <v>0.76</v>
      </c>
    </row>
    <row r="448" spans="1:20" x14ac:dyDescent="0.35">
      <c r="A448" s="5" t="s">
        <v>263</v>
      </c>
      <c r="B448" s="3" t="s">
        <v>25</v>
      </c>
      <c r="C448" s="3" t="s">
        <v>1735</v>
      </c>
      <c r="D448" s="3" t="s">
        <v>1736</v>
      </c>
      <c r="E448" s="3" t="s">
        <v>56</v>
      </c>
      <c r="F448" s="3" t="s">
        <v>1737</v>
      </c>
      <c r="G448" s="3" t="s">
        <v>1738</v>
      </c>
      <c r="H448" s="43">
        <v>45582</v>
      </c>
      <c r="I448" s="43">
        <v>45530</v>
      </c>
      <c r="J448" s="47" t="str">
        <f>IF(GroDB3[[#This Row],[Last_Order_Date]]&lt;=GroDB3[[#This Row],[Date_Received]], "Yes", "No")</f>
        <v>Yes</v>
      </c>
      <c r="K448" s="43">
        <f>IF(GroDB3[[#This Row],[Column1]]="No",GroDB3[[#This Row],[Last_Order_Date]],GroDB3[[#This Row],[Date_Received]])</f>
        <v>45582</v>
      </c>
      <c r="L448" s="43">
        <f>IF(GroDB3[[#This Row],[Column1]]="No",GroDB3[[#This Row],[Date_Received]],GroDB3[[#This Row],[Last_Order_Date]])</f>
        <v>45530</v>
      </c>
      <c r="M448" s="43">
        <v>45372</v>
      </c>
      <c r="N448" s="3">
        <v>83</v>
      </c>
      <c r="O448" s="3">
        <v>52</v>
      </c>
      <c r="P448" s="3">
        <v>32</v>
      </c>
      <c r="Q448" s="4">
        <v>6</v>
      </c>
      <c r="R448" s="3">
        <v>47</v>
      </c>
      <c r="S448" s="3">
        <v>7</v>
      </c>
      <c r="T448" s="7">
        <v>0.48</v>
      </c>
    </row>
    <row r="449" spans="1:20" x14ac:dyDescent="0.35">
      <c r="A449" s="5" t="s">
        <v>126</v>
      </c>
      <c r="B449" s="3" t="s">
        <v>127</v>
      </c>
      <c r="C449" s="3" t="s">
        <v>1739</v>
      </c>
      <c r="D449" s="3" t="s">
        <v>1740</v>
      </c>
      <c r="E449" s="3" t="s">
        <v>28</v>
      </c>
      <c r="F449" s="3" t="s">
        <v>1741</v>
      </c>
      <c r="G449" s="3" t="s">
        <v>1742</v>
      </c>
      <c r="H449" s="43">
        <v>45582</v>
      </c>
      <c r="I449" s="43">
        <v>45642</v>
      </c>
      <c r="J449" s="47" t="str">
        <f>IF(GroDB3[[#This Row],[Last_Order_Date]]&lt;=GroDB3[[#This Row],[Date_Received]], "Yes", "No")</f>
        <v>No</v>
      </c>
      <c r="K449" s="43">
        <f>IF(GroDB3[[#This Row],[Column1]]="No",GroDB3[[#This Row],[Last_Order_Date]],GroDB3[[#This Row],[Date_Received]])</f>
        <v>45642</v>
      </c>
      <c r="L449" s="43">
        <f>IF(GroDB3[[#This Row],[Column1]]="No",GroDB3[[#This Row],[Date_Received]],GroDB3[[#This Row],[Last_Order_Date]])</f>
        <v>45582</v>
      </c>
      <c r="M449" s="43">
        <v>45599</v>
      </c>
      <c r="N449" s="3">
        <v>13</v>
      </c>
      <c r="O449" s="3">
        <v>55</v>
      </c>
      <c r="P449" s="3">
        <v>77</v>
      </c>
      <c r="Q449" s="4">
        <v>20</v>
      </c>
      <c r="R449" s="3">
        <v>67</v>
      </c>
      <c r="S449" s="3">
        <v>68</v>
      </c>
      <c r="T449" s="7">
        <v>0.85</v>
      </c>
    </row>
    <row r="450" spans="1:20" x14ac:dyDescent="0.35">
      <c r="A450" s="5" t="s">
        <v>1081</v>
      </c>
      <c r="B450" s="3" t="s">
        <v>127</v>
      </c>
      <c r="C450" s="3" t="s">
        <v>1743</v>
      </c>
      <c r="D450" s="3" t="s">
        <v>1744</v>
      </c>
      <c r="E450" s="3" t="s">
        <v>28</v>
      </c>
      <c r="F450" s="3" t="s">
        <v>1745</v>
      </c>
      <c r="G450" s="3" t="s">
        <v>1746</v>
      </c>
      <c r="H450" s="43">
        <v>45583</v>
      </c>
      <c r="I450" s="43">
        <v>45476</v>
      </c>
      <c r="J450" s="47" t="str">
        <f>IF(GroDB3[[#This Row],[Last_Order_Date]]&lt;=GroDB3[[#This Row],[Date_Received]], "Yes", "No")</f>
        <v>Yes</v>
      </c>
      <c r="K450" s="43">
        <f>IF(GroDB3[[#This Row],[Column1]]="No",GroDB3[[#This Row],[Last_Order_Date]],GroDB3[[#This Row],[Date_Received]])</f>
        <v>45583</v>
      </c>
      <c r="L450" s="43">
        <f>IF(GroDB3[[#This Row],[Column1]]="No",GroDB3[[#This Row],[Date_Received]],GroDB3[[#This Row],[Last_Order_Date]])</f>
        <v>45476</v>
      </c>
      <c r="M450" s="43">
        <v>45366</v>
      </c>
      <c r="N450" s="3">
        <v>15</v>
      </c>
      <c r="O450" s="3">
        <v>66</v>
      </c>
      <c r="P450" s="3">
        <v>85</v>
      </c>
      <c r="Q450" s="4">
        <v>8</v>
      </c>
      <c r="R450" s="3">
        <v>60</v>
      </c>
      <c r="S450" s="3">
        <v>40</v>
      </c>
      <c r="T450" s="7">
        <v>-0.01</v>
      </c>
    </row>
    <row r="451" spans="1:20" x14ac:dyDescent="0.35">
      <c r="A451" s="5" t="s">
        <v>146</v>
      </c>
      <c r="B451" s="3" t="s">
        <v>53</v>
      </c>
      <c r="C451" s="3" t="s">
        <v>1127</v>
      </c>
      <c r="D451" s="3" t="s">
        <v>1747</v>
      </c>
      <c r="E451" s="3" t="s">
        <v>28</v>
      </c>
      <c r="F451" s="3" t="s">
        <v>1748</v>
      </c>
      <c r="G451" s="3" t="s">
        <v>1749</v>
      </c>
      <c r="H451" s="43">
        <v>45583</v>
      </c>
      <c r="I451" s="43">
        <v>45647</v>
      </c>
      <c r="J451" s="47" t="str">
        <f>IF(GroDB3[[#This Row],[Last_Order_Date]]&lt;=GroDB3[[#This Row],[Date_Received]], "Yes", "No")</f>
        <v>No</v>
      </c>
      <c r="K451" s="43">
        <f>IF(GroDB3[[#This Row],[Column1]]="No",GroDB3[[#This Row],[Last_Order_Date]],GroDB3[[#This Row],[Date_Received]])</f>
        <v>45647</v>
      </c>
      <c r="L451" s="43">
        <f>IF(GroDB3[[#This Row],[Column1]]="No",GroDB3[[#This Row],[Date_Received]],GroDB3[[#This Row],[Last_Order_Date]])</f>
        <v>45583</v>
      </c>
      <c r="M451" s="43">
        <v>45668</v>
      </c>
      <c r="N451" s="3">
        <v>56</v>
      </c>
      <c r="O451" s="3">
        <v>48</v>
      </c>
      <c r="P451" s="3">
        <v>82</v>
      </c>
      <c r="Q451" s="4">
        <v>4.75</v>
      </c>
      <c r="R451" s="3">
        <v>71</v>
      </c>
      <c r="S451" s="3">
        <v>65</v>
      </c>
      <c r="T451" s="7">
        <v>0.33</v>
      </c>
    </row>
    <row r="452" spans="1:20" x14ac:dyDescent="0.35">
      <c r="A452" s="5" t="s">
        <v>490</v>
      </c>
      <c r="B452" s="3" t="s">
        <v>18</v>
      </c>
      <c r="C452" s="3" t="s">
        <v>1054</v>
      </c>
      <c r="D452" s="3" t="s">
        <v>1750</v>
      </c>
      <c r="E452" s="3" t="s">
        <v>28</v>
      </c>
      <c r="F452" s="3" t="s">
        <v>1751</v>
      </c>
      <c r="G452" s="3" t="s">
        <v>1752</v>
      </c>
      <c r="H452" s="43">
        <v>45583</v>
      </c>
      <c r="I452" s="43">
        <v>45704</v>
      </c>
      <c r="J452" s="47" t="str">
        <f>IF(GroDB3[[#This Row],[Last_Order_Date]]&lt;=GroDB3[[#This Row],[Date_Received]], "Yes", "No")</f>
        <v>No</v>
      </c>
      <c r="K452" s="43">
        <f>IF(GroDB3[[#This Row],[Column1]]="No",GroDB3[[#This Row],[Last_Order_Date]],GroDB3[[#This Row],[Date_Received]])</f>
        <v>45704</v>
      </c>
      <c r="L452" s="43">
        <f>IF(GroDB3[[#This Row],[Column1]]="No",GroDB3[[#This Row],[Date_Received]],GroDB3[[#This Row],[Last_Order_Date]])</f>
        <v>45583</v>
      </c>
      <c r="M452" s="43">
        <v>45620</v>
      </c>
      <c r="N452" s="3">
        <v>18</v>
      </c>
      <c r="O452" s="3">
        <v>3</v>
      </c>
      <c r="P452" s="3">
        <v>39</v>
      </c>
      <c r="Q452" s="4">
        <v>5</v>
      </c>
      <c r="R452" s="3">
        <v>58</v>
      </c>
      <c r="S452" s="3">
        <v>61</v>
      </c>
      <c r="T452" s="7">
        <v>0.08</v>
      </c>
    </row>
    <row r="453" spans="1:20" x14ac:dyDescent="0.35">
      <c r="A453" s="5" t="s">
        <v>333</v>
      </c>
      <c r="B453" s="3" t="s">
        <v>53</v>
      </c>
      <c r="C453" s="3" t="s">
        <v>338</v>
      </c>
      <c r="D453" s="3" t="s">
        <v>1753</v>
      </c>
      <c r="E453" s="3" t="s">
        <v>21</v>
      </c>
      <c r="F453" s="3" t="s">
        <v>1754</v>
      </c>
      <c r="G453" s="3" t="s">
        <v>1755</v>
      </c>
      <c r="H453" s="43">
        <v>45583</v>
      </c>
      <c r="I453" s="43">
        <v>45532</v>
      </c>
      <c r="J453" s="47" t="str">
        <f>IF(GroDB3[[#This Row],[Last_Order_Date]]&lt;=GroDB3[[#This Row],[Date_Received]], "Yes", "No")</f>
        <v>Yes</v>
      </c>
      <c r="K453" s="43">
        <f>IF(GroDB3[[#This Row],[Column1]]="No",GroDB3[[#This Row],[Last_Order_Date]],GroDB3[[#This Row],[Date_Received]])</f>
        <v>45583</v>
      </c>
      <c r="L453" s="43">
        <f>IF(GroDB3[[#This Row],[Column1]]="No",GroDB3[[#This Row],[Date_Received]],GroDB3[[#This Row],[Last_Order_Date]])</f>
        <v>45532</v>
      </c>
      <c r="M453" s="43">
        <v>45673</v>
      </c>
      <c r="N453" s="3">
        <v>32</v>
      </c>
      <c r="O453" s="3">
        <v>91</v>
      </c>
      <c r="P453" s="3">
        <v>80</v>
      </c>
      <c r="Q453" s="4">
        <v>10</v>
      </c>
      <c r="R453" s="3">
        <v>69</v>
      </c>
      <c r="S453" s="3">
        <v>80</v>
      </c>
      <c r="T453" s="7">
        <v>-0.05</v>
      </c>
    </row>
    <row r="454" spans="1:20" x14ac:dyDescent="0.35">
      <c r="A454" s="5" t="s">
        <v>574</v>
      </c>
      <c r="B454" s="3" t="s">
        <v>53</v>
      </c>
      <c r="C454" s="3" t="s">
        <v>1756</v>
      </c>
      <c r="D454" s="3" t="s">
        <v>1757</v>
      </c>
      <c r="E454" s="3" t="s">
        <v>28</v>
      </c>
      <c r="F454" s="3" t="s">
        <v>1758</v>
      </c>
      <c r="G454" s="3" t="s">
        <v>1759</v>
      </c>
      <c r="H454" s="43">
        <v>45584</v>
      </c>
      <c r="I454" s="43">
        <v>45637</v>
      </c>
      <c r="J454" s="47" t="str">
        <f>IF(GroDB3[[#This Row],[Last_Order_Date]]&lt;=GroDB3[[#This Row],[Date_Received]], "Yes", "No")</f>
        <v>No</v>
      </c>
      <c r="K454" s="43">
        <f>IF(GroDB3[[#This Row],[Column1]]="No",GroDB3[[#This Row],[Last_Order_Date]],GroDB3[[#This Row],[Date_Received]])</f>
        <v>45637</v>
      </c>
      <c r="L454" s="43">
        <f>IF(GroDB3[[#This Row],[Column1]]="No",GroDB3[[#This Row],[Date_Received]],GroDB3[[#This Row],[Last_Order_Date]])</f>
        <v>45584</v>
      </c>
      <c r="M454" s="43">
        <v>45579</v>
      </c>
      <c r="N454" s="3">
        <v>91</v>
      </c>
      <c r="O454" s="3">
        <v>98</v>
      </c>
      <c r="P454" s="3">
        <v>6</v>
      </c>
      <c r="Q454" s="4">
        <v>2</v>
      </c>
      <c r="R454" s="3">
        <v>100</v>
      </c>
      <c r="S454" s="3">
        <v>20</v>
      </c>
      <c r="T454" s="7">
        <v>-0.16</v>
      </c>
    </row>
    <row r="455" spans="1:20" x14ac:dyDescent="0.35">
      <c r="A455" s="5" t="s">
        <v>1179</v>
      </c>
      <c r="B455" s="3" t="s">
        <v>91</v>
      </c>
      <c r="C455" s="3" t="s">
        <v>1156</v>
      </c>
      <c r="D455" s="3" t="s">
        <v>1760</v>
      </c>
      <c r="E455" s="3" t="s">
        <v>28</v>
      </c>
      <c r="F455" s="3" t="s">
        <v>1761</v>
      </c>
      <c r="G455" s="3" t="s">
        <v>1762</v>
      </c>
      <c r="H455" s="43">
        <v>45584</v>
      </c>
      <c r="I455" s="43">
        <v>45457</v>
      </c>
      <c r="J455" s="47" t="str">
        <f>IF(GroDB3[[#This Row],[Last_Order_Date]]&lt;=GroDB3[[#This Row],[Date_Received]], "Yes", "No")</f>
        <v>Yes</v>
      </c>
      <c r="K455" s="43">
        <f>IF(GroDB3[[#This Row],[Column1]]="No",GroDB3[[#This Row],[Last_Order_Date]],GroDB3[[#This Row],[Date_Received]])</f>
        <v>45584</v>
      </c>
      <c r="L455" s="43">
        <f>IF(GroDB3[[#This Row],[Column1]]="No",GroDB3[[#This Row],[Date_Received]],GroDB3[[#This Row],[Last_Order_Date]])</f>
        <v>45457</v>
      </c>
      <c r="M455" s="43">
        <v>45434</v>
      </c>
      <c r="N455" s="3">
        <v>92</v>
      </c>
      <c r="O455" s="3">
        <v>87</v>
      </c>
      <c r="P455" s="3">
        <v>84</v>
      </c>
      <c r="Q455" s="4">
        <v>2.5</v>
      </c>
      <c r="R455" s="3">
        <v>61</v>
      </c>
      <c r="S455" s="3">
        <v>31</v>
      </c>
      <c r="T455" s="7">
        <v>0.8</v>
      </c>
    </row>
    <row r="456" spans="1:20" x14ac:dyDescent="0.35">
      <c r="A456" s="5" t="s">
        <v>220</v>
      </c>
      <c r="B456" s="3" t="s">
        <v>127</v>
      </c>
      <c r="C456" s="3" t="s">
        <v>616</v>
      </c>
      <c r="D456" s="3" t="s">
        <v>1763</v>
      </c>
      <c r="E456" s="3" t="s">
        <v>21</v>
      </c>
      <c r="F456" s="3" t="s">
        <v>1764</v>
      </c>
      <c r="G456" s="3" t="s">
        <v>1765</v>
      </c>
      <c r="H456" s="43">
        <v>45584</v>
      </c>
      <c r="I456" s="43">
        <v>45632</v>
      </c>
      <c r="J456" s="47" t="str">
        <f>IF(GroDB3[[#This Row],[Last_Order_Date]]&lt;=GroDB3[[#This Row],[Date_Received]], "Yes", "No")</f>
        <v>No</v>
      </c>
      <c r="K456" s="43">
        <f>IF(GroDB3[[#This Row],[Column1]]="No",GroDB3[[#This Row],[Last_Order_Date]],GroDB3[[#This Row],[Date_Received]])</f>
        <v>45632</v>
      </c>
      <c r="L456" s="43">
        <f>IF(GroDB3[[#This Row],[Column1]]="No",GroDB3[[#This Row],[Date_Received]],GroDB3[[#This Row],[Last_Order_Date]])</f>
        <v>45584</v>
      </c>
      <c r="M456" s="43">
        <v>45467</v>
      </c>
      <c r="N456" s="3">
        <v>42</v>
      </c>
      <c r="O456" s="3">
        <v>88</v>
      </c>
      <c r="P456" s="3">
        <v>17</v>
      </c>
      <c r="Q456" s="4">
        <v>10.5</v>
      </c>
      <c r="R456" s="3">
        <v>34</v>
      </c>
      <c r="S456" s="3">
        <v>51</v>
      </c>
      <c r="T456" s="7">
        <v>0.49</v>
      </c>
    </row>
    <row r="457" spans="1:20" x14ac:dyDescent="0.35">
      <c r="A457" s="5" t="s">
        <v>288</v>
      </c>
      <c r="B457" s="3" t="s">
        <v>60</v>
      </c>
      <c r="C457" s="3" t="s">
        <v>1766</v>
      </c>
      <c r="D457" s="3" t="s">
        <v>1767</v>
      </c>
      <c r="E457" s="3" t="s">
        <v>56</v>
      </c>
      <c r="F457" s="3" t="s">
        <v>1768</v>
      </c>
      <c r="G457" s="3" t="s">
        <v>1769</v>
      </c>
      <c r="H457" s="43">
        <v>45585</v>
      </c>
      <c r="I457" s="43">
        <v>45441</v>
      </c>
      <c r="J457" s="47" t="str">
        <f>IF(GroDB3[[#This Row],[Last_Order_Date]]&lt;=GroDB3[[#This Row],[Date_Received]], "Yes", "No")</f>
        <v>Yes</v>
      </c>
      <c r="K457" s="43">
        <f>IF(GroDB3[[#This Row],[Column1]]="No",GroDB3[[#This Row],[Last_Order_Date]],GroDB3[[#This Row],[Date_Received]])</f>
        <v>45585</v>
      </c>
      <c r="L457" s="43">
        <f>IF(GroDB3[[#This Row],[Column1]]="No",GroDB3[[#This Row],[Date_Received]],GroDB3[[#This Row],[Last_Order_Date]])</f>
        <v>45441</v>
      </c>
      <c r="M457" s="43">
        <v>45486</v>
      </c>
      <c r="N457" s="3">
        <v>75</v>
      </c>
      <c r="O457" s="3">
        <v>25</v>
      </c>
      <c r="P457" s="3">
        <v>99</v>
      </c>
      <c r="Q457" s="4">
        <v>12</v>
      </c>
      <c r="R457" s="3">
        <v>89</v>
      </c>
      <c r="S457" s="3">
        <v>42</v>
      </c>
      <c r="T457" s="7">
        <v>-0.5</v>
      </c>
    </row>
    <row r="458" spans="1:20" x14ac:dyDescent="0.35">
      <c r="A458" s="5" t="s">
        <v>180</v>
      </c>
      <c r="B458" s="3" t="s">
        <v>18</v>
      </c>
      <c r="C458" s="3" t="s">
        <v>1770</v>
      </c>
      <c r="D458" s="3" t="s">
        <v>1771</v>
      </c>
      <c r="E458" s="3" t="s">
        <v>56</v>
      </c>
      <c r="F458" s="3" t="s">
        <v>1772</v>
      </c>
      <c r="G458" s="3" t="s">
        <v>1773</v>
      </c>
      <c r="H458" s="43">
        <v>45585</v>
      </c>
      <c r="I458" s="43">
        <v>45437</v>
      </c>
      <c r="J458" s="47" t="str">
        <f>IF(GroDB3[[#This Row],[Last_Order_Date]]&lt;=GroDB3[[#This Row],[Date_Received]], "Yes", "No")</f>
        <v>Yes</v>
      </c>
      <c r="K458" s="43">
        <f>IF(GroDB3[[#This Row],[Column1]]="No",GroDB3[[#This Row],[Last_Order_Date]],GroDB3[[#This Row],[Date_Received]])</f>
        <v>45585</v>
      </c>
      <c r="L458" s="43">
        <f>IF(GroDB3[[#This Row],[Column1]]="No",GroDB3[[#This Row],[Date_Received]],GroDB3[[#This Row],[Last_Order_Date]])</f>
        <v>45437</v>
      </c>
      <c r="M458" s="43">
        <v>45552</v>
      </c>
      <c r="N458" s="3">
        <v>76</v>
      </c>
      <c r="O458" s="3">
        <v>11</v>
      </c>
      <c r="P458" s="3">
        <v>15</v>
      </c>
      <c r="Q458" s="4">
        <v>1.8</v>
      </c>
      <c r="R458" s="3">
        <v>22</v>
      </c>
      <c r="S458" s="3">
        <v>91</v>
      </c>
      <c r="T458" s="7">
        <v>0.53</v>
      </c>
    </row>
    <row r="459" spans="1:20" x14ac:dyDescent="0.35">
      <c r="A459" s="5" t="s">
        <v>789</v>
      </c>
      <c r="B459" s="3" t="s">
        <v>18</v>
      </c>
      <c r="C459" s="3" t="s">
        <v>1261</v>
      </c>
      <c r="D459" s="3" t="s">
        <v>1774</v>
      </c>
      <c r="E459" s="3" t="s">
        <v>56</v>
      </c>
      <c r="F459" s="3" t="s">
        <v>1775</v>
      </c>
      <c r="G459" s="3" t="s">
        <v>1776</v>
      </c>
      <c r="H459" s="43">
        <v>45585</v>
      </c>
      <c r="I459" s="43">
        <v>45350</v>
      </c>
      <c r="J459" s="47" t="str">
        <f>IF(GroDB3[[#This Row],[Last_Order_Date]]&lt;=GroDB3[[#This Row],[Date_Received]], "Yes", "No")</f>
        <v>Yes</v>
      </c>
      <c r="K459" s="43">
        <f>IF(GroDB3[[#This Row],[Column1]]="No",GroDB3[[#This Row],[Last_Order_Date]],GroDB3[[#This Row],[Date_Received]])</f>
        <v>45585</v>
      </c>
      <c r="L459" s="43">
        <f>IF(GroDB3[[#This Row],[Column1]]="No",GroDB3[[#This Row],[Date_Received]],GroDB3[[#This Row],[Last_Order_Date]])</f>
        <v>45350</v>
      </c>
      <c r="M459" s="43">
        <v>45542</v>
      </c>
      <c r="N459" s="3">
        <v>86</v>
      </c>
      <c r="O459" s="3">
        <v>90</v>
      </c>
      <c r="P459" s="3">
        <v>39</v>
      </c>
      <c r="Q459" s="4">
        <v>2.1</v>
      </c>
      <c r="R459" s="3">
        <v>98</v>
      </c>
      <c r="S459" s="3">
        <v>85</v>
      </c>
      <c r="T459" s="7">
        <v>-3.14</v>
      </c>
    </row>
    <row r="460" spans="1:20" x14ac:dyDescent="0.35">
      <c r="A460" s="5" t="s">
        <v>355</v>
      </c>
      <c r="B460" s="3" t="s">
        <v>18</v>
      </c>
      <c r="C460" s="3" t="s">
        <v>601</v>
      </c>
      <c r="D460" s="3" t="s">
        <v>1777</v>
      </c>
      <c r="E460" s="3" t="s">
        <v>21</v>
      </c>
      <c r="F460" s="3" t="s">
        <v>1778</v>
      </c>
      <c r="G460" s="3" t="s">
        <v>1779</v>
      </c>
      <c r="H460" s="43">
        <v>45585</v>
      </c>
      <c r="I460" s="43">
        <v>45668</v>
      </c>
      <c r="J460" s="47" t="str">
        <f>IF(GroDB3[[#This Row],[Last_Order_Date]]&lt;=GroDB3[[#This Row],[Date_Received]], "Yes", "No")</f>
        <v>No</v>
      </c>
      <c r="K460" s="43">
        <f>IF(GroDB3[[#This Row],[Column1]]="No",GroDB3[[#This Row],[Last_Order_Date]],GroDB3[[#This Row],[Date_Received]])</f>
        <v>45668</v>
      </c>
      <c r="L460" s="43">
        <f>IF(GroDB3[[#This Row],[Column1]]="No",GroDB3[[#This Row],[Date_Received]],GroDB3[[#This Row],[Last_Order_Date]])</f>
        <v>45585</v>
      </c>
      <c r="M460" s="43">
        <v>45704</v>
      </c>
      <c r="N460" s="3">
        <v>90</v>
      </c>
      <c r="O460" s="3">
        <v>1</v>
      </c>
      <c r="P460" s="3">
        <v>40</v>
      </c>
      <c r="Q460" s="4">
        <v>0.9</v>
      </c>
      <c r="R460" s="3">
        <v>52</v>
      </c>
      <c r="S460" s="3">
        <v>19</v>
      </c>
      <c r="T460" s="7">
        <v>0.13</v>
      </c>
    </row>
    <row r="461" spans="1:20" x14ac:dyDescent="0.35">
      <c r="A461" s="5" t="s">
        <v>293</v>
      </c>
      <c r="B461" s="3" t="s">
        <v>18</v>
      </c>
      <c r="C461" s="3" t="s">
        <v>221</v>
      </c>
      <c r="D461" s="3" t="s">
        <v>1780</v>
      </c>
      <c r="E461" s="3" t="s">
        <v>21</v>
      </c>
      <c r="F461" s="3" t="s">
        <v>1781</v>
      </c>
      <c r="G461" s="3" t="s">
        <v>1782</v>
      </c>
      <c r="H461" s="43">
        <v>45585</v>
      </c>
      <c r="I461" s="43">
        <v>45358</v>
      </c>
      <c r="J461" s="47" t="str">
        <f>IF(GroDB3[[#This Row],[Last_Order_Date]]&lt;=GroDB3[[#This Row],[Date_Received]], "Yes", "No")</f>
        <v>Yes</v>
      </c>
      <c r="K461" s="43">
        <f>IF(GroDB3[[#This Row],[Column1]]="No",GroDB3[[#This Row],[Last_Order_Date]],GroDB3[[#This Row],[Date_Received]])</f>
        <v>45585</v>
      </c>
      <c r="L461" s="43">
        <f>IF(GroDB3[[#This Row],[Column1]]="No",GroDB3[[#This Row],[Date_Received]],GroDB3[[#This Row],[Last_Order_Date]])</f>
        <v>45358</v>
      </c>
      <c r="M461" s="43">
        <v>45651</v>
      </c>
      <c r="N461" s="3">
        <v>20</v>
      </c>
      <c r="O461" s="3">
        <v>93</v>
      </c>
      <c r="P461" s="3">
        <v>37</v>
      </c>
      <c r="Q461" s="4">
        <v>2</v>
      </c>
      <c r="R461" s="3">
        <v>23</v>
      </c>
      <c r="S461" s="3">
        <v>2</v>
      </c>
      <c r="T461" s="7">
        <v>0.63</v>
      </c>
    </row>
    <row r="462" spans="1:20" x14ac:dyDescent="0.35">
      <c r="A462" s="5" t="s">
        <v>554</v>
      </c>
      <c r="B462" s="3" t="s">
        <v>53</v>
      </c>
      <c r="C462" s="3" t="s">
        <v>299</v>
      </c>
      <c r="D462" s="3" t="s">
        <v>1783</v>
      </c>
      <c r="E462" s="3" t="s">
        <v>28</v>
      </c>
      <c r="F462" s="3" t="s">
        <v>1784</v>
      </c>
      <c r="G462" s="3" t="s">
        <v>1785</v>
      </c>
      <c r="H462" s="43">
        <v>45586</v>
      </c>
      <c r="I462" s="43">
        <v>45707</v>
      </c>
      <c r="J462" s="47" t="str">
        <f>IF(GroDB3[[#This Row],[Last_Order_Date]]&lt;=GroDB3[[#This Row],[Date_Received]], "Yes", "No")</f>
        <v>No</v>
      </c>
      <c r="K462" s="43">
        <f>IF(GroDB3[[#This Row],[Column1]]="No",GroDB3[[#This Row],[Last_Order_Date]],GroDB3[[#This Row],[Date_Received]])</f>
        <v>45707</v>
      </c>
      <c r="L462" s="43">
        <f>IF(GroDB3[[#This Row],[Column1]]="No",GroDB3[[#This Row],[Date_Received]],GroDB3[[#This Row],[Last_Order_Date]])</f>
        <v>45586</v>
      </c>
      <c r="M462" s="43">
        <v>45675</v>
      </c>
      <c r="N462" s="3">
        <v>17</v>
      </c>
      <c r="O462" s="3">
        <v>88</v>
      </c>
      <c r="P462" s="3">
        <v>41</v>
      </c>
      <c r="Q462" s="4">
        <v>2.5</v>
      </c>
      <c r="R462" s="3">
        <v>45</v>
      </c>
      <c r="S462" s="3">
        <v>29</v>
      </c>
      <c r="T462" s="7">
        <v>0.91</v>
      </c>
    </row>
    <row r="463" spans="1:20" x14ac:dyDescent="0.35">
      <c r="A463" s="5" t="s">
        <v>817</v>
      </c>
      <c r="B463" s="3" t="s">
        <v>18</v>
      </c>
      <c r="C463" s="3" t="s">
        <v>1398</v>
      </c>
      <c r="D463" s="3" t="s">
        <v>1786</v>
      </c>
      <c r="E463" s="3" t="s">
        <v>21</v>
      </c>
      <c r="F463" s="3" t="s">
        <v>1787</v>
      </c>
      <c r="G463" s="3" t="s">
        <v>1788</v>
      </c>
      <c r="H463" s="43">
        <v>45587</v>
      </c>
      <c r="I463" s="43">
        <v>45382</v>
      </c>
      <c r="J463" s="47" t="str">
        <f>IF(GroDB3[[#This Row],[Last_Order_Date]]&lt;=GroDB3[[#This Row],[Date_Received]], "Yes", "No")</f>
        <v>Yes</v>
      </c>
      <c r="K463" s="43">
        <f>IF(GroDB3[[#This Row],[Column1]]="No",GroDB3[[#This Row],[Last_Order_Date]],GroDB3[[#This Row],[Date_Received]])</f>
        <v>45587</v>
      </c>
      <c r="L463" s="43">
        <f>IF(GroDB3[[#This Row],[Column1]]="No",GroDB3[[#This Row],[Date_Received]],GroDB3[[#This Row],[Last_Order_Date]])</f>
        <v>45382</v>
      </c>
      <c r="M463" s="43">
        <v>45636</v>
      </c>
      <c r="N463" s="3">
        <v>49</v>
      </c>
      <c r="O463" s="3">
        <v>46</v>
      </c>
      <c r="P463" s="3">
        <v>8</v>
      </c>
      <c r="Q463" s="4">
        <v>3</v>
      </c>
      <c r="R463" s="3">
        <v>82</v>
      </c>
      <c r="S463" s="3">
        <v>21</v>
      </c>
      <c r="T463" s="7">
        <v>0.36</v>
      </c>
    </row>
    <row r="464" spans="1:20" x14ac:dyDescent="0.35">
      <c r="A464" s="5" t="s">
        <v>1085</v>
      </c>
      <c r="B464" s="3" t="s">
        <v>32</v>
      </c>
      <c r="C464" s="3" t="s">
        <v>1479</v>
      </c>
      <c r="D464" s="3" t="s">
        <v>1789</v>
      </c>
      <c r="E464" s="3" t="s">
        <v>56</v>
      </c>
      <c r="F464" s="3" t="s">
        <v>1790</v>
      </c>
      <c r="G464" s="3" t="s">
        <v>1791</v>
      </c>
      <c r="H464" s="43">
        <v>45587</v>
      </c>
      <c r="I464" s="43">
        <v>45664</v>
      </c>
      <c r="J464" s="47" t="str">
        <f>IF(GroDB3[[#This Row],[Last_Order_Date]]&lt;=GroDB3[[#This Row],[Date_Received]], "Yes", "No")</f>
        <v>No</v>
      </c>
      <c r="K464" s="43">
        <f>IF(GroDB3[[#This Row],[Column1]]="No",GroDB3[[#This Row],[Last_Order_Date]],GroDB3[[#This Row],[Date_Received]])</f>
        <v>45664</v>
      </c>
      <c r="L464" s="43">
        <f>IF(GroDB3[[#This Row],[Column1]]="No",GroDB3[[#This Row],[Date_Received]],GroDB3[[#This Row],[Last_Order_Date]])</f>
        <v>45587</v>
      </c>
      <c r="M464" s="43">
        <v>45612</v>
      </c>
      <c r="N464" s="3">
        <v>20</v>
      </c>
      <c r="O464" s="3">
        <v>17</v>
      </c>
      <c r="P464" s="3">
        <v>71</v>
      </c>
      <c r="Q464" s="4">
        <v>8</v>
      </c>
      <c r="R464" s="3">
        <v>50</v>
      </c>
      <c r="S464" s="3">
        <v>65</v>
      </c>
      <c r="T464" s="7">
        <v>0.74</v>
      </c>
    </row>
    <row r="465" spans="1:20" x14ac:dyDescent="0.35">
      <c r="A465" s="5" t="s">
        <v>175</v>
      </c>
      <c r="B465" s="3" t="s">
        <v>53</v>
      </c>
      <c r="C465" s="3" t="s">
        <v>316</v>
      </c>
      <c r="D465" s="3" t="s">
        <v>1792</v>
      </c>
      <c r="E465" s="3" t="s">
        <v>21</v>
      </c>
      <c r="F465" s="3" t="s">
        <v>1793</v>
      </c>
      <c r="G465" s="3" t="s">
        <v>1794</v>
      </c>
      <c r="H465" s="43">
        <v>45587</v>
      </c>
      <c r="I465" s="43">
        <v>45518</v>
      </c>
      <c r="J465" s="47" t="str">
        <f>IF(GroDB3[[#This Row],[Last_Order_Date]]&lt;=GroDB3[[#This Row],[Date_Received]], "Yes", "No")</f>
        <v>Yes</v>
      </c>
      <c r="K465" s="43">
        <f>IF(GroDB3[[#This Row],[Column1]]="No",GroDB3[[#This Row],[Last_Order_Date]],GroDB3[[#This Row],[Date_Received]])</f>
        <v>45587</v>
      </c>
      <c r="L465" s="43">
        <f>IF(GroDB3[[#This Row],[Column1]]="No",GroDB3[[#This Row],[Date_Received]],GroDB3[[#This Row],[Last_Order_Date]])</f>
        <v>45518</v>
      </c>
      <c r="M465" s="43">
        <v>45617</v>
      </c>
      <c r="N465" s="3">
        <v>99</v>
      </c>
      <c r="O465" s="3">
        <v>54</v>
      </c>
      <c r="P465" s="3">
        <v>71</v>
      </c>
      <c r="Q465" s="4">
        <v>1.5</v>
      </c>
      <c r="R465" s="3">
        <v>80</v>
      </c>
      <c r="S465" s="3">
        <v>10</v>
      </c>
      <c r="T465" s="7">
        <v>-0.3</v>
      </c>
    </row>
    <row r="466" spans="1:20" x14ac:dyDescent="0.35">
      <c r="A466" s="5" t="s">
        <v>59</v>
      </c>
      <c r="B466" s="3" t="s">
        <v>60</v>
      </c>
      <c r="C466" s="3" t="s">
        <v>1795</v>
      </c>
      <c r="D466" s="3" t="s">
        <v>1796</v>
      </c>
      <c r="E466" s="3" t="s">
        <v>28</v>
      </c>
      <c r="F466" s="3" t="s">
        <v>1797</v>
      </c>
      <c r="G466" s="3" t="s">
        <v>1798</v>
      </c>
      <c r="H466" s="43">
        <v>45587</v>
      </c>
      <c r="I466" s="43">
        <v>45420</v>
      </c>
      <c r="J466" s="47" t="str">
        <f>IF(GroDB3[[#This Row],[Last_Order_Date]]&lt;=GroDB3[[#This Row],[Date_Received]], "Yes", "No")</f>
        <v>Yes</v>
      </c>
      <c r="K466" s="43">
        <f>IF(GroDB3[[#This Row],[Column1]]="No",GroDB3[[#This Row],[Last_Order_Date]],GroDB3[[#This Row],[Date_Received]])</f>
        <v>45587</v>
      </c>
      <c r="L466" s="43">
        <f>IF(GroDB3[[#This Row],[Column1]]="No",GroDB3[[#This Row],[Date_Received]],GroDB3[[#This Row],[Last_Order_Date]])</f>
        <v>45420</v>
      </c>
      <c r="M466" s="43">
        <v>45520</v>
      </c>
      <c r="N466" s="3">
        <v>51</v>
      </c>
      <c r="O466" s="3">
        <v>35</v>
      </c>
      <c r="P466" s="3">
        <v>95</v>
      </c>
      <c r="Q466" s="4">
        <v>10</v>
      </c>
      <c r="R466" s="3">
        <v>80</v>
      </c>
      <c r="S466" s="3">
        <v>89</v>
      </c>
      <c r="T466" s="7">
        <v>0.88</v>
      </c>
    </row>
    <row r="467" spans="1:20" x14ac:dyDescent="0.35">
      <c r="A467" s="5" t="s">
        <v>707</v>
      </c>
      <c r="B467" s="3" t="s">
        <v>25</v>
      </c>
      <c r="C467" s="3" t="s">
        <v>43</v>
      </c>
      <c r="D467" s="3" t="s">
        <v>1799</v>
      </c>
      <c r="E467" s="3" t="s">
        <v>21</v>
      </c>
      <c r="F467" s="3" t="s">
        <v>1800</v>
      </c>
      <c r="G467" s="3" t="s">
        <v>1801</v>
      </c>
      <c r="H467" s="43">
        <v>45587</v>
      </c>
      <c r="I467" s="43">
        <v>45465</v>
      </c>
      <c r="J467" s="47" t="str">
        <f>IF(GroDB3[[#This Row],[Last_Order_Date]]&lt;=GroDB3[[#This Row],[Date_Received]], "Yes", "No")</f>
        <v>Yes</v>
      </c>
      <c r="K467" s="43">
        <f>IF(GroDB3[[#This Row],[Column1]]="No",GroDB3[[#This Row],[Last_Order_Date]],GroDB3[[#This Row],[Date_Received]])</f>
        <v>45587</v>
      </c>
      <c r="L467" s="43">
        <f>IF(GroDB3[[#This Row],[Column1]]="No",GroDB3[[#This Row],[Date_Received]],GroDB3[[#This Row],[Last_Order_Date]])</f>
        <v>45465</v>
      </c>
      <c r="M467" s="43">
        <v>45519</v>
      </c>
      <c r="N467" s="3">
        <v>25</v>
      </c>
      <c r="O467" s="3">
        <v>97</v>
      </c>
      <c r="P467" s="3">
        <v>63</v>
      </c>
      <c r="Q467" s="4">
        <v>2.2999999999999998</v>
      </c>
      <c r="R467" s="3">
        <v>72</v>
      </c>
      <c r="S467" s="3">
        <v>23</v>
      </c>
      <c r="T467" s="7">
        <v>-0.11</v>
      </c>
    </row>
    <row r="468" spans="1:20" x14ac:dyDescent="0.35">
      <c r="A468" s="5" t="s">
        <v>31</v>
      </c>
      <c r="B468" s="3" t="s">
        <v>32</v>
      </c>
      <c r="C468" s="3" t="s">
        <v>1564</v>
      </c>
      <c r="D468" s="3" t="s">
        <v>1802</v>
      </c>
      <c r="E468" s="3" t="s">
        <v>56</v>
      </c>
      <c r="F468" s="3" t="s">
        <v>1803</v>
      </c>
      <c r="G468" s="3" t="s">
        <v>1804</v>
      </c>
      <c r="H468" s="43">
        <v>45587</v>
      </c>
      <c r="I468" s="43">
        <v>45643</v>
      </c>
      <c r="J468" s="47" t="str">
        <f>IF(GroDB3[[#This Row],[Last_Order_Date]]&lt;=GroDB3[[#This Row],[Date_Received]], "Yes", "No")</f>
        <v>No</v>
      </c>
      <c r="K468" s="43">
        <f>IF(GroDB3[[#This Row],[Column1]]="No",GroDB3[[#This Row],[Last_Order_Date]],GroDB3[[#This Row],[Date_Received]])</f>
        <v>45643</v>
      </c>
      <c r="L468" s="43">
        <f>IF(GroDB3[[#This Row],[Column1]]="No",GroDB3[[#This Row],[Date_Received]],GroDB3[[#This Row],[Last_Order_Date]])</f>
        <v>45587</v>
      </c>
      <c r="M468" s="43">
        <v>45518</v>
      </c>
      <c r="N468" s="3">
        <v>63</v>
      </c>
      <c r="O468" s="3">
        <v>41</v>
      </c>
      <c r="P468" s="3">
        <v>98</v>
      </c>
      <c r="Q468" s="4">
        <v>11.9</v>
      </c>
      <c r="R468" s="3">
        <v>37</v>
      </c>
      <c r="S468" s="3">
        <v>7</v>
      </c>
      <c r="T468" s="7">
        <v>0.68</v>
      </c>
    </row>
    <row r="469" spans="1:20" x14ac:dyDescent="0.35">
      <c r="A469" s="5" t="s">
        <v>549</v>
      </c>
      <c r="B469" s="3" t="s">
        <v>32</v>
      </c>
      <c r="C469" s="3" t="s">
        <v>1805</v>
      </c>
      <c r="D469" s="3" t="s">
        <v>1806</v>
      </c>
      <c r="E469" s="3" t="s">
        <v>56</v>
      </c>
      <c r="F469" s="3" t="s">
        <v>1807</v>
      </c>
      <c r="G469" s="3" t="s">
        <v>1808</v>
      </c>
      <c r="H469" s="43">
        <v>45587</v>
      </c>
      <c r="I469" s="43">
        <v>45633</v>
      </c>
      <c r="J469" s="47" t="str">
        <f>IF(GroDB3[[#This Row],[Last_Order_Date]]&lt;=GroDB3[[#This Row],[Date_Received]], "Yes", "No")</f>
        <v>No</v>
      </c>
      <c r="K469" s="43">
        <f>IF(GroDB3[[#This Row],[Column1]]="No",GroDB3[[#This Row],[Last_Order_Date]],GroDB3[[#This Row],[Date_Received]])</f>
        <v>45633</v>
      </c>
      <c r="L469" s="43">
        <f>IF(GroDB3[[#This Row],[Column1]]="No",GroDB3[[#This Row],[Date_Received]],GroDB3[[#This Row],[Last_Order_Date]])</f>
        <v>45587</v>
      </c>
      <c r="M469" s="43">
        <v>45692</v>
      </c>
      <c r="N469" s="3">
        <v>50</v>
      </c>
      <c r="O469" s="3">
        <v>66</v>
      </c>
      <c r="P469" s="3">
        <v>1</v>
      </c>
      <c r="Q469" s="4">
        <v>2.5</v>
      </c>
      <c r="R469" s="3">
        <v>76</v>
      </c>
      <c r="S469" s="3">
        <v>73</v>
      </c>
      <c r="T469" s="7">
        <v>0.81</v>
      </c>
    </row>
    <row r="470" spans="1:20" x14ac:dyDescent="0.35">
      <c r="A470" s="5" t="s">
        <v>303</v>
      </c>
      <c r="B470" s="3" t="s">
        <v>60</v>
      </c>
      <c r="C470" s="3" t="s">
        <v>1498</v>
      </c>
      <c r="D470" s="3" t="s">
        <v>1809</v>
      </c>
      <c r="E470" s="3" t="s">
        <v>56</v>
      </c>
      <c r="F470" s="3" t="s">
        <v>1810</v>
      </c>
      <c r="G470" s="3" t="s">
        <v>1811</v>
      </c>
      <c r="H470" s="43">
        <v>45588</v>
      </c>
      <c r="I470" s="43">
        <v>45387</v>
      </c>
      <c r="J470" s="47" t="str">
        <f>IF(GroDB3[[#This Row],[Last_Order_Date]]&lt;=GroDB3[[#This Row],[Date_Received]], "Yes", "No")</f>
        <v>Yes</v>
      </c>
      <c r="K470" s="43">
        <f>IF(GroDB3[[#This Row],[Column1]]="No",GroDB3[[#This Row],[Last_Order_Date]],GroDB3[[#This Row],[Date_Received]])</f>
        <v>45588</v>
      </c>
      <c r="L470" s="43">
        <f>IF(GroDB3[[#This Row],[Column1]]="No",GroDB3[[#This Row],[Date_Received]],GroDB3[[#This Row],[Last_Order_Date]])</f>
        <v>45387</v>
      </c>
      <c r="M470" s="43">
        <v>45469</v>
      </c>
      <c r="N470" s="3">
        <v>91</v>
      </c>
      <c r="O470" s="3">
        <v>59</v>
      </c>
      <c r="P470" s="3">
        <v>49</v>
      </c>
      <c r="Q470" s="4">
        <v>6</v>
      </c>
      <c r="R470" s="3">
        <v>30</v>
      </c>
      <c r="S470" s="3">
        <v>63</v>
      </c>
      <c r="T470" s="7">
        <v>0.04</v>
      </c>
    </row>
    <row r="471" spans="1:20" x14ac:dyDescent="0.35">
      <c r="A471" s="5" t="s">
        <v>263</v>
      </c>
      <c r="B471" s="3" t="s">
        <v>25</v>
      </c>
      <c r="C471" s="3" t="s">
        <v>1812</v>
      </c>
      <c r="D471" s="3" t="s">
        <v>1813</v>
      </c>
      <c r="E471" s="3" t="s">
        <v>56</v>
      </c>
      <c r="F471" s="3" t="s">
        <v>1814</v>
      </c>
      <c r="G471" s="3" t="s">
        <v>1815</v>
      </c>
      <c r="H471" s="43">
        <v>45589</v>
      </c>
      <c r="I471" s="43">
        <v>45524</v>
      </c>
      <c r="J471" s="47" t="str">
        <f>IF(GroDB3[[#This Row],[Last_Order_Date]]&lt;=GroDB3[[#This Row],[Date_Received]], "Yes", "No")</f>
        <v>Yes</v>
      </c>
      <c r="K471" s="43">
        <f>IF(GroDB3[[#This Row],[Column1]]="No",GroDB3[[#This Row],[Last_Order_Date]],GroDB3[[#This Row],[Date_Received]])</f>
        <v>45589</v>
      </c>
      <c r="L471" s="43">
        <f>IF(GroDB3[[#This Row],[Column1]]="No",GroDB3[[#This Row],[Date_Received]],GroDB3[[#This Row],[Last_Order_Date]])</f>
        <v>45524</v>
      </c>
      <c r="M471" s="43">
        <v>45531</v>
      </c>
      <c r="N471" s="3">
        <v>28</v>
      </c>
      <c r="O471" s="3">
        <v>17</v>
      </c>
      <c r="P471" s="3">
        <v>28</v>
      </c>
      <c r="Q471" s="4">
        <v>6</v>
      </c>
      <c r="R471" s="3">
        <v>38</v>
      </c>
      <c r="S471" s="3">
        <v>25</v>
      </c>
      <c r="T471" s="7">
        <v>-1.1000000000000001</v>
      </c>
    </row>
    <row r="472" spans="1:20" x14ac:dyDescent="0.35">
      <c r="A472" s="5" t="s">
        <v>1109</v>
      </c>
      <c r="B472" s="3" t="s">
        <v>18</v>
      </c>
      <c r="C472" s="3" t="s">
        <v>43</v>
      </c>
      <c r="D472" s="3" t="s">
        <v>1816</v>
      </c>
      <c r="E472" s="3" t="s">
        <v>56</v>
      </c>
      <c r="F472" s="3" t="s">
        <v>1817</v>
      </c>
      <c r="G472" s="3" t="s">
        <v>1818</v>
      </c>
      <c r="H472" s="43">
        <v>45589</v>
      </c>
      <c r="I472" s="43">
        <v>45612</v>
      </c>
      <c r="J472" s="47" t="str">
        <f>IF(GroDB3[[#This Row],[Last_Order_Date]]&lt;=GroDB3[[#This Row],[Date_Received]], "Yes", "No")</f>
        <v>No</v>
      </c>
      <c r="K472" s="43">
        <f>IF(GroDB3[[#This Row],[Column1]]="No",GroDB3[[#This Row],[Last_Order_Date]],GroDB3[[#This Row],[Date_Received]])</f>
        <v>45612</v>
      </c>
      <c r="L472" s="43">
        <f>IF(GroDB3[[#This Row],[Column1]]="No",GroDB3[[#This Row],[Date_Received]],GroDB3[[#This Row],[Last_Order_Date]])</f>
        <v>45589</v>
      </c>
      <c r="M472" s="43">
        <v>45423</v>
      </c>
      <c r="N472" s="3">
        <v>29</v>
      </c>
      <c r="O472" s="3">
        <v>18</v>
      </c>
      <c r="P472" s="3">
        <v>86</v>
      </c>
      <c r="Q472" s="4">
        <v>2.5</v>
      </c>
      <c r="R472" s="3">
        <v>53</v>
      </c>
      <c r="S472" s="3">
        <v>69</v>
      </c>
      <c r="T472" s="7">
        <v>0.34</v>
      </c>
    </row>
    <row r="473" spans="1:20" x14ac:dyDescent="0.35">
      <c r="A473" s="5" t="s">
        <v>1624</v>
      </c>
      <c r="B473" s="3" t="s">
        <v>60</v>
      </c>
      <c r="C473" s="3" t="s">
        <v>1819</v>
      </c>
      <c r="D473" s="3" t="s">
        <v>1820</v>
      </c>
      <c r="E473" s="3" t="s">
        <v>56</v>
      </c>
      <c r="F473" s="3" t="s">
        <v>1821</v>
      </c>
      <c r="G473" s="3" t="s">
        <v>1822</v>
      </c>
      <c r="H473" s="43">
        <v>45589</v>
      </c>
      <c r="I473" s="43">
        <v>45503</v>
      </c>
      <c r="J473" s="47" t="str">
        <f>IF(GroDB3[[#This Row],[Last_Order_Date]]&lt;=GroDB3[[#This Row],[Date_Received]], "Yes", "No")</f>
        <v>Yes</v>
      </c>
      <c r="K473" s="43">
        <f>IF(GroDB3[[#This Row],[Column1]]="No",GroDB3[[#This Row],[Last_Order_Date]],GroDB3[[#This Row],[Date_Received]])</f>
        <v>45589</v>
      </c>
      <c r="L473" s="43">
        <f>IF(GroDB3[[#This Row],[Column1]]="No",GroDB3[[#This Row],[Date_Received]],GroDB3[[#This Row],[Last_Order_Date]])</f>
        <v>45503</v>
      </c>
      <c r="M473" s="43">
        <v>45457</v>
      </c>
      <c r="N473" s="3">
        <v>89</v>
      </c>
      <c r="O473" s="3">
        <v>26</v>
      </c>
      <c r="P473" s="3">
        <v>36</v>
      </c>
      <c r="Q473" s="4">
        <v>7.5</v>
      </c>
      <c r="R473" s="3">
        <v>48</v>
      </c>
      <c r="S473" s="3">
        <v>94</v>
      </c>
      <c r="T473" s="7">
        <v>-0.3</v>
      </c>
    </row>
    <row r="474" spans="1:20" x14ac:dyDescent="0.35">
      <c r="A474" s="5" t="s">
        <v>495</v>
      </c>
      <c r="B474" s="3" t="s">
        <v>18</v>
      </c>
      <c r="C474" s="3" t="s">
        <v>107</v>
      </c>
      <c r="D474" s="3" t="s">
        <v>1823</v>
      </c>
      <c r="E474" s="3" t="s">
        <v>56</v>
      </c>
      <c r="F474" s="3" t="s">
        <v>1824</v>
      </c>
      <c r="G474" s="3" t="s">
        <v>1825</v>
      </c>
      <c r="H474" s="43">
        <v>45589</v>
      </c>
      <c r="I474" s="43">
        <v>45462</v>
      </c>
      <c r="J474" s="47" t="str">
        <f>IF(GroDB3[[#This Row],[Last_Order_Date]]&lt;=GroDB3[[#This Row],[Date_Received]], "Yes", "No")</f>
        <v>Yes</v>
      </c>
      <c r="K474" s="43">
        <f>IF(GroDB3[[#This Row],[Column1]]="No",GroDB3[[#This Row],[Last_Order_Date]],GroDB3[[#This Row],[Date_Received]])</f>
        <v>45589</v>
      </c>
      <c r="L474" s="43">
        <f>IF(GroDB3[[#This Row],[Column1]]="No",GroDB3[[#This Row],[Date_Received]],GroDB3[[#This Row],[Last_Order_Date]])</f>
        <v>45462</v>
      </c>
      <c r="M474" s="43">
        <v>45486</v>
      </c>
      <c r="N474" s="3">
        <v>65</v>
      </c>
      <c r="O474" s="3">
        <v>42</v>
      </c>
      <c r="P474" s="3">
        <v>62</v>
      </c>
      <c r="Q474" s="4">
        <v>6.3</v>
      </c>
      <c r="R474" s="3">
        <v>54</v>
      </c>
      <c r="S474" s="3">
        <v>2</v>
      </c>
      <c r="T474" s="7">
        <v>-0.96</v>
      </c>
    </row>
    <row r="475" spans="1:20" x14ac:dyDescent="0.35">
      <c r="A475" s="5" t="s">
        <v>96</v>
      </c>
      <c r="B475" s="3" t="s">
        <v>53</v>
      </c>
      <c r="C475" s="3" t="s">
        <v>1303</v>
      </c>
      <c r="D475" s="3" t="s">
        <v>1826</v>
      </c>
      <c r="E475" s="3" t="s">
        <v>28</v>
      </c>
      <c r="F475" s="3" t="s">
        <v>1827</v>
      </c>
      <c r="G475" s="3" t="s">
        <v>1828</v>
      </c>
      <c r="H475" s="43">
        <v>45590</v>
      </c>
      <c r="I475" s="43">
        <v>45451</v>
      </c>
      <c r="J475" s="47" t="str">
        <f>IF(GroDB3[[#This Row],[Last_Order_Date]]&lt;=GroDB3[[#This Row],[Date_Received]], "Yes", "No")</f>
        <v>Yes</v>
      </c>
      <c r="K475" s="43">
        <f>IF(GroDB3[[#This Row],[Column1]]="No",GroDB3[[#This Row],[Last_Order_Date]],GroDB3[[#This Row],[Date_Received]])</f>
        <v>45590</v>
      </c>
      <c r="L475" s="43">
        <f>IF(GroDB3[[#This Row],[Column1]]="No",GroDB3[[#This Row],[Date_Received]],GroDB3[[#This Row],[Last_Order_Date]])</f>
        <v>45451</v>
      </c>
      <c r="M475" s="43">
        <v>45660</v>
      </c>
      <c r="N475" s="3">
        <v>40</v>
      </c>
      <c r="O475" s="3">
        <v>38</v>
      </c>
      <c r="P475" s="3">
        <v>32</v>
      </c>
      <c r="Q475" s="4">
        <v>3.2</v>
      </c>
      <c r="R475" s="3">
        <v>21</v>
      </c>
      <c r="S475" s="3">
        <v>45</v>
      </c>
      <c r="T475" s="7">
        <v>0.96</v>
      </c>
    </row>
    <row r="476" spans="1:20" x14ac:dyDescent="0.35">
      <c r="A476" s="5" t="s">
        <v>198</v>
      </c>
      <c r="B476" s="3" t="s">
        <v>53</v>
      </c>
      <c r="C476" s="3" t="s">
        <v>1829</v>
      </c>
      <c r="D476" s="3" t="s">
        <v>1830</v>
      </c>
      <c r="E476" s="3" t="s">
        <v>21</v>
      </c>
      <c r="F476" s="3" t="s">
        <v>1831</v>
      </c>
      <c r="G476" s="3" t="s">
        <v>1832</v>
      </c>
      <c r="H476" s="43">
        <v>45590</v>
      </c>
      <c r="I476" s="43">
        <v>45433</v>
      </c>
      <c r="J476" s="47" t="str">
        <f>IF(GroDB3[[#This Row],[Last_Order_Date]]&lt;=GroDB3[[#This Row],[Date_Received]], "Yes", "No")</f>
        <v>Yes</v>
      </c>
      <c r="K476" s="43">
        <f>IF(GroDB3[[#This Row],[Column1]]="No",GroDB3[[#This Row],[Last_Order_Date]],GroDB3[[#This Row],[Date_Received]])</f>
        <v>45590</v>
      </c>
      <c r="L476" s="43">
        <f>IF(GroDB3[[#This Row],[Column1]]="No",GroDB3[[#This Row],[Date_Received]],GroDB3[[#This Row],[Last_Order_Date]])</f>
        <v>45433</v>
      </c>
      <c r="M476" s="43">
        <v>45463</v>
      </c>
      <c r="N476" s="3">
        <v>99</v>
      </c>
      <c r="O476" s="3">
        <v>44</v>
      </c>
      <c r="P476" s="3">
        <v>52</v>
      </c>
      <c r="Q476" s="4">
        <v>2</v>
      </c>
      <c r="R476" s="3">
        <v>36</v>
      </c>
      <c r="S476" s="3">
        <v>2</v>
      </c>
      <c r="T476" s="7">
        <v>-1.1399999999999999</v>
      </c>
    </row>
    <row r="477" spans="1:20" x14ac:dyDescent="0.35">
      <c r="A477" s="5" t="s">
        <v>416</v>
      </c>
      <c r="B477" s="3" t="s">
        <v>53</v>
      </c>
      <c r="C477" s="3" t="s">
        <v>1743</v>
      </c>
      <c r="D477" s="3" t="s">
        <v>1833</v>
      </c>
      <c r="E477" s="3" t="s">
        <v>56</v>
      </c>
      <c r="F477" s="3" t="s">
        <v>1834</v>
      </c>
      <c r="G477" s="3" t="s">
        <v>1835</v>
      </c>
      <c r="H477" s="43">
        <v>45590</v>
      </c>
      <c r="I477" s="43">
        <v>45692</v>
      </c>
      <c r="J477" s="47" t="str">
        <f>IF(GroDB3[[#This Row],[Last_Order_Date]]&lt;=GroDB3[[#This Row],[Date_Received]], "Yes", "No")</f>
        <v>No</v>
      </c>
      <c r="K477" s="43">
        <f>IF(GroDB3[[#This Row],[Column1]]="No",GroDB3[[#This Row],[Last_Order_Date]],GroDB3[[#This Row],[Date_Received]])</f>
        <v>45692</v>
      </c>
      <c r="L477" s="43">
        <f>IF(GroDB3[[#This Row],[Column1]]="No",GroDB3[[#This Row],[Date_Received]],GroDB3[[#This Row],[Last_Order_Date]])</f>
        <v>45590</v>
      </c>
      <c r="M477" s="43">
        <v>45537</v>
      </c>
      <c r="N477" s="3">
        <v>56</v>
      </c>
      <c r="O477" s="3">
        <v>28</v>
      </c>
      <c r="P477" s="3">
        <v>76</v>
      </c>
      <c r="Q477" s="4">
        <v>3</v>
      </c>
      <c r="R477" s="3">
        <v>93</v>
      </c>
      <c r="S477" s="3">
        <v>69</v>
      </c>
      <c r="T477" s="7">
        <v>0.94</v>
      </c>
    </row>
    <row r="478" spans="1:20" x14ac:dyDescent="0.35">
      <c r="A478" s="5" t="s">
        <v>31</v>
      </c>
      <c r="B478" s="3" t="s">
        <v>32</v>
      </c>
      <c r="C478" s="3" t="s">
        <v>926</v>
      </c>
      <c r="D478" s="3" t="s">
        <v>1836</v>
      </c>
      <c r="E478" s="3" t="s">
        <v>21</v>
      </c>
      <c r="F478" s="3" t="s">
        <v>1837</v>
      </c>
      <c r="G478" s="3" t="s">
        <v>1838</v>
      </c>
      <c r="H478" s="43">
        <v>45590</v>
      </c>
      <c r="I478" s="43">
        <v>45404</v>
      </c>
      <c r="J478" s="47" t="str">
        <f>IF(GroDB3[[#This Row],[Last_Order_Date]]&lt;=GroDB3[[#This Row],[Date_Received]], "Yes", "No")</f>
        <v>Yes</v>
      </c>
      <c r="K478" s="43">
        <f>IF(GroDB3[[#This Row],[Column1]]="No",GroDB3[[#This Row],[Last_Order_Date]],GroDB3[[#This Row],[Date_Received]])</f>
        <v>45590</v>
      </c>
      <c r="L478" s="43">
        <f>IF(GroDB3[[#This Row],[Column1]]="No",GroDB3[[#This Row],[Date_Received]],GroDB3[[#This Row],[Last_Order_Date]])</f>
        <v>45404</v>
      </c>
      <c r="M478" s="43">
        <v>45617</v>
      </c>
      <c r="N478" s="3">
        <v>37</v>
      </c>
      <c r="O478" s="3">
        <v>3</v>
      </c>
      <c r="P478" s="3">
        <v>45</v>
      </c>
      <c r="Q478" s="4">
        <v>12</v>
      </c>
      <c r="R478" s="3">
        <v>39</v>
      </c>
      <c r="S478" s="3">
        <v>28</v>
      </c>
      <c r="T478" s="7">
        <v>0.26</v>
      </c>
    </row>
    <row r="479" spans="1:20" x14ac:dyDescent="0.35">
      <c r="A479" s="5" t="s">
        <v>554</v>
      </c>
      <c r="B479" s="3" t="s">
        <v>53</v>
      </c>
      <c r="C479" s="3" t="s">
        <v>1394</v>
      </c>
      <c r="D479" s="3" t="s">
        <v>1839</v>
      </c>
      <c r="E479" s="3" t="s">
        <v>56</v>
      </c>
      <c r="F479" s="3" t="s">
        <v>1840</v>
      </c>
      <c r="G479" s="3" t="s">
        <v>1841</v>
      </c>
      <c r="H479" s="43">
        <v>45591</v>
      </c>
      <c r="I479" s="43">
        <v>45461</v>
      </c>
      <c r="J479" s="47" t="str">
        <f>IF(GroDB3[[#This Row],[Last_Order_Date]]&lt;=GroDB3[[#This Row],[Date_Received]], "Yes", "No")</f>
        <v>Yes</v>
      </c>
      <c r="K479" s="43">
        <f>IF(GroDB3[[#This Row],[Column1]]="No",GroDB3[[#This Row],[Last_Order_Date]],GroDB3[[#This Row],[Date_Received]])</f>
        <v>45591</v>
      </c>
      <c r="L479" s="43">
        <f>IF(GroDB3[[#This Row],[Column1]]="No",GroDB3[[#This Row],[Date_Received]],GroDB3[[#This Row],[Last_Order_Date]])</f>
        <v>45461</v>
      </c>
      <c r="M479" s="43">
        <v>45576</v>
      </c>
      <c r="N479" s="3">
        <v>31</v>
      </c>
      <c r="O479" s="3">
        <v>29</v>
      </c>
      <c r="P479" s="3">
        <v>57</v>
      </c>
      <c r="Q479" s="4">
        <v>2.5</v>
      </c>
      <c r="R479" s="3">
        <v>25</v>
      </c>
      <c r="S479" s="3">
        <v>22</v>
      </c>
      <c r="T479" s="7">
        <v>0.28000000000000003</v>
      </c>
    </row>
    <row r="480" spans="1:20" x14ac:dyDescent="0.35">
      <c r="A480" s="5" t="s">
        <v>517</v>
      </c>
      <c r="B480" s="3" t="s">
        <v>127</v>
      </c>
      <c r="C480" s="3" t="s">
        <v>1842</v>
      </c>
      <c r="D480" s="3" t="s">
        <v>1843</v>
      </c>
      <c r="E480" s="3" t="s">
        <v>28</v>
      </c>
      <c r="F480" s="3" t="s">
        <v>1844</v>
      </c>
      <c r="G480" s="3" t="s">
        <v>1845</v>
      </c>
      <c r="H480" s="43">
        <v>45591</v>
      </c>
      <c r="I480" s="43">
        <v>45664</v>
      </c>
      <c r="J480" s="47" t="str">
        <f>IF(GroDB3[[#This Row],[Last_Order_Date]]&lt;=GroDB3[[#This Row],[Date_Received]], "Yes", "No")</f>
        <v>No</v>
      </c>
      <c r="K480" s="43">
        <f>IF(GroDB3[[#This Row],[Column1]]="No",GroDB3[[#This Row],[Last_Order_Date]],GroDB3[[#This Row],[Date_Received]])</f>
        <v>45664</v>
      </c>
      <c r="L480" s="43">
        <f>IF(GroDB3[[#This Row],[Column1]]="No",GroDB3[[#This Row],[Date_Received]],GroDB3[[#This Row],[Last_Order_Date]])</f>
        <v>45591</v>
      </c>
      <c r="M480" s="43">
        <v>45581</v>
      </c>
      <c r="N480" s="3">
        <v>81</v>
      </c>
      <c r="O480" s="3">
        <v>83</v>
      </c>
      <c r="P480" s="3">
        <v>36</v>
      </c>
      <c r="Q480" s="4">
        <v>25</v>
      </c>
      <c r="R480" s="3">
        <v>74</v>
      </c>
      <c r="S480" s="3">
        <v>86</v>
      </c>
      <c r="T480" s="7">
        <v>0.12</v>
      </c>
    </row>
    <row r="481" spans="1:20" x14ac:dyDescent="0.35">
      <c r="A481" s="5" t="s">
        <v>175</v>
      </c>
      <c r="B481" s="3" t="s">
        <v>53</v>
      </c>
      <c r="C481" s="3" t="s">
        <v>38</v>
      </c>
      <c r="D481" s="3" t="s">
        <v>1846</v>
      </c>
      <c r="E481" s="3" t="s">
        <v>28</v>
      </c>
      <c r="F481" s="3" t="s">
        <v>1847</v>
      </c>
      <c r="G481" s="3" t="s">
        <v>1848</v>
      </c>
      <c r="H481" s="43">
        <v>45591</v>
      </c>
      <c r="I481" s="43">
        <v>45601</v>
      </c>
      <c r="J481" s="47" t="str">
        <f>IF(GroDB3[[#This Row],[Last_Order_Date]]&lt;=GroDB3[[#This Row],[Date_Received]], "Yes", "No")</f>
        <v>No</v>
      </c>
      <c r="K481" s="43">
        <f>IF(GroDB3[[#This Row],[Column1]]="No",GroDB3[[#This Row],[Last_Order_Date]],GroDB3[[#This Row],[Date_Received]])</f>
        <v>45601</v>
      </c>
      <c r="L481" s="43">
        <f>IF(GroDB3[[#This Row],[Column1]]="No",GroDB3[[#This Row],[Date_Received]],GroDB3[[#This Row],[Last_Order_Date]])</f>
        <v>45591</v>
      </c>
      <c r="M481" s="43">
        <v>45483</v>
      </c>
      <c r="N481" s="3">
        <v>11</v>
      </c>
      <c r="O481" s="3">
        <v>77</v>
      </c>
      <c r="P481" s="3">
        <v>7</v>
      </c>
      <c r="Q481" s="4">
        <v>1.5</v>
      </c>
      <c r="R481" s="3">
        <v>77</v>
      </c>
      <c r="S481" s="3">
        <v>46</v>
      </c>
      <c r="T481" s="7">
        <v>-0.16</v>
      </c>
    </row>
    <row r="482" spans="1:20" x14ac:dyDescent="0.35">
      <c r="A482" s="5" t="s">
        <v>101</v>
      </c>
      <c r="B482" s="3" t="s">
        <v>18</v>
      </c>
      <c r="C482" s="3" t="s">
        <v>268</v>
      </c>
      <c r="D482" s="3" t="s">
        <v>1849</v>
      </c>
      <c r="E482" s="3" t="s">
        <v>56</v>
      </c>
      <c r="F482" s="3" t="s">
        <v>1850</v>
      </c>
      <c r="G482" s="3" t="s">
        <v>1851</v>
      </c>
      <c r="H482" s="43">
        <v>45592</v>
      </c>
      <c r="I482" s="43">
        <v>45708</v>
      </c>
      <c r="J482" s="47" t="str">
        <f>IF(GroDB3[[#This Row],[Last_Order_Date]]&lt;=GroDB3[[#This Row],[Date_Received]], "Yes", "No")</f>
        <v>No</v>
      </c>
      <c r="K482" s="43">
        <f>IF(GroDB3[[#This Row],[Column1]]="No",GroDB3[[#This Row],[Last_Order_Date]],GroDB3[[#This Row],[Date_Received]])</f>
        <v>45708</v>
      </c>
      <c r="L482" s="43">
        <f>IF(GroDB3[[#This Row],[Column1]]="No",GroDB3[[#This Row],[Date_Received]],GroDB3[[#This Row],[Last_Order_Date]])</f>
        <v>45592</v>
      </c>
      <c r="M482" s="43">
        <v>45353</v>
      </c>
      <c r="N482" s="3">
        <v>29</v>
      </c>
      <c r="O482" s="3">
        <v>20</v>
      </c>
      <c r="P482" s="3">
        <v>85</v>
      </c>
      <c r="Q482" s="4">
        <v>4.5</v>
      </c>
      <c r="R482" s="3">
        <v>31</v>
      </c>
      <c r="S482" s="3">
        <v>31</v>
      </c>
      <c r="T482" s="7">
        <v>0.4</v>
      </c>
    </row>
    <row r="483" spans="1:20" x14ac:dyDescent="0.35">
      <c r="A483" s="5" t="s">
        <v>1109</v>
      </c>
      <c r="B483" s="3" t="s">
        <v>18</v>
      </c>
      <c r="C483" s="3" t="s">
        <v>1054</v>
      </c>
      <c r="D483" s="3" t="s">
        <v>1852</v>
      </c>
      <c r="E483" s="3" t="s">
        <v>56</v>
      </c>
      <c r="F483" s="3" t="s">
        <v>1853</v>
      </c>
      <c r="G483" s="3" t="s">
        <v>1854</v>
      </c>
      <c r="H483" s="43">
        <v>45592</v>
      </c>
      <c r="I483" s="43">
        <v>45472</v>
      </c>
      <c r="J483" s="47" t="str">
        <f>IF(GroDB3[[#This Row],[Last_Order_Date]]&lt;=GroDB3[[#This Row],[Date_Received]], "Yes", "No")</f>
        <v>Yes</v>
      </c>
      <c r="K483" s="43">
        <f>IF(GroDB3[[#This Row],[Column1]]="No",GroDB3[[#This Row],[Last_Order_Date]],GroDB3[[#This Row],[Date_Received]])</f>
        <v>45592</v>
      </c>
      <c r="L483" s="43">
        <f>IF(GroDB3[[#This Row],[Column1]]="No",GroDB3[[#This Row],[Date_Received]],GroDB3[[#This Row],[Last_Order_Date]])</f>
        <v>45472</v>
      </c>
      <c r="M483" s="43">
        <v>45642</v>
      </c>
      <c r="N483" s="3">
        <v>59</v>
      </c>
      <c r="O483" s="3">
        <v>91</v>
      </c>
      <c r="P483" s="3">
        <v>24</v>
      </c>
      <c r="Q483" s="4">
        <v>2.5</v>
      </c>
      <c r="R483" s="3">
        <v>54</v>
      </c>
      <c r="S483" s="3">
        <v>87</v>
      </c>
      <c r="T483" s="7">
        <v>0</v>
      </c>
    </row>
    <row r="484" spans="1:20" x14ac:dyDescent="0.35">
      <c r="A484" s="5" t="s">
        <v>70</v>
      </c>
      <c r="B484" s="3" t="s">
        <v>32</v>
      </c>
      <c r="C484" s="3" t="s">
        <v>334</v>
      </c>
      <c r="D484" s="3" t="s">
        <v>1855</v>
      </c>
      <c r="E484" s="3" t="s">
        <v>28</v>
      </c>
      <c r="F484" s="3" t="s">
        <v>1856</v>
      </c>
      <c r="G484" s="3" t="s">
        <v>1857</v>
      </c>
      <c r="H484" s="43">
        <v>45592</v>
      </c>
      <c r="I484" s="43">
        <v>45471</v>
      </c>
      <c r="J484" s="47" t="str">
        <f>IF(GroDB3[[#This Row],[Last_Order_Date]]&lt;=GroDB3[[#This Row],[Date_Received]], "Yes", "No")</f>
        <v>Yes</v>
      </c>
      <c r="K484" s="43">
        <f>IF(GroDB3[[#This Row],[Column1]]="No",GroDB3[[#This Row],[Last_Order_Date]],GroDB3[[#This Row],[Date_Received]])</f>
        <v>45592</v>
      </c>
      <c r="L484" s="43">
        <f>IF(GroDB3[[#This Row],[Column1]]="No",GroDB3[[#This Row],[Date_Received]],GroDB3[[#This Row],[Last_Order_Date]])</f>
        <v>45471</v>
      </c>
      <c r="M484" s="43">
        <v>45497</v>
      </c>
      <c r="N484" s="3">
        <v>12</v>
      </c>
      <c r="O484" s="3">
        <v>83</v>
      </c>
      <c r="P484" s="3">
        <v>93</v>
      </c>
      <c r="Q484" s="4">
        <v>1.75</v>
      </c>
      <c r="R484" s="3">
        <v>22</v>
      </c>
      <c r="S484" s="3">
        <v>9</v>
      </c>
      <c r="T484" s="7">
        <v>-0.61</v>
      </c>
    </row>
    <row r="485" spans="1:20" x14ac:dyDescent="0.35">
      <c r="A485" s="5" t="s">
        <v>193</v>
      </c>
      <c r="B485" s="3" t="s">
        <v>18</v>
      </c>
      <c r="C485" s="3" t="s">
        <v>48</v>
      </c>
      <c r="D485" s="3" t="s">
        <v>1858</v>
      </c>
      <c r="E485" s="3" t="s">
        <v>21</v>
      </c>
      <c r="F485" s="3" t="s">
        <v>1859</v>
      </c>
      <c r="G485" s="3" t="s">
        <v>1860</v>
      </c>
      <c r="H485" s="43">
        <v>45592</v>
      </c>
      <c r="I485" s="43">
        <v>45590</v>
      </c>
      <c r="J485" s="47" t="str">
        <f>IF(GroDB3[[#This Row],[Last_Order_Date]]&lt;=GroDB3[[#This Row],[Date_Received]], "Yes", "No")</f>
        <v>Yes</v>
      </c>
      <c r="K485" s="43">
        <f>IF(GroDB3[[#This Row],[Column1]]="No",GroDB3[[#This Row],[Last_Order_Date]],GroDB3[[#This Row],[Date_Received]])</f>
        <v>45592</v>
      </c>
      <c r="L485" s="43">
        <f>IF(GroDB3[[#This Row],[Column1]]="No",GroDB3[[#This Row],[Date_Received]],GroDB3[[#This Row],[Last_Order_Date]])</f>
        <v>45590</v>
      </c>
      <c r="M485" s="43">
        <v>45554</v>
      </c>
      <c r="N485" s="3">
        <v>75</v>
      </c>
      <c r="O485" s="3">
        <v>56</v>
      </c>
      <c r="P485" s="3">
        <v>57</v>
      </c>
      <c r="Q485" s="4">
        <v>1.9</v>
      </c>
      <c r="R485" s="3">
        <v>63</v>
      </c>
      <c r="S485" s="3">
        <v>64</v>
      </c>
      <c r="T485" s="7">
        <v>0.59</v>
      </c>
    </row>
    <row r="486" spans="1:20" x14ac:dyDescent="0.35">
      <c r="A486" s="5" t="s">
        <v>288</v>
      </c>
      <c r="B486" s="3" t="s">
        <v>60</v>
      </c>
      <c r="C486" s="3" t="s">
        <v>972</v>
      </c>
      <c r="D486" s="3" t="s">
        <v>1861</v>
      </c>
      <c r="E486" s="3" t="s">
        <v>56</v>
      </c>
      <c r="F486" s="3" t="s">
        <v>1862</v>
      </c>
      <c r="G486" s="3" t="s">
        <v>1863</v>
      </c>
      <c r="H486" s="43">
        <v>45592</v>
      </c>
      <c r="I486" s="43">
        <v>45565</v>
      </c>
      <c r="J486" s="47" t="str">
        <f>IF(GroDB3[[#This Row],[Last_Order_Date]]&lt;=GroDB3[[#This Row],[Date_Received]], "Yes", "No")</f>
        <v>Yes</v>
      </c>
      <c r="K486" s="43">
        <f>IF(GroDB3[[#This Row],[Column1]]="No",GroDB3[[#This Row],[Last_Order_Date]],GroDB3[[#This Row],[Date_Received]])</f>
        <v>45592</v>
      </c>
      <c r="L486" s="43">
        <f>IF(GroDB3[[#This Row],[Column1]]="No",GroDB3[[#This Row],[Date_Received]],GroDB3[[#This Row],[Last_Order_Date]])</f>
        <v>45565</v>
      </c>
      <c r="M486" s="43">
        <v>45533</v>
      </c>
      <c r="N486" s="3">
        <v>67</v>
      </c>
      <c r="O486" s="3">
        <v>83</v>
      </c>
      <c r="P486" s="3">
        <v>90</v>
      </c>
      <c r="Q486" s="4">
        <v>11.6</v>
      </c>
      <c r="R486" s="3">
        <v>66</v>
      </c>
      <c r="S486" s="3">
        <v>77</v>
      </c>
      <c r="T486" s="7">
        <v>-0.02</v>
      </c>
    </row>
    <row r="487" spans="1:20" x14ac:dyDescent="0.35">
      <c r="A487" s="5" t="s">
        <v>574</v>
      </c>
      <c r="B487" s="3" t="s">
        <v>53</v>
      </c>
      <c r="C487" s="3" t="s">
        <v>1286</v>
      </c>
      <c r="D487" s="3" t="s">
        <v>1864</v>
      </c>
      <c r="E487" s="3" t="s">
        <v>28</v>
      </c>
      <c r="F487" s="3" t="s">
        <v>1865</v>
      </c>
      <c r="G487" s="3" t="s">
        <v>1866</v>
      </c>
      <c r="H487" s="43">
        <v>45592</v>
      </c>
      <c r="I487" s="43">
        <v>45712</v>
      </c>
      <c r="J487" s="47" t="str">
        <f>IF(GroDB3[[#This Row],[Last_Order_Date]]&lt;=GroDB3[[#This Row],[Date_Received]], "Yes", "No")</f>
        <v>No</v>
      </c>
      <c r="K487" s="43">
        <f>IF(GroDB3[[#This Row],[Column1]]="No",GroDB3[[#This Row],[Last_Order_Date]],GroDB3[[#This Row],[Date_Received]])</f>
        <v>45712</v>
      </c>
      <c r="L487" s="43">
        <f>IF(GroDB3[[#This Row],[Column1]]="No",GroDB3[[#This Row],[Date_Received]],GroDB3[[#This Row],[Last_Order_Date]])</f>
        <v>45592</v>
      </c>
      <c r="M487" s="43">
        <v>45651</v>
      </c>
      <c r="N487" s="3">
        <v>29</v>
      </c>
      <c r="O487" s="3">
        <v>54</v>
      </c>
      <c r="P487" s="3">
        <v>54</v>
      </c>
      <c r="Q487" s="4">
        <v>2</v>
      </c>
      <c r="R487" s="3">
        <v>58</v>
      </c>
      <c r="S487" s="3">
        <v>63</v>
      </c>
      <c r="T487" s="7">
        <v>-0.17</v>
      </c>
    </row>
    <row r="488" spans="1:20" x14ac:dyDescent="0.35">
      <c r="A488" s="5" t="s">
        <v>37</v>
      </c>
      <c r="B488" s="3" t="s">
        <v>18</v>
      </c>
      <c r="C488" s="3" t="s">
        <v>268</v>
      </c>
      <c r="D488" s="3" t="s">
        <v>1867</v>
      </c>
      <c r="E488" s="3" t="s">
        <v>21</v>
      </c>
      <c r="F488" s="3" t="s">
        <v>1868</v>
      </c>
      <c r="G488" s="3" t="s">
        <v>1869</v>
      </c>
      <c r="H488" s="43">
        <v>45592</v>
      </c>
      <c r="I488" s="43">
        <v>45364</v>
      </c>
      <c r="J488" s="47" t="str">
        <f>IF(GroDB3[[#This Row],[Last_Order_Date]]&lt;=GroDB3[[#This Row],[Date_Received]], "Yes", "No")</f>
        <v>Yes</v>
      </c>
      <c r="K488" s="43">
        <f>IF(GroDB3[[#This Row],[Column1]]="No",GroDB3[[#This Row],[Last_Order_Date]],GroDB3[[#This Row],[Date_Received]])</f>
        <v>45592</v>
      </c>
      <c r="L488" s="43">
        <f>IF(GroDB3[[#This Row],[Column1]]="No",GroDB3[[#This Row],[Date_Received]],GroDB3[[#This Row],[Last_Order_Date]])</f>
        <v>45364</v>
      </c>
      <c r="M488" s="43">
        <v>45406</v>
      </c>
      <c r="N488" s="3">
        <v>61</v>
      </c>
      <c r="O488" s="3">
        <v>81</v>
      </c>
      <c r="P488" s="3">
        <v>99</v>
      </c>
      <c r="Q488" s="4">
        <v>1.5</v>
      </c>
      <c r="R488" s="3">
        <v>26</v>
      </c>
      <c r="S488" s="3">
        <v>76</v>
      </c>
      <c r="T488" s="7">
        <v>-0.09</v>
      </c>
    </row>
    <row r="489" spans="1:20" x14ac:dyDescent="0.35">
      <c r="A489" s="5" t="s">
        <v>96</v>
      </c>
      <c r="B489" s="3" t="s">
        <v>18</v>
      </c>
      <c r="C489" s="3" t="s">
        <v>1870</v>
      </c>
      <c r="D489" s="3" t="s">
        <v>1871</v>
      </c>
      <c r="E489" s="3" t="s">
        <v>56</v>
      </c>
      <c r="F489" s="3" t="s">
        <v>1872</v>
      </c>
      <c r="G489" s="3" t="s">
        <v>1873</v>
      </c>
      <c r="H489" s="43">
        <v>45593</v>
      </c>
      <c r="I489" s="43">
        <v>45483</v>
      </c>
      <c r="J489" s="47" t="str">
        <f>IF(GroDB3[[#This Row],[Last_Order_Date]]&lt;=GroDB3[[#This Row],[Date_Received]], "Yes", "No")</f>
        <v>Yes</v>
      </c>
      <c r="K489" s="43">
        <f>IF(GroDB3[[#This Row],[Column1]]="No",GroDB3[[#This Row],[Last_Order_Date]],GroDB3[[#This Row],[Date_Received]])</f>
        <v>45593</v>
      </c>
      <c r="L489" s="43">
        <f>IF(GroDB3[[#This Row],[Column1]]="No",GroDB3[[#This Row],[Date_Received]],GroDB3[[#This Row],[Last_Order_Date]])</f>
        <v>45483</v>
      </c>
      <c r="M489" s="43">
        <v>45375</v>
      </c>
      <c r="N489" s="3">
        <v>52</v>
      </c>
      <c r="O489" s="3">
        <v>22</v>
      </c>
      <c r="P489" s="3">
        <v>37</v>
      </c>
      <c r="Q489" s="4">
        <v>2.5</v>
      </c>
      <c r="R489" s="3">
        <v>56</v>
      </c>
      <c r="S489" s="3">
        <v>44</v>
      </c>
      <c r="T489" s="7">
        <v>-1.92</v>
      </c>
    </row>
    <row r="490" spans="1:20" x14ac:dyDescent="0.35">
      <c r="A490" s="5" t="s">
        <v>465</v>
      </c>
      <c r="B490" s="3" t="s">
        <v>18</v>
      </c>
      <c r="C490" s="3" t="s">
        <v>1012</v>
      </c>
      <c r="D490" s="3" t="s">
        <v>1874</v>
      </c>
      <c r="E490" s="3" t="s">
        <v>28</v>
      </c>
      <c r="F490" s="3" t="s">
        <v>1875</v>
      </c>
      <c r="G490" s="3" t="s">
        <v>1876</v>
      </c>
      <c r="H490" s="43">
        <v>45593</v>
      </c>
      <c r="I490" s="43">
        <v>45641</v>
      </c>
      <c r="J490" s="47" t="str">
        <f>IF(GroDB3[[#This Row],[Last_Order_Date]]&lt;=GroDB3[[#This Row],[Date_Received]], "Yes", "No")</f>
        <v>No</v>
      </c>
      <c r="K490" s="43">
        <f>IF(GroDB3[[#This Row],[Column1]]="No",GroDB3[[#This Row],[Last_Order_Date]],GroDB3[[#This Row],[Date_Received]])</f>
        <v>45641</v>
      </c>
      <c r="L490" s="43">
        <f>IF(GroDB3[[#This Row],[Column1]]="No",GroDB3[[#This Row],[Date_Received]],GroDB3[[#This Row],[Last_Order_Date]])</f>
        <v>45593</v>
      </c>
      <c r="M490" s="43">
        <v>45512</v>
      </c>
      <c r="N490" s="3">
        <v>28</v>
      </c>
      <c r="O490" s="3">
        <v>38</v>
      </c>
      <c r="P490" s="3">
        <v>23</v>
      </c>
      <c r="Q490" s="4">
        <v>42.58</v>
      </c>
      <c r="R490" s="3">
        <v>48</v>
      </c>
      <c r="S490" s="3">
        <v>56</v>
      </c>
      <c r="T490" s="7">
        <v>0.21</v>
      </c>
    </row>
    <row r="491" spans="1:20" x14ac:dyDescent="0.35">
      <c r="A491" s="5" t="s">
        <v>175</v>
      </c>
      <c r="B491" s="3" t="s">
        <v>53</v>
      </c>
      <c r="C491" s="3" t="s">
        <v>1877</v>
      </c>
      <c r="D491" s="3" t="s">
        <v>1878</v>
      </c>
      <c r="E491" s="3" t="s">
        <v>56</v>
      </c>
      <c r="F491" s="3" t="s">
        <v>1879</v>
      </c>
      <c r="G491" s="3" t="s">
        <v>1880</v>
      </c>
      <c r="H491" s="43">
        <v>45594</v>
      </c>
      <c r="I491" s="43">
        <v>45655</v>
      </c>
      <c r="J491" s="47" t="str">
        <f>IF(GroDB3[[#This Row],[Last_Order_Date]]&lt;=GroDB3[[#This Row],[Date_Received]], "Yes", "No")</f>
        <v>No</v>
      </c>
      <c r="K491" s="43">
        <f>IF(GroDB3[[#This Row],[Column1]]="No",GroDB3[[#This Row],[Last_Order_Date]],GroDB3[[#This Row],[Date_Received]])</f>
        <v>45655</v>
      </c>
      <c r="L491" s="43">
        <f>IF(GroDB3[[#This Row],[Column1]]="No",GroDB3[[#This Row],[Date_Received]],GroDB3[[#This Row],[Last_Order_Date]])</f>
        <v>45594</v>
      </c>
      <c r="M491" s="43">
        <v>45347</v>
      </c>
      <c r="N491" s="3">
        <v>84</v>
      </c>
      <c r="O491" s="3">
        <v>92</v>
      </c>
      <c r="P491" s="3">
        <v>18</v>
      </c>
      <c r="Q491" s="4">
        <v>1.5</v>
      </c>
      <c r="R491" s="3">
        <v>92</v>
      </c>
      <c r="S491" s="3">
        <v>69</v>
      </c>
      <c r="T491" s="7">
        <v>-0.17</v>
      </c>
    </row>
    <row r="492" spans="1:20" x14ac:dyDescent="0.35">
      <c r="A492" s="5" t="s">
        <v>495</v>
      </c>
      <c r="B492" s="3" t="s">
        <v>18</v>
      </c>
      <c r="C492" s="3" t="s">
        <v>616</v>
      </c>
      <c r="D492" s="3" t="s">
        <v>1881</v>
      </c>
      <c r="E492" s="3" t="s">
        <v>28</v>
      </c>
      <c r="F492" s="3" t="s">
        <v>1882</v>
      </c>
      <c r="G492" s="3" t="s">
        <v>1883</v>
      </c>
      <c r="H492" s="43">
        <v>45594</v>
      </c>
      <c r="I492" s="43">
        <v>45603</v>
      </c>
      <c r="J492" s="47" t="str">
        <f>IF(GroDB3[[#This Row],[Last_Order_Date]]&lt;=GroDB3[[#This Row],[Date_Received]], "Yes", "No")</f>
        <v>No</v>
      </c>
      <c r="K492" s="43">
        <f>IF(GroDB3[[#This Row],[Column1]]="No",GroDB3[[#This Row],[Last_Order_Date]],GroDB3[[#This Row],[Date_Received]])</f>
        <v>45603</v>
      </c>
      <c r="L492" s="43">
        <f>IF(GroDB3[[#This Row],[Column1]]="No",GroDB3[[#This Row],[Date_Received]],GroDB3[[#This Row],[Last_Order_Date]])</f>
        <v>45594</v>
      </c>
      <c r="M492" s="43">
        <v>45423</v>
      </c>
      <c r="N492" s="3">
        <v>79</v>
      </c>
      <c r="O492" s="3">
        <v>45</v>
      </c>
      <c r="P492" s="3">
        <v>39</v>
      </c>
      <c r="Q492" s="4">
        <v>6</v>
      </c>
      <c r="R492" s="3">
        <v>55</v>
      </c>
      <c r="S492" s="3">
        <v>20</v>
      </c>
      <c r="T492" s="7">
        <v>0.25</v>
      </c>
    </row>
    <row r="493" spans="1:20" x14ac:dyDescent="0.35">
      <c r="A493" s="5" t="s">
        <v>239</v>
      </c>
      <c r="B493" s="3" t="s">
        <v>25</v>
      </c>
      <c r="C493" s="3" t="s">
        <v>207</v>
      </c>
      <c r="D493" s="3" t="s">
        <v>1884</v>
      </c>
      <c r="E493" s="3" t="s">
        <v>28</v>
      </c>
      <c r="F493" s="3" t="s">
        <v>1885</v>
      </c>
      <c r="G493" s="3" t="s">
        <v>1886</v>
      </c>
      <c r="H493" s="43">
        <v>45594</v>
      </c>
      <c r="I493" s="43">
        <v>45584</v>
      </c>
      <c r="J493" s="47" t="str">
        <f>IF(GroDB3[[#This Row],[Last_Order_Date]]&lt;=GroDB3[[#This Row],[Date_Received]], "Yes", "No")</f>
        <v>Yes</v>
      </c>
      <c r="K493" s="43">
        <f>IF(GroDB3[[#This Row],[Column1]]="No",GroDB3[[#This Row],[Last_Order_Date]],GroDB3[[#This Row],[Date_Received]])</f>
        <v>45594</v>
      </c>
      <c r="L493" s="43">
        <f>IF(GroDB3[[#This Row],[Column1]]="No",GroDB3[[#This Row],[Date_Received]],GroDB3[[#This Row],[Last_Order_Date]])</f>
        <v>45584</v>
      </c>
      <c r="M493" s="43">
        <v>45490</v>
      </c>
      <c r="N493" s="3">
        <v>39</v>
      </c>
      <c r="O493" s="3">
        <v>78</v>
      </c>
      <c r="P493" s="3">
        <v>97</v>
      </c>
      <c r="Q493" s="4">
        <v>6.5</v>
      </c>
      <c r="R493" s="3">
        <v>54</v>
      </c>
      <c r="S493" s="3">
        <v>89</v>
      </c>
      <c r="T493" s="7">
        <v>0.64</v>
      </c>
    </row>
    <row r="494" spans="1:20" x14ac:dyDescent="0.35">
      <c r="A494" s="5" t="s">
        <v>600</v>
      </c>
      <c r="B494" s="3" t="s">
        <v>32</v>
      </c>
      <c r="C494" s="3" t="s">
        <v>1887</v>
      </c>
      <c r="D494" s="3" t="s">
        <v>1888</v>
      </c>
      <c r="E494" s="3" t="s">
        <v>21</v>
      </c>
      <c r="F494" s="3" t="s">
        <v>1889</v>
      </c>
      <c r="G494" s="3" t="s">
        <v>1890</v>
      </c>
      <c r="H494" s="43">
        <v>45594</v>
      </c>
      <c r="I494" s="43">
        <v>45391</v>
      </c>
      <c r="J494" s="47" t="str">
        <f>IF(GroDB3[[#This Row],[Last_Order_Date]]&lt;=GroDB3[[#This Row],[Date_Received]], "Yes", "No")</f>
        <v>Yes</v>
      </c>
      <c r="K494" s="43">
        <f>IF(GroDB3[[#This Row],[Column1]]="No",GroDB3[[#This Row],[Last_Order_Date]],GroDB3[[#This Row],[Date_Received]])</f>
        <v>45594</v>
      </c>
      <c r="L494" s="43">
        <f>IF(GroDB3[[#This Row],[Column1]]="No",GroDB3[[#This Row],[Date_Received]],GroDB3[[#This Row],[Last_Order_Date]])</f>
        <v>45391</v>
      </c>
      <c r="M494" s="43">
        <v>45444</v>
      </c>
      <c r="N494" s="3">
        <v>69</v>
      </c>
      <c r="O494" s="3">
        <v>98</v>
      </c>
      <c r="P494" s="3">
        <v>89</v>
      </c>
      <c r="Q494" s="4">
        <v>2.5499999999999998</v>
      </c>
      <c r="R494" s="3">
        <v>29</v>
      </c>
      <c r="S494" s="3">
        <v>34</v>
      </c>
      <c r="T494" s="7">
        <v>-0.65</v>
      </c>
    </row>
    <row r="495" spans="1:20" x14ac:dyDescent="0.35">
      <c r="A495" s="5" t="s">
        <v>446</v>
      </c>
      <c r="B495" s="3" t="s">
        <v>53</v>
      </c>
      <c r="C495" s="3" t="s">
        <v>235</v>
      </c>
      <c r="D495" s="3" t="s">
        <v>1891</v>
      </c>
      <c r="E495" s="3" t="s">
        <v>28</v>
      </c>
      <c r="F495" s="3" t="s">
        <v>1892</v>
      </c>
      <c r="G495" s="3" t="s">
        <v>1893</v>
      </c>
      <c r="H495" s="43">
        <v>45594</v>
      </c>
      <c r="I495" s="43">
        <v>45680</v>
      </c>
      <c r="J495" s="47" t="str">
        <f>IF(GroDB3[[#This Row],[Last_Order_Date]]&lt;=GroDB3[[#This Row],[Date_Received]], "Yes", "No")</f>
        <v>No</v>
      </c>
      <c r="K495" s="43">
        <f>IF(GroDB3[[#This Row],[Column1]]="No",GroDB3[[#This Row],[Last_Order_Date]],GroDB3[[#This Row],[Date_Received]])</f>
        <v>45680</v>
      </c>
      <c r="L495" s="43">
        <f>IF(GroDB3[[#This Row],[Column1]]="No",GroDB3[[#This Row],[Date_Received]],GroDB3[[#This Row],[Last_Order_Date]])</f>
        <v>45594</v>
      </c>
      <c r="M495" s="43">
        <v>45371</v>
      </c>
      <c r="N495" s="3">
        <v>77</v>
      </c>
      <c r="O495" s="3">
        <v>19</v>
      </c>
      <c r="P495" s="3">
        <v>31</v>
      </c>
      <c r="Q495" s="4">
        <v>9.5</v>
      </c>
      <c r="R495" s="3">
        <v>27</v>
      </c>
      <c r="S495" s="3">
        <v>25</v>
      </c>
      <c r="T495" s="7">
        <v>-0.17</v>
      </c>
    </row>
    <row r="496" spans="1:20" x14ac:dyDescent="0.35">
      <c r="A496" s="5" t="s">
        <v>1092</v>
      </c>
      <c r="B496" s="3" t="s">
        <v>18</v>
      </c>
      <c r="C496" s="3" t="s">
        <v>478</v>
      </c>
      <c r="D496" s="3" t="s">
        <v>1894</v>
      </c>
      <c r="E496" s="3" t="s">
        <v>21</v>
      </c>
      <c r="F496" s="3" t="s">
        <v>1895</v>
      </c>
      <c r="G496" s="3" t="s">
        <v>1896</v>
      </c>
      <c r="H496" s="43">
        <v>45594</v>
      </c>
      <c r="I496" s="43">
        <v>45484</v>
      </c>
      <c r="J496" s="47" t="str">
        <f>IF(GroDB3[[#This Row],[Last_Order_Date]]&lt;=GroDB3[[#This Row],[Date_Received]], "Yes", "No")</f>
        <v>Yes</v>
      </c>
      <c r="K496" s="43">
        <f>IF(GroDB3[[#This Row],[Column1]]="No",GroDB3[[#This Row],[Last_Order_Date]],GroDB3[[#This Row],[Date_Received]])</f>
        <v>45594</v>
      </c>
      <c r="L496" s="43">
        <f>IF(GroDB3[[#This Row],[Column1]]="No",GroDB3[[#This Row],[Date_Received]],GroDB3[[#This Row],[Last_Order_Date]])</f>
        <v>45484</v>
      </c>
      <c r="M496" s="43">
        <v>45603</v>
      </c>
      <c r="N496" s="3">
        <v>29</v>
      </c>
      <c r="O496" s="3">
        <v>66</v>
      </c>
      <c r="P496" s="3">
        <v>21</v>
      </c>
      <c r="Q496" s="4">
        <v>8</v>
      </c>
      <c r="R496" s="3">
        <v>74</v>
      </c>
      <c r="S496" s="3">
        <v>93</v>
      </c>
      <c r="T496" s="7">
        <v>7.0000000000000007E-2</v>
      </c>
    </row>
    <row r="497" spans="1:20" x14ac:dyDescent="0.35">
      <c r="A497" s="5" t="s">
        <v>230</v>
      </c>
      <c r="B497" s="3" t="s">
        <v>25</v>
      </c>
      <c r="C497" s="3" t="s">
        <v>425</v>
      </c>
      <c r="D497" s="3" t="s">
        <v>1897</v>
      </c>
      <c r="E497" s="3" t="s">
        <v>56</v>
      </c>
      <c r="F497" s="3" t="s">
        <v>1898</v>
      </c>
      <c r="G497" s="3" t="s">
        <v>1899</v>
      </c>
      <c r="H497" s="43">
        <v>45595</v>
      </c>
      <c r="I497" s="43">
        <v>45435</v>
      </c>
      <c r="J497" s="47" t="str">
        <f>IF(GroDB3[[#This Row],[Last_Order_Date]]&lt;=GroDB3[[#This Row],[Date_Received]], "Yes", "No")</f>
        <v>Yes</v>
      </c>
      <c r="K497" s="43">
        <f>IF(GroDB3[[#This Row],[Column1]]="No",GroDB3[[#This Row],[Last_Order_Date]],GroDB3[[#This Row],[Date_Received]])</f>
        <v>45595</v>
      </c>
      <c r="L497" s="43">
        <f>IF(GroDB3[[#This Row],[Column1]]="No",GroDB3[[#This Row],[Date_Received]],GroDB3[[#This Row],[Last_Order_Date]])</f>
        <v>45435</v>
      </c>
      <c r="M497" s="43">
        <v>45434</v>
      </c>
      <c r="N497" s="3">
        <v>69</v>
      </c>
      <c r="O497" s="3">
        <v>59</v>
      </c>
      <c r="P497" s="3">
        <v>29</v>
      </c>
      <c r="Q497" s="4">
        <v>1.8</v>
      </c>
      <c r="R497" s="3">
        <v>63</v>
      </c>
      <c r="S497" s="3">
        <v>91</v>
      </c>
      <c r="T497" s="7">
        <v>-0.26</v>
      </c>
    </row>
    <row r="498" spans="1:20" x14ac:dyDescent="0.35">
      <c r="A498" s="5" t="s">
        <v>230</v>
      </c>
      <c r="B498" s="3" t="s">
        <v>25</v>
      </c>
      <c r="C498" s="3" t="s">
        <v>912</v>
      </c>
      <c r="D498" s="3" t="s">
        <v>1900</v>
      </c>
      <c r="E498" s="3" t="s">
        <v>56</v>
      </c>
      <c r="F498" s="3" t="s">
        <v>1901</v>
      </c>
      <c r="G498" s="3" t="s">
        <v>1902</v>
      </c>
      <c r="H498" s="43">
        <v>45596</v>
      </c>
      <c r="I498" s="43">
        <v>45517</v>
      </c>
      <c r="J498" s="47" t="str">
        <f>IF(GroDB3[[#This Row],[Last_Order_Date]]&lt;=GroDB3[[#This Row],[Date_Received]], "Yes", "No")</f>
        <v>Yes</v>
      </c>
      <c r="K498" s="43">
        <f>IF(GroDB3[[#This Row],[Column1]]="No",GroDB3[[#This Row],[Last_Order_Date]],GroDB3[[#This Row],[Date_Received]])</f>
        <v>45596</v>
      </c>
      <c r="L498" s="43">
        <f>IF(GroDB3[[#This Row],[Column1]]="No",GroDB3[[#This Row],[Date_Received]],GroDB3[[#This Row],[Last_Order_Date]])</f>
        <v>45517</v>
      </c>
      <c r="M498" s="43">
        <v>45604</v>
      </c>
      <c r="N498" s="3">
        <v>40</v>
      </c>
      <c r="O498" s="3">
        <v>2</v>
      </c>
      <c r="P498" s="3">
        <v>58</v>
      </c>
      <c r="Q498" s="4">
        <v>1.8</v>
      </c>
      <c r="R498" s="3">
        <v>71</v>
      </c>
      <c r="S498" s="3">
        <v>10</v>
      </c>
      <c r="T498" s="7">
        <v>-0.44</v>
      </c>
    </row>
    <row r="499" spans="1:20" x14ac:dyDescent="0.35">
      <c r="A499" s="5" t="s">
        <v>293</v>
      </c>
      <c r="B499" s="3" t="s">
        <v>18</v>
      </c>
      <c r="C499" s="3" t="s">
        <v>157</v>
      </c>
      <c r="D499" s="3" t="s">
        <v>1903</v>
      </c>
      <c r="E499" s="3" t="s">
        <v>21</v>
      </c>
      <c r="F499" s="3" t="s">
        <v>1904</v>
      </c>
      <c r="G499" s="3" t="s">
        <v>1905</v>
      </c>
      <c r="H499" s="43">
        <v>45596</v>
      </c>
      <c r="I499" s="43">
        <v>45450</v>
      </c>
      <c r="J499" s="47" t="str">
        <f>IF(GroDB3[[#This Row],[Last_Order_Date]]&lt;=GroDB3[[#This Row],[Date_Received]], "Yes", "No")</f>
        <v>Yes</v>
      </c>
      <c r="K499" s="43">
        <f>IF(GroDB3[[#This Row],[Column1]]="No",GroDB3[[#This Row],[Last_Order_Date]],GroDB3[[#This Row],[Date_Received]])</f>
        <v>45596</v>
      </c>
      <c r="L499" s="43">
        <f>IF(GroDB3[[#This Row],[Column1]]="No",GroDB3[[#This Row],[Date_Received]],GroDB3[[#This Row],[Last_Order_Date]])</f>
        <v>45450</v>
      </c>
      <c r="M499" s="43">
        <v>45374</v>
      </c>
      <c r="N499" s="3">
        <v>68</v>
      </c>
      <c r="O499" s="3">
        <v>10</v>
      </c>
      <c r="P499" s="3">
        <v>29</v>
      </c>
      <c r="Q499" s="4">
        <v>2</v>
      </c>
      <c r="R499" s="3">
        <v>37</v>
      </c>
      <c r="S499" s="3">
        <v>11</v>
      </c>
      <c r="T499" s="7">
        <v>0.86</v>
      </c>
    </row>
    <row r="500" spans="1:20" x14ac:dyDescent="0.35">
      <c r="A500" s="5" t="s">
        <v>817</v>
      </c>
      <c r="B500" s="3" t="s">
        <v>18</v>
      </c>
      <c r="C500" s="3" t="s">
        <v>1906</v>
      </c>
      <c r="D500" s="3" t="s">
        <v>1907</v>
      </c>
      <c r="E500" s="3" t="s">
        <v>28</v>
      </c>
      <c r="F500" s="3" t="s">
        <v>1908</v>
      </c>
      <c r="G500" s="3" t="s">
        <v>1909</v>
      </c>
      <c r="H500" s="43">
        <v>45596</v>
      </c>
      <c r="I500" s="43">
        <v>45405</v>
      </c>
      <c r="J500" s="47" t="str">
        <f>IF(GroDB3[[#This Row],[Last_Order_Date]]&lt;=GroDB3[[#This Row],[Date_Received]], "Yes", "No")</f>
        <v>Yes</v>
      </c>
      <c r="K500" s="43">
        <f>IF(GroDB3[[#This Row],[Column1]]="No",GroDB3[[#This Row],[Last_Order_Date]],GroDB3[[#This Row],[Date_Received]])</f>
        <v>45596</v>
      </c>
      <c r="L500" s="43">
        <f>IF(GroDB3[[#This Row],[Column1]]="No",GroDB3[[#This Row],[Date_Received]],GroDB3[[#This Row],[Last_Order_Date]])</f>
        <v>45405</v>
      </c>
      <c r="M500" s="43">
        <v>45636</v>
      </c>
      <c r="N500" s="3">
        <v>75</v>
      </c>
      <c r="O500" s="3">
        <v>91</v>
      </c>
      <c r="P500" s="3">
        <v>68</v>
      </c>
      <c r="Q500" s="4">
        <v>3</v>
      </c>
      <c r="R500" s="3">
        <v>96</v>
      </c>
      <c r="S500" s="3">
        <v>73</v>
      </c>
      <c r="T500" s="7">
        <v>0.7</v>
      </c>
    </row>
    <row r="501" spans="1:20" x14ac:dyDescent="0.35">
      <c r="A501" s="5" t="s">
        <v>225</v>
      </c>
      <c r="B501" s="3" t="s">
        <v>91</v>
      </c>
      <c r="C501" s="3" t="s">
        <v>482</v>
      </c>
      <c r="D501" s="3" t="s">
        <v>1910</v>
      </c>
      <c r="E501" s="3" t="s">
        <v>28</v>
      </c>
      <c r="F501" s="3" t="s">
        <v>1911</v>
      </c>
      <c r="G501" s="3" t="s">
        <v>1912</v>
      </c>
      <c r="H501" s="43">
        <v>45609</v>
      </c>
      <c r="I501" s="43">
        <v>45562</v>
      </c>
      <c r="J501" s="47" t="str">
        <f>IF(GroDB3[[#This Row],[Last_Order_Date]]&lt;=GroDB3[[#This Row],[Date_Received]], "Yes", "No")</f>
        <v>Yes</v>
      </c>
      <c r="K501" s="43">
        <f>IF(GroDB3[[#This Row],[Column1]]="No",GroDB3[[#This Row],[Last_Order_Date]],GroDB3[[#This Row],[Date_Received]])</f>
        <v>45609</v>
      </c>
      <c r="L501" s="43">
        <f>IF(GroDB3[[#This Row],[Column1]]="No",GroDB3[[#This Row],[Date_Received]],GroDB3[[#This Row],[Last_Order_Date]])</f>
        <v>45562</v>
      </c>
      <c r="M501" s="43">
        <v>45489</v>
      </c>
      <c r="N501" s="3">
        <v>68</v>
      </c>
      <c r="O501" s="3">
        <v>29</v>
      </c>
      <c r="P501" s="3">
        <v>100</v>
      </c>
      <c r="Q501" s="4">
        <v>5</v>
      </c>
      <c r="R501" s="3">
        <v>70</v>
      </c>
      <c r="S501" s="3">
        <v>26</v>
      </c>
      <c r="T501" s="7">
        <v>0.24</v>
      </c>
    </row>
    <row r="502" spans="1:20" x14ac:dyDescent="0.35">
      <c r="A502" s="5" t="s">
        <v>126</v>
      </c>
      <c r="B502" s="3" t="s">
        <v>127</v>
      </c>
      <c r="C502" s="3" t="s">
        <v>1913</v>
      </c>
      <c r="D502" s="3" t="s">
        <v>1914</v>
      </c>
      <c r="E502" s="3" t="s">
        <v>56</v>
      </c>
      <c r="F502" s="3" t="s">
        <v>1915</v>
      </c>
      <c r="G502" s="3" t="s">
        <v>1916</v>
      </c>
      <c r="H502" s="43">
        <v>45609</v>
      </c>
      <c r="I502" s="43">
        <v>45530</v>
      </c>
      <c r="J502" s="47" t="str">
        <f>IF(GroDB3[[#This Row],[Last_Order_Date]]&lt;=GroDB3[[#This Row],[Date_Received]], "Yes", "No")</f>
        <v>Yes</v>
      </c>
      <c r="K502" s="43">
        <f>IF(GroDB3[[#This Row],[Column1]]="No",GroDB3[[#This Row],[Last_Order_Date]],GroDB3[[#This Row],[Date_Received]])</f>
        <v>45609</v>
      </c>
      <c r="L502" s="43">
        <f>IF(GroDB3[[#This Row],[Column1]]="No",GroDB3[[#This Row],[Date_Received]],GroDB3[[#This Row],[Last_Order_Date]])</f>
        <v>45530</v>
      </c>
      <c r="M502" s="43">
        <v>45527</v>
      </c>
      <c r="N502" s="3">
        <v>78</v>
      </c>
      <c r="O502" s="3">
        <v>34</v>
      </c>
      <c r="P502" s="3">
        <v>39</v>
      </c>
      <c r="Q502" s="4">
        <v>20.5</v>
      </c>
      <c r="R502" s="3">
        <v>62</v>
      </c>
      <c r="S502" s="3">
        <v>2</v>
      </c>
      <c r="T502" s="7">
        <v>0.63</v>
      </c>
    </row>
    <row r="503" spans="1:20" x14ac:dyDescent="0.35">
      <c r="A503" s="5" t="s">
        <v>70</v>
      </c>
      <c r="B503" s="3" t="s">
        <v>32</v>
      </c>
      <c r="C503" s="3" t="s">
        <v>1671</v>
      </c>
      <c r="D503" s="3" t="s">
        <v>1917</v>
      </c>
      <c r="E503" s="3" t="s">
        <v>28</v>
      </c>
      <c r="F503" s="3" t="s">
        <v>1918</v>
      </c>
      <c r="G503" s="3" t="s">
        <v>1919</v>
      </c>
      <c r="H503" s="43">
        <v>45610</v>
      </c>
      <c r="I503" s="43">
        <v>45435</v>
      </c>
      <c r="J503" s="47" t="str">
        <f>IF(GroDB3[[#This Row],[Last_Order_Date]]&lt;=GroDB3[[#This Row],[Date_Received]], "Yes", "No")</f>
        <v>Yes</v>
      </c>
      <c r="K503" s="43">
        <f>IF(GroDB3[[#This Row],[Column1]]="No",GroDB3[[#This Row],[Last_Order_Date]],GroDB3[[#This Row],[Date_Received]])</f>
        <v>45610</v>
      </c>
      <c r="L503" s="43">
        <f>IF(GroDB3[[#This Row],[Column1]]="No",GroDB3[[#This Row],[Date_Received]],GroDB3[[#This Row],[Last_Order_Date]])</f>
        <v>45435</v>
      </c>
      <c r="M503" s="43">
        <v>45579</v>
      </c>
      <c r="N503" s="3">
        <v>76</v>
      </c>
      <c r="O503" s="3">
        <v>98</v>
      </c>
      <c r="P503" s="3">
        <v>41</v>
      </c>
      <c r="Q503" s="4">
        <v>1.75</v>
      </c>
      <c r="R503" s="3">
        <v>62</v>
      </c>
      <c r="S503" s="3">
        <v>48</v>
      </c>
      <c r="T503" s="7">
        <v>0.97</v>
      </c>
    </row>
    <row r="504" spans="1:20" x14ac:dyDescent="0.35">
      <c r="A504" s="5" t="s">
        <v>1202</v>
      </c>
      <c r="B504" s="3" t="s">
        <v>18</v>
      </c>
      <c r="C504" s="3" t="s">
        <v>813</v>
      </c>
      <c r="D504" s="3" t="s">
        <v>1920</v>
      </c>
      <c r="E504" s="3" t="s">
        <v>21</v>
      </c>
      <c r="F504" s="3" t="s">
        <v>1921</v>
      </c>
      <c r="G504" s="3" t="s">
        <v>1922</v>
      </c>
      <c r="H504" s="43">
        <v>45610</v>
      </c>
      <c r="I504" s="43">
        <v>45626</v>
      </c>
      <c r="J504" s="47" t="str">
        <f>IF(GroDB3[[#This Row],[Last_Order_Date]]&lt;=GroDB3[[#This Row],[Date_Received]], "Yes", "No")</f>
        <v>No</v>
      </c>
      <c r="K504" s="43">
        <f>IF(GroDB3[[#This Row],[Column1]]="No",GroDB3[[#This Row],[Last_Order_Date]],GroDB3[[#This Row],[Date_Received]])</f>
        <v>45626</v>
      </c>
      <c r="L504" s="43">
        <f>IF(GroDB3[[#This Row],[Column1]]="No",GroDB3[[#This Row],[Date_Received]],GroDB3[[#This Row],[Last_Order_Date]])</f>
        <v>45610</v>
      </c>
      <c r="M504" s="43">
        <v>45373</v>
      </c>
      <c r="N504" s="3">
        <v>27</v>
      </c>
      <c r="O504" s="3">
        <v>64</v>
      </c>
      <c r="P504" s="3">
        <v>43</v>
      </c>
      <c r="Q504" s="4">
        <v>3</v>
      </c>
      <c r="R504" s="3">
        <v>70</v>
      </c>
      <c r="S504" s="3">
        <v>58</v>
      </c>
      <c r="T504" s="7">
        <v>0.23</v>
      </c>
    </row>
    <row r="505" spans="1:20" x14ac:dyDescent="0.35">
      <c r="A505" s="5" t="s">
        <v>126</v>
      </c>
      <c r="B505" s="3" t="s">
        <v>127</v>
      </c>
      <c r="C505" s="3" t="s">
        <v>1318</v>
      </c>
      <c r="D505" s="3" t="s">
        <v>1923</v>
      </c>
      <c r="E505" s="3" t="s">
        <v>56</v>
      </c>
      <c r="F505" s="3" t="s">
        <v>1924</v>
      </c>
      <c r="G505" s="3" t="s">
        <v>1925</v>
      </c>
      <c r="H505" s="43">
        <v>45611</v>
      </c>
      <c r="I505" s="43">
        <v>45349</v>
      </c>
      <c r="J505" s="47" t="str">
        <f>IF(GroDB3[[#This Row],[Last_Order_Date]]&lt;=GroDB3[[#This Row],[Date_Received]], "Yes", "No")</f>
        <v>Yes</v>
      </c>
      <c r="K505" s="43">
        <f>IF(GroDB3[[#This Row],[Column1]]="No",GroDB3[[#This Row],[Last_Order_Date]],GroDB3[[#This Row],[Date_Received]])</f>
        <v>45611</v>
      </c>
      <c r="L505" s="43">
        <f>IF(GroDB3[[#This Row],[Column1]]="No",GroDB3[[#This Row],[Date_Received]],GroDB3[[#This Row],[Last_Order_Date]])</f>
        <v>45349</v>
      </c>
      <c r="M505" s="43">
        <v>45693</v>
      </c>
      <c r="N505" s="3">
        <v>74</v>
      </c>
      <c r="O505" s="3">
        <v>72</v>
      </c>
      <c r="P505" s="3">
        <v>18</v>
      </c>
      <c r="Q505" s="4">
        <v>21</v>
      </c>
      <c r="R505" s="3">
        <v>83</v>
      </c>
      <c r="S505" s="3">
        <v>54</v>
      </c>
      <c r="T505" s="7">
        <v>0.17</v>
      </c>
    </row>
    <row r="506" spans="1:20" x14ac:dyDescent="0.35">
      <c r="A506" s="5" t="s">
        <v>175</v>
      </c>
      <c r="B506" s="3" t="s">
        <v>53</v>
      </c>
      <c r="C506" s="3" t="s">
        <v>1926</v>
      </c>
      <c r="D506" s="3" t="s">
        <v>1927</v>
      </c>
      <c r="E506" s="3" t="s">
        <v>56</v>
      </c>
      <c r="F506" s="3" t="s">
        <v>1928</v>
      </c>
      <c r="G506" s="3" t="s">
        <v>1929</v>
      </c>
      <c r="H506" s="43">
        <v>45612</v>
      </c>
      <c r="I506" s="43">
        <v>45360</v>
      </c>
      <c r="J506" s="47" t="str">
        <f>IF(GroDB3[[#This Row],[Last_Order_Date]]&lt;=GroDB3[[#This Row],[Date_Received]], "Yes", "No")</f>
        <v>Yes</v>
      </c>
      <c r="K506" s="43">
        <f>IF(GroDB3[[#This Row],[Column1]]="No",GroDB3[[#This Row],[Last_Order_Date]],GroDB3[[#This Row],[Date_Received]])</f>
        <v>45612</v>
      </c>
      <c r="L506" s="43">
        <f>IF(GroDB3[[#This Row],[Column1]]="No",GroDB3[[#This Row],[Date_Received]],GroDB3[[#This Row],[Last_Order_Date]])</f>
        <v>45360</v>
      </c>
      <c r="M506" s="43">
        <v>45387</v>
      </c>
      <c r="N506" s="3">
        <v>27</v>
      </c>
      <c r="O506" s="3">
        <v>93</v>
      </c>
      <c r="P506" s="3">
        <v>88</v>
      </c>
      <c r="Q506" s="4">
        <v>1.5</v>
      </c>
      <c r="R506" s="3">
        <v>66</v>
      </c>
      <c r="S506" s="3">
        <v>13</v>
      </c>
      <c r="T506" s="7">
        <v>0.35</v>
      </c>
    </row>
    <row r="507" spans="1:20" x14ac:dyDescent="0.35">
      <c r="A507" s="5" t="s">
        <v>198</v>
      </c>
      <c r="B507" s="3" t="s">
        <v>53</v>
      </c>
      <c r="C507" s="3" t="s">
        <v>778</v>
      </c>
      <c r="D507" s="3" t="s">
        <v>1930</v>
      </c>
      <c r="E507" s="3" t="s">
        <v>28</v>
      </c>
      <c r="F507" s="3" t="s">
        <v>1931</v>
      </c>
      <c r="G507" s="3" t="s">
        <v>1932</v>
      </c>
      <c r="H507" s="43">
        <v>45612</v>
      </c>
      <c r="I507" s="43">
        <v>45460</v>
      </c>
      <c r="J507" s="47" t="str">
        <f>IF(GroDB3[[#This Row],[Last_Order_Date]]&lt;=GroDB3[[#This Row],[Date_Received]], "Yes", "No")</f>
        <v>Yes</v>
      </c>
      <c r="K507" s="43">
        <f>IF(GroDB3[[#This Row],[Column1]]="No",GroDB3[[#This Row],[Last_Order_Date]],GroDB3[[#This Row],[Date_Received]])</f>
        <v>45612</v>
      </c>
      <c r="L507" s="43">
        <f>IF(GroDB3[[#This Row],[Column1]]="No",GroDB3[[#This Row],[Date_Received]],GroDB3[[#This Row],[Last_Order_Date]])</f>
        <v>45460</v>
      </c>
      <c r="M507" s="43">
        <v>45694</v>
      </c>
      <c r="N507" s="3">
        <v>15</v>
      </c>
      <c r="O507" s="3">
        <v>76</v>
      </c>
      <c r="P507" s="3">
        <v>81</v>
      </c>
      <c r="Q507" s="4">
        <v>2</v>
      </c>
      <c r="R507" s="3">
        <v>90</v>
      </c>
      <c r="S507" s="3">
        <v>26</v>
      </c>
      <c r="T507" s="7">
        <v>0.8</v>
      </c>
    </row>
    <row r="508" spans="1:20" x14ac:dyDescent="0.35">
      <c r="A508" s="5" t="s">
        <v>600</v>
      </c>
      <c r="B508" s="3" t="s">
        <v>32</v>
      </c>
      <c r="C508" s="3" t="s">
        <v>1271</v>
      </c>
      <c r="D508" s="3" t="s">
        <v>1933</v>
      </c>
      <c r="E508" s="3" t="s">
        <v>56</v>
      </c>
      <c r="F508" s="3" t="s">
        <v>1934</v>
      </c>
      <c r="G508" s="3" t="s">
        <v>1935</v>
      </c>
      <c r="H508" s="43">
        <v>45612</v>
      </c>
      <c r="I508" s="43">
        <v>45531</v>
      </c>
      <c r="J508" s="47" t="str">
        <f>IF(GroDB3[[#This Row],[Last_Order_Date]]&lt;=GroDB3[[#This Row],[Date_Received]], "Yes", "No")</f>
        <v>Yes</v>
      </c>
      <c r="K508" s="43">
        <f>IF(GroDB3[[#This Row],[Column1]]="No",GroDB3[[#This Row],[Last_Order_Date]],GroDB3[[#This Row],[Date_Received]])</f>
        <v>45612</v>
      </c>
      <c r="L508" s="43">
        <f>IF(GroDB3[[#This Row],[Column1]]="No",GroDB3[[#This Row],[Date_Received]],GroDB3[[#This Row],[Last_Order_Date]])</f>
        <v>45531</v>
      </c>
      <c r="M508" s="43">
        <v>45580</v>
      </c>
      <c r="N508" s="3">
        <v>60</v>
      </c>
      <c r="O508" s="3">
        <v>1</v>
      </c>
      <c r="P508" s="3">
        <v>42</v>
      </c>
      <c r="Q508" s="4">
        <v>2.4500000000000002</v>
      </c>
      <c r="R508" s="3">
        <v>42</v>
      </c>
      <c r="S508" s="3">
        <v>91</v>
      </c>
      <c r="T508" s="7">
        <v>0.71</v>
      </c>
    </row>
    <row r="509" spans="1:20" x14ac:dyDescent="0.35">
      <c r="A509" s="5" t="s">
        <v>165</v>
      </c>
      <c r="B509" s="3" t="s">
        <v>60</v>
      </c>
      <c r="C509" s="3" t="s">
        <v>1617</v>
      </c>
      <c r="D509" s="3" t="s">
        <v>1936</v>
      </c>
      <c r="E509" s="3" t="s">
        <v>28</v>
      </c>
      <c r="F509" s="3" t="s">
        <v>1937</v>
      </c>
      <c r="G509" s="3" t="s">
        <v>1938</v>
      </c>
      <c r="H509" s="43">
        <v>45613</v>
      </c>
      <c r="I509" s="43">
        <v>45448</v>
      </c>
      <c r="J509" s="47" t="str">
        <f>IF(GroDB3[[#This Row],[Last_Order_Date]]&lt;=GroDB3[[#This Row],[Date_Received]], "Yes", "No")</f>
        <v>Yes</v>
      </c>
      <c r="K509" s="43">
        <f>IF(GroDB3[[#This Row],[Column1]]="No",GroDB3[[#This Row],[Last_Order_Date]],GroDB3[[#This Row],[Date_Received]])</f>
        <v>45613</v>
      </c>
      <c r="L509" s="43">
        <f>IF(GroDB3[[#This Row],[Column1]]="No",GroDB3[[#This Row],[Date_Received]],GroDB3[[#This Row],[Last_Order_Date]])</f>
        <v>45448</v>
      </c>
      <c r="M509" s="43">
        <v>45359</v>
      </c>
      <c r="N509" s="3">
        <v>95</v>
      </c>
      <c r="O509" s="3">
        <v>63</v>
      </c>
      <c r="P509" s="3">
        <v>73</v>
      </c>
      <c r="Q509" s="4">
        <v>7</v>
      </c>
      <c r="R509" s="3">
        <v>61</v>
      </c>
      <c r="S509" s="3">
        <v>38</v>
      </c>
      <c r="T509" s="7">
        <v>-1.17</v>
      </c>
    </row>
    <row r="510" spans="1:20" x14ac:dyDescent="0.35">
      <c r="A510" s="5" t="s">
        <v>126</v>
      </c>
      <c r="B510" s="3" t="s">
        <v>127</v>
      </c>
      <c r="C510" s="3" t="s">
        <v>128</v>
      </c>
      <c r="D510" s="3" t="s">
        <v>1939</v>
      </c>
      <c r="E510" s="3" t="s">
        <v>21</v>
      </c>
      <c r="F510" s="3" t="s">
        <v>1940</v>
      </c>
      <c r="G510" s="3" t="s">
        <v>1941</v>
      </c>
      <c r="H510" s="43">
        <v>45613</v>
      </c>
      <c r="I510" s="43">
        <v>45537</v>
      </c>
      <c r="J510" s="47" t="str">
        <f>IF(GroDB3[[#This Row],[Last_Order_Date]]&lt;=GroDB3[[#This Row],[Date_Received]], "Yes", "No")</f>
        <v>Yes</v>
      </c>
      <c r="K510" s="43">
        <f>IF(GroDB3[[#This Row],[Column1]]="No",GroDB3[[#This Row],[Last_Order_Date]],GroDB3[[#This Row],[Date_Received]])</f>
        <v>45613</v>
      </c>
      <c r="L510" s="43">
        <f>IF(GroDB3[[#This Row],[Column1]]="No",GroDB3[[#This Row],[Date_Received]],GroDB3[[#This Row],[Last_Order_Date]])</f>
        <v>45537</v>
      </c>
      <c r="M510" s="43">
        <v>45542</v>
      </c>
      <c r="N510" s="3">
        <v>21</v>
      </c>
      <c r="O510" s="3">
        <v>87</v>
      </c>
      <c r="P510" s="3">
        <v>12</v>
      </c>
      <c r="Q510" s="4">
        <v>21</v>
      </c>
      <c r="R510" s="3">
        <v>20</v>
      </c>
      <c r="S510" s="3">
        <v>38</v>
      </c>
      <c r="T510" s="7">
        <v>0.38</v>
      </c>
    </row>
    <row r="511" spans="1:20" x14ac:dyDescent="0.35">
      <c r="A511" s="5" t="s">
        <v>1445</v>
      </c>
      <c r="B511" s="3" t="s">
        <v>18</v>
      </c>
      <c r="C511" s="3" t="s">
        <v>338</v>
      </c>
      <c r="D511" s="3" t="s">
        <v>1942</v>
      </c>
      <c r="E511" s="3" t="s">
        <v>21</v>
      </c>
      <c r="F511" s="3" t="s">
        <v>1943</v>
      </c>
      <c r="G511" s="3" t="s">
        <v>1944</v>
      </c>
      <c r="H511" s="43">
        <v>45613</v>
      </c>
      <c r="I511" s="43">
        <v>45699</v>
      </c>
      <c r="J511" s="47" t="str">
        <f>IF(GroDB3[[#This Row],[Last_Order_Date]]&lt;=GroDB3[[#This Row],[Date_Received]], "Yes", "No")</f>
        <v>No</v>
      </c>
      <c r="K511" s="43">
        <f>IF(GroDB3[[#This Row],[Column1]]="No",GroDB3[[#This Row],[Last_Order_Date]],GroDB3[[#This Row],[Date_Received]])</f>
        <v>45699</v>
      </c>
      <c r="L511" s="43">
        <f>IF(GroDB3[[#This Row],[Column1]]="No",GroDB3[[#This Row],[Date_Received]],GroDB3[[#This Row],[Last_Order_Date]])</f>
        <v>45613</v>
      </c>
      <c r="M511" s="43">
        <v>45415</v>
      </c>
      <c r="N511" s="3">
        <v>89</v>
      </c>
      <c r="O511" s="3">
        <v>15</v>
      </c>
      <c r="P511" s="3">
        <v>22</v>
      </c>
      <c r="Q511" s="4">
        <v>10</v>
      </c>
      <c r="R511" s="3">
        <v>79</v>
      </c>
      <c r="S511" s="3">
        <v>42</v>
      </c>
      <c r="T511" s="7">
        <v>-0.9</v>
      </c>
    </row>
    <row r="512" spans="1:20" x14ac:dyDescent="0.35">
      <c r="A512" s="5" t="s">
        <v>276</v>
      </c>
      <c r="B512" s="3" t="s">
        <v>18</v>
      </c>
      <c r="C512" s="3" t="s">
        <v>203</v>
      </c>
      <c r="D512" s="3" t="s">
        <v>1945</v>
      </c>
      <c r="E512" s="3" t="s">
        <v>56</v>
      </c>
      <c r="F512" s="3" t="s">
        <v>1946</v>
      </c>
      <c r="G512" s="3" t="s">
        <v>1947</v>
      </c>
      <c r="H512" s="43">
        <v>45613</v>
      </c>
      <c r="I512" s="43">
        <v>45366</v>
      </c>
      <c r="J512" s="47" t="str">
        <f>IF(GroDB3[[#This Row],[Last_Order_Date]]&lt;=GroDB3[[#This Row],[Date_Received]], "Yes", "No")</f>
        <v>Yes</v>
      </c>
      <c r="K512" s="43">
        <f>IF(GroDB3[[#This Row],[Column1]]="No",GroDB3[[#This Row],[Last_Order_Date]],GroDB3[[#This Row],[Date_Received]])</f>
        <v>45613</v>
      </c>
      <c r="L512" s="43">
        <f>IF(GroDB3[[#This Row],[Column1]]="No",GroDB3[[#This Row],[Date_Received]],GroDB3[[#This Row],[Last_Order_Date]])</f>
        <v>45366</v>
      </c>
      <c r="M512" s="43">
        <v>45587</v>
      </c>
      <c r="N512" s="3">
        <v>14</v>
      </c>
      <c r="O512" s="3">
        <v>81</v>
      </c>
      <c r="P512" s="3">
        <v>65</v>
      </c>
      <c r="Q512" s="4">
        <v>3.5</v>
      </c>
      <c r="R512" s="3">
        <v>74</v>
      </c>
      <c r="S512" s="3">
        <v>84</v>
      </c>
      <c r="T512" s="7">
        <v>0.47</v>
      </c>
    </row>
    <row r="513" spans="1:20" x14ac:dyDescent="0.35">
      <c r="A513" s="5" t="s">
        <v>137</v>
      </c>
      <c r="B513" s="3" t="s">
        <v>18</v>
      </c>
      <c r="C513" s="3" t="s">
        <v>1160</v>
      </c>
      <c r="D513" s="3" t="s">
        <v>1948</v>
      </c>
      <c r="E513" s="3" t="s">
        <v>21</v>
      </c>
      <c r="F513" s="3" t="s">
        <v>1949</v>
      </c>
      <c r="G513" s="3" t="s">
        <v>1950</v>
      </c>
      <c r="H513" s="43">
        <v>45613</v>
      </c>
      <c r="I513" s="43">
        <v>45498</v>
      </c>
      <c r="J513" s="47" t="str">
        <f>IF(GroDB3[[#This Row],[Last_Order_Date]]&lt;=GroDB3[[#This Row],[Date_Received]], "Yes", "No")</f>
        <v>Yes</v>
      </c>
      <c r="K513" s="43">
        <f>IF(GroDB3[[#This Row],[Column1]]="No",GroDB3[[#This Row],[Last_Order_Date]],GroDB3[[#This Row],[Date_Received]])</f>
        <v>45613</v>
      </c>
      <c r="L513" s="43">
        <f>IF(GroDB3[[#This Row],[Column1]]="No",GroDB3[[#This Row],[Date_Received]],GroDB3[[#This Row],[Last_Order_Date]])</f>
        <v>45498</v>
      </c>
      <c r="M513" s="43">
        <v>45605</v>
      </c>
      <c r="N513" s="3">
        <v>32</v>
      </c>
      <c r="O513" s="3">
        <v>63</v>
      </c>
      <c r="P513" s="3">
        <v>92</v>
      </c>
      <c r="Q513" s="4">
        <v>4.9000000000000004</v>
      </c>
      <c r="R513" s="3">
        <v>84</v>
      </c>
      <c r="S513" s="3">
        <v>34</v>
      </c>
      <c r="T513" s="7">
        <v>-0.14000000000000001</v>
      </c>
    </row>
    <row r="514" spans="1:20" x14ac:dyDescent="0.35">
      <c r="A514" s="5" t="s">
        <v>976</v>
      </c>
      <c r="B514" s="3" t="s">
        <v>60</v>
      </c>
      <c r="C514" s="3" t="s">
        <v>926</v>
      </c>
      <c r="D514" s="3" t="s">
        <v>1951</v>
      </c>
      <c r="E514" s="3" t="s">
        <v>28</v>
      </c>
      <c r="F514" s="3" t="s">
        <v>1952</v>
      </c>
      <c r="G514" s="3" t="s">
        <v>1953</v>
      </c>
      <c r="H514" s="43">
        <v>45613</v>
      </c>
      <c r="I514" s="43">
        <v>45410</v>
      </c>
      <c r="J514" s="47" t="str">
        <f>IF(GroDB3[[#This Row],[Last_Order_Date]]&lt;=GroDB3[[#This Row],[Date_Received]], "Yes", "No")</f>
        <v>Yes</v>
      </c>
      <c r="K514" s="43">
        <f>IF(GroDB3[[#This Row],[Column1]]="No",GroDB3[[#This Row],[Last_Order_Date]],GroDB3[[#This Row],[Date_Received]])</f>
        <v>45613</v>
      </c>
      <c r="L514" s="43">
        <f>IF(GroDB3[[#This Row],[Column1]]="No",GroDB3[[#This Row],[Date_Received]],GroDB3[[#This Row],[Last_Order_Date]])</f>
        <v>45410</v>
      </c>
      <c r="M514" s="43">
        <v>45580</v>
      </c>
      <c r="N514" s="3">
        <v>68</v>
      </c>
      <c r="O514" s="3">
        <v>43</v>
      </c>
      <c r="P514" s="3">
        <v>96</v>
      </c>
      <c r="Q514" s="4">
        <v>20</v>
      </c>
      <c r="R514" s="3">
        <v>75</v>
      </c>
      <c r="S514" s="3">
        <v>35</v>
      </c>
      <c r="T514" s="7">
        <v>0.6</v>
      </c>
    </row>
    <row r="515" spans="1:20" x14ac:dyDescent="0.35">
      <c r="A515" s="5" t="s">
        <v>272</v>
      </c>
      <c r="B515" s="3" t="s">
        <v>32</v>
      </c>
      <c r="C515" s="3" t="s">
        <v>372</v>
      </c>
      <c r="D515" s="3" t="s">
        <v>1954</v>
      </c>
      <c r="E515" s="3" t="s">
        <v>56</v>
      </c>
      <c r="F515" s="3" t="s">
        <v>1955</v>
      </c>
      <c r="G515" s="3" t="s">
        <v>1956</v>
      </c>
      <c r="H515" s="43">
        <v>45614</v>
      </c>
      <c r="I515" s="43">
        <v>45610</v>
      </c>
      <c r="J515" s="47" t="str">
        <f>IF(GroDB3[[#This Row],[Last_Order_Date]]&lt;=GroDB3[[#This Row],[Date_Received]], "Yes", "No")</f>
        <v>Yes</v>
      </c>
      <c r="K515" s="43">
        <f>IF(GroDB3[[#This Row],[Column1]]="No",GroDB3[[#This Row],[Last_Order_Date]],GroDB3[[#This Row],[Date_Received]])</f>
        <v>45614</v>
      </c>
      <c r="L515" s="43">
        <f>IF(GroDB3[[#This Row],[Column1]]="No",GroDB3[[#This Row],[Date_Received]],GroDB3[[#This Row],[Last_Order_Date]])</f>
        <v>45610</v>
      </c>
      <c r="M515" s="43">
        <v>45481</v>
      </c>
      <c r="N515" s="3">
        <v>43</v>
      </c>
      <c r="O515" s="3">
        <v>10</v>
      </c>
      <c r="P515" s="3">
        <v>15</v>
      </c>
      <c r="Q515" s="4">
        <v>1</v>
      </c>
      <c r="R515" s="3">
        <v>27</v>
      </c>
      <c r="S515" s="3">
        <v>69</v>
      </c>
      <c r="T515" s="7">
        <v>0.53</v>
      </c>
    </row>
    <row r="516" spans="1:20" x14ac:dyDescent="0.35">
      <c r="A516" s="5" t="s">
        <v>342</v>
      </c>
      <c r="B516" s="3" t="s">
        <v>18</v>
      </c>
      <c r="C516" s="3" t="s">
        <v>207</v>
      </c>
      <c r="D516" s="3" t="s">
        <v>1957</v>
      </c>
      <c r="E516" s="3" t="s">
        <v>21</v>
      </c>
      <c r="F516" s="3" t="s">
        <v>1958</v>
      </c>
      <c r="G516" s="3" t="s">
        <v>1959</v>
      </c>
      <c r="H516" s="43">
        <v>45614</v>
      </c>
      <c r="I516" s="43">
        <v>45468</v>
      </c>
      <c r="J516" s="47" t="str">
        <f>IF(GroDB3[[#This Row],[Last_Order_Date]]&lt;=GroDB3[[#This Row],[Date_Received]], "Yes", "No")</f>
        <v>Yes</v>
      </c>
      <c r="K516" s="43">
        <f>IF(GroDB3[[#This Row],[Column1]]="No",GroDB3[[#This Row],[Last_Order_Date]],GroDB3[[#This Row],[Date_Received]])</f>
        <v>45614</v>
      </c>
      <c r="L516" s="43">
        <f>IF(GroDB3[[#This Row],[Column1]]="No",GroDB3[[#This Row],[Date_Received]],GroDB3[[#This Row],[Last_Order_Date]])</f>
        <v>45468</v>
      </c>
      <c r="M516" s="43">
        <v>45493</v>
      </c>
      <c r="N516" s="3">
        <v>92</v>
      </c>
      <c r="O516" s="3">
        <v>96</v>
      </c>
      <c r="P516" s="3">
        <v>56</v>
      </c>
      <c r="Q516" s="4">
        <v>6</v>
      </c>
      <c r="R516" s="3">
        <v>32</v>
      </c>
      <c r="S516" s="3">
        <v>22</v>
      </c>
      <c r="T516" s="7">
        <v>-1.56</v>
      </c>
    </row>
    <row r="517" spans="1:20" x14ac:dyDescent="0.35">
      <c r="A517" s="5" t="s">
        <v>320</v>
      </c>
      <c r="B517" s="3" t="s">
        <v>18</v>
      </c>
      <c r="C517" s="3" t="s">
        <v>356</v>
      </c>
      <c r="D517" s="3" t="s">
        <v>1960</v>
      </c>
      <c r="E517" s="3" t="s">
        <v>28</v>
      </c>
      <c r="F517" s="3" t="s">
        <v>1961</v>
      </c>
      <c r="G517" s="3" t="s">
        <v>1962</v>
      </c>
      <c r="H517" s="43">
        <v>45614</v>
      </c>
      <c r="I517" s="43">
        <v>45573</v>
      </c>
      <c r="J517" s="47" t="str">
        <f>IF(GroDB3[[#This Row],[Last_Order_Date]]&lt;=GroDB3[[#This Row],[Date_Received]], "Yes", "No")</f>
        <v>Yes</v>
      </c>
      <c r="K517" s="43">
        <f>IF(GroDB3[[#This Row],[Column1]]="No",GroDB3[[#This Row],[Last_Order_Date]],GroDB3[[#This Row],[Date_Received]])</f>
        <v>45614</v>
      </c>
      <c r="L517" s="43">
        <f>IF(GroDB3[[#This Row],[Column1]]="No",GroDB3[[#This Row],[Date_Received]],GroDB3[[#This Row],[Last_Order_Date]])</f>
        <v>45573</v>
      </c>
      <c r="M517" s="43">
        <v>45629</v>
      </c>
      <c r="N517" s="3">
        <v>85</v>
      </c>
      <c r="O517" s="3">
        <v>16</v>
      </c>
      <c r="P517" s="3">
        <v>74</v>
      </c>
      <c r="Q517" s="4">
        <v>3.85</v>
      </c>
      <c r="R517" s="3">
        <v>58</v>
      </c>
      <c r="S517" s="3">
        <v>36</v>
      </c>
      <c r="T517" s="7">
        <v>0.31</v>
      </c>
    </row>
    <row r="518" spans="1:20" x14ac:dyDescent="0.35">
      <c r="A518" s="5" t="s">
        <v>1516</v>
      </c>
      <c r="B518" s="3" t="s">
        <v>32</v>
      </c>
      <c r="C518" s="3" t="s">
        <v>996</v>
      </c>
      <c r="D518" s="3" t="s">
        <v>1963</v>
      </c>
      <c r="E518" s="3" t="s">
        <v>56</v>
      </c>
      <c r="F518" s="3" t="s">
        <v>1964</v>
      </c>
      <c r="G518" s="3" t="s">
        <v>1965</v>
      </c>
      <c r="H518" s="43">
        <v>45614</v>
      </c>
      <c r="I518" s="43">
        <v>45485</v>
      </c>
      <c r="J518" s="47" t="str">
        <f>IF(GroDB3[[#This Row],[Last_Order_Date]]&lt;=GroDB3[[#This Row],[Date_Received]], "Yes", "No")</f>
        <v>Yes</v>
      </c>
      <c r="K518" s="43">
        <f>IF(GroDB3[[#This Row],[Column1]]="No",GroDB3[[#This Row],[Last_Order_Date]],GroDB3[[#This Row],[Date_Received]])</f>
        <v>45614</v>
      </c>
      <c r="L518" s="43">
        <f>IF(GroDB3[[#This Row],[Column1]]="No",GroDB3[[#This Row],[Date_Received]],GroDB3[[#This Row],[Last_Order_Date]])</f>
        <v>45485</v>
      </c>
      <c r="M518" s="43">
        <v>45351</v>
      </c>
      <c r="N518" s="3">
        <v>24</v>
      </c>
      <c r="O518" s="3">
        <v>1</v>
      </c>
      <c r="P518" s="3">
        <v>65</v>
      </c>
      <c r="Q518" s="4">
        <v>7</v>
      </c>
      <c r="R518" s="3">
        <v>58</v>
      </c>
      <c r="S518" s="3">
        <v>61</v>
      </c>
      <c r="T518" s="7">
        <v>0.38</v>
      </c>
    </row>
    <row r="519" spans="1:20" x14ac:dyDescent="0.35">
      <c r="A519" s="5" t="s">
        <v>1202</v>
      </c>
      <c r="B519" s="3" t="s">
        <v>18</v>
      </c>
      <c r="C519" s="3" t="s">
        <v>122</v>
      </c>
      <c r="D519" s="3" t="s">
        <v>1966</v>
      </c>
      <c r="E519" s="3" t="s">
        <v>28</v>
      </c>
      <c r="F519" s="3" t="s">
        <v>1967</v>
      </c>
      <c r="G519" s="3" t="s">
        <v>1968</v>
      </c>
      <c r="H519" s="43">
        <v>45615</v>
      </c>
      <c r="I519" s="43">
        <v>45417</v>
      </c>
      <c r="J519" s="47" t="str">
        <f>IF(GroDB3[[#This Row],[Last_Order_Date]]&lt;=GroDB3[[#This Row],[Date_Received]], "Yes", "No")</f>
        <v>Yes</v>
      </c>
      <c r="K519" s="43">
        <f>IF(GroDB3[[#This Row],[Column1]]="No",GroDB3[[#This Row],[Last_Order_Date]],GroDB3[[#This Row],[Date_Received]])</f>
        <v>45615</v>
      </c>
      <c r="L519" s="43">
        <f>IF(GroDB3[[#This Row],[Column1]]="No",GroDB3[[#This Row],[Date_Received]],GroDB3[[#This Row],[Last_Order_Date]])</f>
        <v>45417</v>
      </c>
      <c r="M519" s="43">
        <v>45640</v>
      </c>
      <c r="N519" s="3">
        <v>13</v>
      </c>
      <c r="O519" s="3">
        <v>88</v>
      </c>
      <c r="P519" s="3">
        <v>11</v>
      </c>
      <c r="Q519" s="4">
        <v>3</v>
      </c>
      <c r="R519" s="3">
        <v>100</v>
      </c>
      <c r="S519" s="3">
        <v>52</v>
      </c>
      <c r="T519" s="7">
        <v>-0.05</v>
      </c>
    </row>
    <row r="520" spans="1:20" x14ac:dyDescent="0.35">
      <c r="A520" s="5" t="s">
        <v>674</v>
      </c>
      <c r="B520" s="3" t="s">
        <v>60</v>
      </c>
      <c r="C520" s="3" t="s">
        <v>1708</v>
      </c>
      <c r="D520" s="3" t="s">
        <v>1969</v>
      </c>
      <c r="E520" s="3" t="s">
        <v>21</v>
      </c>
      <c r="F520" s="3" t="s">
        <v>1970</v>
      </c>
      <c r="G520" s="3" t="s">
        <v>1971</v>
      </c>
      <c r="H520" s="43">
        <v>45617</v>
      </c>
      <c r="I520" s="43">
        <v>45705</v>
      </c>
      <c r="J520" s="47" t="str">
        <f>IF(GroDB3[[#This Row],[Last_Order_Date]]&lt;=GroDB3[[#This Row],[Date_Received]], "Yes", "No")</f>
        <v>No</v>
      </c>
      <c r="K520" s="43">
        <f>IF(GroDB3[[#This Row],[Column1]]="No",GroDB3[[#This Row],[Last_Order_Date]],GroDB3[[#This Row],[Date_Received]])</f>
        <v>45705</v>
      </c>
      <c r="L520" s="43">
        <f>IF(GroDB3[[#This Row],[Column1]]="No",GroDB3[[#This Row],[Date_Received]],GroDB3[[#This Row],[Last_Order_Date]])</f>
        <v>45617</v>
      </c>
      <c r="M520" s="43">
        <v>45656</v>
      </c>
      <c r="N520" s="3">
        <v>19</v>
      </c>
      <c r="O520" s="3">
        <v>99</v>
      </c>
      <c r="P520" s="3">
        <v>78</v>
      </c>
      <c r="Q520" s="4">
        <v>9</v>
      </c>
      <c r="R520" s="3">
        <v>29</v>
      </c>
      <c r="S520" s="3">
        <v>54</v>
      </c>
      <c r="T520" s="7">
        <v>0.48</v>
      </c>
    </row>
    <row r="521" spans="1:20" x14ac:dyDescent="0.35">
      <c r="A521" s="5" t="s">
        <v>126</v>
      </c>
      <c r="B521" s="3" t="s">
        <v>127</v>
      </c>
      <c r="C521" s="3" t="s">
        <v>1926</v>
      </c>
      <c r="D521" s="3" t="s">
        <v>1972</v>
      </c>
      <c r="E521" s="3" t="s">
        <v>28</v>
      </c>
      <c r="F521" s="3" t="s">
        <v>1973</v>
      </c>
      <c r="G521" s="3" t="s">
        <v>1974</v>
      </c>
      <c r="H521" s="43">
        <v>45618</v>
      </c>
      <c r="I521" s="43">
        <v>45406</v>
      </c>
      <c r="J521" s="47" t="str">
        <f>IF(GroDB3[[#This Row],[Last_Order_Date]]&lt;=GroDB3[[#This Row],[Date_Received]], "Yes", "No")</f>
        <v>Yes</v>
      </c>
      <c r="K521" s="43">
        <f>IF(GroDB3[[#This Row],[Column1]]="No",GroDB3[[#This Row],[Last_Order_Date]],GroDB3[[#This Row],[Date_Received]])</f>
        <v>45618</v>
      </c>
      <c r="L521" s="43">
        <f>IF(GroDB3[[#This Row],[Column1]]="No",GroDB3[[#This Row],[Date_Received]],GroDB3[[#This Row],[Last_Order_Date]])</f>
        <v>45406</v>
      </c>
      <c r="M521" s="43">
        <v>45369</v>
      </c>
      <c r="N521" s="3">
        <v>97</v>
      </c>
      <c r="O521" s="3">
        <v>77</v>
      </c>
      <c r="P521" s="3">
        <v>99</v>
      </c>
      <c r="Q521" s="4">
        <v>20</v>
      </c>
      <c r="R521" s="3">
        <v>74</v>
      </c>
      <c r="S521" s="3">
        <v>98</v>
      </c>
      <c r="T521" s="7">
        <v>-0.86</v>
      </c>
    </row>
    <row r="522" spans="1:20" x14ac:dyDescent="0.35">
      <c r="A522" s="5" t="s">
        <v>600</v>
      </c>
      <c r="B522" s="3" t="s">
        <v>32</v>
      </c>
      <c r="C522" s="3" t="s">
        <v>504</v>
      </c>
      <c r="D522" s="3" t="s">
        <v>1975</v>
      </c>
      <c r="E522" s="3" t="s">
        <v>28</v>
      </c>
      <c r="F522" s="3" t="s">
        <v>1976</v>
      </c>
      <c r="G522" s="3" t="s">
        <v>1977</v>
      </c>
      <c r="H522" s="43">
        <v>45618</v>
      </c>
      <c r="I522" s="43">
        <v>45544</v>
      </c>
      <c r="J522" s="47" t="str">
        <f>IF(GroDB3[[#This Row],[Last_Order_Date]]&lt;=GroDB3[[#This Row],[Date_Received]], "Yes", "No")</f>
        <v>Yes</v>
      </c>
      <c r="K522" s="43">
        <f>IF(GroDB3[[#This Row],[Column1]]="No",GroDB3[[#This Row],[Last_Order_Date]],GroDB3[[#This Row],[Date_Received]])</f>
        <v>45618</v>
      </c>
      <c r="L522" s="43">
        <f>IF(GroDB3[[#This Row],[Column1]]="No",GroDB3[[#This Row],[Date_Received]],GroDB3[[#This Row],[Last_Order_Date]])</f>
        <v>45544</v>
      </c>
      <c r="M522" s="43">
        <v>45588</v>
      </c>
      <c r="N522" s="3">
        <v>52</v>
      </c>
      <c r="O522" s="3">
        <v>64</v>
      </c>
      <c r="P522" s="3">
        <v>54</v>
      </c>
      <c r="Q522" s="4">
        <v>2.4</v>
      </c>
      <c r="R522" s="3">
        <v>21</v>
      </c>
      <c r="S522" s="3">
        <v>55</v>
      </c>
      <c r="T522" s="7">
        <v>-0.32</v>
      </c>
    </row>
    <row r="523" spans="1:20" x14ac:dyDescent="0.35">
      <c r="A523" s="5" t="s">
        <v>1085</v>
      </c>
      <c r="B523" s="3" t="s">
        <v>32</v>
      </c>
      <c r="C523" s="3" t="s">
        <v>1418</v>
      </c>
      <c r="D523" s="3" t="s">
        <v>1978</v>
      </c>
      <c r="E523" s="3" t="s">
        <v>21</v>
      </c>
      <c r="F523" s="3" t="s">
        <v>1979</v>
      </c>
      <c r="G523" s="3" t="s">
        <v>1980</v>
      </c>
      <c r="H523" s="43">
        <v>45619</v>
      </c>
      <c r="I523" s="43">
        <v>45585</v>
      </c>
      <c r="J523" s="47" t="str">
        <f>IF(GroDB3[[#This Row],[Last_Order_Date]]&lt;=GroDB3[[#This Row],[Date_Received]], "Yes", "No")</f>
        <v>Yes</v>
      </c>
      <c r="K523" s="43">
        <f>IF(GroDB3[[#This Row],[Column1]]="No",GroDB3[[#This Row],[Last_Order_Date]],GroDB3[[#This Row],[Date_Received]])</f>
        <v>45619</v>
      </c>
      <c r="L523" s="43">
        <f>IF(GroDB3[[#This Row],[Column1]]="No",GroDB3[[#This Row],[Date_Received]],GroDB3[[#This Row],[Last_Order_Date]])</f>
        <v>45585</v>
      </c>
      <c r="M523" s="43">
        <v>45462</v>
      </c>
      <c r="N523" s="3">
        <v>96</v>
      </c>
      <c r="O523" s="3">
        <v>34</v>
      </c>
      <c r="P523" s="3">
        <v>57</v>
      </c>
      <c r="Q523" s="4">
        <v>8</v>
      </c>
      <c r="R523" s="3">
        <v>71</v>
      </c>
      <c r="S523" s="3">
        <v>17</v>
      </c>
      <c r="T523" s="7">
        <v>-1.62</v>
      </c>
    </row>
    <row r="524" spans="1:20" x14ac:dyDescent="0.35">
      <c r="A524" s="5" t="s">
        <v>1016</v>
      </c>
      <c r="B524" s="3" t="s">
        <v>25</v>
      </c>
      <c r="C524" s="3" t="s">
        <v>1540</v>
      </c>
      <c r="D524" s="3" t="s">
        <v>1981</v>
      </c>
      <c r="E524" s="3" t="s">
        <v>21</v>
      </c>
      <c r="F524" s="3" t="s">
        <v>1982</v>
      </c>
      <c r="G524" s="3" t="s">
        <v>1983</v>
      </c>
      <c r="H524" s="43">
        <v>45619</v>
      </c>
      <c r="I524" s="43">
        <v>45553</v>
      </c>
      <c r="J524" s="47" t="str">
        <f>IF(GroDB3[[#This Row],[Last_Order_Date]]&lt;=GroDB3[[#This Row],[Date_Received]], "Yes", "No")</f>
        <v>Yes</v>
      </c>
      <c r="K524" s="43">
        <f>IF(GroDB3[[#This Row],[Column1]]="No",GroDB3[[#This Row],[Last_Order_Date]],GroDB3[[#This Row],[Date_Received]])</f>
        <v>45619</v>
      </c>
      <c r="L524" s="43">
        <f>IF(GroDB3[[#This Row],[Column1]]="No",GroDB3[[#This Row],[Date_Received]],GroDB3[[#This Row],[Last_Order_Date]])</f>
        <v>45553</v>
      </c>
      <c r="M524" s="43">
        <v>45664</v>
      </c>
      <c r="N524" s="3">
        <v>26</v>
      </c>
      <c r="O524" s="3">
        <v>100</v>
      </c>
      <c r="P524" s="3">
        <v>13</v>
      </c>
      <c r="Q524" s="4">
        <v>2.5</v>
      </c>
      <c r="R524" s="3">
        <v>45</v>
      </c>
      <c r="S524" s="3">
        <v>45</v>
      </c>
      <c r="T524" s="7">
        <v>0.76</v>
      </c>
    </row>
    <row r="525" spans="1:20" x14ac:dyDescent="0.35">
      <c r="A525" s="5" t="s">
        <v>554</v>
      </c>
      <c r="B525" s="3" t="s">
        <v>53</v>
      </c>
      <c r="C525" s="3" t="s">
        <v>388</v>
      </c>
      <c r="D525" s="3" t="s">
        <v>1984</v>
      </c>
      <c r="E525" s="3" t="s">
        <v>28</v>
      </c>
      <c r="F525" s="3" t="s">
        <v>1985</v>
      </c>
      <c r="G525" s="3" t="s">
        <v>1986</v>
      </c>
      <c r="H525" s="43">
        <v>45619</v>
      </c>
      <c r="I525" s="43">
        <v>45515</v>
      </c>
      <c r="J525" s="47" t="str">
        <f>IF(GroDB3[[#This Row],[Last_Order_Date]]&lt;=GroDB3[[#This Row],[Date_Received]], "Yes", "No")</f>
        <v>Yes</v>
      </c>
      <c r="K525" s="43">
        <f>IF(GroDB3[[#This Row],[Column1]]="No",GroDB3[[#This Row],[Last_Order_Date]],GroDB3[[#This Row],[Date_Received]])</f>
        <v>45619</v>
      </c>
      <c r="L525" s="43">
        <f>IF(GroDB3[[#This Row],[Column1]]="No",GroDB3[[#This Row],[Date_Received]],GroDB3[[#This Row],[Last_Order_Date]])</f>
        <v>45515</v>
      </c>
      <c r="M525" s="43">
        <v>45461</v>
      </c>
      <c r="N525" s="3">
        <v>51</v>
      </c>
      <c r="O525" s="3">
        <v>47</v>
      </c>
      <c r="P525" s="3">
        <v>6</v>
      </c>
      <c r="Q525" s="4">
        <v>2.5</v>
      </c>
      <c r="R525" s="3">
        <v>53</v>
      </c>
      <c r="S525" s="3">
        <v>4</v>
      </c>
      <c r="T525" s="7">
        <v>0</v>
      </c>
    </row>
    <row r="526" spans="1:20" x14ac:dyDescent="0.35">
      <c r="A526" s="5" t="s">
        <v>170</v>
      </c>
      <c r="B526" s="3" t="s">
        <v>53</v>
      </c>
      <c r="C526" s="3" t="s">
        <v>1987</v>
      </c>
      <c r="D526" s="3" t="s">
        <v>1988</v>
      </c>
      <c r="E526" s="3" t="s">
        <v>56</v>
      </c>
      <c r="F526" s="3" t="s">
        <v>1989</v>
      </c>
      <c r="G526" s="3" t="s">
        <v>1990</v>
      </c>
      <c r="H526" s="43">
        <v>45619</v>
      </c>
      <c r="I526" s="43">
        <v>45697</v>
      </c>
      <c r="J526" s="47" t="str">
        <f>IF(GroDB3[[#This Row],[Last_Order_Date]]&lt;=GroDB3[[#This Row],[Date_Received]], "Yes", "No")</f>
        <v>No</v>
      </c>
      <c r="K526" s="43">
        <f>IF(GroDB3[[#This Row],[Column1]]="No",GroDB3[[#This Row],[Last_Order_Date]],GroDB3[[#This Row],[Date_Received]])</f>
        <v>45697</v>
      </c>
      <c r="L526" s="43">
        <f>IF(GroDB3[[#This Row],[Column1]]="No",GroDB3[[#This Row],[Date_Received]],GroDB3[[#This Row],[Last_Order_Date]])</f>
        <v>45619</v>
      </c>
      <c r="M526" s="43">
        <v>45469</v>
      </c>
      <c r="N526" s="3">
        <v>51</v>
      </c>
      <c r="O526" s="3">
        <v>19</v>
      </c>
      <c r="P526" s="3">
        <v>96</v>
      </c>
      <c r="Q526" s="4">
        <v>4.5</v>
      </c>
      <c r="R526" s="3">
        <v>73</v>
      </c>
      <c r="S526" s="3">
        <v>42</v>
      </c>
      <c r="T526" s="7">
        <v>0.92</v>
      </c>
    </row>
    <row r="527" spans="1:20" x14ac:dyDescent="0.35">
      <c r="A527" s="5" t="s">
        <v>116</v>
      </c>
      <c r="B527" s="3" t="s">
        <v>18</v>
      </c>
      <c r="C527" s="3" t="s">
        <v>1346</v>
      </c>
      <c r="D527" s="3" t="s">
        <v>1991</v>
      </c>
      <c r="E527" s="3" t="s">
        <v>28</v>
      </c>
      <c r="F527" s="3" t="s">
        <v>1992</v>
      </c>
      <c r="G527" s="3" t="s">
        <v>1993</v>
      </c>
      <c r="H527" s="43">
        <v>45620</v>
      </c>
      <c r="I527" s="43">
        <v>45413</v>
      </c>
      <c r="J527" s="47" t="str">
        <f>IF(GroDB3[[#This Row],[Last_Order_Date]]&lt;=GroDB3[[#This Row],[Date_Received]], "Yes", "No")</f>
        <v>Yes</v>
      </c>
      <c r="K527" s="43">
        <f>IF(GroDB3[[#This Row],[Column1]]="No",GroDB3[[#This Row],[Last_Order_Date]],GroDB3[[#This Row],[Date_Received]])</f>
        <v>45620</v>
      </c>
      <c r="L527" s="43">
        <f>IF(GroDB3[[#This Row],[Column1]]="No",GroDB3[[#This Row],[Date_Received]],GroDB3[[#This Row],[Last_Order_Date]])</f>
        <v>45413</v>
      </c>
      <c r="M527" s="43">
        <v>45665</v>
      </c>
      <c r="N527" s="3">
        <v>39</v>
      </c>
      <c r="O527" s="3">
        <v>21</v>
      </c>
      <c r="P527" s="3">
        <v>5</v>
      </c>
      <c r="Q527" s="4">
        <v>3</v>
      </c>
      <c r="R527" s="3">
        <v>51</v>
      </c>
      <c r="S527" s="3">
        <v>98</v>
      </c>
      <c r="T527" s="7">
        <v>0.42</v>
      </c>
    </row>
    <row r="528" spans="1:20" x14ac:dyDescent="0.35">
      <c r="A528" s="5" t="s">
        <v>253</v>
      </c>
      <c r="B528" s="3" t="s">
        <v>18</v>
      </c>
      <c r="C528" s="3" t="s">
        <v>61</v>
      </c>
      <c r="D528" s="3" t="s">
        <v>1994</v>
      </c>
      <c r="E528" s="3" t="s">
        <v>56</v>
      </c>
      <c r="F528" s="3" t="s">
        <v>1995</v>
      </c>
      <c r="G528" s="3" t="s">
        <v>1996</v>
      </c>
      <c r="H528" s="43">
        <v>45620</v>
      </c>
      <c r="I528" s="43">
        <v>45623</v>
      </c>
      <c r="J528" s="47" t="str">
        <f>IF(GroDB3[[#This Row],[Last_Order_Date]]&lt;=GroDB3[[#This Row],[Date_Received]], "Yes", "No")</f>
        <v>No</v>
      </c>
      <c r="K528" s="43">
        <f>IF(GroDB3[[#This Row],[Column1]]="No",GroDB3[[#This Row],[Last_Order_Date]],GroDB3[[#This Row],[Date_Received]])</f>
        <v>45623</v>
      </c>
      <c r="L528" s="43">
        <f>IF(GroDB3[[#This Row],[Column1]]="No",GroDB3[[#This Row],[Date_Received]],GroDB3[[#This Row],[Last_Order_Date]])</f>
        <v>45620</v>
      </c>
      <c r="M528" s="43">
        <v>45620</v>
      </c>
      <c r="N528" s="3">
        <v>90</v>
      </c>
      <c r="O528" s="3">
        <v>91</v>
      </c>
      <c r="P528" s="3">
        <v>62</v>
      </c>
      <c r="Q528" s="4">
        <v>5</v>
      </c>
      <c r="R528" s="3">
        <v>34</v>
      </c>
      <c r="S528" s="3">
        <v>72</v>
      </c>
      <c r="T528" s="7">
        <v>-0.92</v>
      </c>
    </row>
    <row r="529" spans="1:20" x14ac:dyDescent="0.35">
      <c r="A529" s="5" t="s">
        <v>293</v>
      </c>
      <c r="B529" s="3" t="s">
        <v>18</v>
      </c>
      <c r="C529" s="3" t="s">
        <v>1997</v>
      </c>
      <c r="D529" s="3" t="s">
        <v>1998</v>
      </c>
      <c r="E529" s="3" t="s">
        <v>56</v>
      </c>
      <c r="F529" s="3" t="s">
        <v>1999</v>
      </c>
      <c r="G529" s="3" t="s">
        <v>2000</v>
      </c>
      <c r="H529" s="43">
        <v>45621</v>
      </c>
      <c r="I529" s="43">
        <v>45691</v>
      </c>
      <c r="J529" s="47" t="str">
        <f>IF(GroDB3[[#This Row],[Last_Order_Date]]&lt;=GroDB3[[#This Row],[Date_Received]], "Yes", "No")</f>
        <v>No</v>
      </c>
      <c r="K529" s="43">
        <f>IF(GroDB3[[#This Row],[Column1]]="No",GroDB3[[#This Row],[Last_Order_Date]],GroDB3[[#This Row],[Date_Received]])</f>
        <v>45691</v>
      </c>
      <c r="L529" s="43">
        <f>IF(GroDB3[[#This Row],[Column1]]="No",GroDB3[[#This Row],[Date_Received]],GroDB3[[#This Row],[Last_Order_Date]])</f>
        <v>45621</v>
      </c>
      <c r="M529" s="43">
        <v>45610</v>
      </c>
      <c r="N529" s="3">
        <v>35</v>
      </c>
      <c r="O529" s="3">
        <v>92</v>
      </c>
      <c r="P529" s="3">
        <v>74</v>
      </c>
      <c r="Q529" s="4">
        <v>2</v>
      </c>
      <c r="R529" s="3">
        <v>76</v>
      </c>
      <c r="S529" s="3">
        <v>32</v>
      </c>
      <c r="T529" s="7">
        <v>-1.1200000000000001</v>
      </c>
    </row>
    <row r="530" spans="1:20" x14ac:dyDescent="0.35">
      <c r="A530" s="5" t="s">
        <v>1081</v>
      </c>
      <c r="B530" s="3" t="s">
        <v>127</v>
      </c>
      <c r="C530" s="3" t="s">
        <v>2001</v>
      </c>
      <c r="D530" s="3" t="s">
        <v>2002</v>
      </c>
      <c r="E530" s="3" t="s">
        <v>28</v>
      </c>
      <c r="F530" s="3" t="s">
        <v>2003</v>
      </c>
      <c r="G530" s="3" t="s">
        <v>2004</v>
      </c>
      <c r="H530" s="43">
        <v>45621</v>
      </c>
      <c r="I530" s="43">
        <v>45687</v>
      </c>
      <c r="J530" s="47" t="str">
        <f>IF(GroDB3[[#This Row],[Last_Order_Date]]&lt;=GroDB3[[#This Row],[Date_Received]], "Yes", "No")</f>
        <v>No</v>
      </c>
      <c r="K530" s="43">
        <f>IF(GroDB3[[#This Row],[Column1]]="No",GroDB3[[#This Row],[Last_Order_Date]],GroDB3[[#This Row],[Date_Received]])</f>
        <v>45687</v>
      </c>
      <c r="L530" s="43">
        <f>IF(GroDB3[[#This Row],[Column1]]="No",GroDB3[[#This Row],[Date_Received]],GroDB3[[#This Row],[Last_Order_Date]])</f>
        <v>45621</v>
      </c>
      <c r="M530" s="43">
        <v>45427</v>
      </c>
      <c r="N530" s="3">
        <v>39</v>
      </c>
      <c r="O530" s="3">
        <v>88</v>
      </c>
      <c r="P530" s="3">
        <v>100</v>
      </c>
      <c r="Q530" s="4">
        <v>8</v>
      </c>
      <c r="R530" s="3">
        <v>28</v>
      </c>
      <c r="S530" s="3">
        <v>18</v>
      </c>
      <c r="T530" s="7">
        <v>0.57999999999999996</v>
      </c>
    </row>
    <row r="531" spans="1:20" x14ac:dyDescent="0.35">
      <c r="A531" s="5" t="s">
        <v>416</v>
      </c>
      <c r="B531" s="3" t="s">
        <v>53</v>
      </c>
      <c r="C531" s="3" t="s">
        <v>199</v>
      </c>
      <c r="D531" s="3" t="s">
        <v>2005</v>
      </c>
      <c r="E531" s="3" t="s">
        <v>56</v>
      </c>
      <c r="F531" s="3" t="s">
        <v>2006</v>
      </c>
      <c r="G531" s="3" t="s">
        <v>2007</v>
      </c>
      <c r="H531" s="43">
        <v>45621</v>
      </c>
      <c r="I531" s="43">
        <v>45524</v>
      </c>
      <c r="J531" s="47" t="str">
        <f>IF(GroDB3[[#This Row],[Last_Order_Date]]&lt;=GroDB3[[#This Row],[Date_Received]], "Yes", "No")</f>
        <v>Yes</v>
      </c>
      <c r="K531" s="43">
        <f>IF(GroDB3[[#This Row],[Column1]]="No",GroDB3[[#This Row],[Last_Order_Date]],GroDB3[[#This Row],[Date_Received]])</f>
        <v>45621</v>
      </c>
      <c r="L531" s="43">
        <f>IF(GroDB3[[#This Row],[Column1]]="No",GroDB3[[#This Row],[Date_Received]],GroDB3[[#This Row],[Last_Order_Date]])</f>
        <v>45524</v>
      </c>
      <c r="M531" s="43">
        <v>45506</v>
      </c>
      <c r="N531" s="3">
        <v>64</v>
      </c>
      <c r="O531" s="3">
        <v>97</v>
      </c>
      <c r="P531" s="3">
        <v>91</v>
      </c>
      <c r="Q531" s="4">
        <v>3</v>
      </c>
      <c r="R531" s="3">
        <v>48</v>
      </c>
      <c r="S531" s="3">
        <v>100</v>
      </c>
      <c r="T531" s="7">
        <v>0.36</v>
      </c>
    </row>
    <row r="532" spans="1:20" x14ac:dyDescent="0.35">
      <c r="A532" s="5" t="s">
        <v>333</v>
      </c>
      <c r="B532" s="3" t="s">
        <v>53</v>
      </c>
      <c r="C532" s="3" t="s">
        <v>2008</v>
      </c>
      <c r="D532" s="3" t="s">
        <v>2009</v>
      </c>
      <c r="E532" s="3" t="s">
        <v>56</v>
      </c>
      <c r="F532" s="3" t="s">
        <v>2010</v>
      </c>
      <c r="G532" s="3" t="s">
        <v>2011</v>
      </c>
      <c r="H532" s="43">
        <v>45621</v>
      </c>
      <c r="I532" s="43">
        <v>45396</v>
      </c>
      <c r="J532" s="47" t="str">
        <f>IF(GroDB3[[#This Row],[Last_Order_Date]]&lt;=GroDB3[[#This Row],[Date_Received]], "Yes", "No")</f>
        <v>Yes</v>
      </c>
      <c r="K532" s="43">
        <f>IF(GroDB3[[#This Row],[Column1]]="No",GroDB3[[#This Row],[Last_Order_Date]],GroDB3[[#This Row],[Date_Received]])</f>
        <v>45621</v>
      </c>
      <c r="L532" s="43">
        <f>IF(GroDB3[[#This Row],[Column1]]="No",GroDB3[[#This Row],[Date_Received]],GroDB3[[#This Row],[Last_Order_Date]])</f>
        <v>45396</v>
      </c>
      <c r="M532" s="43">
        <v>45514</v>
      </c>
      <c r="N532" s="3">
        <v>98</v>
      </c>
      <c r="O532" s="3">
        <v>30</v>
      </c>
      <c r="P532" s="3">
        <v>39</v>
      </c>
      <c r="Q532" s="4">
        <v>10</v>
      </c>
      <c r="R532" s="3">
        <v>31</v>
      </c>
      <c r="S532" s="3">
        <v>26</v>
      </c>
      <c r="T532" s="7">
        <v>-1.08</v>
      </c>
    </row>
    <row r="533" spans="1:20" x14ac:dyDescent="0.35">
      <c r="A533" s="5" t="s">
        <v>170</v>
      </c>
      <c r="B533" s="3" t="s">
        <v>53</v>
      </c>
      <c r="C533" s="3" t="s">
        <v>1328</v>
      </c>
      <c r="D533" s="3" t="s">
        <v>2012</v>
      </c>
      <c r="E533" s="3" t="s">
        <v>56</v>
      </c>
      <c r="F533" s="3" t="s">
        <v>2013</v>
      </c>
      <c r="G533" s="3" t="s">
        <v>2014</v>
      </c>
      <c r="H533" s="43">
        <v>45622</v>
      </c>
      <c r="I533" s="43">
        <v>45541</v>
      </c>
      <c r="J533" s="47" t="str">
        <f>IF(GroDB3[[#This Row],[Last_Order_Date]]&lt;=GroDB3[[#This Row],[Date_Received]], "Yes", "No")</f>
        <v>Yes</v>
      </c>
      <c r="K533" s="43">
        <f>IF(GroDB3[[#This Row],[Column1]]="No",GroDB3[[#This Row],[Last_Order_Date]],GroDB3[[#This Row],[Date_Received]])</f>
        <v>45622</v>
      </c>
      <c r="L533" s="43">
        <f>IF(GroDB3[[#This Row],[Column1]]="No",GroDB3[[#This Row],[Date_Received]],GroDB3[[#This Row],[Last_Order_Date]])</f>
        <v>45541</v>
      </c>
      <c r="M533" s="43">
        <v>45556</v>
      </c>
      <c r="N533" s="3">
        <v>95</v>
      </c>
      <c r="O533" s="3">
        <v>93</v>
      </c>
      <c r="P533" s="3">
        <v>16</v>
      </c>
      <c r="Q533" s="4">
        <v>4.5</v>
      </c>
      <c r="R533" s="3">
        <v>60</v>
      </c>
      <c r="S533" s="3">
        <v>19</v>
      </c>
      <c r="T533" s="7">
        <v>0.16</v>
      </c>
    </row>
    <row r="534" spans="1:20" x14ac:dyDescent="0.35">
      <c r="A534" s="5" t="s">
        <v>24</v>
      </c>
      <c r="B534" s="3" t="s">
        <v>25</v>
      </c>
      <c r="C534" s="3" t="s">
        <v>670</v>
      </c>
      <c r="D534" s="3" t="s">
        <v>2015</v>
      </c>
      <c r="E534" s="3" t="s">
        <v>21</v>
      </c>
      <c r="F534" s="3" t="s">
        <v>2016</v>
      </c>
      <c r="G534" s="3" t="s">
        <v>2017</v>
      </c>
      <c r="H534" s="43">
        <v>45622</v>
      </c>
      <c r="I534" s="43">
        <v>45545</v>
      </c>
      <c r="J534" s="47" t="str">
        <f>IF(GroDB3[[#This Row],[Last_Order_Date]]&lt;=GroDB3[[#This Row],[Date_Received]], "Yes", "No")</f>
        <v>Yes</v>
      </c>
      <c r="K534" s="43">
        <f>IF(GroDB3[[#This Row],[Column1]]="No",GroDB3[[#This Row],[Last_Order_Date]],GroDB3[[#This Row],[Date_Received]])</f>
        <v>45622</v>
      </c>
      <c r="L534" s="43">
        <f>IF(GroDB3[[#This Row],[Column1]]="No",GroDB3[[#This Row],[Date_Received]],GroDB3[[#This Row],[Last_Order_Date]])</f>
        <v>45545</v>
      </c>
      <c r="M534" s="43">
        <v>45507</v>
      </c>
      <c r="N534" s="3">
        <v>70</v>
      </c>
      <c r="O534" s="3">
        <v>96</v>
      </c>
      <c r="P534" s="3">
        <v>21</v>
      </c>
      <c r="Q534" s="4">
        <v>2</v>
      </c>
      <c r="R534" s="3">
        <v>100</v>
      </c>
      <c r="S534" s="3">
        <v>15</v>
      </c>
      <c r="T534" s="7">
        <v>0.68</v>
      </c>
    </row>
    <row r="535" spans="1:20" x14ac:dyDescent="0.35">
      <c r="A535" s="5" t="s">
        <v>1278</v>
      </c>
      <c r="B535" s="3" t="s">
        <v>18</v>
      </c>
      <c r="C535" s="3" t="s">
        <v>518</v>
      </c>
      <c r="D535" s="3" t="s">
        <v>2018</v>
      </c>
      <c r="E535" s="3" t="s">
        <v>56</v>
      </c>
      <c r="F535" s="3" t="s">
        <v>2019</v>
      </c>
      <c r="G535" s="3" t="s">
        <v>2020</v>
      </c>
      <c r="H535" s="43">
        <v>45622</v>
      </c>
      <c r="I535" s="43">
        <v>45639</v>
      </c>
      <c r="J535" s="47" t="str">
        <f>IF(GroDB3[[#This Row],[Last_Order_Date]]&lt;=GroDB3[[#This Row],[Date_Received]], "Yes", "No")</f>
        <v>No</v>
      </c>
      <c r="K535" s="43">
        <f>IF(GroDB3[[#This Row],[Column1]]="No",GroDB3[[#This Row],[Last_Order_Date]],GroDB3[[#This Row],[Date_Received]])</f>
        <v>45639</v>
      </c>
      <c r="L535" s="43">
        <f>IF(GroDB3[[#This Row],[Column1]]="No",GroDB3[[#This Row],[Date_Received]],GroDB3[[#This Row],[Last_Order_Date]])</f>
        <v>45622</v>
      </c>
      <c r="M535" s="43">
        <v>45627</v>
      </c>
      <c r="N535" s="3">
        <v>20</v>
      </c>
      <c r="O535" s="3">
        <v>91</v>
      </c>
      <c r="P535" s="3">
        <v>12</v>
      </c>
      <c r="Q535" s="4">
        <v>4.5</v>
      </c>
      <c r="R535" s="3">
        <v>35</v>
      </c>
      <c r="S535" s="3">
        <v>50</v>
      </c>
      <c r="T535" s="7">
        <v>0.85</v>
      </c>
    </row>
    <row r="536" spans="1:20" x14ac:dyDescent="0.35">
      <c r="A536" s="5" t="s">
        <v>276</v>
      </c>
      <c r="B536" s="3" t="s">
        <v>18</v>
      </c>
      <c r="C536" s="3" t="s">
        <v>641</v>
      </c>
      <c r="D536" s="3" t="s">
        <v>2021</v>
      </c>
      <c r="E536" s="3" t="s">
        <v>21</v>
      </c>
      <c r="F536" s="3" t="s">
        <v>2022</v>
      </c>
      <c r="G536" s="3" t="s">
        <v>2023</v>
      </c>
      <c r="H536" s="43">
        <v>45622</v>
      </c>
      <c r="I536" s="43">
        <v>45509</v>
      </c>
      <c r="J536" s="47" t="str">
        <f>IF(GroDB3[[#This Row],[Last_Order_Date]]&lt;=GroDB3[[#This Row],[Date_Received]], "Yes", "No")</f>
        <v>Yes</v>
      </c>
      <c r="K536" s="43">
        <f>IF(GroDB3[[#This Row],[Column1]]="No",GroDB3[[#This Row],[Last_Order_Date]],GroDB3[[#This Row],[Date_Received]])</f>
        <v>45622</v>
      </c>
      <c r="L536" s="43">
        <f>IF(GroDB3[[#This Row],[Column1]]="No",GroDB3[[#This Row],[Date_Received]],GroDB3[[#This Row],[Last_Order_Date]])</f>
        <v>45509</v>
      </c>
      <c r="M536" s="43">
        <v>45469</v>
      </c>
      <c r="N536" s="3">
        <v>18</v>
      </c>
      <c r="O536" s="3">
        <v>7</v>
      </c>
      <c r="P536" s="3">
        <v>58</v>
      </c>
      <c r="Q536" s="4">
        <v>3.5</v>
      </c>
      <c r="R536" s="3">
        <v>88</v>
      </c>
      <c r="S536" s="3">
        <v>96</v>
      </c>
      <c r="T536" s="7">
        <v>-0.43</v>
      </c>
    </row>
    <row r="537" spans="1:20" x14ac:dyDescent="0.35">
      <c r="A537" s="5" t="s">
        <v>592</v>
      </c>
      <c r="B537" s="3" t="s">
        <v>25</v>
      </c>
      <c r="C537" s="3" t="s">
        <v>1143</v>
      </c>
      <c r="D537" s="3" t="s">
        <v>2024</v>
      </c>
      <c r="E537" s="3" t="s">
        <v>21</v>
      </c>
      <c r="F537" s="3" t="s">
        <v>2025</v>
      </c>
      <c r="G537" s="3" t="s">
        <v>2026</v>
      </c>
      <c r="H537" s="43">
        <v>45622</v>
      </c>
      <c r="I537" s="43">
        <v>45519</v>
      </c>
      <c r="J537" s="47" t="str">
        <f>IF(GroDB3[[#This Row],[Last_Order_Date]]&lt;=GroDB3[[#This Row],[Date_Received]], "Yes", "No")</f>
        <v>Yes</v>
      </c>
      <c r="K537" s="43">
        <f>IF(GroDB3[[#This Row],[Column1]]="No",GroDB3[[#This Row],[Last_Order_Date]],GroDB3[[#This Row],[Date_Received]])</f>
        <v>45622</v>
      </c>
      <c r="L537" s="43">
        <f>IF(GroDB3[[#This Row],[Column1]]="No",GroDB3[[#This Row],[Date_Received]],GroDB3[[#This Row],[Last_Order_Date]])</f>
        <v>45519</v>
      </c>
      <c r="M537" s="43">
        <v>45390</v>
      </c>
      <c r="N537" s="3">
        <v>54</v>
      </c>
      <c r="O537" s="3">
        <v>86</v>
      </c>
      <c r="P537" s="3">
        <v>69</v>
      </c>
      <c r="Q537" s="4">
        <v>5</v>
      </c>
      <c r="R537" s="3">
        <v>29</v>
      </c>
      <c r="S537" s="3">
        <v>8</v>
      </c>
      <c r="T537" s="7">
        <v>-0.09</v>
      </c>
    </row>
    <row r="538" spans="1:20" x14ac:dyDescent="0.35">
      <c r="A538" s="5" t="s">
        <v>1278</v>
      </c>
      <c r="B538" s="3" t="s">
        <v>18</v>
      </c>
      <c r="C538" s="3" t="s">
        <v>496</v>
      </c>
      <c r="D538" s="3" t="s">
        <v>2027</v>
      </c>
      <c r="E538" s="3" t="s">
        <v>21</v>
      </c>
      <c r="F538" s="3" t="s">
        <v>2028</v>
      </c>
      <c r="G538" s="3" t="s">
        <v>2029</v>
      </c>
      <c r="H538" s="43">
        <v>45622</v>
      </c>
      <c r="I538" s="43">
        <v>45352</v>
      </c>
      <c r="J538" s="47" t="str">
        <f>IF(GroDB3[[#This Row],[Last_Order_Date]]&lt;=GroDB3[[#This Row],[Date_Received]], "Yes", "No")</f>
        <v>Yes</v>
      </c>
      <c r="K538" s="43">
        <f>IF(GroDB3[[#This Row],[Column1]]="No",GroDB3[[#This Row],[Last_Order_Date]],GroDB3[[#This Row],[Date_Received]])</f>
        <v>45622</v>
      </c>
      <c r="L538" s="43">
        <f>IF(GroDB3[[#This Row],[Column1]]="No",GroDB3[[#This Row],[Date_Received]],GroDB3[[#This Row],[Last_Order_Date]])</f>
        <v>45352</v>
      </c>
      <c r="M538" s="43">
        <v>45531</v>
      </c>
      <c r="N538" s="3">
        <v>19</v>
      </c>
      <c r="O538" s="3">
        <v>28</v>
      </c>
      <c r="P538" s="3">
        <v>83</v>
      </c>
      <c r="Q538" s="4">
        <v>4.5</v>
      </c>
      <c r="R538" s="3">
        <v>91</v>
      </c>
      <c r="S538" s="3">
        <v>73</v>
      </c>
      <c r="T538" s="7">
        <v>0.72</v>
      </c>
    </row>
    <row r="539" spans="1:20" x14ac:dyDescent="0.35">
      <c r="A539" s="5" t="s">
        <v>111</v>
      </c>
      <c r="B539" s="3" t="s">
        <v>32</v>
      </c>
      <c r="C539" s="3" t="s">
        <v>778</v>
      </c>
      <c r="D539" s="3" t="s">
        <v>2030</v>
      </c>
      <c r="E539" s="3" t="s">
        <v>56</v>
      </c>
      <c r="F539" s="3" t="s">
        <v>2031</v>
      </c>
      <c r="G539" s="3" t="s">
        <v>2032</v>
      </c>
      <c r="H539" s="43">
        <v>45623</v>
      </c>
      <c r="I539" s="43">
        <v>45675</v>
      </c>
      <c r="J539" s="47" t="str">
        <f>IF(GroDB3[[#This Row],[Last_Order_Date]]&lt;=GroDB3[[#This Row],[Date_Received]], "Yes", "No")</f>
        <v>No</v>
      </c>
      <c r="K539" s="43">
        <f>IF(GroDB3[[#This Row],[Column1]]="No",GroDB3[[#This Row],[Last_Order_Date]],GroDB3[[#This Row],[Date_Received]])</f>
        <v>45675</v>
      </c>
      <c r="L539" s="43">
        <f>IF(GroDB3[[#This Row],[Column1]]="No",GroDB3[[#This Row],[Date_Received]],GroDB3[[#This Row],[Last_Order_Date]])</f>
        <v>45623</v>
      </c>
      <c r="M539" s="43">
        <v>45663</v>
      </c>
      <c r="N539" s="3">
        <v>66</v>
      </c>
      <c r="O539" s="3">
        <v>40</v>
      </c>
      <c r="P539" s="3">
        <v>8</v>
      </c>
      <c r="Q539" s="4">
        <v>6</v>
      </c>
      <c r="R539" s="3">
        <v>43</v>
      </c>
      <c r="S539" s="3">
        <v>49</v>
      </c>
      <c r="T539" s="7">
        <v>0.2</v>
      </c>
    </row>
    <row r="540" spans="1:20" x14ac:dyDescent="0.35">
      <c r="A540" s="5" t="s">
        <v>392</v>
      </c>
      <c r="B540" s="3" t="s">
        <v>18</v>
      </c>
      <c r="C540" s="3" t="s">
        <v>2033</v>
      </c>
      <c r="D540" s="3" t="s">
        <v>2034</v>
      </c>
      <c r="E540" s="3" t="s">
        <v>21</v>
      </c>
      <c r="F540" s="3" t="s">
        <v>2035</v>
      </c>
      <c r="G540" s="3" t="s">
        <v>2036</v>
      </c>
      <c r="H540" s="43">
        <v>45623</v>
      </c>
      <c r="I540" s="43">
        <v>45412</v>
      </c>
      <c r="J540" s="47" t="str">
        <f>IF(GroDB3[[#This Row],[Last_Order_Date]]&lt;=GroDB3[[#This Row],[Date_Received]], "Yes", "No")</f>
        <v>Yes</v>
      </c>
      <c r="K540" s="43">
        <f>IF(GroDB3[[#This Row],[Column1]]="No",GroDB3[[#This Row],[Last_Order_Date]],GroDB3[[#This Row],[Date_Received]])</f>
        <v>45623</v>
      </c>
      <c r="L540" s="43">
        <f>IF(GroDB3[[#This Row],[Column1]]="No",GroDB3[[#This Row],[Date_Received]],GroDB3[[#This Row],[Last_Order_Date]])</f>
        <v>45412</v>
      </c>
      <c r="M540" s="43">
        <v>45465</v>
      </c>
      <c r="N540" s="3">
        <v>88</v>
      </c>
      <c r="O540" s="3">
        <v>27</v>
      </c>
      <c r="P540" s="3">
        <v>92</v>
      </c>
      <c r="Q540" s="4">
        <v>5.5</v>
      </c>
      <c r="R540" s="3">
        <v>57</v>
      </c>
      <c r="S540" s="3">
        <v>37</v>
      </c>
      <c r="T540" s="7">
        <v>-0.14000000000000001</v>
      </c>
    </row>
    <row r="541" spans="1:20" x14ac:dyDescent="0.35">
      <c r="A541" s="5" t="s">
        <v>151</v>
      </c>
      <c r="B541" s="3" t="s">
        <v>91</v>
      </c>
      <c r="C541" s="3" t="s">
        <v>2037</v>
      </c>
      <c r="D541" s="3" t="s">
        <v>2038</v>
      </c>
      <c r="E541" s="3" t="s">
        <v>21</v>
      </c>
      <c r="F541" s="3" t="s">
        <v>2039</v>
      </c>
      <c r="G541" s="3" t="s">
        <v>2040</v>
      </c>
      <c r="H541" s="43">
        <v>45623</v>
      </c>
      <c r="I541" s="43">
        <v>45348</v>
      </c>
      <c r="J541" s="47" t="str">
        <f>IF(GroDB3[[#This Row],[Last_Order_Date]]&lt;=GroDB3[[#This Row],[Date_Received]], "Yes", "No")</f>
        <v>Yes</v>
      </c>
      <c r="K541" s="43">
        <f>IF(GroDB3[[#This Row],[Column1]]="No",GroDB3[[#This Row],[Last_Order_Date]],GroDB3[[#This Row],[Date_Received]])</f>
        <v>45623</v>
      </c>
      <c r="L541" s="43">
        <f>IF(GroDB3[[#This Row],[Column1]]="No",GroDB3[[#This Row],[Date_Received]],GroDB3[[#This Row],[Last_Order_Date]])</f>
        <v>45348</v>
      </c>
      <c r="M541" s="43">
        <v>45480</v>
      </c>
      <c r="N541" s="3">
        <v>71</v>
      </c>
      <c r="O541" s="3">
        <v>97</v>
      </c>
      <c r="P541" s="3">
        <v>44</v>
      </c>
      <c r="Q541" s="4">
        <v>4</v>
      </c>
      <c r="R541" s="3">
        <v>58</v>
      </c>
      <c r="S541" s="3">
        <v>14</v>
      </c>
      <c r="T541" s="7">
        <v>0.35</v>
      </c>
    </row>
    <row r="542" spans="1:20" x14ac:dyDescent="0.35">
      <c r="A542" s="5" t="s">
        <v>293</v>
      </c>
      <c r="B542" s="3" t="s">
        <v>18</v>
      </c>
      <c r="C542" s="3" t="s">
        <v>2041</v>
      </c>
      <c r="D542" s="3" t="s">
        <v>2042</v>
      </c>
      <c r="E542" s="3" t="s">
        <v>56</v>
      </c>
      <c r="F542" s="3" t="s">
        <v>2043</v>
      </c>
      <c r="G542" s="3" t="s">
        <v>2044</v>
      </c>
      <c r="H542" s="43">
        <v>45623</v>
      </c>
      <c r="I542" s="43">
        <v>45530</v>
      </c>
      <c r="J542" s="47" t="str">
        <f>IF(GroDB3[[#This Row],[Last_Order_Date]]&lt;=GroDB3[[#This Row],[Date_Received]], "Yes", "No")</f>
        <v>Yes</v>
      </c>
      <c r="K542" s="43">
        <f>IF(GroDB3[[#This Row],[Column1]]="No",GroDB3[[#This Row],[Last_Order_Date]],GroDB3[[#This Row],[Date_Received]])</f>
        <v>45623</v>
      </c>
      <c r="L542" s="43">
        <f>IF(GroDB3[[#This Row],[Column1]]="No",GroDB3[[#This Row],[Date_Received]],GroDB3[[#This Row],[Last_Order_Date]])</f>
        <v>45530</v>
      </c>
      <c r="M542" s="43">
        <v>45467</v>
      </c>
      <c r="N542" s="3">
        <v>39</v>
      </c>
      <c r="O542" s="3">
        <v>37</v>
      </c>
      <c r="P542" s="3">
        <v>48</v>
      </c>
      <c r="Q542" s="4">
        <v>2</v>
      </c>
      <c r="R542" s="3">
        <v>25</v>
      </c>
      <c r="S542" s="3">
        <v>19</v>
      </c>
      <c r="T542" s="7">
        <v>0.76</v>
      </c>
    </row>
    <row r="543" spans="1:20" x14ac:dyDescent="0.35">
      <c r="A543" s="5" t="s">
        <v>320</v>
      </c>
      <c r="B543" s="3" t="s">
        <v>18</v>
      </c>
      <c r="C543" s="3" t="s">
        <v>2045</v>
      </c>
      <c r="D543" s="3" t="s">
        <v>2046</v>
      </c>
      <c r="E543" s="3" t="s">
        <v>21</v>
      </c>
      <c r="F543" s="3" t="s">
        <v>2047</v>
      </c>
      <c r="G543" s="3" t="s">
        <v>2048</v>
      </c>
      <c r="H543" s="43">
        <v>45624</v>
      </c>
      <c r="I543" s="43">
        <v>45684</v>
      </c>
      <c r="J543" s="47" t="str">
        <f>IF(GroDB3[[#This Row],[Last_Order_Date]]&lt;=GroDB3[[#This Row],[Date_Received]], "Yes", "No")</f>
        <v>No</v>
      </c>
      <c r="K543" s="43">
        <f>IF(GroDB3[[#This Row],[Column1]]="No",GroDB3[[#This Row],[Last_Order_Date]],GroDB3[[#This Row],[Date_Received]])</f>
        <v>45684</v>
      </c>
      <c r="L543" s="43">
        <f>IF(GroDB3[[#This Row],[Column1]]="No",GroDB3[[#This Row],[Date_Received]],GroDB3[[#This Row],[Last_Order_Date]])</f>
        <v>45624</v>
      </c>
      <c r="M543" s="43">
        <v>45708</v>
      </c>
      <c r="N543" s="3">
        <v>20</v>
      </c>
      <c r="O543" s="3">
        <v>42</v>
      </c>
      <c r="P543" s="3">
        <v>21</v>
      </c>
      <c r="Q543" s="4">
        <v>3.85</v>
      </c>
      <c r="R543" s="3">
        <v>61</v>
      </c>
      <c r="S543" s="3">
        <v>25</v>
      </c>
      <c r="T543" s="7">
        <v>0.24</v>
      </c>
    </row>
    <row r="544" spans="1:20" x14ac:dyDescent="0.35">
      <c r="A544" s="5" t="s">
        <v>566</v>
      </c>
      <c r="B544" s="3" t="s">
        <v>127</v>
      </c>
      <c r="C544" s="3" t="s">
        <v>277</v>
      </c>
      <c r="D544" s="3" t="s">
        <v>2049</v>
      </c>
      <c r="E544" s="3" t="s">
        <v>21</v>
      </c>
      <c r="F544" s="3" t="s">
        <v>2050</v>
      </c>
      <c r="G544" s="3" t="s">
        <v>2051</v>
      </c>
      <c r="H544" s="43">
        <v>45624</v>
      </c>
      <c r="I544" s="43">
        <v>45559</v>
      </c>
      <c r="J544" s="47" t="str">
        <f>IF(GroDB3[[#This Row],[Last_Order_Date]]&lt;=GroDB3[[#This Row],[Date_Received]], "Yes", "No")</f>
        <v>Yes</v>
      </c>
      <c r="K544" s="43">
        <f>IF(GroDB3[[#This Row],[Column1]]="No",GroDB3[[#This Row],[Last_Order_Date]],GroDB3[[#This Row],[Date_Received]])</f>
        <v>45624</v>
      </c>
      <c r="L544" s="43">
        <f>IF(GroDB3[[#This Row],[Column1]]="No",GroDB3[[#This Row],[Date_Received]],GroDB3[[#This Row],[Last_Order_Date]])</f>
        <v>45559</v>
      </c>
      <c r="M544" s="43">
        <v>45534</v>
      </c>
      <c r="N544" s="3">
        <v>33</v>
      </c>
      <c r="O544" s="3">
        <v>22</v>
      </c>
      <c r="P544" s="3">
        <v>94</v>
      </c>
      <c r="Q544" s="4">
        <v>15</v>
      </c>
      <c r="R544" s="3">
        <v>96</v>
      </c>
      <c r="S544" s="3">
        <v>56</v>
      </c>
      <c r="T544" s="7">
        <v>0.59</v>
      </c>
    </row>
    <row r="545" spans="1:20" x14ac:dyDescent="0.35">
      <c r="A545" s="5" t="s">
        <v>193</v>
      </c>
      <c r="B545" s="3" t="s">
        <v>18</v>
      </c>
      <c r="C545" s="3" t="s">
        <v>1550</v>
      </c>
      <c r="D545" s="3" t="s">
        <v>2052</v>
      </c>
      <c r="E545" s="3" t="s">
        <v>28</v>
      </c>
      <c r="F545" s="3" t="s">
        <v>2053</v>
      </c>
      <c r="G545" s="3" t="s">
        <v>2054</v>
      </c>
      <c r="H545" s="43">
        <v>45625</v>
      </c>
      <c r="I545" s="43">
        <v>45695</v>
      </c>
      <c r="J545" s="47" t="str">
        <f>IF(GroDB3[[#This Row],[Last_Order_Date]]&lt;=GroDB3[[#This Row],[Date_Received]], "Yes", "No")</f>
        <v>No</v>
      </c>
      <c r="K545" s="43">
        <f>IF(GroDB3[[#This Row],[Column1]]="No",GroDB3[[#This Row],[Last_Order_Date]],GroDB3[[#This Row],[Date_Received]])</f>
        <v>45695</v>
      </c>
      <c r="L545" s="43">
        <f>IF(GroDB3[[#This Row],[Column1]]="No",GroDB3[[#This Row],[Date_Received]],GroDB3[[#This Row],[Last_Order_Date]])</f>
        <v>45625</v>
      </c>
      <c r="M545" s="43">
        <v>45661</v>
      </c>
      <c r="N545" s="3">
        <v>29</v>
      </c>
      <c r="O545" s="3">
        <v>83</v>
      </c>
      <c r="P545" s="3">
        <v>91</v>
      </c>
      <c r="Q545" s="4">
        <v>2</v>
      </c>
      <c r="R545" s="3">
        <v>81</v>
      </c>
      <c r="S545" s="3">
        <v>53</v>
      </c>
      <c r="T545" s="7">
        <v>0.42</v>
      </c>
    </row>
    <row r="546" spans="1:20" x14ac:dyDescent="0.35">
      <c r="A546" s="5" t="s">
        <v>329</v>
      </c>
      <c r="B546" s="3" t="s">
        <v>53</v>
      </c>
      <c r="C546" s="3" t="s">
        <v>1766</v>
      </c>
      <c r="D546" s="3" t="s">
        <v>2055</v>
      </c>
      <c r="E546" s="3" t="s">
        <v>28</v>
      </c>
      <c r="F546" s="3" t="s">
        <v>2056</v>
      </c>
      <c r="G546" s="3" t="s">
        <v>2057</v>
      </c>
      <c r="H546" s="43">
        <v>45625</v>
      </c>
      <c r="I546" s="43">
        <v>45627</v>
      </c>
      <c r="J546" s="47" t="str">
        <f>IF(GroDB3[[#This Row],[Last_Order_Date]]&lt;=GroDB3[[#This Row],[Date_Received]], "Yes", "No")</f>
        <v>No</v>
      </c>
      <c r="K546" s="43">
        <f>IF(GroDB3[[#This Row],[Column1]]="No",GroDB3[[#This Row],[Last_Order_Date]],GroDB3[[#This Row],[Date_Received]])</f>
        <v>45627</v>
      </c>
      <c r="L546" s="43">
        <f>IF(GroDB3[[#This Row],[Column1]]="No",GroDB3[[#This Row],[Date_Received]],GroDB3[[#This Row],[Last_Order_Date]])</f>
        <v>45625</v>
      </c>
      <c r="M546" s="43">
        <v>45677</v>
      </c>
      <c r="N546" s="3">
        <v>92</v>
      </c>
      <c r="O546" s="3">
        <v>48</v>
      </c>
      <c r="P546" s="3">
        <v>22</v>
      </c>
      <c r="Q546" s="4">
        <v>6.25</v>
      </c>
      <c r="R546" s="3">
        <v>38</v>
      </c>
      <c r="S546" s="3">
        <v>61</v>
      </c>
      <c r="T546" s="7">
        <v>0.35</v>
      </c>
    </row>
    <row r="547" spans="1:20" x14ac:dyDescent="0.35">
      <c r="A547" s="5" t="s">
        <v>272</v>
      </c>
      <c r="B547" s="3" t="s">
        <v>32</v>
      </c>
      <c r="C547" s="3" t="s">
        <v>1719</v>
      </c>
      <c r="D547" s="3" t="s">
        <v>2058</v>
      </c>
      <c r="E547" s="3" t="s">
        <v>28</v>
      </c>
      <c r="F547" s="3" t="s">
        <v>2059</v>
      </c>
      <c r="G547" s="3" t="s">
        <v>2060</v>
      </c>
      <c r="H547" s="43">
        <v>45626</v>
      </c>
      <c r="I547" s="43">
        <v>45521</v>
      </c>
      <c r="J547" s="47" t="str">
        <f>IF(GroDB3[[#This Row],[Last_Order_Date]]&lt;=GroDB3[[#This Row],[Date_Received]], "Yes", "No")</f>
        <v>Yes</v>
      </c>
      <c r="K547" s="43">
        <f>IF(GroDB3[[#This Row],[Column1]]="No",GroDB3[[#This Row],[Last_Order_Date]],GroDB3[[#This Row],[Date_Received]])</f>
        <v>45626</v>
      </c>
      <c r="L547" s="43">
        <f>IF(GroDB3[[#This Row],[Column1]]="No",GroDB3[[#This Row],[Date_Received]],GroDB3[[#This Row],[Last_Order_Date]])</f>
        <v>45521</v>
      </c>
      <c r="M547" s="43">
        <v>45484</v>
      </c>
      <c r="N547" s="3">
        <v>70</v>
      </c>
      <c r="O547" s="3">
        <v>92</v>
      </c>
      <c r="P547" s="3">
        <v>74</v>
      </c>
      <c r="Q547" s="4">
        <v>1</v>
      </c>
      <c r="R547" s="3">
        <v>95</v>
      </c>
      <c r="S547" s="3">
        <v>26</v>
      </c>
      <c r="T547" s="7">
        <v>-0.61</v>
      </c>
    </row>
    <row r="548" spans="1:20" x14ac:dyDescent="0.35">
      <c r="A548" s="5" t="s">
        <v>31</v>
      </c>
      <c r="B548" s="3" t="s">
        <v>32</v>
      </c>
      <c r="C548" s="3" t="s">
        <v>199</v>
      </c>
      <c r="D548" s="3" t="s">
        <v>2061</v>
      </c>
      <c r="E548" s="3" t="s">
        <v>28</v>
      </c>
      <c r="F548" s="3" t="s">
        <v>2062</v>
      </c>
      <c r="G548" s="3" t="s">
        <v>2063</v>
      </c>
      <c r="H548" s="43">
        <v>45626</v>
      </c>
      <c r="I548" s="43">
        <v>45625</v>
      </c>
      <c r="J548" s="47" t="str">
        <f>IF(GroDB3[[#This Row],[Last_Order_Date]]&lt;=GroDB3[[#This Row],[Date_Received]], "Yes", "No")</f>
        <v>Yes</v>
      </c>
      <c r="K548" s="43">
        <f>IF(GroDB3[[#This Row],[Column1]]="No",GroDB3[[#This Row],[Last_Order_Date]],GroDB3[[#This Row],[Date_Received]])</f>
        <v>45626</v>
      </c>
      <c r="L548" s="43">
        <f>IF(GroDB3[[#This Row],[Column1]]="No",GroDB3[[#This Row],[Date_Received]],GroDB3[[#This Row],[Last_Order_Date]])</f>
        <v>45625</v>
      </c>
      <c r="M548" s="43">
        <v>45394</v>
      </c>
      <c r="N548" s="3">
        <v>65</v>
      </c>
      <c r="O548" s="3">
        <v>54</v>
      </c>
      <c r="P548" s="3">
        <v>29</v>
      </c>
      <c r="Q548" s="4">
        <v>12</v>
      </c>
      <c r="R548" s="3">
        <v>69</v>
      </c>
      <c r="S548" s="3">
        <v>79</v>
      </c>
      <c r="T548" s="7">
        <v>0.73</v>
      </c>
    </row>
    <row r="549" spans="1:20" x14ac:dyDescent="0.35">
      <c r="A549" s="5" t="s">
        <v>544</v>
      </c>
      <c r="B549" s="3" t="s">
        <v>91</v>
      </c>
      <c r="C549" s="3" t="s">
        <v>1526</v>
      </c>
      <c r="D549" s="3" t="s">
        <v>2064</v>
      </c>
      <c r="E549" s="3" t="s">
        <v>21</v>
      </c>
      <c r="F549" s="3" t="s">
        <v>2065</v>
      </c>
      <c r="G549" s="3" t="s">
        <v>2066</v>
      </c>
      <c r="H549" s="43">
        <v>45639</v>
      </c>
      <c r="I549" s="43">
        <v>45697</v>
      </c>
      <c r="J549" s="47" t="str">
        <f>IF(GroDB3[[#This Row],[Last_Order_Date]]&lt;=GroDB3[[#This Row],[Date_Received]], "Yes", "No")</f>
        <v>No</v>
      </c>
      <c r="K549" s="43">
        <f>IF(GroDB3[[#This Row],[Column1]]="No",GroDB3[[#This Row],[Last_Order_Date]],GroDB3[[#This Row],[Date_Received]])</f>
        <v>45697</v>
      </c>
      <c r="L549" s="43">
        <f>IF(GroDB3[[#This Row],[Column1]]="No",GroDB3[[#This Row],[Date_Received]],GroDB3[[#This Row],[Last_Order_Date]])</f>
        <v>45639</v>
      </c>
      <c r="M549" s="43">
        <v>45491</v>
      </c>
      <c r="N549" s="3">
        <v>26</v>
      </c>
      <c r="O549" s="3">
        <v>79</v>
      </c>
      <c r="P549" s="3">
        <v>31</v>
      </c>
      <c r="Q549" s="4">
        <v>3</v>
      </c>
      <c r="R549" s="3">
        <v>47</v>
      </c>
      <c r="S549" s="3">
        <v>41</v>
      </c>
      <c r="T549" s="7">
        <v>-0.14000000000000001</v>
      </c>
    </row>
    <row r="550" spans="1:20" x14ac:dyDescent="0.35">
      <c r="A550" s="5" t="s">
        <v>817</v>
      </c>
      <c r="B550" s="3" t="s">
        <v>18</v>
      </c>
      <c r="C550" s="3" t="s">
        <v>2067</v>
      </c>
      <c r="D550" s="3" t="s">
        <v>2068</v>
      </c>
      <c r="E550" s="3" t="s">
        <v>28</v>
      </c>
      <c r="F550" s="3" t="s">
        <v>2069</v>
      </c>
      <c r="G550" s="3" t="s">
        <v>2070</v>
      </c>
      <c r="H550" s="43">
        <v>45639</v>
      </c>
      <c r="I550" s="43">
        <v>45684</v>
      </c>
      <c r="J550" s="47" t="str">
        <f>IF(GroDB3[[#This Row],[Last_Order_Date]]&lt;=GroDB3[[#This Row],[Date_Received]], "Yes", "No")</f>
        <v>No</v>
      </c>
      <c r="K550" s="43">
        <f>IF(GroDB3[[#This Row],[Column1]]="No",GroDB3[[#This Row],[Last_Order_Date]],GroDB3[[#This Row],[Date_Received]])</f>
        <v>45684</v>
      </c>
      <c r="L550" s="43">
        <f>IF(GroDB3[[#This Row],[Column1]]="No",GroDB3[[#This Row],[Date_Received]],GroDB3[[#This Row],[Last_Order_Date]])</f>
        <v>45639</v>
      </c>
      <c r="M550" s="43">
        <v>45523</v>
      </c>
      <c r="N550" s="3">
        <v>99</v>
      </c>
      <c r="O550" s="3">
        <v>1</v>
      </c>
      <c r="P550" s="3">
        <v>4</v>
      </c>
      <c r="Q550" s="4">
        <v>3</v>
      </c>
      <c r="R550" s="3">
        <v>50</v>
      </c>
      <c r="S550" s="3">
        <v>53</v>
      </c>
      <c r="T550" s="7">
        <v>0.13</v>
      </c>
    </row>
    <row r="551" spans="1:20" x14ac:dyDescent="0.35">
      <c r="A551" s="5" t="s">
        <v>836</v>
      </c>
      <c r="B551" s="3" t="s">
        <v>91</v>
      </c>
      <c r="C551" s="3" t="s">
        <v>500</v>
      </c>
      <c r="D551" s="3" t="s">
        <v>2071</v>
      </c>
      <c r="E551" s="3" t="s">
        <v>56</v>
      </c>
      <c r="F551" s="3" t="s">
        <v>2072</v>
      </c>
      <c r="G551" s="3" t="s">
        <v>2073</v>
      </c>
      <c r="H551" s="43">
        <v>45639</v>
      </c>
      <c r="I551" s="43">
        <v>45669</v>
      </c>
      <c r="J551" s="47" t="str">
        <f>IF(GroDB3[[#This Row],[Last_Order_Date]]&lt;=GroDB3[[#This Row],[Date_Received]], "Yes", "No")</f>
        <v>No</v>
      </c>
      <c r="K551" s="43">
        <f>IF(GroDB3[[#This Row],[Column1]]="No",GroDB3[[#This Row],[Last_Order_Date]],GroDB3[[#This Row],[Date_Received]])</f>
        <v>45669</v>
      </c>
      <c r="L551" s="43">
        <f>IF(GroDB3[[#This Row],[Column1]]="No",GroDB3[[#This Row],[Date_Received]],GroDB3[[#This Row],[Last_Order_Date]])</f>
        <v>45639</v>
      </c>
      <c r="M551" s="43">
        <v>45622</v>
      </c>
      <c r="N551" s="3">
        <v>47</v>
      </c>
      <c r="O551" s="3">
        <v>26</v>
      </c>
      <c r="P551" s="3">
        <v>40</v>
      </c>
      <c r="Q551" s="4">
        <v>3.25</v>
      </c>
      <c r="R551" s="3">
        <v>30</v>
      </c>
      <c r="S551" s="3">
        <v>72</v>
      </c>
      <c r="T551" s="7">
        <v>-0.06</v>
      </c>
    </row>
    <row r="552" spans="1:20" x14ac:dyDescent="0.35">
      <c r="A552" s="5" t="s">
        <v>947</v>
      </c>
      <c r="B552" s="3" t="s">
        <v>18</v>
      </c>
      <c r="C552" s="3" t="s">
        <v>1020</v>
      </c>
      <c r="D552" s="3" t="s">
        <v>2074</v>
      </c>
      <c r="E552" s="3" t="s">
        <v>56</v>
      </c>
      <c r="F552" s="3" t="s">
        <v>2075</v>
      </c>
      <c r="G552" s="3" t="s">
        <v>2076</v>
      </c>
      <c r="H552" s="43">
        <v>45640</v>
      </c>
      <c r="I552" s="43">
        <v>45502</v>
      </c>
      <c r="J552" s="47" t="str">
        <f>IF(GroDB3[[#This Row],[Last_Order_Date]]&lt;=GroDB3[[#This Row],[Date_Received]], "Yes", "No")</f>
        <v>Yes</v>
      </c>
      <c r="K552" s="43">
        <f>IF(GroDB3[[#This Row],[Column1]]="No",GroDB3[[#This Row],[Last_Order_Date]],GroDB3[[#This Row],[Date_Received]])</f>
        <v>45640</v>
      </c>
      <c r="L552" s="43">
        <f>IF(GroDB3[[#This Row],[Column1]]="No",GroDB3[[#This Row],[Date_Received]],GroDB3[[#This Row],[Last_Order_Date]])</f>
        <v>45502</v>
      </c>
      <c r="M552" s="43">
        <v>45592</v>
      </c>
      <c r="N552" s="3">
        <v>28</v>
      </c>
      <c r="O552" s="3">
        <v>40</v>
      </c>
      <c r="P552" s="3">
        <v>27</v>
      </c>
      <c r="Q552" s="4">
        <v>1.2</v>
      </c>
      <c r="R552" s="3">
        <v>30</v>
      </c>
      <c r="S552" s="3">
        <v>56</v>
      </c>
      <c r="T552" s="7">
        <v>-1.4</v>
      </c>
    </row>
    <row r="553" spans="1:20" x14ac:dyDescent="0.35">
      <c r="A553" s="5" t="s">
        <v>272</v>
      </c>
      <c r="B553" s="3" t="s">
        <v>32</v>
      </c>
      <c r="C553" s="3" t="s">
        <v>2077</v>
      </c>
      <c r="D553" s="3" t="s">
        <v>2078</v>
      </c>
      <c r="E553" s="3" t="s">
        <v>21</v>
      </c>
      <c r="F553" s="3" t="s">
        <v>2079</v>
      </c>
      <c r="G553" s="3" t="s">
        <v>2080</v>
      </c>
      <c r="H553" s="43">
        <v>45640</v>
      </c>
      <c r="I553" s="43">
        <v>45625</v>
      </c>
      <c r="J553" s="47" t="str">
        <f>IF(GroDB3[[#This Row],[Last_Order_Date]]&lt;=GroDB3[[#This Row],[Date_Received]], "Yes", "No")</f>
        <v>Yes</v>
      </c>
      <c r="K553" s="43">
        <f>IF(GroDB3[[#This Row],[Column1]]="No",GroDB3[[#This Row],[Last_Order_Date]],GroDB3[[#This Row],[Date_Received]])</f>
        <v>45640</v>
      </c>
      <c r="L553" s="43">
        <f>IF(GroDB3[[#This Row],[Column1]]="No",GroDB3[[#This Row],[Date_Received]],GroDB3[[#This Row],[Last_Order_Date]])</f>
        <v>45625</v>
      </c>
      <c r="M553" s="43">
        <v>45506</v>
      </c>
      <c r="N553" s="3">
        <v>44</v>
      </c>
      <c r="O553" s="3">
        <v>75</v>
      </c>
      <c r="P553" s="3">
        <v>72</v>
      </c>
      <c r="Q553" s="4">
        <v>1</v>
      </c>
      <c r="R553" s="3">
        <v>96</v>
      </c>
      <c r="S553" s="3">
        <v>38</v>
      </c>
      <c r="T553" s="7">
        <v>-0.87</v>
      </c>
    </row>
    <row r="554" spans="1:20" x14ac:dyDescent="0.35">
      <c r="A554" s="5" t="s">
        <v>828</v>
      </c>
      <c r="B554" s="3" t="s">
        <v>32</v>
      </c>
      <c r="C554" s="3" t="s">
        <v>2081</v>
      </c>
      <c r="D554" s="3" t="s">
        <v>2082</v>
      </c>
      <c r="E554" s="3" t="s">
        <v>28</v>
      </c>
      <c r="F554" s="3" t="s">
        <v>2083</v>
      </c>
      <c r="G554" s="3" t="s">
        <v>2084</v>
      </c>
      <c r="H554" s="43">
        <v>45641</v>
      </c>
      <c r="I554" s="43">
        <v>45626</v>
      </c>
      <c r="J554" s="47" t="str">
        <f>IF(GroDB3[[#This Row],[Last_Order_Date]]&lt;=GroDB3[[#This Row],[Date_Received]], "Yes", "No")</f>
        <v>Yes</v>
      </c>
      <c r="K554" s="43">
        <f>IF(GroDB3[[#This Row],[Column1]]="No",GroDB3[[#This Row],[Last_Order_Date]],GroDB3[[#This Row],[Date_Received]])</f>
        <v>45641</v>
      </c>
      <c r="L554" s="43">
        <f>IF(GroDB3[[#This Row],[Column1]]="No",GroDB3[[#This Row],[Date_Received]],GroDB3[[#This Row],[Last_Order_Date]])</f>
        <v>45626</v>
      </c>
      <c r="M554" s="43">
        <v>45636</v>
      </c>
      <c r="N554" s="3">
        <v>89</v>
      </c>
      <c r="O554" s="3">
        <v>42</v>
      </c>
      <c r="P554" s="3">
        <v>76</v>
      </c>
      <c r="Q554" s="4">
        <v>5</v>
      </c>
      <c r="R554" s="3">
        <v>94</v>
      </c>
      <c r="S554" s="3">
        <v>81</v>
      </c>
      <c r="T554" s="7">
        <v>0.6</v>
      </c>
    </row>
    <row r="555" spans="1:20" x14ac:dyDescent="0.35">
      <c r="A555" s="5" t="s">
        <v>686</v>
      </c>
      <c r="B555" s="3" t="s">
        <v>18</v>
      </c>
      <c r="C555" s="3" t="s">
        <v>943</v>
      </c>
      <c r="D555" s="3" t="s">
        <v>2085</v>
      </c>
      <c r="E555" s="3" t="s">
        <v>21</v>
      </c>
      <c r="F555" s="3" t="s">
        <v>2086</v>
      </c>
      <c r="G555" s="3" t="s">
        <v>2087</v>
      </c>
      <c r="H555" s="43">
        <v>45641</v>
      </c>
      <c r="I555" s="43">
        <v>45656</v>
      </c>
      <c r="J555" s="47" t="str">
        <f>IF(GroDB3[[#This Row],[Last_Order_Date]]&lt;=GroDB3[[#This Row],[Date_Received]], "Yes", "No")</f>
        <v>No</v>
      </c>
      <c r="K555" s="43">
        <f>IF(GroDB3[[#This Row],[Column1]]="No",GroDB3[[#This Row],[Last_Order_Date]],GroDB3[[#This Row],[Date_Received]])</f>
        <v>45656</v>
      </c>
      <c r="L555" s="43">
        <f>IF(GroDB3[[#This Row],[Column1]]="No",GroDB3[[#This Row],[Date_Received]],GroDB3[[#This Row],[Last_Order_Date]])</f>
        <v>45641</v>
      </c>
      <c r="M555" s="43">
        <v>45528</v>
      </c>
      <c r="N555" s="3">
        <v>100</v>
      </c>
      <c r="O555" s="3">
        <v>64</v>
      </c>
      <c r="P555" s="3">
        <v>62</v>
      </c>
      <c r="Q555" s="4">
        <v>2.5</v>
      </c>
      <c r="R555" s="3">
        <v>84</v>
      </c>
      <c r="S555" s="3">
        <v>44</v>
      </c>
      <c r="T555" s="7">
        <v>0.14000000000000001</v>
      </c>
    </row>
    <row r="556" spans="1:20" x14ac:dyDescent="0.35">
      <c r="A556" s="5" t="s">
        <v>1179</v>
      </c>
      <c r="B556" s="3" t="s">
        <v>91</v>
      </c>
      <c r="C556" s="3" t="s">
        <v>312</v>
      </c>
      <c r="D556" s="3" t="s">
        <v>2088</v>
      </c>
      <c r="E556" s="3" t="s">
        <v>21</v>
      </c>
      <c r="F556" s="3" t="s">
        <v>2089</v>
      </c>
      <c r="G556" s="3" t="s">
        <v>2090</v>
      </c>
      <c r="H556" s="43">
        <v>45642</v>
      </c>
      <c r="I556" s="43">
        <v>45441</v>
      </c>
      <c r="J556" s="47" t="str">
        <f>IF(GroDB3[[#This Row],[Last_Order_Date]]&lt;=GroDB3[[#This Row],[Date_Received]], "Yes", "No")</f>
        <v>Yes</v>
      </c>
      <c r="K556" s="43">
        <f>IF(GroDB3[[#This Row],[Column1]]="No",GroDB3[[#This Row],[Last_Order_Date]],GroDB3[[#This Row],[Date_Received]])</f>
        <v>45642</v>
      </c>
      <c r="L556" s="43">
        <f>IF(GroDB3[[#This Row],[Column1]]="No",GroDB3[[#This Row],[Date_Received]],GroDB3[[#This Row],[Last_Order_Date]])</f>
        <v>45441</v>
      </c>
      <c r="M556" s="43">
        <v>45574</v>
      </c>
      <c r="N556" s="3">
        <v>62</v>
      </c>
      <c r="O556" s="3">
        <v>49</v>
      </c>
      <c r="P556" s="3">
        <v>38</v>
      </c>
      <c r="Q556" s="4">
        <v>2.5</v>
      </c>
      <c r="R556" s="3">
        <v>42</v>
      </c>
      <c r="S556" s="3">
        <v>44</v>
      </c>
      <c r="T556" s="7">
        <v>0.48</v>
      </c>
    </row>
    <row r="557" spans="1:20" x14ac:dyDescent="0.35">
      <c r="A557" s="5" t="s">
        <v>243</v>
      </c>
      <c r="B557" s="3" t="s">
        <v>18</v>
      </c>
      <c r="C557" s="3" t="s">
        <v>421</v>
      </c>
      <c r="D557" s="3" t="s">
        <v>2091</v>
      </c>
      <c r="E557" s="3" t="s">
        <v>28</v>
      </c>
      <c r="F557" s="3" t="s">
        <v>2092</v>
      </c>
      <c r="G557" s="3" t="s">
        <v>2093</v>
      </c>
      <c r="H557" s="43">
        <v>45642</v>
      </c>
      <c r="I557" s="43">
        <v>45357</v>
      </c>
      <c r="J557" s="47" t="str">
        <f>IF(GroDB3[[#This Row],[Last_Order_Date]]&lt;=GroDB3[[#This Row],[Date_Received]], "Yes", "No")</f>
        <v>Yes</v>
      </c>
      <c r="K557" s="43">
        <f>IF(GroDB3[[#This Row],[Column1]]="No",GroDB3[[#This Row],[Last_Order_Date]],GroDB3[[#This Row],[Date_Received]])</f>
        <v>45642</v>
      </c>
      <c r="L557" s="43">
        <f>IF(GroDB3[[#This Row],[Column1]]="No",GroDB3[[#This Row],[Date_Received]],GroDB3[[#This Row],[Last_Order_Date]])</f>
        <v>45357</v>
      </c>
      <c r="M557" s="43">
        <v>45498</v>
      </c>
      <c r="N557" s="3">
        <v>100</v>
      </c>
      <c r="O557" s="3">
        <v>7</v>
      </c>
      <c r="P557" s="3">
        <v>14</v>
      </c>
      <c r="Q557" s="4">
        <v>2</v>
      </c>
      <c r="R557" s="3">
        <v>26</v>
      </c>
      <c r="S557" s="3">
        <v>33</v>
      </c>
      <c r="T557" s="7">
        <v>-0.05</v>
      </c>
    </row>
    <row r="558" spans="1:20" x14ac:dyDescent="0.35">
      <c r="A558" s="5" t="s">
        <v>106</v>
      </c>
      <c r="B558" s="3" t="s">
        <v>32</v>
      </c>
      <c r="C558" s="3" t="s">
        <v>1671</v>
      </c>
      <c r="D558" s="3" t="s">
        <v>2094</v>
      </c>
      <c r="E558" s="3" t="s">
        <v>28</v>
      </c>
      <c r="F558" s="3" t="s">
        <v>2095</v>
      </c>
      <c r="G558" s="3" t="s">
        <v>2096</v>
      </c>
      <c r="H558" s="43">
        <v>45643</v>
      </c>
      <c r="I558" s="43">
        <v>45647</v>
      </c>
      <c r="J558" s="47" t="str">
        <f>IF(GroDB3[[#This Row],[Last_Order_Date]]&lt;=GroDB3[[#This Row],[Date_Received]], "Yes", "No")</f>
        <v>No</v>
      </c>
      <c r="K558" s="43">
        <f>IF(GroDB3[[#This Row],[Column1]]="No",GroDB3[[#This Row],[Last_Order_Date]],GroDB3[[#This Row],[Date_Received]])</f>
        <v>45647</v>
      </c>
      <c r="L558" s="43">
        <f>IF(GroDB3[[#This Row],[Column1]]="No",GroDB3[[#This Row],[Date_Received]],GroDB3[[#This Row],[Last_Order_Date]])</f>
        <v>45643</v>
      </c>
      <c r="M558" s="43">
        <v>45428</v>
      </c>
      <c r="N558" s="3">
        <v>42</v>
      </c>
      <c r="O558" s="3">
        <v>94</v>
      </c>
      <c r="P558" s="3">
        <v>79</v>
      </c>
      <c r="Q558" s="4">
        <v>2.5</v>
      </c>
      <c r="R558" s="3">
        <v>61</v>
      </c>
      <c r="S558" s="3">
        <v>92</v>
      </c>
      <c r="T558" s="7">
        <v>-0.27</v>
      </c>
    </row>
    <row r="559" spans="1:20" x14ac:dyDescent="0.35">
      <c r="A559" s="5" t="s">
        <v>531</v>
      </c>
      <c r="B559" s="3" t="s">
        <v>53</v>
      </c>
      <c r="C559" s="3" t="s">
        <v>570</v>
      </c>
      <c r="D559" s="3" t="s">
        <v>2097</v>
      </c>
      <c r="E559" s="3" t="s">
        <v>21</v>
      </c>
      <c r="F559" s="3" t="s">
        <v>2098</v>
      </c>
      <c r="G559" s="3" t="s">
        <v>2099</v>
      </c>
      <c r="H559" s="43">
        <v>45644</v>
      </c>
      <c r="I559" s="43">
        <v>45436</v>
      </c>
      <c r="J559" s="47" t="str">
        <f>IF(GroDB3[[#This Row],[Last_Order_Date]]&lt;=GroDB3[[#This Row],[Date_Received]], "Yes", "No")</f>
        <v>Yes</v>
      </c>
      <c r="K559" s="43">
        <f>IF(GroDB3[[#This Row],[Column1]]="No",GroDB3[[#This Row],[Last_Order_Date]],GroDB3[[#This Row],[Date_Received]])</f>
        <v>45644</v>
      </c>
      <c r="L559" s="43">
        <f>IF(GroDB3[[#This Row],[Column1]]="No",GroDB3[[#This Row],[Date_Received]],GroDB3[[#This Row],[Last_Order_Date]])</f>
        <v>45436</v>
      </c>
      <c r="M559" s="43">
        <v>45664</v>
      </c>
      <c r="N559" s="3">
        <v>62</v>
      </c>
      <c r="O559" s="3">
        <v>81</v>
      </c>
      <c r="P559" s="3">
        <v>91</v>
      </c>
      <c r="Q559" s="4">
        <v>1.6</v>
      </c>
      <c r="R559" s="3">
        <v>100</v>
      </c>
      <c r="S559" s="3">
        <v>42</v>
      </c>
      <c r="T559" s="7">
        <v>-0.51</v>
      </c>
    </row>
    <row r="560" spans="1:20" x14ac:dyDescent="0.35">
      <c r="A560" s="5" t="s">
        <v>438</v>
      </c>
      <c r="B560" s="3" t="s">
        <v>18</v>
      </c>
      <c r="C560" s="3" t="s">
        <v>522</v>
      </c>
      <c r="D560" s="3" t="s">
        <v>2100</v>
      </c>
      <c r="E560" s="3" t="s">
        <v>21</v>
      </c>
      <c r="F560" s="3" t="s">
        <v>2101</v>
      </c>
      <c r="G560" s="3" t="s">
        <v>2102</v>
      </c>
      <c r="H560" s="43">
        <v>45644</v>
      </c>
      <c r="I560" s="43">
        <v>45712</v>
      </c>
      <c r="J560" s="47" t="str">
        <f>IF(GroDB3[[#This Row],[Last_Order_Date]]&lt;=GroDB3[[#This Row],[Date_Received]], "Yes", "No")</f>
        <v>No</v>
      </c>
      <c r="K560" s="43">
        <f>IF(GroDB3[[#This Row],[Column1]]="No",GroDB3[[#This Row],[Last_Order_Date]],GroDB3[[#This Row],[Date_Received]])</f>
        <v>45712</v>
      </c>
      <c r="L560" s="43">
        <f>IF(GroDB3[[#This Row],[Column1]]="No",GroDB3[[#This Row],[Date_Received]],GroDB3[[#This Row],[Last_Order_Date]])</f>
        <v>45644</v>
      </c>
      <c r="M560" s="43">
        <v>45685</v>
      </c>
      <c r="N560" s="3">
        <v>19</v>
      </c>
      <c r="O560" s="3">
        <v>47</v>
      </c>
      <c r="P560" s="3">
        <v>25</v>
      </c>
      <c r="Q560" s="4">
        <v>5</v>
      </c>
      <c r="R560" s="3">
        <v>96</v>
      </c>
      <c r="S560" s="3">
        <v>37</v>
      </c>
      <c r="T560" s="7">
        <v>0.57999999999999996</v>
      </c>
    </row>
    <row r="561" spans="1:20" x14ac:dyDescent="0.35">
      <c r="A561" s="5" t="s">
        <v>980</v>
      </c>
      <c r="B561" s="3" t="s">
        <v>60</v>
      </c>
      <c r="C561" s="3" t="s">
        <v>1704</v>
      </c>
      <c r="D561" s="3" t="s">
        <v>2103</v>
      </c>
      <c r="E561" s="3" t="s">
        <v>28</v>
      </c>
      <c r="F561" s="3" t="s">
        <v>2104</v>
      </c>
      <c r="G561" s="3" t="s">
        <v>2105</v>
      </c>
      <c r="H561" s="43">
        <v>45644</v>
      </c>
      <c r="I561" s="43">
        <v>45447</v>
      </c>
      <c r="J561" s="47" t="str">
        <f>IF(GroDB3[[#This Row],[Last_Order_Date]]&lt;=GroDB3[[#This Row],[Date_Received]], "Yes", "No")</f>
        <v>Yes</v>
      </c>
      <c r="K561" s="43">
        <f>IF(GroDB3[[#This Row],[Column1]]="No",GroDB3[[#This Row],[Last_Order_Date]],GroDB3[[#This Row],[Date_Received]])</f>
        <v>45644</v>
      </c>
      <c r="L561" s="43">
        <f>IF(GroDB3[[#This Row],[Column1]]="No",GroDB3[[#This Row],[Date_Received]],GroDB3[[#This Row],[Last_Order_Date]])</f>
        <v>45447</v>
      </c>
      <c r="M561" s="43">
        <v>45398</v>
      </c>
      <c r="N561" s="3">
        <v>52</v>
      </c>
      <c r="O561" s="3">
        <v>46</v>
      </c>
      <c r="P561" s="3">
        <v>12</v>
      </c>
      <c r="Q561" s="4">
        <v>15</v>
      </c>
      <c r="R561" s="3">
        <v>43</v>
      </c>
      <c r="S561" s="3">
        <v>34</v>
      </c>
      <c r="T561" s="7">
        <v>0.61</v>
      </c>
    </row>
    <row r="562" spans="1:20" x14ac:dyDescent="0.35">
      <c r="A562" s="5" t="s">
        <v>151</v>
      </c>
      <c r="B562" s="3" t="s">
        <v>91</v>
      </c>
      <c r="C562" s="3" t="s">
        <v>466</v>
      </c>
      <c r="D562" s="3" t="s">
        <v>2106</v>
      </c>
      <c r="E562" s="3" t="s">
        <v>21</v>
      </c>
      <c r="F562" s="3" t="s">
        <v>2107</v>
      </c>
      <c r="G562" s="3" t="s">
        <v>2108</v>
      </c>
      <c r="H562" s="43">
        <v>45645</v>
      </c>
      <c r="I562" s="43">
        <v>45559</v>
      </c>
      <c r="J562" s="47" t="str">
        <f>IF(GroDB3[[#This Row],[Last_Order_Date]]&lt;=GroDB3[[#This Row],[Date_Received]], "Yes", "No")</f>
        <v>Yes</v>
      </c>
      <c r="K562" s="43">
        <f>IF(GroDB3[[#This Row],[Column1]]="No",GroDB3[[#This Row],[Last_Order_Date]],GroDB3[[#This Row],[Date_Received]])</f>
        <v>45645</v>
      </c>
      <c r="L562" s="43">
        <f>IF(GroDB3[[#This Row],[Column1]]="No",GroDB3[[#This Row],[Date_Received]],GroDB3[[#This Row],[Last_Order_Date]])</f>
        <v>45559</v>
      </c>
      <c r="M562" s="43">
        <v>45616</v>
      </c>
      <c r="N562" s="3">
        <v>30</v>
      </c>
      <c r="O562" s="3">
        <v>85</v>
      </c>
      <c r="P562" s="3">
        <v>21</v>
      </c>
      <c r="Q562" s="4">
        <v>4.5</v>
      </c>
      <c r="R562" s="3">
        <v>32</v>
      </c>
      <c r="S562" s="3">
        <v>83</v>
      </c>
      <c r="T562" s="7">
        <v>0.21</v>
      </c>
    </row>
    <row r="563" spans="1:20" x14ac:dyDescent="0.35">
      <c r="A563" s="5" t="s">
        <v>142</v>
      </c>
      <c r="B563" s="3" t="s">
        <v>18</v>
      </c>
      <c r="C563" s="3" t="s">
        <v>770</v>
      </c>
      <c r="D563" s="3" t="s">
        <v>2109</v>
      </c>
      <c r="E563" s="3" t="s">
        <v>56</v>
      </c>
      <c r="F563" s="3" t="s">
        <v>2110</v>
      </c>
      <c r="G563" s="3" t="s">
        <v>2111</v>
      </c>
      <c r="H563" s="43">
        <v>45645</v>
      </c>
      <c r="I563" s="43">
        <v>45615</v>
      </c>
      <c r="J563" s="47" t="str">
        <f>IF(GroDB3[[#This Row],[Last_Order_Date]]&lt;=GroDB3[[#This Row],[Date_Received]], "Yes", "No")</f>
        <v>Yes</v>
      </c>
      <c r="K563" s="43">
        <f>IF(GroDB3[[#This Row],[Column1]]="No",GroDB3[[#This Row],[Last_Order_Date]],GroDB3[[#This Row],[Date_Received]])</f>
        <v>45645</v>
      </c>
      <c r="L563" s="43">
        <f>IF(GroDB3[[#This Row],[Column1]]="No",GroDB3[[#This Row],[Date_Received]],GroDB3[[#This Row],[Last_Order_Date]])</f>
        <v>45615</v>
      </c>
      <c r="M563" s="43">
        <v>45413</v>
      </c>
      <c r="N563" s="3">
        <v>77</v>
      </c>
      <c r="O563" s="3">
        <v>52</v>
      </c>
      <c r="P563" s="3">
        <v>28</v>
      </c>
      <c r="Q563" s="4">
        <v>4</v>
      </c>
      <c r="R563" s="3">
        <v>48</v>
      </c>
      <c r="S563" s="3">
        <v>43</v>
      </c>
      <c r="T563" s="7">
        <v>-1.59</v>
      </c>
    </row>
    <row r="564" spans="1:20" x14ac:dyDescent="0.35">
      <c r="A564" s="5" t="s">
        <v>111</v>
      </c>
      <c r="B564" s="3" t="s">
        <v>32</v>
      </c>
      <c r="C564" s="3" t="s">
        <v>2112</v>
      </c>
      <c r="D564" s="3" t="s">
        <v>2113</v>
      </c>
      <c r="E564" s="3" t="s">
        <v>21</v>
      </c>
      <c r="F564" s="3" t="s">
        <v>2114</v>
      </c>
      <c r="G564" s="3" t="s">
        <v>2115</v>
      </c>
      <c r="H564" s="43">
        <v>45645</v>
      </c>
      <c r="I564" s="43">
        <v>45503</v>
      </c>
      <c r="J564" s="47" t="str">
        <f>IF(GroDB3[[#This Row],[Last_Order_Date]]&lt;=GroDB3[[#This Row],[Date_Received]], "Yes", "No")</f>
        <v>Yes</v>
      </c>
      <c r="K564" s="43">
        <f>IF(GroDB3[[#This Row],[Column1]]="No",GroDB3[[#This Row],[Last_Order_Date]],GroDB3[[#This Row],[Date_Received]])</f>
        <v>45645</v>
      </c>
      <c r="L564" s="43">
        <f>IF(GroDB3[[#This Row],[Column1]]="No",GroDB3[[#This Row],[Date_Received]],GroDB3[[#This Row],[Last_Order_Date]])</f>
        <v>45503</v>
      </c>
      <c r="M564" s="43">
        <v>45685</v>
      </c>
      <c r="N564" s="3">
        <v>96</v>
      </c>
      <c r="O564" s="3">
        <v>80</v>
      </c>
      <c r="P564" s="3">
        <v>20</v>
      </c>
      <c r="Q564" s="4">
        <v>6.1</v>
      </c>
      <c r="R564" s="3">
        <v>94</v>
      </c>
      <c r="S564" s="3">
        <v>49</v>
      </c>
      <c r="T564" s="7">
        <v>0.1</v>
      </c>
    </row>
    <row r="565" spans="1:20" x14ac:dyDescent="0.35">
      <c r="A565" s="5" t="s">
        <v>674</v>
      </c>
      <c r="B565" s="3" t="s">
        <v>60</v>
      </c>
      <c r="C565" s="3" t="s">
        <v>171</v>
      </c>
      <c r="D565" s="3" t="s">
        <v>2116</v>
      </c>
      <c r="E565" s="3" t="s">
        <v>28</v>
      </c>
      <c r="F565" s="3" t="s">
        <v>2117</v>
      </c>
      <c r="G565" s="3" t="s">
        <v>2118</v>
      </c>
      <c r="H565" s="43">
        <v>45645</v>
      </c>
      <c r="I565" s="43">
        <v>45396</v>
      </c>
      <c r="J565" s="47" t="str">
        <f>IF(GroDB3[[#This Row],[Last_Order_Date]]&lt;=GroDB3[[#This Row],[Date_Received]], "Yes", "No")</f>
        <v>Yes</v>
      </c>
      <c r="K565" s="43">
        <f>IF(GroDB3[[#This Row],[Column1]]="No",GroDB3[[#This Row],[Last_Order_Date]],GroDB3[[#This Row],[Date_Received]])</f>
        <v>45645</v>
      </c>
      <c r="L565" s="43">
        <f>IF(GroDB3[[#This Row],[Column1]]="No",GroDB3[[#This Row],[Date_Received]],GroDB3[[#This Row],[Last_Order_Date]])</f>
        <v>45396</v>
      </c>
      <c r="M565" s="43">
        <v>45481</v>
      </c>
      <c r="N565" s="3">
        <v>67</v>
      </c>
      <c r="O565" s="3">
        <v>71</v>
      </c>
      <c r="P565" s="3">
        <v>4</v>
      </c>
      <c r="Q565" s="4">
        <v>9</v>
      </c>
      <c r="R565" s="3">
        <v>76</v>
      </c>
      <c r="S565" s="3">
        <v>34</v>
      </c>
      <c r="T565" s="7">
        <v>0.48</v>
      </c>
    </row>
    <row r="566" spans="1:20" x14ac:dyDescent="0.35">
      <c r="A566" s="5" t="s">
        <v>59</v>
      </c>
      <c r="B566" s="3" t="s">
        <v>60</v>
      </c>
      <c r="C566" s="3" t="s">
        <v>1374</v>
      </c>
      <c r="D566" s="3" t="s">
        <v>2119</v>
      </c>
      <c r="E566" s="3" t="s">
        <v>28</v>
      </c>
      <c r="F566" s="3" t="s">
        <v>2120</v>
      </c>
      <c r="G566" s="3" t="s">
        <v>2121</v>
      </c>
      <c r="H566" s="43">
        <v>45645</v>
      </c>
      <c r="I566" s="43">
        <v>45482</v>
      </c>
      <c r="J566" s="47" t="str">
        <f>IF(GroDB3[[#This Row],[Last_Order_Date]]&lt;=GroDB3[[#This Row],[Date_Received]], "Yes", "No")</f>
        <v>Yes</v>
      </c>
      <c r="K566" s="43">
        <f>IF(GroDB3[[#This Row],[Column1]]="No",GroDB3[[#This Row],[Last_Order_Date]],GroDB3[[#This Row],[Date_Received]])</f>
        <v>45645</v>
      </c>
      <c r="L566" s="43">
        <f>IF(GroDB3[[#This Row],[Column1]]="No",GroDB3[[#This Row],[Date_Received]],GroDB3[[#This Row],[Last_Order_Date]])</f>
        <v>45482</v>
      </c>
      <c r="M566" s="43">
        <v>45564</v>
      </c>
      <c r="N566" s="3">
        <v>86</v>
      </c>
      <c r="O566" s="3">
        <v>55</v>
      </c>
      <c r="P566" s="3">
        <v>96</v>
      </c>
      <c r="Q566" s="4">
        <v>10</v>
      </c>
      <c r="R566" s="3">
        <v>37</v>
      </c>
      <c r="S566" s="3">
        <v>53</v>
      </c>
      <c r="T566" s="7">
        <v>0.55000000000000004</v>
      </c>
    </row>
    <row r="567" spans="1:20" x14ac:dyDescent="0.35">
      <c r="A567" s="5" t="s">
        <v>31</v>
      </c>
      <c r="B567" s="3" t="s">
        <v>32</v>
      </c>
      <c r="C567" s="3" t="s">
        <v>1307</v>
      </c>
      <c r="D567" s="3" t="s">
        <v>2122</v>
      </c>
      <c r="E567" s="3" t="s">
        <v>56</v>
      </c>
      <c r="F567" s="3" t="s">
        <v>2123</v>
      </c>
      <c r="G567" s="3" t="s">
        <v>2124</v>
      </c>
      <c r="H567" s="43">
        <v>45647</v>
      </c>
      <c r="I567" s="43">
        <v>45670</v>
      </c>
      <c r="J567" s="47" t="str">
        <f>IF(GroDB3[[#This Row],[Last_Order_Date]]&lt;=GroDB3[[#This Row],[Date_Received]], "Yes", "No")</f>
        <v>No</v>
      </c>
      <c r="K567" s="43">
        <f>IF(GroDB3[[#This Row],[Column1]]="No",GroDB3[[#This Row],[Last_Order_Date]],GroDB3[[#This Row],[Date_Received]])</f>
        <v>45670</v>
      </c>
      <c r="L567" s="43">
        <f>IF(GroDB3[[#This Row],[Column1]]="No",GroDB3[[#This Row],[Date_Received]],GroDB3[[#This Row],[Last_Order_Date]])</f>
        <v>45647</v>
      </c>
      <c r="M567" s="43">
        <v>45565</v>
      </c>
      <c r="N567" s="3">
        <v>63</v>
      </c>
      <c r="O567" s="3">
        <v>4</v>
      </c>
      <c r="P567" s="3">
        <v>85</v>
      </c>
      <c r="Q567" s="4">
        <v>12</v>
      </c>
      <c r="R567" s="3">
        <v>59</v>
      </c>
      <c r="S567" s="3">
        <v>71</v>
      </c>
      <c r="T567" s="7">
        <v>-0.43</v>
      </c>
    </row>
    <row r="568" spans="1:20" x14ac:dyDescent="0.35">
      <c r="A568" s="5" t="s">
        <v>90</v>
      </c>
      <c r="B568" s="3" t="s">
        <v>91</v>
      </c>
      <c r="C568" s="3" t="s">
        <v>425</v>
      </c>
      <c r="D568" s="3" t="s">
        <v>2125</v>
      </c>
      <c r="E568" s="3" t="s">
        <v>56</v>
      </c>
      <c r="F568" s="3" t="s">
        <v>2126</v>
      </c>
      <c r="G568" s="3" t="s">
        <v>2127</v>
      </c>
      <c r="H568" s="43">
        <v>45647</v>
      </c>
      <c r="I568" s="43">
        <v>45391</v>
      </c>
      <c r="J568" s="47" t="str">
        <f>IF(GroDB3[[#This Row],[Last_Order_Date]]&lt;=GroDB3[[#This Row],[Date_Received]], "Yes", "No")</f>
        <v>Yes</v>
      </c>
      <c r="K568" s="43">
        <f>IF(GroDB3[[#This Row],[Column1]]="No",GroDB3[[#This Row],[Last_Order_Date]],GroDB3[[#This Row],[Date_Received]])</f>
        <v>45647</v>
      </c>
      <c r="L568" s="43">
        <f>IF(GroDB3[[#This Row],[Column1]]="No",GroDB3[[#This Row],[Date_Received]],GroDB3[[#This Row],[Last_Order_Date]])</f>
        <v>45391</v>
      </c>
      <c r="M568" s="43">
        <v>45465</v>
      </c>
      <c r="N568" s="3">
        <v>39</v>
      </c>
      <c r="O568" s="3">
        <v>16</v>
      </c>
      <c r="P568" s="3">
        <v>57</v>
      </c>
      <c r="Q568" s="4">
        <v>4</v>
      </c>
      <c r="R568" s="3">
        <v>98</v>
      </c>
      <c r="S568" s="3">
        <v>12</v>
      </c>
      <c r="T568" s="7">
        <v>-0.2</v>
      </c>
    </row>
    <row r="569" spans="1:20" x14ac:dyDescent="0.35">
      <c r="A569" s="5" t="s">
        <v>342</v>
      </c>
      <c r="B569" s="3" t="s">
        <v>18</v>
      </c>
      <c r="C569" s="3" t="s">
        <v>2128</v>
      </c>
      <c r="D569" s="3" t="s">
        <v>2129</v>
      </c>
      <c r="E569" s="3" t="s">
        <v>28</v>
      </c>
      <c r="F569" s="3" t="s">
        <v>2130</v>
      </c>
      <c r="G569" s="3" t="s">
        <v>2131</v>
      </c>
      <c r="H569" s="43">
        <v>45647</v>
      </c>
      <c r="I569" s="43">
        <v>45538</v>
      </c>
      <c r="J569" s="47" t="str">
        <f>IF(GroDB3[[#This Row],[Last_Order_Date]]&lt;=GroDB3[[#This Row],[Date_Received]], "Yes", "No")</f>
        <v>Yes</v>
      </c>
      <c r="K569" s="43">
        <f>IF(GroDB3[[#This Row],[Column1]]="No",GroDB3[[#This Row],[Last_Order_Date]],GroDB3[[#This Row],[Date_Received]])</f>
        <v>45647</v>
      </c>
      <c r="L569" s="43">
        <f>IF(GroDB3[[#This Row],[Column1]]="No",GroDB3[[#This Row],[Date_Received]],GroDB3[[#This Row],[Last_Order_Date]])</f>
        <v>45538</v>
      </c>
      <c r="M569" s="43">
        <v>45673</v>
      </c>
      <c r="N569" s="3">
        <v>43</v>
      </c>
      <c r="O569" s="3">
        <v>65</v>
      </c>
      <c r="P569" s="3">
        <v>66</v>
      </c>
      <c r="Q569" s="4">
        <v>6</v>
      </c>
      <c r="R569" s="3">
        <v>78</v>
      </c>
      <c r="S569" s="3">
        <v>73</v>
      </c>
      <c r="T569" s="7">
        <v>0.88</v>
      </c>
    </row>
    <row r="570" spans="1:20" x14ac:dyDescent="0.35">
      <c r="A570" s="5" t="s">
        <v>420</v>
      </c>
      <c r="B570" s="3" t="s">
        <v>60</v>
      </c>
      <c r="C570" s="3" t="s">
        <v>1378</v>
      </c>
      <c r="D570" s="3" t="s">
        <v>2132</v>
      </c>
      <c r="E570" s="3" t="s">
        <v>28</v>
      </c>
      <c r="F570" s="3" t="s">
        <v>2133</v>
      </c>
      <c r="G570" s="3" t="s">
        <v>2134</v>
      </c>
      <c r="H570" s="43">
        <v>45647</v>
      </c>
      <c r="I570" s="43">
        <v>45422</v>
      </c>
      <c r="J570" s="47" t="str">
        <f>IF(GroDB3[[#This Row],[Last_Order_Date]]&lt;=GroDB3[[#This Row],[Date_Received]], "Yes", "No")</f>
        <v>Yes</v>
      </c>
      <c r="K570" s="43">
        <f>IF(GroDB3[[#This Row],[Column1]]="No",GroDB3[[#This Row],[Last_Order_Date]],GroDB3[[#This Row],[Date_Received]])</f>
        <v>45647</v>
      </c>
      <c r="L570" s="43">
        <f>IF(GroDB3[[#This Row],[Column1]]="No",GroDB3[[#This Row],[Date_Received]],GroDB3[[#This Row],[Last_Order_Date]])</f>
        <v>45422</v>
      </c>
      <c r="M570" s="43">
        <v>45416</v>
      </c>
      <c r="N570" s="3">
        <v>37</v>
      </c>
      <c r="O570" s="3">
        <v>33</v>
      </c>
      <c r="P570" s="3">
        <v>80</v>
      </c>
      <c r="Q570" s="4">
        <v>18</v>
      </c>
      <c r="R570" s="3">
        <v>27</v>
      </c>
      <c r="S570" s="3">
        <v>73</v>
      </c>
      <c r="T570" s="7">
        <v>0.06</v>
      </c>
    </row>
    <row r="571" spans="1:20" x14ac:dyDescent="0.35">
      <c r="A571" s="5" t="s">
        <v>1109</v>
      </c>
      <c r="B571" s="3" t="s">
        <v>18</v>
      </c>
      <c r="C571" s="3" t="s">
        <v>509</v>
      </c>
      <c r="D571" s="3" t="s">
        <v>2135</v>
      </c>
      <c r="E571" s="3" t="s">
        <v>21</v>
      </c>
      <c r="F571" s="3" t="s">
        <v>2136</v>
      </c>
      <c r="G571" s="3" t="s">
        <v>2137</v>
      </c>
      <c r="H571" s="43">
        <v>45648</v>
      </c>
      <c r="I571" s="43">
        <v>45542</v>
      </c>
      <c r="J571" s="47" t="str">
        <f>IF(GroDB3[[#This Row],[Last_Order_Date]]&lt;=GroDB3[[#This Row],[Date_Received]], "Yes", "No")</f>
        <v>Yes</v>
      </c>
      <c r="K571" s="43">
        <f>IF(GroDB3[[#This Row],[Column1]]="No",GroDB3[[#This Row],[Last_Order_Date]],GroDB3[[#This Row],[Date_Received]])</f>
        <v>45648</v>
      </c>
      <c r="L571" s="43">
        <f>IF(GroDB3[[#This Row],[Column1]]="No",GroDB3[[#This Row],[Date_Received]],GroDB3[[#This Row],[Last_Order_Date]])</f>
        <v>45542</v>
      </c>
      <c r="M571" s="43">
        <v>45554</v>
      </c>
      <c r="N571" s="3">
        <v>61</v>
      </c>
      <c r="O571" s="3">
        <v>90</v>
      </c>
      <c r="P571" s="3">
        <v>26</v>
      </c>
      <c r="Q571" s="4">
        <v>2.5</v>
      </c>
      <c r="R571" s="3">
        <v>79</v>
      </c>
      <c r="S571" s="3">
        <v>84</v>
      </c>
      <c r="T571" s="7">
        <v>-1.7</v>
      </c>
    </row>
    <row r="572" spans="1:20" x14ac:dyDescent="0.35">
      <c r="A572" s="5" t="s">
        <v>1016</v>
      </c>
      <c r="B572" s="3" t="s">
        <v>25</v>
      </c>
      <c r="C572" s="3" t="s">
        <v>628</v>
      </c>
      <c r="D572" s="3" t="s">
        <v>2138</v>
      </c>
      <c r="E572" s="3" t="s">
        <v>21</v>
      </c>
      <c r="F572" s="3" t="s">
        <v>2139</v>
      </c>
      <c r="G572" s="3" t="s">
        <v>2140</v>
      </c>
      <c r="H572" s="43">
        <v>45648</v>
      </c>
      <c r="I572" s="43">
        <v>45414</v>
      </c>
      <c r="J572" s="47" t="str">
        <f>IF(GroDB3[[#This Row],[Last_Order_Date]]&lt;=GroDB3[[#This Row],[Date_Received]], "Yes", "No")</f>
        <v>Yes</v>
      </c>
      <c r="K572" s="43">
        <f>IF(GroDB3[[#This Row],[Column1]]="No",GroDB3[[#This Row],[Last_Order_Date]],GroDB3[[#This Row],[Date_Received]])</f>
        <v>45648</v>
      </c>
      <c r="L572" s="43">
        <f>IF(GroDB3[[#This Row],[Column1]]="No",GroDB3[[#This Row],[Date_Received]],GroDB3[[#This Row],[Last_Order_Date]])</f>
        <v>45414</v>
      </c>
      <c r="M572" s="43">
        <v>45632</v>
      </c>
      <c r="N572" s="3">
        <v>28</v>
      </c>
      <c r="O572" s="3">
        <v>32</v>
      </c>
      <c r="P572" s="3">
        <v>71</v>
      </c>
      <c r="Q572" s="4">
        <v>2.5</v>
      </c>
      <c r="R572" s="3">
        <v>32</v>
      </c>
      <c r="S572" s="3">
        <v>49</v>
      </c>
      <c r="T572" s="7">
        <v>-0.06</v>
      </c>
    </row>
    <row r="573" spans="1:20" x14ac:dyDescent="0.35">
      <c r="A573" s="5" t="s">
        <v>272</v>
      </c>
      <c r="B573" s="3" t="s">
        <v>32</v>
      </c>
      <c r="C573" s="3" t="s">
        <v>1398</v>
      </c>
      <c r="D573" s="3" t="s">
        <v>2141</v>
      </c>
      <c r="E573" s="3" t="s">
        <v>56</v>
      </c>
      <c r="F573" s="3" t="s">
        <v>2142</v>
      </c>
      <c r="G573" s="3" t="s">
        <v>2143</v>
      </c>
      <c r="H573" s="43">
        <v>45649</v>
      </c>
      <c r="I573" s="43">
        <v>45700</v>
      </c>
      <c r="J573" s="47" t="str">
        <f>IF(GroDB3[[#This Row],[Last_Order_Date]]&lt;=GroDB3[[#This Row],[Date_Received]], "Yes", "No")</f>
        <v>No</v>
      </c>
      <c r="K573" s="43">
        <f>IF(GroDB3[[#This Row],[Column1]]="No",GroDB3[[#This Row],[Last_Order_Date]],GroDB3[[#This Row],[Date_Received]])</f>
        <v>45700</v>
      </c>
      <c r="L573" s="43">
        <f>IF(GroDB3[[#This Row],[Column1]]="No",GroDB3[[#This Row],[Date_Received]],GroDB3[[#This Row],[Last_Order_Date]])</f>
        <v>45649</v>
      </c>
      <c r="M573" s="43">
        <v>45408</v>
      </c>
      <c r="N573" s="3">
        <v>63</v>
      </c>
      <c r="O573" s="3">
        <v>38</v>
      </c>
      <c r="P573" s="3">
        <v>77</v>
      </c>
      <c r="Q573" s="4">
        <v>1</v>
      </c>
      <c r="R573" s="3">
        <v>23</v>
      </c>
      <c r="S573" s="3">
        <v>18</v>
      </c>
      <c r="T573" s="7">
        <v>-0.53</v>
      </c>
    </row>
    <row r="574" spans="1:20" x14ac:dyDescent="0.35">
      <c r="A574" s="5" t="s">
        <v>355</v>
      </c>
      <c r="B574" s="3" t="s">
        <v>18</v>
      </c>
      <c r="C574" s="3" t="s">
        <v>2144</v>
      </c>
      <c r="D574" s="3" t="s">
        <v>2145</v>
      </c>
      <c r="E574" s="3" t="s">
        <v>21</v>
      </c>
      <c r="F574" s="3" t="s">
        <v>2146</v>
      </c>
      <c r="G574" s="3" t="s">
        <v>2147</v>
      </c>
      <c r="H574" s="43">
        <v>45649</v>
      </c>
      <c r="I574" s="43">
        <v>45622</v>
      </c>
      <c r="J574" s="47" t="str">
        <f>IF(GroDB3[[#This Row],[Last_Order_Date]]&lt;=GroDB3[[#This Row],[Date_Received]], "Yes", "No")</f>
        <v>Yes</v>
      </c>
      <c r="K574" s="43">
        <f>IF(GroDB3[[#This Row],[Column1]]="No",GroDB3[[#This Row],[Last_Order_Date]],GroDB3[[#This Row],[Date_Received]])</f>
        <v>45649</v>
      </c>
      <c r="L574" s="43">
        <f>IF(GroDB3[[#This Row],[Column1]]="No",GroDB3[[#This Row],[Date_Received]],GroDB3[[#This Row],[Last_Order_Date]])</f>
        <v>45622</v>
      </c>
      <c r="M574" s="43">
        <v>45556</v>
      </c>
      <c r="N574" s="3">
        <v>69</v>
      </c>
      <c r="O574" s="3">
        <v>21</v>
      </c>
      <c r="P574" s="3">
        <v>68</v>
      </c>
      <c r="Q574" s="4">
        <v>66.55</v>
      </c>
      <c r="R574" s="3">
        <v>36</v>
      </c>
      <c r="S574" s="3">
        <v>35</v>
      </c>
      <c r="T574" s="7">
        <v>0.22</v>
      </c>
    </row>
    <row r="575" spans="1:20" x14ac:dyDescent="0.35">
      <c r="A575" s="5" t="s">
        <v>420</v>
      </c>
      <c r="B575" s="3" t="s">
        <v>60</v>
      </c>
      <c r="C575" s="3" t="s">
        <v>1906</v>
      </c>
      <c r="D575" s="3" t="s">
        <v>2148</v>
      </c>
      <c r="E575" s="3" t="s">
        <v>21</v>
      </c>
      <c r="F575" s="3" t="s">
        <v>2149</v>
      </c>
      <c r="G575" s="3" t="s">
        <v>2150</v>
      </c>
      <c r="H575" s="43">
        <v>45650</v>
      </c>
      <c r="I575" s="43">
        <v>45522</v>
      </c>
      <c r="J575" s="47" t="str">
        <f>IF(GroDB3[[#This Row],[Last_Order_Date]]&lt;=GroDB3[[#This Row],[Date_Received]], "Yes", "No")</f>
        <v>Yes</v>
      </c>
      <c r="K575" s="43">
        <f>IF(GroDB3[[#This Row],[Column1]]="No",GroDB3[[#This Row],[Last_Order_Date]],GroDB3[[#This Row],[Date_Received]])</f>
        <v>45650</v>
      </c>
      <c r="L575" s="43">
        <f>IF(GroDB3[[#This Row],[Column1]]="No",GroDB3[[#This Row],[Date_Received]],GroDB3[[#This Row],[Last_Order_Date]])</f>
        <v>45522</v>
      </c>
      <c r="M575" s="43">
        <v>45386</v>
      </c>
      <c r="N575" s="3">
        <v>92</v>
      </c>
      <c r="O575" s="3">
        <v>68</v>
      </c>
      <c r="P575" s="3">
        <v>79</v>
      </c>
      <c r="Q575" s="4">
        <v>18</v>
      </c>
      <c r="R575" s="3">
        <v>40</v>
      </c>
      <c r="S575" s="3">
        <v>57</v>
      </c>
      <c r="T575" s="7">
        <v>0.03</v>
      </c>
    </row>
    <row r="576" spans="1:20" x14ac:dyDescent="0.35">
      <c r="A576" s="5" t="s">
        <v>508</v>
      </c>
      <c r="B576" s="3" t="s">
        <v>127</v>
      </c>
      <c r="C576" s="3" t="s">
        <v>92</v>
      </c>
      <c r="D576" s="3" t="s">
        <v>2151</v>
      </c>
      <c r="E576" s="3" t="s">
        <v>21</v>
      </c>
      <c r="F576" s="3" t="s">
        <v>2152</v>
      </c>
      <c r="G576" s="3" t="s">
        <v>2153</v>
      </c>
      <c r="H576" s="43">
        <v>45650</v>
      </c>
      <c r="I576" s="43">
        <v>45397</v>
      </c>
      <c r="J576" s="47" t="str">
        <f>IF(GroDB3[[#This Row],[Last_Order_Date]]&lt;=GroDB3[[#This Row],[Date_Received]], "Yes", "No")</f>
        <v>Yes</v>
      </c>
      <c r="K576" s="43">
        <f>IF(GroDB3[[#This Row],[Column1]]="No",GroDB3[[#This Row],[Last_Order_Date]],GroDB3[[#This Row],[Date_Received]])</f>
        <v>45650</v>
      </c>
      <c r="L576" s="43">
        <f>IF(GroDB3[[#This Row],[Column1]]="No",GroDB3[[#This Row],[Date_Received]],GroDB3[[#This Row],[Last_Order_Date]])</f>
        <v>45397</v>
      </c>
      <c r="M576" s="43">
        <v>45502</v>
      </c>
      <c r="N576" s="3">
        <v>19</v>
      </c>
      <c r="O576" s="3">
        <v>78</v>
      </c>
      <c r="P576" s="3">
        <v>90</v>
      </c>
      <c r="Q576" s="4">
        <v>5</v>
      </c>
      <c r="R576" s="3">
        <v>72</v>
      </c>
      <c r="S576" s="3">
        <v>84</v>
      </c>
      <c r="T576" s="7">
        <v>-0.43</v>
      </c>
    </row>
    <row r="577" spans="1:20" x14ac:dyDescent="0.35">
      <c r="A577" s="5" t="s">
        <v>101</v>
      </c>
      <c r="B577" s="3" t="s">
        <v>18</v>
      </c>
      <c r="C577" s="3" t="s">
        <v>1378</v>
      </c>
      <c r="D577" s="3" t="s">
        <v>2154</v>
      </c>
      <c r="E577" s="3" t="s">
        <v>28</v>
      </c>
      <c r="F577" s="3" t="s">
        <v>2155</v>
      </c>
      <c r="G577" s="3" t="s">
        <v>2156</v>
      </c>
      <c r="H577" s="43">
        <v>45650</v>
      </c>
      <c r="I577" s="43">
        <v>45582</v>
      </c>
      <c r="J577" s="47" t="str">
        <f>IF(GroDB3[[#This Row],[Last_Order_Date]]&lt;=GroDB3[[#This Row],[Date_Received]], "Yes", "No")</f>
        <v>Yes</v>
      </c>
      <c r="K577" s="43">
        <f>IF(GroDB3[[#This Row],[Column1]]="No",GroDB3[[#This Row],[Last_Order_Date]],GroDB3[[#This Row],[Date_Received]])</f>
        <v>45650</v>
      </c>
      <c r="L577" s="43">
        <f>IF(GroDB3[[#This Row],[Column1]]="No",GroDB3[[#This Row],[Date_Received]],GroDB3[[#This Row],[Last_Order_Date]])</f>
        <v>45582</v>
      </c>
      <c r="M577" s="43">
        <v>45436</v>
      </c>
      <c r="N577" s="3">
        <v>84</v>
      </c>
      <c r="O577" s="3">
        <v>74</v>
      </c>
      <c r="P577" s="3">
        <v>48</v>
      </c>
      <c r="Q577" s="4">
        <v>4.5</v>
      </c>
      <c r="R577" s="3">
        <v>64</v>
      </c>
      <c r="S577" s="3">
        <v>32</v>
      </c>
      <c r="T577" s="7">
        <v>-0.17</v>
      </c>
    </row>
    <row r="578" spans="1:20" x14ac:dyDescent="0.35">
      <c r="A578" s="5" t="s">
        <v>193</v>
      </c>
      <c r="B578" s="3" t="s">
        <v>18</v>
      </c>
      <c r="C578" s="3" t="s">
        <v>235</v>
      </c>
      <c r="D578" s="3" t="s">
        <v>2157</v>
      </c>
      <c r="E578" s="3" t="s">
        <v>28</v>
      </c>
      <c r="F578" s="3" t="s">
        <v>2158</v>
      </c>
      <c r="G578" s="3" t="s">
        <v>2159</v>
      </c>
      <c r="H578" s="43">
        <v>45650</v>
      </c>
      <c r="I578" s="43">
        <v>45423</v>
      </c>
      <c r="J578" s="47" t="str">
        <f>IF(GroDB3[[#This Row],[Last_Order_Date]]&lt;=GroDB3[[#This Row],[Date_Received]], "Yes", "No")</f>
        <v>Yes</v>
      </c>
      <c r="K578" s="43">
        <f>IF(GroDB3[[#This Row],[Column1]]="No",GroDB3[[#This Row],[Last_Order_Date]],GroDB3[[#This Row],[Date_Received]])</f>
        <v>45650</v>
      </c>
      <c r="L578" s="43">
        <f>IF(GroDB3[[#This Row],[Column1]]="No",GroDB3[[#This Row],[Date_Received]],GroDB3[[#This Row],[Last_Order_Date]])</f>
        <v>45423</v>
      </c>
      <c r="M578" s="43">
        <v>45355</v>
      </c>
      <c r="N578" s="3">
        <v>14</v>
      </c>
      <c r="O578" s="3">
        <v>75</v>
      </c>
      <c r="P578" s="3">
        <v>19</v>
      </c>
      <c r="Q578" s="4">
        <v>1.9</v>
      </c>
      <c r="R578" s="3">
        <v>100</v>
      </c>
      <c r="S578" s="3">
        <v>84</v>
      </c>
      <c r="T578" s="7">
        <v>0.5</v>
      </c>
    </row>
    <row r="579" spans="1:20" x14ac:dyDescent="0.35">
      <c r="A579" s="5" t="s">
        <v>1092</v>
      </c>
      <c r="B579" s="3" t="s">
        <v>18</v>
      </c>
      <c r="C579" s="3" t="s">
        <v>2144</v>
      </c>
      <c r="D579" s="3" t="s">
        <v>2160</v>
      </c>
      <c r="E579" s="3" t="s">
        <v>56</v>
      </c>
      <c r="F579" s="3" t="s">
        <v>2161</v>
      </c>
      <c r="G579" s="3" t="s">
        <v>2162</v>
      </c>
      <c r="H579" s="43">
        <v>45651</v>
      </c>
      <c r="I579" s="43">
        <v>45485</v>
      </c>
      <c r="J579" s="47" t="str">
        <f>IF(GroDB3[[#This Row],[Last_Order_Date]]&lt;=GroDB3[[#This Row],[Date_Received]], "Yes", "No")</f>
        <v>Yes</v>
      </c>
      <c r="K579" s="43">
        <f>IF(GroDB3[[#This Row],[Column1]]="No",GroDB3[[#This Row],[Last_Order_Date]],GroDB3[[#This Row],[Date_Received]])</f>
        <v>45651</v>
      </c>
      <c r="L579" s="43">
        <f>IF(GroDB3[[#This Row],[Column1]]="No",GroDB3[[#This Row],[Date_Received]],GroDB3[[#This Row],[Last_Order_Date]])</f>
        <v>45485</v>
      </c>
      <c r="M579" s="43">
        <v>45471</v>
      </c>
      <c r="N579" s="3">
        <v>30</v>
      </c>
      <c r="O579" s="3">
        <v>25</v>
      </c>
      <c r="P579" s="3">
        <v>11</v>
      </c>
      <c r="Q579" s="4">
        <v>8</v>
      </c>
      <c r="R579" s="3">
        <v>42</v>
      </c>
      <c r="S579" s="3">
        <v>76</v>
      </c>
      <c r="T579" s="7">
        <v>0.16</v>
      </c>
    </row>
    <row r="580" spans="1:20" x14ac:dyDescent="0.35">
      <c r="A580" s="5" t="s">
        <v>47</v>
      </c>
      <c r="B580" s="3" t="s">
        <v>18</v>
      </c>
      <c r="C580" s="3" t="s">
        <v>2163</v>
      </c>
      <c r="D580" s="3" t="s">
        <v>2164</v>
      </c>
      <c r="E580" s="3" t="s">
        <v>28</v>
      </c>
      <c r="F580" s="3" t="s">
        <v>2165</v>
      </c>
      <c r="G580" s="3" t="s">
        <v>2166</v>
      </c>
      <c r="H580" s="43">
        <v>45652</v>
      </c>
      <c r="I580" s="43">
        <v>45433</v>
      </c>
      <c r="J580" s="47" t="str">
        <f>IF(GroDB3[[#This Row],[Last_Order_Date]]&lt;=GroDB3[[#This Row],[Date_Received]], "Yes", "No")</f>
        <v>Yes</v>
      </c>
      <c r="K580" s="43">
        <f>IF(GroDB3[[#This Row],[Column1]]="No",GroDB3[[#This Row],[Last_Order_Date]],GroDB3[[#This Row],[Date_Received]])</f>
        <v>45652</v>
      </c>
      <c r="L580" s="43">
        <f>IF(GroDB3[[#This Row],[Column1]]="No",GroDB3[[#This Row],[Date_Received]],GroDB3[[#This Row],[Last_Order_Date]])</f>
        <v>45433</v>
      </c>
      <c r="M580" s="43">
        <v>45397</v>
      </c>
      <c r="N580" s="3">
        <v>63</v>
      </c>
      <c r="O580" s="3">
        <v>60</v>
      </c>
      <c r="P580" s="3">
        <v>54</v>
      </c>
      <c r="Q580" s="4">
        <v>2.5</v>
      </c>
      <c r="R580" s="3">
        <v>33</v>
      </c>
      <c r="S580" s="3">
        <v>31</v>
      </c>
      <c r="T580" s="7">
        <v>-0.81</v>
      </c>
    </row>
    <row r="581" spans="1:20" x14ac:dyDescent="0.35">
      <c r="A581" s="5" t="s">
        <v>517</v>
      </c>
      <c r="B581" s="3" t="s">
        <v>127</v>
      </c>
      <c r="C581" s="3" t="s">
        <v>2167</v>
      </c>
      <c r="D581" s="3" t="s">
        <v>2168</v>
      </c>
      <c r="E581" s="3" t="s">
        <v>56</v>
      </c>
      <c r="F581" s="3" t="s">
        <v>2169</v>
      </c>
      <c r="G581" s="3" t="s">
        <v>2170</v>
      </c>
      <c r="H581" s="43">
        <v>45652</v>
      </c>
      <c r="I581" s="43">
        <v>45470</v>
      </c>
      <c r="J581" s="47" t="str">
        <f>IF(GroDB3[[#This Row],[Last_Order_Date]]&lt;=GroDB3[[#This Row],[Date_Received]], "Yes", "No")</f>
        <v>Yes</v>
      </c>
      <c r="K581" s="43">
        <f>IF(GroDB3[[#This Row],[Column1]]="No",GroDB3[[#This Row],[Last_Order_Date]],GroDB3[[#This Row],[Date_Received]])</f>
        <v>45652</v>
      </c>
      <c r="L581" s="43">
        <f>IF(GroDB3[[#This Row],[Column1]]="No",GroDB3[[#This Row],[Date_Received]],GroDB3[[#This Row],[Last_Order_Date]])</f>
        <v>45470</v>
      </c>
      <c r="M581" s="43">
        <v>45615</v>
      </c>
      <c r="N581" s="3">
        <v>60</v>
      </c>
      <c r="O581" s="3">
        <v>27</v>
      </c>
      <c r="P581" s="3">
        <v>58</v>
      </c>
      <c r="Q581" s="4">
        <v>25.3</v>
      </c>
      <c r="R581" s="3">
        <v>43</v>
      </c>
      <c r="S581" s="3">
        <v>91</v>
      </c>
      <c r="T581" s="7">
        <v>0.06</v>
      </c>
    </row>
    <row r="582" spans="1:20" x14ac:dyDescent="0.35">
      <c r="A582" s="5" t="s">
        <v>420</v>
      </c>
      <c r="B582" s="3" t="s">
        <v>60</v>
      </c>
      <c r="C582" s="3" t="s">
        <v>527</v>
      </c>
      <c r="D582" s="3" t="s">
        <v>2171</v>
      </c>
      <c r="E582" s="3" t="s">
        <v>28</v>
      </c>
      <c r="F582" s="3" t="s">
        <v>2172</v>
      </c>
      <c r="G582" s="3" t="s">
        <v>2173</v>
      </c>
      <c r="H582" s="43">
        <v>45652</v>
      </c>
      <c r="I582" s="43">
        <v>45349</v>
      </c>
      <c r="J582" s="47" t="str">
        <f>IF(GroDB3[[#This Row],[Last_Order_Date]]&lt;=GroDB3[[#This Row],[Date_Received]], "Yes", "No")</f>
        <v>Yes</v>
      </c>
      <c r="K582" s="43">
        <f>IF(GroDB3[[#This Row],[Column1]]="No",GroDB3[[#This Row],[Last_Order_Date]],GroDB3[[#This Row],[Date_Received]])</f>
        <v>45652</v>
      </c>
      <c r="L582" s="43">
        <f>IF(GroDB3[[#This Row],[Column1]]="No",GroDB3[[#This Row],[Date_Received]],GroDB3[[#This Row],[Last_Order_Date]])</f>
        <v>45349</v>
      </c>
      <c r="M582" s="43">
        <v>45411</v>
      </c>
      <c r="N582" s="3">
        <v>16</v>
      </c>
      <c r="O582" s="3">
        <v>34</v>
      </c>
      <c r="P582" s="3">
        <v>89</v>
      </c>
      <c r="Q582" s="4">
        <v>18</v>
      </c>
      <c r="R582" s="3">
        <v>35</v>
      </c>
      <c r="S582" s="3">
        <v>52</v>
      </c>
      <c r="T582" s="7">
        <v>-1.1200000000000001</v>
      </c>
    </row>
    <row r="583" spans="1:20" x14ac:dyDescent="0.35">
      <c r="A583" s="5" t="s">
        <v>526</v>
      </c>
      <c r="B583" s="3" t="s">
        <v>53</v>
      </c>
      <c r="C583" s="3" t="s">
        <v>19</v>
      </c>
      <c r="D583" s="3" t="s">
        <v>2174</v>
      </c>
      <c r="E583" s="3" t="s">
        <v>21</v>
      </c>
      <c r="F583" s="3" t="s">
        <v>2175</v>
      </c>
      <c r="G583" s="3" t="s">
        <v>2176</v>
      </c>
      <c r="H583" s="43">
        <v>45652</v>
      </c>
      <c r="I583" s="43">
        <v>45630</v>
      </c>
      <c r="J583" s="47" t="str">
        <f>IF(GroDB3[[#This Row],[Last_Order_Date]]&lt;=GroDB3[[#This Row],[Date_Received]], "Yes", "No")</f>
        <v>Yes</v>
      </c>
      <c r="K583" s="43">
        <f>IF(GroDB3[[#This Row],[Column1]]="No",GroDB3[[#This Row],[Last_Order_Date]],GroDB3[[#This Row],[Date_Received]])</f>
        <v>45652</v>
      </c>
      <c r="L583" s="43">
        <f>IF(GroDB3[[#This Row],[Column1]]="No",GroDB3[[#This Row],[Date_Received]],GroDB3[[#This Row],[Last_Order_Date]])</f>
        <v>45630</v>
      </c>
      <c r="M583" s="43">
        <v>45625</v>
      </c>
      <c r="N583" s="3">
        <v>18</v>
      </c>
      <c r="O583" s="3">
        <v>86</v>
      </c>
      <c r="P583" s="3">
        <v>20</v>
      </c>
      <c r="Q583" s="4">
        <v>1.8</v>
      </c>
      <c r="R583" s="3">
        <v>64</v>
      </c>
      <c r="S583" s="3">
        <v>34</v>
      </c>
      <c r="T583" s="7">
        <v>-0.49</v>
      </c>
    </row>
    <row r="584" spans="1:20" x14ac:dyDescent="0.35">
      <c r="A584" s="5" t="s">
        <v>175</v>
      </c>
      <c r="B584" s="3" t="s">
        <v>53</v>
      </c>
      <c r="C584" s="3" t="s">
        <v>1739</v>
      </c>
      <c r="D584" s="3" t="s">
        <v>2177</v>
      </c>
      <c r="E584" s="3" t="s">
        <v>21</v>
      </c>
      <c r="F584" s="3" t="s">
        <v>2178</v>
      </c>
      <c r="G584" s="3" t="s">
        <v>2179</v>
      </c>
      <c r="H584" s="43">
        <v>45652</v>
      </c>
      <c r="I584" s="43">
        <v>45644</v>
      </c>
      <c r="J584" s="47" t="str">
        <f>IF(GroDB3[[#This Row],[Last_Order_Date]]&lt;=GroDB3[[#This Row],[Date_Received]], "Yes", "No")</f>
        <v>Yes</v>
      </c>
      <c r="K584" s="43">
        <f>IF(GroDB3[[#This Row],[Column1]]="No",GroDB3[[#This Row],[Last_Order_Date]],GroDB3[[#This Row],[Date_Received]])</f>
        <v>45652</v>
      </c>
      <c r="L584" s="43">
        <f>IF(GroDB3[[#This Row],[Column1]]="No",GroDB3[[#This Row],[Date_Received]],GroDB3[[#This Row],[Last_Order_Date]])</f>
        <v>45644</v>
      </c>
      <c r="M584" s="43">
        <v>45478</v>
      </c>
      <c r="N584" s="3">
        <v>64</v>
      </c>
      <c r="O584" s="3">
        <v>11</v>
      </c>
      <c r="P584" s="3">
        <v>97</v>
      </c>
      <c r="Q584" s="4">
        <v>1.5</v>
      </c>
      <c r="R584" s="3">
        <v>33</v>
      </c>
      <c r="S584" s="3">
        <v>83</v>
      </c>
      <c r="T584" s="7">
        <v>0.47</v>
      </c>
    </row>
    <row r="585" spans="1:20" x14ac:dyDescent="0.35">
      <c r="A585" s="5" t="s">
        <v>293</v>
      </c>
      <c r="B585" s="3" t="s">
        <v>18</v>
      </c>
      <c r="C585" s="3" t="s">
        <v>2180</v>
      </c>
      <c r="D585" s="3" t="s">
        <v>2181</v>
      </c>
      <c r="E585" s="3" t="s">
        <v>28</v>
      </c>
      <c r="F585" s="3" t="s">
        <v>2182</v>
      </c>
      <c r="G585" s="3" t="s">
        <v>2183</v>
      </c>
      <c r="H585" s="43">
        <v>45652</v>
      </c>
      <c r="I585" s="43">
        <v>45387</v>
      </c>
      <c r="J585" s="47" t="str">
        <f>IF(GroDB3[[#This Row],[Last_Order_Date]]&lt;=GroDB3[[#This Row],[Date_Received]], "Yes", "No")</f>
        <v>Yes</v>
      </c>
      <c r="K585" s="43">
        <f>IF(GroDB3[[#This Row],[Column1]]="No",GroDB3[[#This Row],[Last_Order_Date]],GroDB3[[#This Row],[Date_Received]])</f>
        <v>45652</v>
      </c>
      <c r="L585" s="43">
        <f>IF(GroDB3[[#This Row],[Column1]]="No",GroDB3[[#This Row],[Date_Received]],GroDB3[[#This Row],[Last_Order_Date]])</f>
        <v>45387</v>
      </c>
      <c r="M585" s="43">
        <v>45511</v>
      </c>
      <c r="N585" s="3">
        <v>74</v>
      </c>
      <c r="O585" s="3">
        <v>4</v>
      </c>
      <c r="P585" s="3">
        <v>39</v>
      </c>
      <c r="Q585" s="4">
        <v>2</v>
      </c>
      <c r="R585" s="3">
        <v>97</v>
      </c>
      <c r="S585" s="3">
        <v>24</v>
      </c>
      <c r="T585" s="7">
        <v>-1.52</v>
      </c>
    </row>
    <row r="586" spans="1:20" x14ac:dyDescent="0.35">
      <c r="A586" s="5" t="s">
        <v>37</v>
      </c>
      <c r="B586" s="3" t="s">
        <v>18</v>
      </c>
      <c r="C586" s="3" t="s">
        <v>1877</v>
      </c>
      <c r="D586" s="3" t="s">
        <v>2184</v>
      </c>
      <c r="E586" s="3" t="s">
        <v>28</v>
      </c>
      <c r="F586" s="3" t="s">
        <v>2185</v>
      </c>
      <c r="G586" s="3" t="s">
        <v>2186</v>
      </c>
      <c r="H586" s="43">
        <v>45653</v>
      </c>
      <c r="I586" s="43">
        <v>45633</v>
      </c>
      <c r="J586" s="47" t="str">
        <f>IF(GroDB3[[#This Row],[Last_Order_Date]]&lt;=GroDB3[[#This Row],[Date_Received]], "Yes", "No")</f>
        <v>Yes</v>
      </c>
      <c r="K586" s="43">
        <f>IF(GroDB3[[#This Row],[Column1]]="No",GroDB3[[#This Row],[Last_Order_Date]],GroDB3[[#This Row],[Date_Received]])</f>
        <v>45653</v>
      </c>
      <c r="L586" s="43">
        <f>IF(GroDB3[[#This Row],[Column1]]="No",GroDB3[[#This Row],[Date_Received]],GroDB3[[#This Row],[Last_Order_Date]])</f>
        <v>45633</v>
      </c>
      <c r="M586" s="43">
        <v>45605</v>
      </c>
      <c r="N586" s="3">
        <v>92</v>
      </c>
      <c r="O586" s="3">
        <v>39</v>
      </c>
      <c r="P586" s="3">
        <v>50</v>
      </c>
      <c r="Q586" s="4">
        <v>1.6</v>
      </c>
      <c r="R586" s="3">
        <v>30</v>
      </c>
      <c r="S586" s="3">
        <v>41</v>
      </c>
      <c r="T586" s="7">
        <v>0.75</v>
      </c>
    </row>
    <row r="587" spans="1:20" x14ac:dyDescent="0.35">
      <c r="A587" s="5" t="s">
        <v>126</v>
      </c>
      <c r="B587" s="3" t="s">
        <v>127</v>
      </c>
      <c r="C587" s="3" t="s">
        <v>2167</v>
      </c>
      <c r="D587" s="3" t="s">
        <v>2187</v>
      </c>
      <c r="E587" s="3" t="s">
        <v>56</v>
      </c>
      <c r="F587" s="3" t="s">
        <v>2188</v>
      </c>
      <c r="G587" s="3" t="s">
        <v>2189</v>
      </c>
      <c r="H587" s="43">
        <v>45653</v>
      </c>
      <c r="I587" s="43">
        <v>45438</v>
      </c>
      <c r="J587" s="47" t="str">
        <f>IF(GroDB3[[#This Row],[Last_Order_Date]]&lt;=GroDB3[[#This Row],[Date_Received]], "Yes", "No")</f>
        <v>Yes</v>
      </c>
      <c r="K587" s="43">
        <f>IF(GroDB3[[#This Row],[Column1]]="No",GroDB3[[#This Row],[Last_Order_Date]],GroDB3[[#This Row],[Date_Received]])</f>
        <v>45653</v>
      </c>
      <c r="L587" s="43">
        <f>IF(GroDB3[[#This Row],[Column1]]="No",GroDB3[[#This Row],[Date_Received]],GroDB3[[#This Row],[Last_Order_Date]])</f>
        <v>45438</v>
      </c>
      <c r="M587" s="43">
        <v>45682</v>
      </c>
      <c r="N587" s="3">
        <v>45</v>
      </c>
      <c r="O587" s="3">
        <v>36</v>
      </c>
      <c r="P587" s="3">
        <v>97</v>
      </c>
      <c r="Q587" s="4">
        <v>20</v>
      </c>
      <c r="R587" s="3">
        <v>36</v>
      </c>
      <c r="S587" s="3">
        <v>6</v>
      </c>
      <c r="T587" s="7">
        <v>-0.37</v>
      </c>
    </row>
    <row r="588" spans="1:20" x14ac:dyDescent="0.35">
      <c r="A588" s="5" t="s">
        <v>1369</v>
      </c>
      <c r="B588" s="3" t="s">
        <v>32</v>
      </c>
      <c r="C588" s="3" t="s">
        <v>1318</v>
      </c>
      <c r="D588" s="3" t="s">
        <v>2190</v>
      </c>
      <c r="E588" s="3" t="s">
        <v>56</v>
      </c>
      <c r="F588" s="3" t="s">
        <v>2191</v>
      </c>
      <c r="G588" s="3" t="s">
        <v>2192</v>
      </c>
      <c r="H588" s="43">
        <v>45653</v>
      </c>
      <c r="I588" s="43">
        <v>45670</v>
      </c>
      <c r="J588" s="47" t="str">
        <f>IF(GroDB3[[#This Row],[Last_Order_Date]]&lt;=GroDB3[[#This Row],[Date_Received]], "Yes", "No")</f>
        <v>No</v>
      </c>
      <c r="K588" s="43">
        <f>IF(GroDB3[[#This Row],[Column1]]="No",GroDB3[[#This Row],[Last_Order_Date]],GroDB3[[#This Row],[Date_Received]])</f>
        <v>45670</v>
      </c>
      <c r="L588" s="43">
        <f>IF(GroDB3[[#This Row],[Column1]]="No",GroDB3[[#This Row],[Date_Received]],GroDB3[[#This Row],[Last_Order_Date]])</f>
        <v>45653</v>
      </c>
      <c r="M588" s="43">
        <v>45518</v>
      </c>
      <c r="N588" s="3">
        <v>74</v>
      </c>
      <c r="O588" s="3">
        <v>62</v>
      </c>
      <c r="P588" s="3">
        <v>6</v>
      </c>
      <c r="Q588" s="4">
        <v>4</v>
      </c>
      <c r="R588" s="3">
        <v>65</v>
      </c>
      <c r="S588" s="3">
        <v>96</v>
      </c>
      <c r="T588" s="7">
        <v>0.83</v>
      </c>
    </row>
    <row r="589" spans="1:20" x14ac:dyDescent="0.35">
      <c r="A589" s="5" t="s">
        <v>627</v>
      </c>
      <c r="B589" s="3" t="s">
        <v>53</v>
      </c>
      <c r="C589" s="3" t="s">
        <v>1829</v>
      </c>
      <c r="D589" s="3" t="s">
        <v>2193</v>
      </c>
      <c r="E589" s="3" t="s">
        <v>56</v>
      </c>
      <c r="F589" s="3" t="s">
        <v>2194</v>
      </c>
      <c r="G589" s="3" t="s">
        <v>2195</v>
      </c>
      <c r="H589" s="43">
        <v>45653</v>
      </c>
      <c r="I589" s="43">
        <v>45708</v>
      </c>
      <c r="J589" s="47" t="str">
        <f>IF(GroDB3[[#This Row],[Last_Order_Date]]&lt;=GroDB3[[#This Row],[Date_Received]], "Yes", "No")</f>
        <v>No</v>
      </c>
      <c r="K589" s="43">
        <f>IF(GroDB3[[#This Row],[Column1]]="No",GroDB3[[#This Row],[Last_Order_Date]],GroDB3[[#This Row],[Date_Received]])</f>
        <v>45708</v>
      </c>
      <c r="L589" s="43">
        <f>IF(GroDB3[[#This Row],[Column1]]="No",GroDB3[[#This Row],[Date_Received]],GroDB3[[#This Row],[Last_Order_Date]])</f>
        <v>45653</v>
      </c>
      <c r="M589" s="43">
        <v>45595</v>
      </c>
      <c r="N589" s="3">
        <v>88</v>
      </c>
      <c r="O589" s="3">
        <v>34</v>
      </c>
      <c r="P589" s="3">
        <v>94</v>
      </c>
      <c r="Q589" s="4">
        <v>2.4</v>
      </c>
      <c r="R589" s="3">
        <v>95</v>
      </c>
      <c r="S589" s="3">
        <v>63</v>
      </c>
      <c r="T589" s="7">
        <v>-0.48</v>
      </c>
    </row>
    <row r="590" spans="1:20" x14ac:dyDescent="0.35">
      <c r="A590" s="5" t="s">
        <v>517</v>
      </c>
      <c r="B590" s="3" t="s">
        <v>127</v>
      </c>
      <c r="C590" s="3" t="s">
        <v>904</v>
      </c>
      <c r="D590" s="3" t="s">
        <v>2196</v>
      </c>
      <c r="E590" s="3" t="s">
        <v>56</v>
      </c>
      <c r="F590" s="3" t="s">
        <v>2197</v>
      </c>
      <c r="G590" s="3" t="s">
        <v>2198</v>
      </c>
      <c r="H590" s="43">
        <v>45654</v>
      </c>
      <c r="I590" s="43">
        <v>45490</v>
      </c>
      <c r="J590" s="47" t="str">
        <f>IF(GroDB3[[#This Row],[Last_Order_Date]]&lt;=GroDB3[[#This Row],[Date_Received]], "Yes", "No")</f>
        <v>Yes</v>
      </c>
      <c r="K590" s="43">
        <f>IF(GroDB3[[#This Row],[Column1]]="No",GroDB3[[#This Row],[Last_Order_Date]],GroDB3[[#This Row],[Date_Received]])</f>
        <v>45654</v>
      </c>
      <c r="L590" s="43">
        <f>IF(GroDB3[[#This Row],[Column1]]="No",GroDB3[[#This Row],[Date_Received]],GroDB3[[#This Row],[Last_Order_Date]])</f>
        <v>45490</v>
      </c>
      <c r="M590" s="43">
        <v>45631</v>
      </c>
      <c r="N590" s="3">
        <v>50</v>
      </c>
      <c r="O590" s="3">
        <v>100</v>
      </c>
      <c r="P590" s="3">
        <v>91</v>
      </c>
      <c r="Q590" s="4">
        <v>25.5</v>
      </c>
      <c r="R590" s="3">
        <v>29</v>
      </c>
      <c r="S590" s="3">
        <v>31</v>
      </c>
      <c r="T590" s="7">
        <v>0.34</v>
      </c>
    </row>
    <row r="591" spans="1:20" x14ac:dyDescent="0.35">
      <c r="A591" s="5" t="s">
        <v>1138</v>
      </c>
      <c r="B591" s="3" t="s">
        <v>32</v>
      </c>
      <c r="C591" s="3" t="s">
        <v>2199</v>
      </c>
      <c r="D591" s="3" t="s">
        <v>2200</v>
      </c>
      <c r="E591" s="3" t="s">
        <v>28</v>
      </c>
      <c r="F591" s="3" t="s">
        <v>2201</v>
      </c>
      <c r="G591" s="3" t="s">
        <v>2202</v>
      </c>
      <c r="H591" s="43">
        <v>45655</v>
      </c>
      <c r="I591" s="43">
        <v>45649</v>
      </c>
      <c r="J591" s="47" t="str">
        <f>IF(GroDB3[[#This Row],[Last_Order_Date]]&lt;=GroDB3[[#This Row],[Date_Received]], "Yes", "No")</f>
        <v>Yes</v>
      </c>
      <c r="K591" s="43">
        <f>IF(GroDB3[[#This Row],[Column1]]="No",GroDB3[[#This Row],[Last_Order_Date]],GroDB3[[#This Row],[Date_Received]])</f>
        <v>45655</v>
      </c>
      <c r="L591" s="43">
        <f>IF(GroDB3[[#This Row],[Column1]]="No",GroDB3[[#This Row],[Date_Received]],GroDB3[[#This Row],[Last_Order_Date]])</f>
        <v>45649</v>
      </c>
      <c r="M591" s="43">
        <v>45543</v>
      </c>
      <c r="N591" s="3">
        <v>10</v>
      </c>
      <c r="O591" s="3">
        <v>17</v>
      </c>
      <c r="P591" s="3">
        <v>70</v>
      </c>
      <c r="Q591" s="4">
        <v>0.2</v>
      </c>
      <c r="R591" s="3">
        <v>100</v>
      </c>
      <c r="S591" s="3">
        <v>63</v>
      </c>
      <c r="T591" s="7">
        <v>-7.0000000000000007E-2</v>
      </c>
    </row>
    <row r="592" spans="1:20" x14ac:dyDescent="0.35">
      <c r="A592" s="5" t="s">
        <v>566</v>
      </c>
      <c r="B592" s="3" t="s">
        <v>127</v>
      </c>
      <c r="C592" s="3" t="s">
        <v>1578</v>
      </c>
      <c r="D592" s="3" t="s">
        <v>2203</v>
      </c>
      <c r="E592" s="3" t="s">
        <v>28</v>
      </c>
      <c r="F592" s="3" t="s">
        <v>2204</v>
      </c>
      <c r="G592" s="3" t="s">
        <v>2205</v>
      </c>
      <c r="H592" s="43">
        <v>45655</v>
      </c>
      <c r="I592" s="43">
        <v>45435</v>
      </c>
      <c r="J592" s="47" t="str">
        <f>IF(GroDB3[[#This Row],[Last_Order_Date]]&lt;=GroDB3[[#This Row],[Date_Received]], "Yes", "No")</f>
        <v>Yes</v>
      </c>
      <c r="K592" s="43">
        <f>IF(GroDB3[[#This Row],[Column1]]="No",GroDB3[[#This Row],[Last_Order_Date]],GroDB3[[#This Row],[Date_Received]])</f>
        <v>45655</v>
      </c>
      <c r="L592" s="43">
        <f>IF(GroDB3[[#This Row],[Column1]]="No",GroDB3[[#This Row],[Date_Received]],GroDB3[[#This Row],[Last_Order_Date]])</f>
        <v>45435</v>
      </c>
      <c r="M592" s="43">
        <v>45521</v>
      </c>
      <c r="N592" s="3">
        <v>87</v>
      </c>
      <c r="O592" s="3">
        <v>91</v>
      </c>
      <c r="P592" s="3">
        <v>23</v>
      </c>
      <c r="Q592" s="4">
        <v>14.9</v>
      </c>
      <c r="R592" s="3">
        <v>90</v>
      </c>
      <c r="S592" s="3">
        <v>75</v>
      </c>
      <c r="T592" s="7">
        <v>0.37</v>
      </c>
    </row>
    <row r="593" spans="1:20" x14ac:dyDescent="0.35">
      <c r="A593" s="5" t="s">
        <v>574</v>
      </c>
      <c r="B593" s="3" t="s">
        <v>53</v>
      </c>
      <c r="C593" s="3" t="s">
        <v>2206</v>
      </c>
      <c r="D593" s="3" t="s">
        <v>2207</v>
      </c>
      <c r="E593" s="3" t="s">
        <v>21</v>
      </c>
      <c r="F593" s="3" t="s">
        <v>2208</v>
      </c>
      <c r="G593" s="3" t="s">
        <v>2209</v>
      </c>
      <c r="H593" s="43">
        <v>45655</v>
      </c>
      <c r="I593" s="43">
        <v>45372</v>
      </c>
      <c r="J593" s="47" t="str">
        <f>IF(GroDB3[[#This Row],[Last_Order_Date]]&lt;=GroDB3[[#This Row],[Date_Received]], "Yes", "No")</f>
        <v>Yes</v>
      </c>
      <c r="K593" s="43">
        <f>IF(GroDB3[[#This Row],[Column1]]="No",GroDB3[[#This Row],[Last_Order_Date]],GroDB3[[#This Row],[Date_Received]])</f>
        <v>45655</v>
      </c>
      <c r="L593" s="43">
        <f>IF(GroDB3[[#This Row],[Column1]]="No",GroDB3[[#This Row],[Date_Received]],GroDB3[[#This Row],[Last_Order_Date]])</f>
        <v>45372</v>
      </c>
      <c r="M593" s="43">
        <v>45510</v>
      </c>
      <c r="N593" s="3">
        <v>38</v>
      </c>
      <c r="O593" s="3">
        <v>82</v>
      </c>
      <c r="P593" s="3">
        <v>17</v>
      </c>
      <c r="Q593" s="4">
        <v>2</v>
      </c>
      <c r="R593" s="3">
        <v>52</v>
      </c>
      <c r="S593" s="3">
        <v>47</v>
      </c>
      <c r="T593" s="7">
        <v>0.17</v>
      </c>
    </row>
    <row r="594" spans="1:20" x14ac:dyDescent="0.35">
      <c r="A594" s="5" t="s">
        <v>156</v>
      </c>
      <c r="B594" s="3" t="s">
        <v>127</v>
      </c>
      <c r="C594" s="3" t="s">
        <v>356</v>
      </c>
      <c r="D594" s="3" t="s">
        <v>2210</v>
      </c>
      <c r="E594" s="3" t="s">
        <v>56</v>
      </c>
      <c r="F594" s="3" t="s">
        <v>2211</v>
      </c>
      <c r="G594" s="3" t="s">
        <v>2212</v>
      </c>
      <c r="H594" s="43">
        <v>45656</v>
      </c>
      <c r="I594" s="43">
        <v>45367</v>
      </c>
      <c r="J594" s="47" t="str">
        <f>IF(GroDB3[[#This Row],[Last_Order_Date]]&lt;=GroDB3[[#This Row],[Date_Received]], "Yes", "No")</f>
        <v>Yes</v>
      </c>
      <c r="K594" s="43">
        <f>IF(GroDB3[[#This Row],[Column1]]="No",GroDB3[[#This Row],[Last_Order_Date]],GroDB3[[#This Row],[Date_Received]])</f>
        <v>45656</v>
      </c>
      <c r="L594" s="43">
        <f>IF(GroDB3[[#This Row],[Column1]]="No",GroDB3[[#This Row],[Date_Received]],GroDB3[[#This Row],[Last_Order_Date]])</f>
        <v>45367</v>
      </c>
      <c r="M594" s="43">
        <v>45561</v>
      </c>
      <c r="N594" s="3">
        <v>61</v>
      </c>
      <c r="O594" s="3">
        <v>31</v>
      </c>
      <c r="P594" s="3">
        <v>100</v>
      </c>
      <c r="Q594" s="4">
        <v>12.5</v>
      </c>
      <c r="R594" s="3">
        <v>95</v>
      </c>
      <c r="S594" s="3">
        <v>61</v>
      </c>
      <c r="T594" s="7">
        <v>0.1</v>
      </c>
    </row>
    <row r="595" spans="1:20" x14ac:dyDescent="0.35">
      <c r="A595" s="5" t="s">
        <v>85</v>
      </c>
      <c r="B595" s="3" t="s">
        <v>18</v>
      </c>
      <c r="C595" s="3" t="s">
        <v>687</v>
      </c>
      <c r="D595" s="3" t="s">
        <v>2213</v>
      </c>
      <c r="E595" s="3" t="s">
        <v>28</v>
      </c>
      <c r="F595" s="3" t="s">
        <v>2214</v>
      </c>
      <c r="G595" s="3" t="s">
        <v>2215</v>
      </c>
      <c r="H595" s="43">
        <v>45656</v>
      </c>
      <c r="I595" s="43">
        <v>45376</v>
      </c>
      <c r="J595" s="47" t="str">
        <f>IF(GroDB3[[#This Row],[Last_Order_Date]]&lt;=GroDB3[[#This Row],[Date_Received]], "Yes", "No")</f>
        <v>Yes</v>
      </c>
      <c r="K595" s="43">
        <f>IF(GroDB3[[#This Row],[Column1]]="No",GroDB3[[#This Row],[Last_Order_Date]],GroDB3[[#This Row],[Date_Received]])</f>
        <v>45656</v>
      </c>
      <c r="L595" s="43">
        <f>IF(GroDB3[[#This Row],[Column1]]="No",GroDB3[[#This Row],[Date_Received]],GroDB3[[#This Row],[Last_Order_Date]])</f>
        <v>45376</v>
      </c>
      <c r="M595" s="43">
        <v>45698</v>
      </c>
      <c r="N595" s="3">
        <v>81</v>
      </c>
      <c r="O595" s="3">
        <v>35</v>
      </c>
      <c r="P595" s="3">
        <v>82</v>
      </c>
      <c r="Q595" s="4">
        <v>3</v>
      </c>
      <c r="R595" s="3">
        <v>86</v>
      </c>
      <c r="S595" s="3">
        <v>71</v>
      </c>
      <c r="T595" s="7">
        <v>0.36</v>
      </c>
    </row>
    <row r="596" spans="1:20" x14ac:dyDescent="0.35">
      <c r="A596" s="5" t="s">
        <v>303</v>
      </c>
      <c r="B596" s="3" t="s">
        <v>60</v>
      </c>
      <c r="C596" s="3" t="s">
        <v>1374</v>
      </c>
      <c r="D596" s="3" t="s">
        <v>2216</v>
      </c>
      <c r="E596" s="3" t="s">
        <v>21</v>
      </c>
      <c r="F596" s="3" t="s">
        <v>2217</v>
      </c>
      <c r="G596" s="3" t="s">
        <v>2218</v>
      </c>
      <c r="H596" s="43">
        <v>45657</v>
      </c>
      <c r="I596" s="43">
        <v>45359</v>
      </c>
      <c r="J596" s="47" t="str">
        <f>IF(GroDB3[[#This Row],[Last_Order_Date]]&lt;=GroDB3[[#This Row],[Date_Received]], "Yes", "No")</f>
        <v>Yes</v>
      </c>
      <c r="K596" s="43">
        <f>IF(GroDB3[[#This Row],[Column1]]="No",GroDB3[[#This Row],[Last_Order_Date]],GroDB3[[#This Row],[Date_Received]])</f>
        <v>45657</v>
      </c>
      <c r="L596" s="43">
        <f>IF(GroDB3[[#This Row],[Column1]]="No",GroDB3[[#This Row],[Date_Received]],GroDB3[[#This Row],[Last_Order_Date]])</f>
        <v>45359</v>
      </c>
      <c r="M596" s="43">
        <v>45528</v>
      </c>
      <c r="N596" s="3">
        <v>89</v>
      </c>
      <c r="O596" s="3">
        <v>34</v>
      </c>
      <c r="P596" s="3">
        <v>15</v>
      </c>
      <c r="Q596" s="4">
        <v>6</v>
      </c>
      <c r="R596" s="3">
        <v>60</v>
      </c>
      <c r="S596" s="3">
        <v>2</v>
      </c>
      <c r="T596" s="7">
        <v>0.17</v>
      </c>
    </row>
    <row r="597" spans="1:20" x14ac:dyDescent="0.35">
      <c r="A597" s="5" t="s">
        <v>101</v>
      </c>
      <c r="B597" s="3" t="s">
        <v>18</v>
      </c>
      <c r="C597" s="3" t="s">
        <v>2219</v>
      </c>
      <c r="D597" s="3" t="s">
        <v>2220</v>
      </c>
      <c r="E597" s="3" t="s">
        <v>56</v>
      </c>
      <c r="F597" s="3" t="s">
        <v>2221</v>
      </c>
      <c r="G597" s="3" t="s">
        <v>2222</v>
      </c>
      <c r="H597" s="43">
        <v>45657</v>
      </c>
      <c r="I597" s="43">
        <v>45399</v>
      </c>
      <c r="J597" s="47" t="str">
        <f>IF(GroDB3[[#This Row],[Last_Order_Date]]&lt;=GroDB3[[#This Row],[Date_Received]], "Yes", "No")</f>
        <v>Yes</v>
      </c>
      <c r="K597" s="43">
        <f>IF(GroDB3[[#This Row],[Column1]]="No",GroDB3[[#This Row],[Last_Order_Date]],GroDB3[[#This Row],[Date_Received]])</f>
        <v>45657</v>
      </c>
      <c r="L597" s="43">
        <f>IF(GroDB3[[#This Row],[Column1]]="No",GroDB3[[#This Row],[Date_Received]],GroDB3[[#This Row],[Last_Order_Date]])</f>
        <v>45399</v>
      </c>
      <c r="M597" s="43">
        <v>45663</v>
      </c>
      <c r="N597" s="3">
        <v>58</v>
      </c>
      <c r="O597" s="3">
        <v>55</v>
      </c>
      <c r="P597" s="3">
        <v>5</v>
      </c>
      <c r="Q597" s="4">
        <v>4.45</v>
      </c>
      <c r="R597" s="3">
        <v>62</v>
      </c>
      <c r="S597" s="3">
        <v>89</v>
      </c>
      <c r="T597" s="7">
        <v>0.97</v>
      </c>
    </row>
    <row r="598" spans="1:20" x14ac:dyDescent="0.35">
      <c r="A598" s="5" t="s">
        <v>574</v>
      </c>
      <c r="B598" s="3" t="s">
        <v>53</v>
      </c>
      <c r="C598" s="3" t="s">
        <v>2223</v>
      </c>
      <c r="D598" s="3" t="s">
        <v>2224</v>
      </c>
      <c r="E598" s="3" t="s">
        <v>56</v>
      </c>
      <c r="F598" s="3" t="s">
        <v>2225</v>
      </c>
      <c r="G598" s="3" t="s">
        <v>2226</v>
      </c>
      <c r="H598" s="43">
        <v>45657</v>
      </c>
      <c r="I598" s="43">
        <v>45405</v>
      </c>
      <c r="J598" s="47" t="str">
        <f>IF(GroDB3[[#This Row],[Last_Order_Date]]&lt;=GroDB3[[#This Row],[Date_Received]], "Yes", "No")</f>
        <v>Yes</v>
      </c>
      <c r="K598" s="43">
        <f>IF(GroDB3[[#This Row],[Column1]]="No",GroDB3[[#This Row],[Last_Order_Date]],GroDB3[[#This Row],[Date_Received]])</f>
        <v>45657</v>
      </c>
      <c r="L598" s="43">
        <f>IF(GroDB3[[#This Row],[Column1]]="No",GroDB3[[#This Row],[Date_Received]],GroDB3[[#This Row],[Last_Order_Date]])</f>
        <v>45405</v>
      </c>
      <c r="M598" s="43">
        <v>45394</v>
      </c>
      <c r="N598" s="3">
        <v>39</v>
      </c>
      <c r="O598" s="3">
        <v>83</v>
      </c>
      <c r="P598" s="3">
        <v>21</v>
      </c>
      <c r="Q598" s="4">
        <v>2</v>
      </c>
      <c r="R598" s="3">
        <v>73</v>
      </c>
      <c r="S598" s="3">
        <v>88</v>
      </c>
      <c r="T598" s="7">
        <v>-0.44</v>
      </c>
    </row>
    <row r="599" spans="1:20" x14ac:dyDescent="0.35">
      <c r="A599" s="5" t="s">
        <v>96</v>
      </c>
      <c r="B599" s="3" t="s">
        <v>18</v>
      </c>
      <c r="C599" s="3" t="s">
        <v>316</v>
      </c>
      <c r="D599" s="3" t="s">
        <v>2227</v>
      </c>
      <c r="E599" s="3" t="s">
        <v>56</v>
      </c>
      <c r="F599" s="3" t="s">
        <v>2228</v>
      </c>
      <c r="G599" s="3" t="s">
        <v>2229</v>
      </c>
      <c r="H599" s="43">
        <v>45657</v>
      </c>
      <c r="I599" s="43">
        <v>45519</v>
      </c>
      <c r="J599" s="47" t="str">
        <f>IF(GroDB3[[#This Row],[Last_Order_Date]]&lt;=GroDB3[[#This Row],[Date_Received]], "Yes", "No")</f>
        <v>Yes</v>
      </c>
      <c r="K599" s="43">
        <f>IF(GroDB3[[#This Row],[Column1]]="No",GroDB3[[#This Row],[Last_Order_Date]],GroDB3[[#This Row],[Date_Received]])</f>
        <v>45657</v>
      </c>
      <c r="L599" s="43">
        <f>IF(GroDB3[[#This Row],[Column1]]="No",GroDB3[[#This Row],[Date_Received]],GroDB3[[#This Row],[Last_Order_Date]])</f>
        <v>45519</v>
      </c>
      <c r="M599" s="43">
        <v>45564</v>
      </c>
      <c r="N599" s="3">
        <v>95</v>
      </c>
      <c r="O599" s="3">
        <v>6</v>
      </c>
      <c r="P599" s="3">
        <v>59</v>
      </c>
      <c r="Q599" s="4">
        <v>2.5</v>
      </c>
      <c r="R599" s="3">
        <v>49</v>
      </c>
      <c r="S599" s="3">
        <v>77</v>
      </c>
      <c r="T599" s="7">
        <v>-0.21</v>
      </c>
    </row>
    <row r="600" spans="1:20" x14ac:dyDescent="0.35">
      <c r="A600" s="5" t="s">
        <v>691</v>
      </c>
      <c r="B600" s="3" t="s">
        <v>32</v>
      </c>
      <c r="C600" s="3" t="s">
        <v>203</v>
      </c>
      <c r="D600" s="3" t="s">
        <v>2230</v>
      </c>
      <c r="E600" s="3" t="s">
        <v>56</v>
      </c>
      <c r="F600" s="3" t="s">
        <v>2231</v>
      </c>
      <c r="G600" s="3" t="s">
        <v>2232</v>
      </c>
      <c r="H600" s="43">
        <v>45701</v>
      </c>
      <c r="I600" s="43">
        <v>45515</v>
      </c>
      <c r="J600" s="47" t="str">
        <f>IF(GroDB3[[#This Row],[Last_Order_Date]]&lt;=GroDB3[[#This Row],[Date_Received]], "Yes", "No")</f>
        <v>Yes</v>
      </c>
      <c r="K600" s="43">
        <f>IF(GroDB3[[#This Row],[Column1]]="No",GroDB3[[#This Row],[Last_Order_Date]],GroDB3[[#This Row],[Date_Received]])</f>
        <v>45701</v>
      </c>
      <c r="L600" s="43">
        <f>IF(GroDB3[[#This Row],[Column1]]="No",GroDB3[[#This Row],[Date_Received]],GroDB3[[#This Row],[Last_Order_Date]])</f>
        <v>45515</v>
      </c>
      <c r="M600" s="43">
        <v>45388</v>
      </c>
      <c r="N600" s="3">
        <v>67</v>
      </c>
      <c r="O600" s="3">
        <v>79</v>
      </c>
      <c r="P600" s="3">
        <v>98</v>
      </c>
      <c r="Q600" s="4">
        <v>7</v>
      </c>
      <c r="R600" s="3">
        <v>73</v>
      </c>
      <c r="S600" s="3">
        <v>36</v>
      </c>
      <c r="T600" s="7">
        <v>-0.56999999999999995</v>
      </c>
    </row>
    <row r="601" spans="1:20" x14ac:dyDescent="0.35">
      <c r="A601" s="5" t="s">
        <v>293</v>
      </c>
      <c r="B601" s="3" t="s">
        <v>18</v>
      </c>
      <c r="C601" s="3" t="s">
        <v>2233</v>
      </c>
      <c r="D601" s="3" t="s">
        <v>2234</v>
      </c>
      <c r="E601" s="3" t="s">
        <v>28</v>
      </c>
      <c r="F601" s="3" t="s">
        <v>2235</v>
      </c>
      <c r="G601" s="3" t="s">
        <v>2236</v>
      </c>
      <c r="H601" s="43">
        <v>45701</v>
      </c>
      <c r="I601" s="43">
        <v>45507</v>
      </c>
      <c r="J601" s="47" t="str">
        <f>IF(GroDB3[[#This Row],[Last_Order_Date]]&lt;=GroDB3[[#This Row],[Date_Received]], "Yes", "No")</f>
        <v>Yes</v>
      </c>
      <c r="K601" s="43">
        <f>IF(GroDB3[[#This Row],[Column1]]="No",GroDB3[[#This Row],[Last_Order_Date]],GroDB3[[#This Row],[Date_Received]])</f>
        <v>45701</v>
      </c>
      <c r="L601" s="43">
        <f>IF(GroDB3[[#This Row],[Column1]]="No",GroDB3[[#This Row],[Date_Received]],GroDB3[[#This Row],[Last_Order_Date]])</f>
        <v>45507</v>
      </c>
      <c r="M601" s="43">
        <v>45570</v>
      </c>
      <c r="N601" s="3">
        <v>50</v>
      </c>
      <c r="O601" s="3">
        <v>20</v>
      </c>
      <c r="P601" s="3">
        <v>74</v>
      </c>
      <c r="Q601" s="4">
        <v>2</v>
      </c>
      <c r="R601" s="3">
        <v>30</v>
      </c>
      <c r="S601" s="3">
        <v>57</v>
      </c>
      <c r="T601" s="7">
        <v>0.51</v>
      </c>
    </row>
    <row r="602" spans="1:20" x14ac:dyDescent="0.35">
      <c r="A602" s="5" t="s">
        <v>325</v>
      </c>
      <c r="B602" s="3" t="s">
        <v>53</v>
      </c>
      <c r="C602" s="3" t="s">
        <v>1203</v>
      </c>
      <c r="D602" s="3" t="s">
        <v>2237</v>
      </c>
      <c r="E602" s="3" t="s">
        <v>28</v>
      </c>
      <c r="F602" s="3" t="s">
        <v>2238</v>
      </c>
      <c r="G602" s="3" t="s">
        <v>2239</v>
      </c>
      <c r="H602" s="43">
        <v>45701</v>
      </c>
      <c r="I602" s="43">
        <v>45573</v>
      </c>
      <c r="J602" s="47" t="str">
        <f>IF(GroDB3[[#This Row],[Last_Order_Date]]&lt;=GroDB3[[#This Row],[Date_Received]], "Yes", "No")</f>
        <v>Yes</v>
      </c>
      <c r="K602" s="43">
        <f>IF(GroDB3[[#This Row],[Column1]]="No",GroDB3[[#This Row],[Last_Order_Date]],GroDB3[[#This Row],[Date_Received]])</f>
        <v>45701</v>
      </c>
      <c r="L602" s="43">
        <f>IF(GroDB3[[#This Row],[Column1]]="No",GroDB3[[#This Row],[Date_Received]],GroDB3[[#This Row],[Last_Order_Date]])</f>
        <v>45573</v>
      </c>
      <c r="M602" s="43">
        <v>45495</v>
      </c>
      <c r="N602" s="3">
        <v>10</v>
      </c>
      <c r="O602" s="3">
        <v>11</v>
      </c>
      <c r="P602" s="3">
        <v>29</v>
      </c>
      <c r="Q602" s="4">
        <v>4.3</v>
      </c>
      <c r="R602" s="3">
        <v>29</v>
      </c>
      <c r="S602" s="3">
        <v>72</v>
      </c>
      <c r="T602" s="7">
        <v>-0.9</v>
      </c>
    </row>
    <row r="603" spans="1:20" x14ac:dyDescent="0.35">
      <c r="A603" s="5" t="s">
        <v>121</v>
      </c>
      <c r="B603" s="3" t="s">
        <v>53</v>
      </c>
      <c r="C603" s="3" t="s">
        <v>321</v>
      </c>
      <c r="D603" s="3" t="s">
        <v>2240</v>
      </c>
      <c r="E603" s="3" t="s">
        <v>28</v>
      </c>
      <c r="F603" s="3" t="s">
        <v>2241</v>
      </c>
      <c r="G603" s="3" t="s">
        <v>2242</v>
      </c>
      <c r="H603" s="43">
        <v>45701</v>
      </c>
      <c r="I603" s="43">
        <v>45658</v>
      </c>
      <c r="J603" s="47" t="str">
        <f>IF(GroDB3[[#This Row],[Last_Order_Date]]&lt;=GroDB3[[#This Row],[Date_Received]], "Yes", "No")</f>
        <v>Yes</v>
      </c>
      <c r="K603" s="43">
        <f>IF(GroDB3[[#This Row],[Column1]]="No",GroDB3[[#This Row],[Last_Order_Date]],GroDB3[[#This Row],[Date_Received]])</f>
        <v>45701</v>
      </c>
      <c r="L603" s="43">
        <f>IF(GroDB3[[#This Row],[Column1]]="No",GroDB3[[#This Row],[Date_Received]],GroDB3[[#This Row],[Last_Order_Date]])</f>
        <v>45658</v>
      </c>
      <c r="M603" s="43">
        <v>45546</v>
      </c>
      <c r="N603" s="3">
        <v>59</v>
      </c>
      <c r="O603" s="3">
        <v>73</v>
      </c>
      <c r="P603" s="3">
        <v>86</v>
      </c>
      <c r="Q603" s="4">
        <v>2.75</v>
      </c>
      <c r="R603" s="3">
        <v>32</v>
      </c>
      <c r="S603" s="3">
        <v>56</v>
      </c>
      <c r="T603" s="7">
        <v>-1.48</v>
      </c>
    </row>
    <row r="604" spans="1:20" x14ac:dyDescent="0.35">
      <c r="A604" s="5" t="s">
        <v>674</v>
      </c>
      <c r="B604" s="3" t="s">
        <v>60</v>
      </c>
      <c r="C604" s="3" t="s">
        <v>2243</v>
      </c>
      <c r="D604" s="3" t="s">
        <v>2244</v>
      </c>
      <c r="E604" s="3" t="s">
        <v>56</v>
      </c>
      <c r="F604" s="3" t="s">
        <v>2245</v>
      </c>
      <c r="G604" s="3" t="s">
        <v>2246</v>
      </c>
      <c r="H604" s="43">
        <v>45702</v>
      </c>
      <c r="I604" s="43">
        <v>45524</v>
      </c>
      <c r="J604" s="47" t="str">
        <f>IF(GroDB3[[#This Row],[Last_Order_Date]]&lt;=GroDB3[[#This Row],[Date_Received]], "Yes", "No")</f>
        <v>Yes</v>
      </c>
      <c r="K604" s="43">
        <f>IF(GroDB3[[#This Row],[Column1]]="No",GroDB3[[#This Row],[Last_Order_Date]],GroDB3[[#This Row],[Date_Received]])</f>
        <v>45702</v>
      </c>
      <c r="L604" s="43">
        <f>IF(GroDB3[[#This Row],[Column1]]="No",GroDB3[[#This Row],[Date_Received]],GroDB3[[#This Row],[Last_Order_Date]])</f>
        <v>45524</v>
      </c>
      <c r="M604" s="43">
        <v>45501</v>
      </c>
      <c r="N604" s="3">
        <v>17</v>
      </c>
      <c r="O604" s="3">
        <v>38</v>
      </c>
      <c r="P604" s="3">
        <v>93</v>
      </c>
      <c r="Q604" s="4">
        <v>9</v>
      </c>
      <c r="R604" s="3">
        <v>100</v>
      </c>
      <c r="S604" s="3">
        <v>63</v>
      </c>
      <c r="T604" s="7">
        <v>-0.75</v>
      </c>
    </row>
    <row r="605" spans="1:20" x14ac:dyDescent="0.35">
      <c r="A605" s="5" t="s">
        <v>37</v>
      </c>
      <c r="B605" s="3" t="s">
        <v>18</v>
      </c>
      <c r="C605" s="3" t="s">
        <v>641</v>
      </c>
      <c r="D605" s="3" t="s">
        <v>2247</v>
      </c>
      <c r="E605" s="3" t="s">
        <v>56</v>
      </c>
      <c r="F605" s="3" t="s">
        <v>2248</v>
      </c>
      <c r="G605" s="3" t="s">
        <v>2249</v>
      </c>
      <c r="H605" s="43">
        <v>45702</v>
      </c>
      <c r="I605" s="43">
        <v>45355</v>
      </c>
      <c r="J605" s="47" t="str">
        <f>IF(GroDB3[[#This Row],[Last_Order_Date]]&lt;=GroDB3[[#This Row],[Date_Received]], "Yes", "No")</f>
        <v>Yes</v>
      </c>
      <c r="K605" s="43">
        <f>IF(GroDB3[[#This Row],[Column1]]="No",GroDB3[[#This Row],[Last_Order_Date]],GroDB3[[#This Row],[Date_Received]])</f>
        <v>45702</v>
      </c>
      <c r="L605" s="43">
        <f>IF(GroDB3[[#This Row],[Column1]]="No",GroDB3[[#This Row],[Date_Received]],GroDB3[[#This Row],[Last_Order_Date]])</f>
        <v>45355</v>
      </c>
      <c r="M605" s="43">
        <v>45644</v>
      </c>
      <c r="N605" s="3">
        <v>74</v>
      </c>
      <c r="O605" s="3">
        <v>37</v>
      </c>
      <c r="P605" s="3">
        <v>57</v>
      </c>
      <c r="Q605" s="4">
        <v>1.5</v>
      </c>
      <c r="R605" s="3">
        <v>91</v>
      </c>
      <c r="S605" s="3">
        <v>18</v>
      </c>
      <c r="T605" s="7">
        <v>0.37</v>
      </c>
    </row>
    <row r="606" spans="1:20" x14ac:dyDescent="0.35">
      <c r="A606" s="5" t="s">
        <v>1624</v>
      </c>
      <c r="B606" s="3" t="s">
        <v>60</v>
      </c>
      <c r="C606" s="3" t="s">
        <v>1877</v>
      </c>
      <c r="D606" s="3" t="s">
        <v>2250</v>
      </c>
      <c r="E606" s="3" t="s">
        <v>28</v>
      </c>
      <c r="F606" s="3" t="s">
        <v>2251</v>
      </c>
      <c r="G606" s="3" t="s">
        <v>2252</v>
      </c>
      <c r="H606" s="43">
        <v>45702</v>
      </c>
      <c r="I606" s="43">
        <v>45515</v>
      </c>
      <c r="J606" s="47" t="str">
        <f>IF(GroDB3[[#This Row],[Last_Order_Date]]&lt;=GroDB3[[#This Row],[Date_Received]], "Yes", "No")</f>
        <v>Yes</v>
      </c>
      <c r="K606" s="43">
        <f>IF(GroDB3[[#This Row],[Column1]]="No",GroDB3[[#This Row],[Last_Order_Date]],GroDB3[[#This Row],[Date_Received]])</f>
        <v>45702</v>
      </c>
      <c r="L606" s="43">
        <f>IF(GroDB3[[#This Row],[Column1]]="No",GroDB3[[#This Row],[Date_Received]],GroDB3[[#This Row],[Last_Order_Date]])</f>
        <v>45515</v>
      </c>
      <c r="M606" s="43">
        <v>45650</v>
      </c>
      <c r="N606" s="3">
        <v>91</v>
      </c>
      <c r="O606" s="3">
        <v>96</v>
      </c>
      <c r="P606" s="3">
        <v>90</v>
      </c>
      <c r="Q606" s="4">
        <v>7.5</v>
      </c>
      <c r="R606" s="3">
        <v>90</v>
      </c>
      <c r="S606" s="3">
        <v>75</v>
      </c>
      <c r="T606" s="7">
        <v>0.8</v>
      </c>
    </row>
    <row r="607" spans="1:20" x14ac:dyDescent="0.35">
      <c r="A607" s="5" t="s">
        <v>288</v>
      </c>
      <c r="B607" s="3" t="s">
        <v>60</v>
      </c>
      <c r="C607" s="3" t="s">
        <v>2253</v>
      </c>
      <c r="D607" s="3" t="s">
        <v>2254</v>
      </c>
      <c r="E607" s="3" t="s">
        <v>21</v>
      </c>
      <c r="F607" s="3" t="s">
        <v>2255</v>
      </c>
      <c r="G607" s="3" t="s">
        <v>2256</v>
      </c>
      <c r="H607" s="43">
        <v>45702</v>
      </c>
      <c r="I607" s="43">
        <v>45662</v>
      </c>
      <c r="J607" s="47" t="str">
        <f>IF(GroDB3[[#This Row],[Last_Order_Date]]&lt;=GroDB3[[#This Row],[Date_Received]], "Yes", "No")</f>
        <v>Yes</v>
      </c>
      <c r="K607" s="43">
        <f>IF(GroDB3[[#This Row],[Column1]]="No",GroDB3[[#This Row],[Last_Order_Date]],GroDB3[[#This Row],[Date_Received]])</f>
        <v>45702</v>
      </c>
      <c r="L607" s="43">
        <f>IF(GroDB3[[#This Row],[Column1]]="No",GroDB3[[#This Row],[Date_Received]],GroDB3[[#This Row],[Last_Order_Date]])</f>
        <v>45662</v>
      </c>
      <c r="M607" s="43">
        <v>45606</v>
      </c>
      <c r="N607" s="3">
        <v>89</v>
      </c>
      <c r="O607" s="3">
        <v>67</v>
      </c>
      <c r="P607" s="3">
        <v>89</v>
      </c>
      <c r="Q607" s="4">
        <v>12</v>
      </c>
      <c r="R607" s="3">
        <v>96</v>
      </c>
      <c r="S607" s="3">
        <v>42</v>
      </c>
      <c r="T607" s="7">
        <v>0.17</v>
      </c>
    </row>
    <row r="608" spans="1:20" x14ac:dyDescent="0.35">
      <c r="A608" s="5" t="s">
        <v>549</v>
      </c>
      <c r="B608" s="3" t="s">
        <v>32</v>
      </c>
      <c r="C608" s="3" t="s">
        <v>1156</v>
      </c>
      <c r="D608" s="3" t="s">
        <v>2257</v>
      </c>
      <c r="E608" s="3" t="s">
        <v>56</v>
      </c>
      <c r="F608" s="3" t="s">
        <v>2258</v>
      </c>
      <c r="G608" s="3" t="s">
        <v>2259</v>
      </c>
      <c r="H608" s="43">
        <v>45703</v>
      </c>
      <c r="I608" s="43">
        <v>45428</v>
      </c>
      <c r="J608" s="47" t="str">
        <f>IF(GroDB3[[#This Row],[Last_Order_Date]]&lt;=GroDB3[[#This Row],[Date_Received]], "Yes", "No")</f>
        <v>Yes</v>
      </c>
      <c r="K608" s="43">
        <f>IF(GroDB3[[#This Row],[Column1]]="No",GroDB3[[#This Row],[Last_Order_Date]],GroDB3[[#This Row],[Date_Received]])</f>
        <v>45703</v>
      </c>
      <c r="L608" s="43">
        <f>IF(GroDB3[[#This Row],[Column1]]="No",GroDB3[[#This Row],[Date_Received]],GroDB3[[#This Row],[Last_Order_Date]])</f>
        <v>45428</v>
      </c>
      <c r="M608" s="43">
        <v>45588</v>
      </c>
      <c r="N608" s="3">
        <v>72</v>
      </c>
      <c r="O608" s="3">
        <v>58</v>
      </c>
      <c r="P608" s="3">
        <v>52</v>
      </c>
      <c r="Q608" s="4">
        <v>2.4</v>
      </c>
      <c r="R608" s="3">
        <v>36</v>
      </c>
      <c r="S608" s="3">
        <v>14</v>
      </c>
      <c r="T608" s="7">
        <v>0.56000000000000005</v>
      </c>
    </row>
    <row r="609" spans="1:20" x14ac:dyDescent="0.35">
      <c r="A609" s="5" t="s">
        <v>175</v>
      </c>
      <c r="B609" s="3" t="s">
        <v>53</v>
      </c>
      <c r="C609" s="3" t="s">
        <v>2260</v>
      </c>
      <c r="D609" s="3" t="s">
        <v>2261</v>
      </c>
      <c r="E609" s="3" t="s">
        <v>28</v>
      </c>
      <c r="F609" s="3" t="s">
        <v>2262</v>
      </c>
      <c r="G609" s="3" t="s">
        <v>2263</v>
      </c>
      <c r="H609" s="43">
        <v>45704</v>
      </c>
      <c r="I609" s="43">
        <v>45530</v>
      </c>
      <c r="J609" s="47" t="str">
        <f>IF(GroDB3[[#This Row],[Last_Order_Date]]&lt;=GroDB3[[#This Row],[Date_Received]], "Yes", "No")</f>
        <v>Yes</v>
      </c>
      <c r="K609" s="43">
        <f>IF(GroDB3[[#This Row],[Column1]]="No",GroDB3[[#This Row],[Last_Order_Date]],GroDB3[[#This Row],[Date_Received]])</f>
        <v>45704</v>
      </c>
      <c r="L609" s="43">
        <f>IF(GroDB3[[#This Row],[Column1]]="No",GroDB3[[#This Row],[Date_Received]],GroDB3[[#This Row],[Last_Order_Date]])</f>
        <v>45530</v>
      </c>
      <c r="M609" s="43">
        <v>45595</v>
      </c>
      <c r="N609" s="3">
        <v>25</v>
      </c>
      <c r="O609" s="3">
        <v>60</v>
      </c>
      <c r="P609" s="3">
        <v>36</v>
      </c>
      <c r="Q609" s="4">
        <v>1.5</v>
      </c>
      <c r="R609" s="3">
        <v>31</v>
      </c>
      <c r="S609" s="3">
        <v>41</v>
      </c>
      <c r="T609" s="7">
        <v>0.61</v>
      </c>
    </row>
    <row r="610" spans="1:20" x14ac:dyDescent="0.35">
      <c r="A610" s="5" t="s">
        <v>976</v>
      </c>
      <c r="B610" s="3" t="s">
        <v>60</v>
      </c>
      <c r="C610" s="3" t="s">
        <v>1054</v>
      </c>
      <c r="D610" s="3" t="s">
        <v>2264</v>
      </c>
      <c r="E610" s="3" t="s">
        <v>28</v>
      </c>
      <c r="F610" s="3" t="s">
        <v>2265</v>
      </c>
      <c r="G610" s="3" t="s">
        <v>2266</v>
      </c>
      <c r="H610" s="43">
        <v>45705</v>
      </c>
      <c r="I610" s="43">
        <v>45489</v>
      </c>
      <c r="J610" s="47" t="str">
        <f>IF(GroDB3[[#This Row],[Last_Order_Date]]&lt;=GroDB3[[#This Row],[Date_Received]], "Yes", "No")</f>
        <v>Yes</v>
      </c>
      <c r="K610" s="43">
        <f>IF(GroDB3[[#This Row],[Column1]]="No",GroDB3[[#This Row],[Last_Order_Date]],GroDB3[[#This Row],[Date_Received]])</f>
        <v>45705</v>
      </c>
      <c r="L610" s="43">
        <f>IF(GroDB3[[#This Row],[Column1]]="No",GroDB3[[#This Row],[Date_Received]],GroDB3[[#This Row],[Last_Order_Date]])</f>
        <v>45489</v>
      </c>
      <c r="M610" s="43">
        <v>45355</v>
      </c>
      <c r="N610" s="3">
        <v>40</v>
      </c>
      <c r="O610" s="3">
        <v>81</v>
      </c>
      <c r="P610" s="3">
        <v>78</v>
      </c>
      <c r="Q610" s="4">
        <v>20</v>
      </c>
      <c r="R610" s="3">
        <v>39</v>
      </c>
      <c r="S610" s="3">
        <v>65</v>
      </c>
      <c r="T610" s="7">
        <v>-0.32</v>
      </c>
    </row>
    <row r="611" spans="1:20" x14ac:dyDescent="0.35">
      <c r="A611" s="5" t="s">
        <v>193</v>
      </c>
      <c r="B611" s="3" t="s">
        <v>18</v>
      </c>
      <c r="C611" s="3" t="s">
        <v>1697</v>
      </c>
      <c r="D611" s="3" t="s">
        <v>2267</v>
      </c>
      <c r="E611" s="3" t="s">
        <v>56</v>
      </c>
      <c r="F611" s="3" t="s">
        <v>2268</v>
      </c>
      <c r="G611" s="3" t="s">
        <v>2269</v>
      </c>
      <c r="H611" s="43">
        <v>45705</v>
      </c>
      <c r="I611" s="43">
        <v>45656</v>
      </c>
      <c r="J611" s="47" t="str">
        <f>IF(GroDB3[[#This Row],[Last_Order_Date]]&lt;=GroDB3[[#This Row],[Date_Received]], "Yes", "No")</f>
        <v>Yes</v>
      </c>
      <c r="K611" s="43">
        <f>IF(GroDB3[[#This Row],[Column1]]="No",GroDB3[[#This Row],[Last_Order_Date]],GroDB3[[#This Row],[Date_Received]])</f>
        <v>45705</v>
      </c>
      <c r="L611" s="43">
        <f>IF(GroDB3[[#This Row],[Column1]]="No",GroDB3[[#This Row],[Date_Received]],GroDB3[[#This Row],[Last_Order_Date]])</f>
        <v>45656</v>
      </c>
      <c r="M611" s="43">
        <v>45366</v>
      </c>
      <c r="N611" s="3">
        <v>75</v>
      </c>
      <c r="O611" s="3">
        <v>18</v>
      </c>
      <c r="P611" s="3">
        <v>65</v>
      </c>
      <c r="Q611" s="4">
        <v>2</v>
      </c>
      <c r="R611" s="3">
        <v>32</v>
      </c>
      <c r="S611" s="3">
        <v>92</v>
      </c>
      <c r="T611" s="7">
        <v>-0.67</v>
      </c>
    </row>
    <row r="612" spans="1:20" x14ac:dyDescent="0.35">
      <c r="A612" s="5" t="s">
        <v>836</v>
      </c>
      <c r="B612" s="3" t="s">
        <v>91</v>
      </c>
      <c r="C612" s="3" t="s">
        <v>221</v>
      </c>
      <c r="D612" s="3" t="s">
        <v>2270</v>
      </c>
      <c r="E612" s="3" t="s">
        <v>21</v>
      </c>
      <c r="F612" s="3" t="s">
        <v>2271</v>
      </c>
      <c r="G612" s="3" t="s">
        <v>2272</v>
      </c>
      <c r="H612" s="43">
        <v>45706</v>
      </c>
      <c r="I612" s="43">
        <v>45561</v>
      </c>
      <c r="J612" s="47" t="str">
        <f>IF(GroDB3[[#This Row],[Last_Order_Date]]&lt;=GroDB3[[#This Row],[Date_Received]], "Yes", "No")</f>
        <v>Yes</v>
      </c>
      <c r="K612" s="43">
        <f>IF(GroDB3[[#This Row],[Column1]]="No",GroDB3[[#This Row],[Last_Order_Date]],GroDB3[[#This Row],[Date_Received]])</f>
        <v>45706</v>
      </c>
      <c r="L612" s="43">
        <f>IF(GroDB3[[#This Row],[Column1]]="No",GroDB3[[#This Row],[Date_Received]],GroDB3[[#This Row],[Last_Order_Date]])</f>
        <v>45561</v>
      </c>
      <c r="M612" s="43">
        <v>45463</v>
      </c>
      <c r="N612" s="3">
        <v>85</v>
      </c>
      <c r="O612" s="3">
        <v>57</v>
      </c>
      <c r="P612" s="3">
        <v>25</v>
      </c>
      <c r="Q612" s="4">
        <v>3.5</v>
      </c>
      <c r="R612" s="3">
        <v>30</v>
      </c>
      <c r="S612" s="3">
        <v>42</v>
      </c>
      <c r="T612" s="7">
        <v>-1.88</v>
      </c>
    </row>
    <row r="613" spans="1:20" x14ac:dyDescent="0.35">
      <c r="A613" s="5" t="s">
        <v>24</v>
      </c>
      <c r="B613" s="3" t="s">
        <v>25</v>
      </c>
      <c r="C613" s="3" t="s">
        <v>1020</v>
      </c>
      <c r="D613" s="3" t="s">
        <v>2273</v>
      </c>
      <c r="E613" s="3" t="s">
        <v>28</v>
      </c>
      <c r="F613" s="3" t="s">
        <v>2274</v>
      </c>
      <c r="G613" s="3" t="s">
        <v>2275</v>
      </c>
      <c r="H613" s="43">
        <v>45706</v>
      </c>
      <c r="I613" s="43">
        <v>45503</v>
      </c>
      <c r="J613" s="47" t="str">
        <f>IF(GroDB3[[#This Row],[Last_Order_Date]]&lt;=GroDB3[[#This Row],[Date_Received]], "Yes", "No")</f>
        <v>Yes</v>
      </c>
      <c r="K613" s="43">
        <f>IF(GroDB3[[#This Row],[Column1]]="No",GroDB3[[#This Row],[Last_Order_Date]],GroDB3[[#This Row],[Date_Received]])</f>
        <v>45706</v>
      </c>
      <c r="L613" s="43">
        <f>IF(GroDB3[[#This Row],[Column1]]="No",GroDB3[[#This Row],[Date_Received]],GroDB3[[#This Row],[Last_Order_Date]])</f>
        <v>45503</v>
      </c>
      <c r="M613" s="43">
        <v>45367</v>
      </c>
      <c r="N613" s="3">
        <v>41</v>
      </c>
      <c r="O613" s="3">
        <v>66</v>
      </c>
      <c r="P613" s="3">
        <v>50</v>
      </c>
      <c r="Q613" s="4">
        <v>2</v>
      </c>
      <c r="R613" s="3">
        <v>55</v>
      </c>
      <c r="S613" s="3">
        <v>74</v>
      </c>
      <c r="T613" s="7">
        <v>-0.4</v>
      </c>
    </row>
    <row r="614" spans="1:20" x14ac:dyDescent="0.35">
      <c r="A614" s="5" t="s">
        <v>380</v>
      </c>
      <c r="B614" s="3" t="s">
        <v>32</v>
      </c>
      <c r="C614" s="3" t="s">
        <v>161</v>
      </c>
      <c r="D614" s="3" t="s">
        <v>2276</v>
      </c>
      <c r="E614" s="3" t="s">
        <v>21</v>
      </c>
      <c r="F614" s="3" t="s">
        <v>2277</v>
      </c>
      <c r="G614" s="3" t="s">
        <v>2278</v>
      </c>
      <c r="H614" s="43">
        <v>45707</v>
      </c>
      <c r="I614" s="43">
        <v>45486</v>
      </c>
      <c r="J614" s="47" t="str">
        <f>IF(GroDB3[[#This Row],[Last_Order_Date]]&lt;=GroDB3[[#This Row],[Date_Received]], "Yes", "No")</f>
        <v>Yes</v>
      </c>
      <c r="K614" s="43">
        <f>IF(GroDB3[[#This Row],[Column1]]="No",GroDB3[[#This Row],[Last_Order_Date]],GroDB3[[#This Row],[Date_Received]])</f>
        <v>45707</v>
      </c>
      <c r="L614" s="43">
        <f>IF(GroDB3[[#This Row],[Column1]]="No",GroDB3[[#This Row],[Date_Received]],GroDB3[[#This Row],[Last_Order_Date]])</f>
        <v>45486</v>
      </c>
      <c r="M614" s="43">
        <v>45377</v>
      </c>
      <c r="N614" s="3">
        <v>92</v>
      </c>
      <c r="O614" s="3">
        <v>99</v>
      </c>
      <c r="P614" s="3">
        <v>93</v>
      </c>
      <c r="Q614" s="4">
        <v>4</v>
      </c>
      <c r="R614" s="3">
        <v>43</v>
      </c>
      <c r="S614" s="3">
        <v>90</v>
      </c>
      <c r="T614" s="7">
        <v>-0.35</v>
      </c>
    </row>
    <row r="615" spans="1:20" x14ac:dyDescent="0.35">
      <c r="A615" s="5" t="s">
        <v>52</v>
      </c>
      <c r="B615" s="3" t="s">
        <v>53</v>
      </c>
      <c r="C615" s="3" t="s">
        <v>1805</v>
      </c>
      <c r="D615" s="3" t="s">
        <v>2279</v>
      </c>
      <c r="E615" s="3" t="s">
        <v>21</v>
      </c>
      <c r="F615" s="3" t="s">
        <v>2280</v>
      </c>
      <c r="G615" s="3" t="s">
        <v>2281</v>
      </c>
      <c r="H615" s="43">
        <v>45707</v>
      </c>
      <c r="I615" s="43">
        <v>45561</v>
      </c>
      <c r="J615" s="47" t="str">
        <f>IF(GroDB3[[#This Row],[Last_Order_Date]]&lt;=GroDB3[[#This Row],[Date_Received]], "Yes", "No")</f>
        <v>Yes</v>
      </c>
      <c r="K615" s="43">
        <f>IF(GroDB3[[#This Row],[Column1]]="No",GroDB3[[#This Row],[Last_Order_Date]],GroDB3[[#This Row],[Date_Received]])</f>
        <v>45707</v>
      </c>
      <c r="L615" s="43">
        <f>IF(GroDB3[[#This Row],[Column1]]="No",GroDB3[[#This Row],[Date_Received]],GroDB3[[#This Row],[Last_Order_Date]])</f>
        <v>45561</v>
      </c>
      <c r="M615" s="43">
        <v>45681</v>
      </c>
      <c r="N615" s="3">
        <v>51</v>
      </c>
      <c r="O615" s="3">
        <v>55</v>
      </c>
      <c r="P615" s="3">
        <v>76</v>
      </c>
      <c r="Q615" s="4">
        <v>5</v>
      </c>
      <c r="R615" s="3">
        <v>21</v>
      </c>
      <c r="S615" s="3">
        <v>13</v>
      </c>
      <c r="T615" s="7">
        <v>-1.0900000000000001</v>
      </c>
    </row>
    <row r="616" spans="1:20" x14ac:dyDescent="0.35">
      <c r="A616" s="5" t="s">
        <v>531</v>
      </c>
      <c r="B616" s="3" t="s">
        <v>53</v>
      </c>
      <c r="C616" s="3" t="s">
        <v>138</v>
      </c>
      <c r="D616" s="3" t="s">
        <v>2282</v>
      </c>
      <c r="E616" s="3" t="s">
        <v>56</v>
      </c>
      <c r="F616" s="3" t="s">
        <v>2283</v>
      </c>
      <c r="G616" s="3" t="s">
        <v>2284</v>
      </c>
      <c r="H616" s="43">
        <v>45707</v>
      </c>
      <c r="I616" s="43">
        <v>45699</v>
      </c>
      <c r="J616" s="47" t="str">
        <f>IF(GroDB3[[#This Row],[Last_Order_Date]]&lt;=GroDB3[[#This Row],[Date_Received]], "Yes", "No")</f>
        <v>Yes</v>
      </c>
      <c r="K616" s="43">
        <f>IF(GroDB3[[#This Row],[Column1]]="No",GroDB3[[#This Row],[Last_Order_Date]],GroDB3[[#This Row],[Date_Received]])</f>
        <v>45707</v>
      </c>
      <c r="L616" s="43">
        <f>IF(GroDB3[[#This Row],[Column1]]="No",GroDB3[[#This Row],[Date_Received]],GroDB3[[#This Row],[Last_Order_Date]])</f>
        <v>45699</v>
      </c>
      <c r="M616" s="43">
        <v>45585</v>
      </c>
      <c r="N616" s="3">
        <v>98</v>
      </c>
      <c r="O616" s="3">
        <v>40</v>
      </c>
      <c r="P616" s="3">
        <v>93</v>
      </c>
      <c r="Q616" s="4">
        <v>1.5</v>
      </c>
      <c r="R616" s="3">
        <v>30</v>
      </c>
      <c r="S616" s="3">
        <v>53</v>
      </c>
      <c r="T616" s="7">
        <v>0.38</v>
      </c>
    </row>
    <row r="617" spans="1:20" x14ac:dyDescent="0.35">
      <c r="A617" s="5" t="s">
        <v>59</v>
      </c>
      <c r="B617" s="3" t="s">
        <v>60</v>
      </c>
      <c r="C617" s="3" t="s">
        <v>922</v>
      </c>
      <c r="D617" s="3" t="s">
        <v>2285</v>
      </c>
      <c r="E617" s="3" t="s">
        <v>21</v>
      </c>
      <c r="F617" s="3" t="s">
        <v>2286</v>
      </c>
      <c r="G617" s="3" t="s">
        <v>2287</v>
      </c>
      <c r="H617" s="43">
        <v>45707</v>
      </c>
      <c r="I617" s="43">
        <v>45591</v>
      </c>
      <c r="J617" s="47" t="str">
        <f>IF(GroDB3[[#This Row],[Last_Order_Date]]&lt;=GroDB3[[#This Row],[Date_Received]], "Yes", "No")</f>
        <v>Yes</v>
      </c>
      <c r="K617" s="43">
        <f>IF(GroDB3[[#This Row],[Column1]]="No",GroDB3[[#This Row],[Last_Order_Date]],GroDB3[[#This Row],[Date_Received]])</f>
        <v>45707</v>
      </c>
      <c r="L617" s="43">
        <f>IF(GroDB3[[#This Row],[Column1]]="No",GroDB3[[#This Row],[Date_Received]],GroDB3[[#This Row],[Last_Order_Date]])</f>
        <v>45591</v>
      </c>
      <c r="M617" s="43">
        <v>45633</v>
      </c>
      <c r="N617" s="3">
        <v>100</v>
      </c>
      <c r="O617" s="3">
        <v>99</v>
      </c>
      <c r="P617" s="3">
        <v>8</v>
      </c>
      <c r="Q617" s="4">
        <v>10</v>
      </c>
      <c r="R617" s="3">
        <v>54</v>
      </c>
      <c r="S617" s="3">
        <v>92</v>
      </c>
      <c r="T617" s="7">
        <v>-0.77</v>
      </c>
    </row>
    <row r="618" spans="1:20" x14ac:dyDescent="0.35">
      <c r="A618" s="5" t="s">
        <v>1109</v>
      </c>
      <c r="B618" s="3" t="s">
        <v>18</v>
      </c>
      <c r="C618" s="3" t="s">
        <v>1127</v>
      </c>
      <c r="D618" s="3" t="s">
        <v>2288</v>
      </c>
      <c r="E618" s="3" t="s">
        <v>28</v>
      </c>
      <c r="F618" s="3" t="s">
        <v>2289</v>
      </c>
      <c r="G618" s="3" t="s">
        <v>2290</v>
      </c>
      <c r="H618" s="43">
        <v>45707</v>
      </c>
      <c r="I618" s="43">
        <v>45468</v>
      </c>
      <c r="J618" s="47" t="str">
        <f>IF(GroDB3[[#This Row],[Last_Order_Date]]&lt;=GroDB3[[#This Row],[Date_Received]], "Yes", "No")</f>
        <v>Yes</v>
      </c>
      <c r="K618" s="43">
        <f>IF(GroDB3[[#This Row],[Column1]]="No",GroDB3[[#This Row],[Last_Order_Date]],GroDB3[[#This Row],[Date_Received]])</f>
        <v>45707</v>
      </c>
      <c r="L618" s="43">
        <f>IF(GroDB3[[#This Row],[Column1]]="No",GroDB3[[#This Row],[Date_Received]],GroDB3[[#This Row],[Last_Order_Date]])</f>
        <v>45468</v>
      </c>
      <c r="M618" s="43">
        <v>45674</v>
      </c>
      <c r="N618" s="3">
        <v>43</v>
      </c>
      <c r="O618" s="3">
        <v>21</v>
      </c>
      <c r="P618" s="3">
        <v>31</v>
      </c>
      <c r="Q618" s="4">
        <v>2.5</v>
      </c>
      <c r="R618" s="3">
        <v>22</v>
      </c>
      <c r="S618" s="3">
        <v>25</v>
      </c>
      <c r="T618" s="7">
        <v>-0.7</v>
      </c>
    </row>
    <row r="619" spans="1:20" x14ac:dyDescent="0.35">
      <c r="A619" s="5" t="s">
        <v>984</v>
      </c>
      <c r="B619" s="3" t="s">
        <v>18</v>
      </c>
      <c r="C619" s="3" t="s">
        <v>2001</v>
      </c>
      <c r="D619" s="3" t="s">
        <v>2291</v>
      </c>
      <c r="E619" s="3" t="s">
        <v>56</v>
      </c>
      <c r="F619" s="3" t="s">
        <v>2292</v>
      </c>
      <c r="G619" s="3" t="s">
        <v>2293</v>
      </c>
      <c r="H619" s="43">
        <v>45708</v>
      </c>
      <c r="I619" s="43">
        <v>45634</v>
      </c>
      <c r="J619" s="47" t="str">
        <f>IF(GroDB3[[#This Row],[Last_Order_Date]]&lt;=GroDB3[[#This Row],[Date_Received]], "Yes", "No")</f>
        <v>Yes</v>
      </c>
      <c r="K619" s="43">
        <f>IF(GroDB3[[#This Row],[Column1]]="No",GroDB3[[#This Row],[Last_Order_Date]],GroDB3[[#This Row],[Date_Received]])</f>
        <v>45708</v>
      </c>
      <c r="L619" s="43">
        <f>IF(GroDB3[[#This Row],[Column1]]="No",GroDB3[[#This Row],[Date_Received]],GroDB3[[#This Row],[Last_Order_Date]])</f>
        <v>45634</v>
      </c>
      <c r="M619" s="43">
        <v>45639</v>
      </c>
      <c r="N619" s="3">
        <v>31</v>
      </c>
      <c r="O619" s="3">
        <v>54</v>
      </c>
      <c r="P619" s="3">
        <v>52</v>
      </c>
      <c r="Q619" s="4">
        <v>4</v>
      </c>
      <c r="R619" s="3">
        <v>69</v>
      </c>
      <c r="S619" s="3">
        <v>77</v>
      </c>
      <c r="T619" s="7">
        <v>-0.14000000000000001</v>
      </c>
    </row>
    <row r="620" spans="1:20" x14ac:dyDescent="0.35">
      <c r="A620" s="5" t="s">
        <v>180</v>
      </c>
      <c r="B620" s="3" t="s">
        <v>18</v>
      </c>
      <c r="C620" s="3" t="s">
        <v>81</v>
      </c>
      <c r="D620" s="3" t="s">
        <v>2294</v>
      </c>
      <c r="E620" s="3" t="s">
        <v>28</v>
      </c>
      <c r="F620" s="3" t="s">
        <v>2295</v>
      </c>
      <c r="G620" s="3" t="s">
        <v>2296</v>
      </c>
      <c r="H620" s="43">
        <v>45708</v>
      </c>
      <c r="I620" s="43">
        <v>45632</v>
      </c>
      <c r="J620" s="47" t="str">
        <f>IF(GroDB3[[#This Row],[Last_Order_Date]]&lt;=GroDB3[[#This Row],[Date_Received]], "Yes", "No")</f>
        <v>Yes</v>
      </c>
      <c r="K620" s="43">
        <f>IF(GroDB3[[#This Row],[Column1]]="No",GroDB3[[#This Row],[Last_Order_Date]],GroDB3[[#This Row],[Date_Received]])</f>
        <v>45708</v>
      </c>
      <c r="L620" s="43">
        <f>IF(GroDB3[[#This Row],[Column1]]="No",GroDB3[[#This Row],[Date_Received]],GroDB3[[#This Row],[Last_Order_Date]])</f>
        <v>45632</v>
      </c>
      <c r="M620" s="43">
        <v>45519</v>
      </c>
      <c r="N620" s="3">
        <v>12</v>
      </c>
      <c r="O620" s="3">
        <v>93</v>
      </c>
      <c r="P620" s="3">
        <v>29</v>
      </c>
      <c r="Q620" s="4">
        <v>1.75</v>
      </c>
      <c r="R620" s="3">
        <v>45</v>
      </c>
      <c r="S620" s="3">
        <v>12</v>
      </c>
      <c r="T620" s="7">
        <v>-0.12</v>
      </c>
    </row>
    <row r="621" spans="1:20" x14ac:dyDescent="0.35">
      <c r="A621" s="5" t="s">
        <v>470</v>
      </c>
      <c r="B621" s="3" t="s">
        <v>18</v>
      </c>
      <c r="C621" s="3" t="s">
        <v>429</v>
      </c>
      <c r="D621" s="3" t="s">
        <v>2297</v>
      </c>
      <c r="E621" s="3" t="s">
        <v>28</v>
      </c>
      <c r="F621" s="3" t="s">
        <v>2298</v>
      </c>
      <c r="G621" s="3" t="s">
        <v>2299</v>
      </c>
      <c r="H621" s="43">
        <v>45709</v>
      </c>
      <c r="I621" s="43">
        <v>45357</v>
      </c>
      <c r="J621" s="47" t="str">
        <f>IF(GroDB3[[#This Row],[Last_Order_Date]]&lt;=GroDB3[[#This Row],[Date_Received]], "Yes", "No")</f>
        <v>Yes</v>
      </c>
      <c r="K621" s="43">
        <f>IF(GroDB3[[#This Row],[Column1]]="No",GroDB3[[#This Row],[Last_Order_Date]],GroDB3[[#This Row],[Date_Received]])</f>
        <v>45709</v>
      </c>
      <c r="L621" s="43">
        <f>IF(GroDB3[[#This Row],[Column1]]="No",GroDB3[[#This Row],[Date_Received]],GroDB3[[#This Row],[Last_Order_Date]])</f>
        <v>45357</v>
      </c>
      <c r="M621" s="43">
        <v>45464</v>
      </c>
      <c r="N621" s="3">
        <v>40</v>
      </c>
      <c r="O621" s="3">
        <v>53</v>
      </c>
      <c r="P621" s="3">
        <v>7</v>
      </c>
      <c r="Q621" s="4">
        <v>4</v>
      </c>
      <c r="R621" s="3">
        <v>70</v>
      </c>
      <c r="S621" s="3">
        <v>20</v>
      </c>
      <c r="T621" s="7">
        <v>0.73</v>
      </c>
    </row>
    <row r="622" spans="1:20" x14ac:dyDescent="0.35">
      <c r="A622" s="5" t="s">
        <v>1369</v>
      </c>
      <c r="B622" s="3" t="s">
        <v>32</v>
      </c>
      <c r="C622" s="3" t="s">
        <v>48</v>
      </c>
      <c r="D622" s="3" t="s">
        <v>2300</v>
      </c>
      <c r="E622" s="3" t="s">
        <v>28</v>
      </c>
      <c r="F622" s="3" t="s">
        <v>2301</v>
      </c>
      <c r="G622" s="3" t="s">
        <v>2302</v>
      </c>
      <c r="H622" s="43">
        <v>45709</v>
      </c>
      <c r="I622" s="43">
        <v>45560</v>
      </c>
      <c r="J622" s="47" t="str">
        <f>IF(GroDB3[[#This Row],[Last_Order_Date]]&lt;=GroDB3[[#This Row],[Date_Received]], "Yes", "No")</f>
        <v>Yes</v>
      </c>
      <c r="K622" s="43">
        <f>IF(GroDB3[[#This Row],[Column1]]="No",GroDB3[[#This Row],[Last_Order_Date]],GroDB3[[#This Row],[Date_Received]])</f>
        <v>45709</v>
      </c>
      <c r="L622" s="43">
        <f>IF(GroDB3[[#This Row],[Column1]]="No",GroDB3[[#This Row],[Date_Received]],GroDB3[[#This Row],[Last_Order_Date]])</f>
        <v>45560</v>
      </c>
      <c r="M622" s="43">
        <v>45514</v>
      </c>
      <c r="N622" s="3">
        <v>57</v>
      </c>
      <c r="O622" s="3">
        <v>62</v>
      </c>
      <c r="P622" s="3">
        <v>72</v>
      </c>
      <c r="Q622" s="4">
        <v>4</v>
      </c>
      <c r="R622" s="3">
        <v>23</v>
      </c>
      <c r="S622" s="3">
        <v>4</v>
      </c>
      <c r="T622" s="7">
        <v>0.71</v>
      </c>
    </row>
    <row r="623" spans="1:20" x14ac:dyDescent="0.35">
      <c r="A623" s="5" t="s">
        <v>146</v>
      </c>
      <c r="B623" s="3" t="s">
        <v>53</v>
      </c>
      <c r="C623" s="3" t="s">
        <v>2303</v>
      </c>
      <c r="D623" s="3" t="s">
        <v>2304</v>
      </c>
      <c r="E623" s="3" t="s">
        <v>21</v>
      </c>
      <c r="F623" s="3" t="s">
        <v>2305</v>
      </c>
      <c r="G623" s="3" t="s">
        <v>2306</v>
      </c>
      <c r="H623" s="43">
        <v>45710</v>
      </c>
      <c r="I623" s="43">
        <v>45459</v>
      </c>
      <c r="J623" s="47" t="str">
        <f>IF(GroDB3[[#This Row],[Last_Order_Date]]&lt;=GroDB3[[#This Row],[Date_Received]], "Yes", "No")</f>
        <v>Yes</v>
      </c>
      <c r="K623" s="43">
        <f>IF(GroDB3[[#This Row],[Column1]]="No",GroDB3[[#This Row],[Last_Order_Date]],GroDB3[[#This Row],[Date_Received]])</f>
        <v>45710</v>
      </c>
      <c r="L623" s="43">
        <f>IF(GroDB3[[#This Row],[Column1]]="No",GroDB3[[#This Row],[Date_Received]],GroDB3[[#This Row],[Last_Order_Date]])</f>
        <v>45459</v>
      </c>
      <c r="M623" s="43">
        <v>45419</v>
      </c>
      <c r="N623" s="3">
        <v>24</v>
      </c>
      <c r="O623" s="3">
        <v>15</v>
      </c>
      <c r="P623" s="3">
        <v>6</v>
      </c>
      <c r="Q623" s="4">
        <v>4.75</v>
      </c>
      <c r="R623" s="3">
        <v>35</v>
      </c>
      <c r="S623" s="3">
        <v>4</v>
      </c>
      <c r="T623" s="7">
        <v>0.83</v>
      </c>
    </row>
    <row r="624" spans="1:20" x14ac:dyDescent="0.35">
      <c r="A624" s="5" t="s">
        <v>24</v>
      </c>
      <c r="B624" s="3" t="s">
        <v>25</v>
      </c>
      <c r="C624" s="3" t="s">
        <v>1870</v>
      </c>
      <c r="D624" s="3" t="s">
        <v>2307</v>
      </c>
      <c r="E624" s="3" t="s">
        <v>28</v>
      </c>
      <c r="F624" s="3" t="s">
        <v>2308</v>
      </c>
      <c r="G624" s="3" t="s">
        <v>2309</v>
      </c>
      <c r="H624" s="43">
        <v>45711</v>
      </c>
      <c r="I624" s="43">
        <v>45686</v>
      </c>
      <c r="J624" s="47" t="str">
        <f>IF(GroDB3[[#This Row],[Last_Order_Date]]&lt;=GroDB3[[#This Row],[Date_Received]], "Yes", "No")</f>
        <v>Yes</v>
      </c>
      <c r="K624" s="43">
        <f>IF(GroDB3[[#This Row],[Column1]]="No",GroDB3[[#This Row],[Last_Order_Date]],GroDB3[[#This Row],[Date_Received]])</f>
        <v>45711</v>
      </c>
      <c r="L624" s="43">
        <f>IF(GroDB3[[#This Row],[Column1]]="No",GroDB3[[#This Row],[Date_Received]],GroDB3[[#This Row],[Last_Order_Date]])</f>
        <v>45686</v>
      </c>
      <c r="M624" s="43">
        <v>45567</v>
      </c>
      <c r="N624" s="3">
        <v>75</v>
      </c>
      <c r="O624" s="3">
        <v>61</v>
      </c>
      <c r="P624" s="3">
        <v>19</v>
      </c>
      <c r="Q624" s="4">
        <v>2</v>
      </c>
      <c r="R624" s="3">
        <v>79</v>
      </c>
      <c r="S624" s="3">
        <v>69</v>
      </c>
      <c r="T624" s="7">
        <v>0.89</v>
      </c>
    </row>
    <row r="625" spans="1:20" x14ac:dyDescent="0.35">
      <c r="A625" s="5" t="s">
        <v>121</v>
      </c>
      <c r="B625" s="3" t="s">
        <v>53</v>
      </c>
      <c r="C625" s="3" t="s">
        <v>199</v>
      </c>
      <c r="D625" s="3" t="s">
        <v>2310</v>
      </c>
      <c r="E625" s="3" t="s">
        <v>56</v>
      </c>
      <c r="F625" s="3" t="s">
        <v>2311</v>
      </c>
      <c r="G625" s="3" t="s">
        <v>2312</v>
      </c>
      <c r="H625" s="43">
        <v>45711</v>
      </c>
      <c r="I625" s="43">
        <v>45360</v>
      </c>
      <c r="J625" s="47" t="str">
        <f>IF(GroDB3[[#This Row],[Last_Order_Date]]&lt;=GroDB3[[#This Row],[Date_Received]], "Yes", "No")</f>
        <v>Yes</v>
      </c>
      <c r="K625" s="43">
        <f>IF(GroDB3[[#This Row],[Column1]]="No",GroDB3[[#This Row],[Last_Order_Date]],GroDB3[[#This Row],[Date_Received]])</f>
        <v>45711</v>
      </c>
      <c r="L625" s="43">
        <f>IF(GroDB3[[#This Row],[Column1]]="No",GroDB3[[#This Row],[Date_Received]],GroDB3[[#This Row],[Last_Order_Date]])</f>
        <v>45360</v>
      </c>
      <c r="M625" s="43">
        <v>45659</v>
      </c>
      <c r="N625" s="3">
        <v>60</v>
      </c>
      <c r="O625" s="3">
        <v>69</v>
      </c>
      <c r="P625" s="3">
        <v>64</v>
      </c>
      <c r="Q625" s="4">
        <v>2.75</v>
      </c>
      <c r="R625" s="3">
        <v>51</v>
      </c>
      <c r="S625" s="3">
        <v>6</v>
      </c>
      <c r="T625" s="7">
        <v>0.13</v>
      </c>
    </row>
    <row r="626" spans="1:20" x14ac:dyDescent="0.35">
      <c r="A626" s="5" t="s">
        <v>632</v>
      </c>
      <c r="B626" s="3" t="s">
        <v>60</v>
      </c>
      <c r="C626" s="3" t="s">
        <v>1261</v>
      </c>
      <c r="D626" s="3" t="s">
        <v>2313</v>
      </c>
      <c r="E626" s="3" t="s">
        <v>21</v>
      </c>
      <c r="F626" s="3" t="s">
        <v>2314</v>
      </c>
      <c r="G626" s="3" t="s">
        <v>2315</v>
      </c>
      <c r="H626" s="43">
        <v>45712</v>
      </c>
      <c r="I626" s="43">
        <v>45363</v>
      </c>
      <c r="J626" s="47" t="str">
        <f>IF(GroDB3[[#This Row],[Last_Order_Date]]&lt;=GroDB3[[#This Row],[Date_Received]], "Yes", "No")</f>
        <v>Yes</v>
      </c>
      <c r="K626" s="43">
        <f>IF(GroDB3[[#This Row],[Column1]]="No",GroDB3[[#This Row],[Last_Order_Date]],GroDB3[[#This Row],[Date_Received]])</f>
        <v>45712</v>
      </c>
      <c r="L626" s="43">
        <f>IF(GroDB3[[#This Row],[Column1]]="No",GroDB3[[#This Row],[Date_Received]],GroDB3[[#This Row],[Last_Order_Date]])</f>
        <v>45363</v>
      </c>
      <c r="M626" s="43">
        <v>45587</v>
      </c>
      <c r="N626" s="3">
        <v>56</v>
      </c>
      <c r="O626" s="3">
        <v>50</v>
      </c>
      <c r="P626" s="3">
        <v>80</v>
      </c>
      <c r="Q626" s="4">
        <v>8</v>
      </c>
      <c r="R626" s="3">
        <v>99</v>
      </c>
      <c r="S626" s="3">
        <v>5</v>
      </c>
      <c r="T626" s="7">
        <v>0.88</v>
      </c>
    </row>
    <row r="627" spans="1:20" x14ac:dyDescent="0.35">
      <c r="A627" s="5" t="s">
        <v>980</v>
      </c>
      <c r="B627" s="3" t="s">
        <v>60</v>
      </c>
      <c r="C627" s="3" t="s">
        <v>1870</v>
      </c>
      <c r="D627" s="3" t="s">
        <v>2316</v>
      </c>
      <c r="E627" s="3" t="s">
        <v>21</v>
      </c>
      <c r="F627" s="3" t="s">
        <v>2317</v>
      </c>
      <c r="G627" s="3" t="s">
        <v>2318</v>
      </c>
      <c r="H627" s="43">
        <v>45712</v>
      </c>
      <c r="I627" s="43">
        <v>45467</v>
      </c>
      <c r="J627" s="47" t="str">
        <f>IF(GroDB3[[#This Row],[Last_Order_Date]]&lt;=GroDB3[[#This Row],[Date_Received]], "Yes", "No")</f>
        <v>Yes</v>
      </c>
      <c r="K627" s="43">
        <f>IF(GroDB3[[#This Row],[Column1]]="No",GroDB3[[#This Row],[Last_Order_Date]],GroDB3[[#This Row],[Date_Received]])</f>
        <v>45712</v>
      </c>
      <c r="L627" s="43">
        <f>IF(GroDB3[[#This Row],[Column1]]="No",GroDB3[[#This Row],[Date_Received]],GroDB3[[#This Row],[Last_Order_Date]])</f>
        <v>45467</v>
      </c>
      <c r="M627" s="43">
        <v>45347</v>
      </c>
      <c r="N627" s="3">
        <v>88</v>
      </c>
      <c r="O627" s="3">
        <v>40</v>
      </c>
      <c r="P627" s="3">
        <v>29</v>
      </c>
      <c r="Q627" s="4">
        <v>15</v>
      </c>
      <c r="R627" s="3">
        <v>96</v>
      </c>
      <c r="S627" s="3">
        <v>87</v>
      </c>
      <c r="T627" s="7">
        <v>0.95</v>
      </c>
    </row>
    <row r="628" spans="1:20" x14ac:dyDescent="0.35">
      <c r="A628" s="5" t="s">
        <v>137</v>
      </c>
      <c r="B628" s="3" t="s">
        <v>18</v>
      </c>
      <c r="C628" s="3" t="s">
        <v>221</v>
      </c>
      <c r="D628" s="3" t="s">
        <v>2319</v>
      </c>
      <c r="E628" s="3" t="s">
        <v>28</v>
      </c>
      <c r="F628" s="3" t="s">
        <v>2320</v>
      </c>
      <c r="G628" s="3" t="s">
        <v>2321</v>
      </c>
      <c r="H628" s="43">
        <v>45712</v>
      </c>
      <c r="I628" s="43">
        <v>45477</v>
      </c>
      <c r="J628" s="47" t="str">
        <f>IF(GroDB3[[#This Row],[Last_Order_Date]]&lt;=GroDB3[[#This Row],[Date_Received]], "Yes", "No")</f>
        <v>Yes</v>
      </c>
      <c r="K628" s="43">
        <f>IF(GroDB3[[#This Row],[Column1]]="No",GroDB3[[#This Row],[Last_Order_Date]],GroDB3[[#This Row],[Date_Received]])</f>
        <v>45712</v>
      </c>
      <c r="L628" s="43">
        <f>IF(GroDB3[[#This Row],[Column1]]="No",GroDB3[[#This Row],[Date_Received]],GroDB3[[#This Row],[Last_Order_Date]])</f>
        <v>45477</v>
      </c>
      <c r="M628" s="43">
        <v>45564</v>
      </c>
      <c r="N628" s="3">
        <v>53</v>
      </c>
      <c r="O628" s="3">
        <v>98</v>
      </c>
      <c r="P628" s="3">
        <v>23</v>
      </c>
      <c r="Q628" s="4">
        <v>5</v>
      </c>
      <c r="R628" s="3">
        <v>41</v>
      </c>
      <c r="S628" s="3">
        <v>84</v>
      </c>
      <c r="T628" s="7">
        <v>0.09</v>
      </c>
    </row>
    <row r="629" spans="1:20" x14ac:dyDescent="0.35">
      <c r="A629" s="5" t="s">
        <v>126</v>
      </c>
      <c r="B629" s="3" t="s">
        <v>127</v>
      </c>
      <c r="C629" s="3" t="s">
        <v>908</v>
      </c>
      <c r="D629" s="3" t="s">
        <v>2322</v>
      </c>
      <c r="E629" s="3" t="s">
        <v>21</v>
      </c>
      <c r="F629" s="3" t="s">
        <v>2323</v>
      </c>
      <c r="G629" s="3" t="s">
        <v>2324</v>
      </c>
      <c r="H629" s="43">
        <v>45347</v>
      </c>
      <c r="I629" s="43">
        <v>45623</v>
      </c>
      <c r="J629" s="47" t="str">
        <f>IF(GroDB3[[#This Row],[Last_Order_Date]]&lt;=GroDB3[[#This Row],[Date_Received]], "Yes", "No")</f>
        <v>No</v>
      </c>
      <c r="K629" s="43">
        <f>IF(GroDB3[[#This Row],[Column1]]="No",GroDB3[[#This Row],[Last_Order_Date]],GroDB3[[#This Row],[Date_Received]])</f>
        <v>45623</v>
      </c>
      <c r="L629" s="43">
        <f>IF(GroDB3[[#This Row],[Column1]]="No",GroDB3[[#This Row],[Date_Received]],GroDB3[[#This Row],[Last_Order_Date]])</f>
        <v>45347</v>
      </c>
      <c r="M629" s="43">
        <v>45493</v>
      </c>
      <c r="N629" s="3">
        <v>22</v>
      </c>
      <c r="O629" s="3">
        <v>89</v>
      </c>
      <c r="P629" s="3">
        <v>25</v>
      </c>
      <c r="Q629" s="4">
        <v>21</v>
      </c>
      <c r="R629" s="3">
        <v>30</v>
      </c>
      <c r="S629" s="3">
        <v>62</v>
      </c>
      <c r="T629" s="7">
        <v>-1.05</v>
      </c>
    </row>
    <row r="630" spans="1:20" x14ac:dyDescent="0.35">
      <c r="A630" s="5" t="s">
        <v>700</v>
      </c>
      <c r="B630" s="3" t="s">
        <v>18</v>
      </c>
      <c r="C630" s="3" t="s">
        <v>985</v>
      </c>
      <c r="D630" s="3" t="s">
        <v>2325</v>
      </c>
      <c r="E630" s="3" t="s">
        <v>21</v>
      </c>
      <c r="F630" s="3" t="s">
        <v>2326</v>
      </c>
      <c r="G630" s="3" t="s">
        <v>2327</v>
      </c>
      <c r="H630" s="43">
        <v>45348</v>
      </c>
      <c r="I630" s="43">
        <v>45548</v>
      </c>
      <c r="J630" s="47" t="str">
        <f>IF(GroDB3[[#This Row],[Last_Order_Date]]&lt;=GroDB3[[#This Row],[Date_Received]], "Yes", "No")</f>
        <v>No</v>
      </c>
      <c r="K630" s="43">
        <f>IF(GroDB3[[#This Row],[Column1]]="No",GroDB3[[#This Row],[Last_Order_Date]],GroDB3[[#This Row],[Date_Received]])</f>
        <v>45548</v>
      </c>
      <c r="L630" s="43">
        <f>IF(GroDB3[[#This Row],[Column1]]="No",GroDB3[[#This Row],[Date_Received]],GroDB3[[#This Row],[Last_Order_Date]])</f>
        <v>45348</v>
      </c>
      <c r="M630" s="43">
        <v>45566</v>
      </c>
      <c r="N630" s="3">
        <v>41</v>
      </c>
      <c r="O630" s="3">
        <v>29</v>
      </c>
      <c r="P630" s="3">
        <v>76</v>
      </c>
      <c r="Q630" s="4">
        <v>2.4</v>
      </c>
      <c r="R630" s="3">
        <v>59</v>
      </c>
      <c r="S630" s="3">
        <v>4</v>
      </c>
      <c r="T630" s="7">
        <v>-1.07</v>
      </c>
    </row>
    <row r="631" spans="1:20" x14ac:dyDescent="0.35">
      <c r="A631" s="5" t="s">
        <v>1016</v>
      </c>
      <c r="B631" s="3" t="s">
        <v>25</v>
      </c>
      <c r="C631" s="3" t="s">
        <v>2328</v>
      </c>
      <c r="D631" s="3" t="s">
        <v>2329</v>
      </c>
      <c r="E631" s="3" t="s">
        <v>56</v>
      </c>
      <c r="F631" s="3" t="s">
        <v>2330</v>
      </c>
      <c r="G631" s="3" t="s">
        <v>2331</v>
      </c>
      <c r="H631" s="43">
        <v>45348</v>
      </c>
      <c r="I631" s="43">
        <v>45538</v>
      </c>
      <c r="J631" s="47" t="str">
        <f>IF(GroDB3[[#This Row],[Last_Order_Date]]&lt;=GroDB3[[#This Row],[Date_Received]], "Yes", "No")</f>
        <v>No</v>
      </c>
      <c r="K631" s="43">
        <f>IF(GroDB3[[#This Row],[Column1]]="No",GroDB3[[#This Row],[Last_Order_Date]],GroDB3[[#This Row],[Date_Received]])</f>
        <v>45538</v>
      </c>
      <c r="L631" s="43">
        <f>IF(GroDB3[[#This Row],[Column1]]="No",GroDB3[[#This Row],[Date_Received]],GroDB3[[#This Row],[Last_Order_Date]])</f>
        <v>45348</v>
      </c>
      <c r="M631" s="43">
        <v>45592</v>
      </c>
      <c r="N631" s="3">
        <v>70</v>
      </c>
      <c r="O631" s="3">
        <v>96</v>
      </c>
      <c r="P631" s="3">
        <v>85</v>
      </c>
      <c r="Q631" s="4">
        <v>2.5</v>
      </c>
      <c r="R631" s="3">
        <v>34</v>
      </c>
      <c r="S631" s="3">
        <v>3</v>
      </c>
      <c r="T631" s="7">
        <v>0.93</v>
      </c>
    </row>
    <row r="632" spans="1:20" x14ac:dyDescent="0.35">
      <c r="A632" s="5" t="s">
        <v>470</v>
      </c>
      <c r="B632" s="3" t="s">
        <v>18</v>
      </c>
      <c r="C632" s="3" t="s">
        <v>2332</v>
      </c>
      <c r="D632" s="3" t="s">
        <v>2333</v>
      </c>
      <c r="E632" s="3" t="s">
        <v>28</v>
      </c>
      <c r="F632" s="3" t="s">
        <v>2334</v>
      </c>
      <c r="G632" s="3" t="s">
        <v>2335</v>
      </c>
      <c r="H632" s="43">
        <v>45348</v>
      </c>
      <c r="I632" s="43">
        <v>45519</v>
      </c>
      <c r="J632" s="47" t="str">
        <f>IF(GroDB3[[#This Row],[Last_Order_Date]]&lt;=GroDB3[[#This Row],[Date_Received]], "Yes", "No")</f>
        <v>No</v>
      </c>
      <c r="K632" s="43">
        <f>IF(GroDB3[[#This Row],[Column1]]="No",GroDB3[[#This Row],[Last_Order_Date]],GroDB3[[#This Row],[Date_Received]])</f>
        <v>45519</v>
      </c>
      <c r="L632" s="43">
        <f>IF(GroDB3[[#This Row],[Column1]]="No",GroDB3[[#This Row],[Date_Received]],GroDB3[[#This Row],[Last_Order_Date]])</f>
        <v>45348</v>
      </c>
      <c r="M632" s="43">
        <v>45357</v>
      </c>
      <c r="N632" s="3">
        <v>73</v>
      </c>
      <c r="O632" s="3">
        <v>90</v>
      </c>
      <c r="P632" s="3">
        <v>77</v>
      </c>
      <c r="Q632" s="4">
        <v>4</v>
      </c>
      <c r="R632" s="3">
        <v>75</v>
      </c>
      <c r="S632" s="3">
        <v>19</v>
      </c>
      <c r="T632" s="7">
        <v>0.91</v>
      </c>
    </row>
    <row r="633" spans="1:20" x14ac:dyDescent="0.35">
      <c r="A633" s="5" t="s">
        <v>248</v>
      </c>
      <c r="B633" s="3" t="s">
        <v>32</v>
      </c>
      <c r="C633" s="3" t="s">
        <v>434</v>
      </c>
      <c r="D633" s="3" t="s">
        <v>2336</v>
      </c>
      <c r="E633" s="3" t="s">
        <v>28</v>
      </c>
      <c r="F633" s="3" t="s">
        <v>2337</v>
      </c>
      <c r="G633" s="3" t="s">
        <v>2338</v>
      </c>
      <c r="H633" s="43">
        <v>45349</v>
      </c>
      <c r="I633" s="43">
        <v>45384</v>
      </c>
      <c r="J633" s="47" t="str">
        <f>IF(GroDB3[[#This Row],[Last_Order_Date]]&lt;=GroDB3[[#This Row],[Date_Received]], "Yes", "No")</f>
        <v>No</v>
      </c>
      <c r="K633" s="43">
        <f>IF(GroDB3[[#This Row],[Column1]]="No",GroDB3[[#This Row],[Last_Order_Date]],GroDB3[[#This Row],[Date_Received]])</f>
        <v>45384</v>
      </c>
      <c r="L633" s="43">
        <f>IF(GroDB3[[#This Row],[Column1]]="No",GroDB3[[#This Row],[Date_Received]],GroDB3[[#This Row],[Last_Order_Date]])</f>
        <v>45349</v>
      </c>
      <c r="M633" s="43">
        <v>45570</v>
      </c>
      <c r="N633" s="3">
        <v>94</v>
      </c>
      <c r="O633" s="3">
        <v>13</v>
      </c>
      <c r="P633" s="3">
        <v>15</v>
      </c>
      <c r="Q633" s="4">
        <v>7</v>
      </c>
      <c r="R633" s="3">
        <v>20</v>
      </c>
      <c r="S633" s="3">
        <v>24</v>
      </c>
      <c r="T633" s="7">
        <v>0.75</v>
      </c>
    </row>
    <row r="634" spans="1:20" x14ac:dyDescent="0.35">
      <c r="A634" s="5" t="s">
        <v>75</v>
      </c>
      <c r="B634" s="3" t="s">
        <v>32</v>
      </c>
      <c r="C634" s="3" t="s">
        <v>813</v>
      </c>
      <c r="D634" s="3" t="s">
        <v>2339</v>
      </c>
      <c r="E634" s="3" t="s">
        <v>56</v>
      </c>
      <c r="F634" s="3" t="s">
        <v>2340</v>
      </c>
      <c r="G634" s="3" t="s">
        <v>2341</v>
      </c>
      <c r="H634" s="43">
        <v>45349</v>
      </c>
      <c r="I634" s="43">
        <v>45567</v>
      </c>
      <c r="J634" s="47" t="str">
        <f>IF(GroDB3[[#This Row],[Last_Order_Date]]&lt;=GroDB3[[#This Row],[Date_Received]], "Yes", "No")</f>
        <v>No</v>
      </c>
      <c r="K634" s="43">
        <f>IF(GroDB3[[#This Row],[Column1]]="No",GroDB3[[#This Row],[Last_Order_Date]],GroDB3[[#This Row],[Date_Received]])</f>
        <v>45567</v>
      </c>
      <c r="L634" s="43">
        <f>IF(GroDB3[[#This Row],[Column1]]="No",GroDB3[[#This Row],[Date_Received]],GroDB3[[#This Row],[Last_Order_Date]])</f>
        <v>45349</v>
      </c>
      <c r="M634" s="43">
        <v>45411</v>
      </c>
      <c r="N634" s="3">
        <v>68</v>
      </c>
      <c r="O634" s="3">
        <v>60</v>
      </c>
      <c r="P634" s="3">
        <v>21</v>
      </c>
      <c r="Q634" s="4">
        <v>8.9</v>
      </c>
      <c r="R634" s="3">
        <v>79</v>
      </c>
      <c r="S634" s="3">
        <v>46</v>
      </c>
      <c r="T634" s="7">
        <v>-0.2</v>
      </c>
    </row>
    <row r="635" spans="1:20" x14ac:dyDescent="0.35">
      <c r="A635" s="5" t="s">
        <v>1445</v>
      </c>
      <c r="B635" s="3" t="s">
        <v>18</v>
      </c>
      <c r="C635" s="3" t="s">
        <v>1253</v>
      </c>
      <c r="D635" s="3" t="s">
        <v>2342</v>
      </c>
      <c r="E635" s="3" t="s">
        <v>56</v>
      </c>
      <c r="F635" s="3" t="s">
        <v>2343</v>
      </c>
      <c r="G635" s="3" t="s">
        <v>2344</v>
      </c>
      <c r="H635" s="43">
        <v>45350</v>
      </c>
      <c r="I635" s="43">
        <v>45465</v>
      </c>
      <c r="J635" s="47" t="str">
        <f>IF(GroDB3[[#This Row],[Last_Order_Date]]&lt;=GroDB3[[#This Row],[Date_Received]], "Yes", "No")</f>
        <v>No</v>
      </c>
      <c r="K635" s="43">
        <f>IF(GroDB3[[#This Row],[Column1]]="No",GroDB3[[#This Row],[Last_Order_Date]],GroDB3[[#This Row],[Date_Received]])</f>
        <v>45465</v>
      </c>
      <c r="L635" s="43">
        <f>IF(GroDB3[[#This Row],[Column1]]="No",GroDB3[[#This Row],[Date_Received]],GroDB3[[#This Row],[Last_Order_Date]])</f>
        <v>45350</v>
      </c>
      <c r="M635" s="43">
        <v>45694</v>
      </c>
      <c r="N635" s="3">
        <v>66</v>
      </c>
      <c r="O635" s="3">
        <v>40</v>
      </c>
      <c r="P635" s="3">
        <v>96</v>
      </c>
      <c r="Q635" s="4">
        <v>10</v>
      </c>
      <c r="R635" s="3">
        <v>24</v>
      </c>
      <c r="S635" s="3">
        <v>61</v>
      </c>
      <c r="T635" s="7">
        <v>0.42</v>
      </c>
    </row>
    <row r="636" spans="1:20" x14ac:dyDescent="0.35">
      <c r="A636" s="5" t="s">
        <v>1085</v>
      </c>
      <c r="B636" s="3" t="s">
        <v>32</v>
      </c>
      <c r="C636" s="3" t="s">
        <v>128</v>
      </c>
      <c r="D636" s="3" t="s">
        <v>2345</v>
      </c>
      <c r="E636" s="3" t="s">
        <v>28</v>
      </c>
      <c r="F636" s="3" t="s">
        <v>2346</v>
      </c>
      <c r="G636" s="3" t="s">
        <v>2347</v>
      </c>
      <c r="H636" s="43">
        <v>45350</v>
      </c>
      <c r="I636" s="43">
        <v>45427</v>
      </c>
      <c r="J636" s="47" t="str">
        <f>IF(GroDB3[[#This Row],[Last_Order_Date]]&lt;=GroDB3[[#This Row],[Date_Received]], "Yes", "No")</f>
        <v>No</v>
      </c>
      <c r="K636" s="43">
        <f>IF(GroDB3[[#This Row],[Column1]]="No",GroDB3[[#This Row],[Last_Order_Date]],GroDB3[[#This Row],[Date_Received]])</f>
        <v>45427</v>
      </c>
      <c r="L636" s="43">
        <f>IF(GroDB3[[#This Row],[Column1]]="No",GroDB3[[#This Row],[Date_Received]],GroDB3[[#This Row],[Last_Order_Date]])</f>
        <v>45350</v>
      </c>
      <c r="M636" s="43">
        <v>45692</v>
      </c>
      <c r="N636" s="3">
        <v>93</v>
      </c>
      <c r="O636" s="3">
        <v>8</v>
      </c>
      <c r="P636" s="3">
        <v>51</v>
      </c>
      <c r="Q636" s="4">
        <v>8</v>
      </c>
      <c r="R636" s="3">
        <v>93</v>
      </c>
      <c r="S636" s="3">
        <v>85</v>
      </c>
      <c r="T636" s="7">
        <v>-1.54</v>
      </c>
    </row>
    <row r="637" spans="1:20" x14ac:dyDescent="0.35">
      <c r="A637" s="5" t="s">
        <v>106</v>
      </c>
      <c r="B637" s="3" t="s">
        <v>32</v>
      </c>
      <c r="C637" s="3" t="s">
        <v>1568</v>
      </c>
      <c r="D637" s="3" t="s">
        <v>2348</v>
      </c>
      <c r="E637" s="3" t="s">
        <v>28</v>
      </c>
      <c r="F637" s="3" t="s">
        <v>2349</v>
      </c>
      <c r="G637" s="3" t="s">
        <v>2350</v>
      </c>
      <c r="H637" s="43">
        <v>45350</v>
      </c>
      <c r="I637" s="43">
        <v>45490</v>
      </c>
      <c r="J637" s="47" t="str">
        <f>IF(GroDB3[[#This Row],[Last_Order_Date]]&lt;=GroDB3[[#This Row],[Date_Received]], "Yes", "No")</f>
        <v>No</v>
      </c>
      <c r="K637" s="43">
        <f>IF(GroDB3[[#This Row],[Column1]]="No",GroDB3[[#This Row],[Last_Order_Date]],GroDB3[[#This Row],[Date_Received]])</f>
        <v>45490</v>
      </c>
      <c r="L637" s="43">
        <f>IF(GroDB3[[#This Row],[Column1]]="No",GroDB3[[#This Row],[Date_Received]],GroDB3[[#This Row],[Last_Order_Date]])</f>
        <v>45350</v>
      </c>
      <c r="M637" s="43">
        <v>45625</v>
      </c>
      <c r="N637" s="3">
        <v>56</v>
      </c>
      <c r="O637" s="3">
        <v>97</v>
      </c>
      <c r="P637" s="3">
        <v>29</v>
      </c>
      <c r="Q637" s="4">
        <v>2.5</v>
      </c>
      <c r="R637" s="3">
        <v>82</v>
      </c>
      <c r="S637" s="3">
        <v>100</v>
      </c>
      <c r="T637" s="7">
        <v>0.09</v>
      </c>
    </row>
    <row r="638" spans="1:20" x14ac:dyDescent="0.35">
      <c r="A638" s="5" t="s">
        <v>1369</v>
      </c>
      <c r="B638" s="3" t="s">
        <v>32</v>
      </c>
      <c r="C638" s="3" t="s">
        <v>818</v>
      </c>
      <c r="D638" s="3" t="s">
        <v>2351</v>
      </c>
      <c r="E638" s="3" t="s">
        <v>56</v>
      </c>
      <c r="F638" s="3" t="s">
        <v>2352</v>
      </c>
      <c r="G638" s="3" t="s">
        <v>2353</v>
      </c>
      <c r="H638" s="43">
        <v>45350</v>
      </c>
      <c r="I638" s="43">
        <v>45463</v>
      </c>
      <c r="J638" s="47" t="str">
        <f>IF(GroDB3[[#This Row],[Last_Order_Date]]&lt;=GroDB3[[#This Row],[Date_Received]], "Yes", "No")</f>
        <v>No</v>
      </c>
      <c r="K638" s="43">
        <f>IF(GroDB3[[#This Row],[Column1]]="No",GroDB3[[#This Row],[Last_Order_Date]],GroDB3[[#This Row],[Date_Received]])</f>
        <v>45463</v>
      </c>
      <c r="L638" s="43">
        <f>IF(GroDB3[[#This Row],[Column1]]="No",GroDB3[[#This Row],[Date_Received]],GroDB3[[#This Row],[Last_Order_Date]])</f>
        <v>45350</v>
      </c>
      <c r="M638" s="43">
        <v>45678</v>
      </c>
      <c r="N638" s="3">
        <v>82</v>
      </c>
      <c r="O638" s="3">
        <v>12</v>
      </c>
      <c r="P638" s="3">
        <v>94</v>
      </c>
      <c r="Q638" s="4">
        <v>4.0999999999999996</v>
      </c>
      <c r="R638" s="3">
        <v>69</v>
      </c>
      <c r="S638" s="3">
        <v>93</v>
      </c>
      <c r="T638" s="7">
        <v>-0.22</v>
      </c>
    </row>
    <row r="639" spans="1:20" x14ac:dyDescent="0.35">
      <c r="A639" s="5" t="s">
        <v>320</v>
      </c>
      <c r="B639" s="3" t="s">
        <v>18</v>
      </c>
      <c r="C639" s="3" t="s">
        <v>2206</v>
      </c>
      <c r="D639" s="3" t="s">
        <v>2354</v>
      </c>
      <c r="E639" s="3" t="s">
        <v>56</v>
      </c>
      <c r="F639" s="3" t="s">
        <v>2355</v>
      </c>
      <c r="G639" s="3" t="s">
        <v>2356</v>
      </c>
      <c r="H639" s="43">
        <v>45350</v>
      </c>
      <c r="I639" s="43">
        <v>45482</v>
      </c>
      <c r="J639" s="47" t="str">
        <f>IF(GroDB3[[#This Row],[Last_Order_Date]]&lt;=GroDB3[[#This Row],[Date_Received]], "Yes", "No")</f>
        <v>No</v>
      </c>
      <c r="K639" s="43">
        <f>IF(GroDB3[[#This Row],[Column1]]="No",GroDB3[[#This Row],[Last_Order_Date]],GroDB3[[#This Row],[Date_Received]])</f>
        <v>45482</v>
      </c>
      <c r="L639" s="43">
        <f>IF(GroDB3[[#This Row],[Column1]]="No",GroDB3[[#This Row],[Date_Received]],GroDB3[[#This Row],[Last_Order_Date]])</f>
        <v>45350</v>
      </c>
      <c r="M639" s="43">
        <v>45620</v>
      </c>
      <c r="N639" s="3">
        <v>11</v>
      </c>
      <c r="O639" s="3">
        <v>58</v>
      </c>
      <c r="P639" s="3">
        <v>32</v>
      </c>
      <c r="Q639" s="4">
        <v>4</v>
      </c>
      <c r="R639" s="3">
        <v>99</v>
      </c>
      <c r="S639" s="3">
        <v>94</v>
      </c>
      <c r="T639" s="7">
        <v>-0.35</v>
      </c>
    </row>
    <row r="640" spans="1:20" x14ac:dyDescent="0.35">
      <c r="A640" s="5" t="s">
        <v>198</v>
      </c>
      <c r="B640" s="3" t="s">
        <v>53</v>
      </c>
      <c r="C640" s="3" t="s">
        <v>972</v>
      </c>
      <c r="D640" s="3" t="s">
        <v>2357</v>
      </c>
      <c r="E640" s="3" t="s">
        <v>56</v>
      </c>
      <c r="F640" s="3" t="s">
        <v>2358</v>
      </c>
      <c r="G640" s="3" t="s">
        <v>2359</v>
      </c>
      <c r="H640" s="43">
        <v>45351</v>
      </c>
      <c r="I640" s="43">
        <v>45447</v>
      </c>
      <c r="J640" s="47" t="str">
        <f>IF(GroDB3[[#This Row],[Last_Order_Date]]&lt;=GroDB3[[#This Row],[Date_Received]], "Yes", "No")</f>
        <v>No</v>
      </c>
      <c r="K640" s="43">
        <f>IF(GroDB3[[#This Row],[Column1]]="No",GroDB3[[#This Row],[Last_Order_Date]],GroDB3[[#This Row],[Date_Received]])</f>
        <v>45447</v>
      </c>
      <c r="L640" s="43">
        <f>IF(GroDB3[[#This Row],[Column1]]="No",GroDB3[[#This Row],[Date_Received]],GroDB3[[#This Row],[Last_Order_Date]])</f>
        <v>45351</v>
      </c>
      <c r="M640" s="43">
        <v>45617</v>
      </c>
      <c r="N640" s="3">
        <v>31</v>
      </c>
      <c r="O640" s="3">
        <v>32</v>
      </c>
      <c r="P640" s="3">
        <v>69</v>
      </c>
      <c r="Q640" s="4">
        <v>2</v>
      </c>
      <c r="R640" s="3">
        <v>38</v>
      </c>
      <c r="S640" s="3">
        <v>23</v>
      </c>
      <c r="T640" s="7">
        <v>0.05</v>
      </c>
    </row>
    <row r="641" spans="1:20" x14ac:dyDescent="0.35">
      <c r="A641" s="5" t="s">
        <v>116</v>
      </c>
      <c r="B641" s="3" t="s">
        <v>18</v>
      </c>
      <c r="C641" s="3" t="s">
        <v>1743</v>
      </c>
      <c r="D641" s="3" t="s">
        <v>2360</v>
      </c>
      <c r="E641" s="3" t="s">
        <v>28</v>
      </c>
      <c r="F641" s="3" t="s">
        <v>2361</v>
      </c>
      <c r="G641" s="3" t="s">
        <v>2362</v>
      </c>
      <c r="H641" s="43">
        <v>45351</v>
      </c>
      <c r="I641" s="43">
        <v>45694</v>
      </c>
      <c r="J641" s="47" t="str">
        <f>IF(GroDB3[[#This Row],[Last_Order_Date]]&lt;=GroDB3[[#This Row],[Date_Received]], "Yes", "No")</f>
        <v>No</v>
      </c>
      <c r="K641" s="43">
        <f>IF(GroDB3[[#This Row],[Column1]]="No",GroDB3[[#This Row],[Last_Order_Date]],GroDB3[[#This Row],[Date_Received]])</f>
        <v>45694</v>
      </c>
      <c r="L641" s="43">
        <f>IF(GroDB3[[#This Row],[Column1]]="No",GroDB3[[#This Row],[Date_Received]],GroDB3[[#This Row],[Last_Order_Date]])</f>
        <v>45351</v>
      </c>
      <c r="M641" s="43">
        <v>45636</v>
      </c>
      <c r="N641" s="3">
        <v>97</v>
      </c>
      <c r="O641" s="3">
        <v>20</v>
      </c>
      <c r="P641" s="3">
        <v>72</v>
      </c>
      <c r="Q641" s="4">
        <v>3</v>
      </c>
      <c r="R641" s="3">
        <v>29</v>
      </c>
      <c r="S641" s="3">
        <v>59</v>
      </c>
      <c r="T641" s="7">
        <v>0.39</v>
      </c>
    </row>
    <row r="642" spans="1:20" x14ac:dyDescent="0.35">
      <c r="A642" s="5" t="s">
        <v>220</v>
      </c>
      <c r="B642" s="3" t="s">
        <v>127</v>
      </c>
      <c r="C642" s="3" t="s">
        <v>2363</v>
      </c>
      <c r="D642" s="3" t="s">
        <v>2364</v>
      </c>
      <c r="E642" s="3" t="s">
        <v>56</v>
      </c>
      <c r="F642" s="3" t="s">
        <v>2365</v>
      </c>
      <c r="G642" s="3" t="s">
        <v>2366</v>
      </c>
      <c r="H642" s="43">
        <v>45351</v>
      </c>
      <c r="I642" s="43">
        <v>45691</v>
      </c>
      <c r="J642" s="47" t="str">
        <f>IF(GroDB3[[#This Row],[Last_Order_Date]]&lt;=GroDB3[[#This Row],[Date_Received]], "Yes", "No")</f>
        <v>No</v>
      </c>
      <c r="K642" s="43">
        <f>IF(GroDB3[[#This Row],[Column1]]="No",GroDB3[[#This Row],[Last_Order_Date]],GroDB3[[#This Row],[Date_Received]])</f>
        <v>45691</v>
      </c>
      <c r="L642" s="43">
        <f>IF(GroDB3[[#This Row],[Column1]]="No",GroDB3[[#This Row],[Date_Received]],GroDB3[[#This Row],[Last_Order_Date]])</f>
        <v>45351</v>
      </c>
      <c r="M642" s="43">
        <v>45388</v>
      </c>
      <c r="N642" s="3">
        <v>74</v>
      </c>
      <c r="O642" s="3">
        <v>2</v>
      </c>
      <c r="P642" s="3">
        <v>45</v>
      </c>
      <c r="Q642" s="4">
        <v>10</v>
      </c>
      <c r="R642" s="3">
        <v>37</v>
      </c>
      <c r="S642" s="3">
        <v>99</v>
      </c>
      <c r="T642" s="7">
        <v>-1.03</v>
      </c>
    </row>
    <row r="643" spans="1:20" x14ac:dyDescent="0.35">
      <c r="A643" s="5" t="s">
        <v>686</v>
      </c>
      <c r="B643" s="3" t="s">
        <v>18</v>
      </c>
      <c r="C643" s="3" t="s">
        <v>207</v>
      </c>
      <c r="D643" s="3" t="s">
        <v>2367</v>
      </c>
      <c r="E643" s="3" t="s">
        <v>56</v>
      </c>
      <c r="F643" s="3" t="s">
        <v>2368</v>
      </c>
      <c r="G643" s="3" t="s">
        <v>2369</v>
      </c>
      <c r="H643" s="43">
        <v>45364</v>
      </c>
      <c r="I643" s="43">
        <v>45361</v>
      </c>
      <c r="J643" s="47" t="str">
        <f>IF(GroDB3[[#This Row],[Last_Order_Date]]&lt;=GroDB3[[#This Row],[Date_Received]], "Yes", "No")</f>
        <v>Yes</v>
      </c>
      <c r="K643" s="43">
        <f>IF(GroDB3[[#This Row],[Column1]]="No",GroDB3[[#This Row],[Last_Order_Date]],GroDB3[[#This Row],[Date_Received]])</f>
        <v>45364</v>
      </c>
      <c r="L643" s="43">
        <f>IF(GroDB3[[#This Row],[Column1]]="No",GroDB3[[#This Row],[Date_Received]],GroDB3[[#This Row],[Last_Order_Date]])</f>
        <v>45361</v>
      </c>
      <c r="M643" s="43">
        <v>45374</v>
      </c>
      <c r="N643" s="3">
        <v>44</v>
      </c>
      <c r="O643" s="3">
        <v>67</v>
      </c>
      <c r="P643" s="3">
        <v>15</v>
      </c>
      <c r="Q643" s="4">
        <v>2.5</v>
      </c>
      <c r="R643" s="3">
        <v>82</v>
      </c>
      <c r="S643" s="3">
        <v>51</v>
      </c>
      <c r="T643" s="7">
        <v>-1.68</v>
      </c>
    </row>
    <row r="644" spans="1:20" x14ac:dyDescent="0.35">
      <c r="A644" s="5" t="s">
        <v>42</v>
      </c>
      <c r="B644" s="3" t="s">
        <v>18</v>
      </c>
      <c r="C644" s="3" t="s">
        <v>1073</v>
      </c>
      <c r="D644" s="3" t="s">
        <v>2370</v>
      </c>
      <c r="E644" s="3" t="s">
        <v>56</v>
      </c>
      <c r="F644" s="3" t="s">
        <v>2371</v>
      </c>
      <c r="G644" s="3" t="s">
        <v>2372</v>
      </c>
      <c r="H644" s="43">
        <v>45364</v>
      </c>
      <c r="I644" s="43">
        <v>45669</v>
      </c>
      <c r="J644" s="47" t="str">
        <f>IF(GroDB3[[#This Row],[Last_Order_Date]]&lt;=GroDB3[[#This Row],[Date_Received]], "Yes", "No")</f>
        <v>No</v>
      </c>
      <c r="K644" s="43">
        <f>IF(GroDB3[[#This Row],[Column1]]="No",GroDB3[[#This Row],[Last_Order_Date]],GroDB3[[#This Row],[Date_Received]])</f>
        <v>45669</v>
      </c>
      <c r="L644" s="43">
        <f>IF(GroDB3[[#This Row],[Column1]]="No",GroDB3[[#This Row],[Date_Received]],GroDB3[[#This Row],[Last_Order_Date]])</f>
        <v>45364</v>
      </c>
      <c r="M644" s="43">
        <v>45457</v>
      </c>
      <c r="N644" s="3">
        <v>33</v>
      </c>
      <c r="O644" s="3">
        <v>4</v>
      </c>
      <c r="P644" s="3">
        <v>31</v>
      </c>
      <c r="Q644" s="4">
        <v>7</v>
      </c>
      <c r="R644" s="3">
        <v>46</v>
      </c>
      <c r="S644" s="3">
        <v>92</v>
      </c>
      <c r="T644" s="7">
        <v>0.38</v>
      </c>
    </row>
    <row r="645" spans="1:20" x14ac:dyDescent="0.35">
      <c r="A645" s="5" t="s">
        <v>420</v>
      </c>
      <c r="B645" s="3" t="s">
        <v>60</v>
      </c>
      <c r="C645" s="3" t="s">
        <v>189</v>
      </c>
      <c r="D645" s="3" t="s">
        <v>2373</v>
      </c>
      <c r="E645" s="3" t="s">
        <v>28</v>
      </c>
      <c r="F645" s="3" t="s">
        <v>2374</v>
      </c>
      <c r="G645" s="3" t="s">
        <v>2375</v>
      </c>
      <c r="H645" s="43">
        <v>45365</v>
      </c>
      <c r="I645" s="43">
        <v>45654</v>
      </c>
      <c r="J645" s="47" t="str">
        <f>IF(GroDB3[[#This Row],[Last_Order_Date]]&lt;=GroDB3[[#This Row],[Date_Received]], "Yes", "No")</f>
        <v>No</v>
      </c>
      <c r="K645" s="43">
        <f>IF(GroDB3[[#This Row],[Column1]]="No",GroDB3[[#This Row],[Last_Order_Date]],GroDB3[[#This Row],[Date_Received]])</f>
        <v>45654</v>
      </c>
      <c r="L645" s="43">
        <f>IF(GroDB3[[#This Row],[Column1]]="No",GroDB3[[#This Row],[Date_Received]],GroDB3[[#This Row],[Last_Order_Date]])</f>
        <v>45365</v>
      </c>
      <c r="M645" s="43">
        <v>45367</v>
      </c>
      <c r="N645" s="3">
        <v>88</v>
      </c>
      <c r="O645" s="3">
        <v>71</v>
      </c>
      <c r="P645" s="3">
        <v>9</v>
      </c>
      <c r="Q645" s="4">
        <v>18</v>
      </c>
      <c r="R645" s="3">
        <v>28</v>
      </c>
      <c r="S645" s="3">
        <v>14</v>
      </c>
      <c r="T645" s="7">
        <v>-1</v>
      </c>
    </row>
    <row r="646" spans="1:20" x14ac:dyDescent="0.35">
      <c r="A646" s="5" t="s">
        <v>976</v>
      </c>
      <c r="B646" s="3" t="s">
        <v>60</v>
      </c>
      <c r="C646" s="3" t="s">
        <v>429</v>
      </c>
      <c r="D646" s="3" t="s">
        <v>2376</v>
      </c>
      <c r="E646" s="3" t="s">
        <v>21</v>
      </c>
      <c r="F646" s="3" t="s">
        <v>2377</v>
      </c>
      <c r="G646" s="3" t="s">
        <v>2378</v>
      </c>
      <c r="H646" s="43">
        <v>45365</v>
      </c>
      <c r="I646" s="43">
        <v>45584</v>
      </c>
      <c r="J646" s="47" t="str">
        <f>IF(GroDB3[[#This Row],[Last_Order_Date]]&lt;=GroDB3[[#This Row],[Date_Received]], "Yes", "No")</f>
        <v>No</v>
      </c>
      <c r="K646" s="43">
        <f>IF(GroDB3[[#This Row],[Column1]]="No",GroDB3[[#This Row],[Last_Order_Date]],GroDB3[[#This Row],[Date_Received]])</f>
        <v>45584</v>
      </c>
      <c r="L646" s="43">
        <f>IF(GroDB3[[#This Row],[Column1]]="No",GroDB3[[#This Row],[Date_Received]],GroDB3[[#This Row],[Last_Order_Date]])</f>
        <v>45365</v>
      </c>
      <c r="M646" s="43">
        <v>45584</v>
      </c>
      <c r="N646" s="3">
        <v>14</v>
      </c>
      <c r="O646" s="3">
        <v>67</v>
      </c>
      <c r="P646" s="3">
        <v>65</v>
      </c>
      <c r="Q646" s="4">
        <v>20</v>
      </c>
      <c r="R646" s="3">
        <v>71</v>
      </c>
      <c r="S646" s="3">
        <v>94</v>
      </c>
      <c r="T646" s="7">
        <v>0.5</v>
      </c>
    </row>
    <row r="647" spans="1:20" x14ac:dyDescent="0.35">
      <c r="A647" s="5" t="s">
        <v>126</v>
      </c>
      <c r="B647" s="3" t="s">
        <v>127</v>
      </c>
      <c r="C647" s="3" t="s">
        <v>1000</v>
      </c>
      <c r="D647" s="3" t="s">
        <v>2379</v>
      </c>
      <c r="E647" s="3" t="s">
        <v>28</v>
      </c>
      <c r="F647" s="3" t="s">
        <v>2380</v>
      </c>
      <c r="G647" s="3" t="s">
        <v>2381</v>
      </c>
      <c r="H647" s="43">
        <v>45366</v>
      </c>
      <c r="I647" s="43">
        <v>45706</v>
      </c>
      <c r="J647" s="47" t="str">
        <f>IF(GroDB3[[#This Row],[Last_Order_Date]]&lt;=GroDB3[[#This Row],[Date_Received]], "Yes", "No")</f>
        <v>No</v>
      </c>
      <c r="K647" s="43">
        <f>IF(GroDB3[[#This Row],[Column1]]="No",GroDB3[[#This Row],[Last_Order_Date]],GroDB3[[#This Row],[Date_Received]])</f>
        <v>45706</v>
      </c>
      <c r="L647" s="43">
        <f>IF(GroDB3[[#This Row],[Column1]]="No",GroDB3[[#This Row],[Date_Received]],GroDB3[[#This Row],[Last_Order_Date]])</f>
        <v>45366</v>
      </c>
      <c r="M647" s="43">
        <v>45381</v>
      </c>
      <c r="N647" s="3">
        <v>36</v>
      </c>
      <c r="O647" s="3">
        <v>64</v>
      </c>
      <c r="P647" s="3">
        <v>63</v>
      </c>
      <c r="Q647" s="4">
        <v>20</v>
      </c>
      <c r="R647" s="3">
        <v>91</v>
      </c>
      <c r="S647" s="3">
        <v>35</v>
      </c>
      <c r="T647" s="7">
        <v>-0.32</v>
      </c>
    </row>
    <row r="648" spans="1:20" x14ac:dyDescent="0.35">
      <c r="A648" s="5" t="s">
        <v>170</v>
      </c>
      <c r="B648" s="3" t="s">
        <v>53</v>
      </c>
      <c r="C648" s="3" t="s">
        <v>81</v>
      </c>
      <c r="D648" s="3" t="s">
        <v>2382</v>
      </c>
      <c r="E648" s="3" t="s">
        <v>56</v>
      </c>
      <c r="F648" s="3" t="s">
        <v>2383</v>
      </c>
      <c r="G648" s="3" t="s">
        <v>2384</v>
      </c>
      <c r="H648" s="43">
        <v>45366</v>
      </c>
      <c r="I648" s="43">
        <v>45477</v>
      </c>
      <c r="J648" s="47" t="str">
        <f>IF(GroDB3[[#This Row],[Last_Order_Date]]&lt;=GroDB3[[#This Row],[Date_Received]], "Yes", "No")</f>
        <v>No</v>
      </c>
      <c r="K648" s="43">
        <f>IF(GroDB3[[#This Row],[Column1]]="No",GroDB3[[#This Row],[Last_Order_Date]],GroDB3[[#This Row],[Date_Received]])</f>
        <v>45477</v>
      </c>
      <c r="L648" s="43">
        <f>IF(GroDB3[[#This Row],[Column1]]="No",GroDB3[[#This Row],[Date_Received]],GroDB3[[#This Row],[Last_Order_Date]])</f>
        <v>45366</v>
      </c>
      <c r="M648" s="43">
        <v>45557</v>
      </c>
      <c r="N648" s="3">
        <v>56</v>
      </c>
      <c r="O648" s="3">
        <v>4</v>
      </c>
      <c r="P648" s="3">
        <v>74</v>
      </c>
      <c r="Q648" s="4">
        <v>4.5</v>
      </c>
      <c r="R648" s="3">
        <v>61</v>
      </c>
      <c r="S648" s="3">
        <v>73</v>
      </c>
      <c r="T648" s="7">
        <v>0.62</v>
      </c>
    </row>
    <row r="649" spans="1:20" x14ac:dyDescent="0.35">
      <c r="A649" s="5" t="s">
        <v>146</v>
      </c>
      <c r="B649" s="3" t="s">
        <v>53</v>
      </c>
      <c r="C649" s="3" t="s">
        <v>1712</v>
      </c>
      <c r="D649" s="3" t="s">
        <v>2385</v>
      </c>
      <c r="E649" s="3" t="s">
        <v>21</v>
      </c>
      <c r="F649" s="3" t="s">
        <v>2386</v>
      </c>
      <c r="G649" s="3" t="s">
        <v>2387</v>
      </c>
      <c r="H649" s="43">
        <v>45366</v>
      </c>
      <c r="I649" s="43">
        <v>45527</v>
      </c>
      <c r="J649" s="47" t="str">
        <f>IF(GroDB3[[#This Row],[Last_Order_Date]]&lt;=GroDB3[[#This Row],[Date_Received]], "Yes", "No")</f>
        <v>No</v>
      </c>
      <c r="K649" s="43">
        <f>IF(GroDB3[[#This Row],[Column1]]="No",GroDB3[[#This Row],[Last_Order_Date]],GroDB3[[#This Row],[Date_Received]])</f>
        <v>45527</v>
      </c>
      <c r="L649" s="43">
        <f>IF(GroDB3[[#This Row],[Column1]]="No",GroDB3[[#This Row],[Date_Received]],GroDB3[[#This Row],[Last_Order_Date]])</f>
        <v>45366</v>
      </c>
      <c r="M649" s="43">
        <v>45509</v>
      </c>
      <c r="N649" s="3">
        <v>44</v>
      </c>
      <c r="O649" s="3">
        <v>26</v>
      </c>
      <c r="P649" s="3">
        <v>60</v>
      </c>
      <c r="Q649" s="4">
        <v>4.75</v>
      </c>
      <c r="R649" s="3">
        <v>63</v>
      </c>
      <c r="S649" s="3">
        <v>59</v>
      </c>
      <c r="T649" s="7">
        <v>-0.2</v>
      </c>
    </row>
    <row r="650" spans="1:20" x14ac:dyDescent="0.35">
      <c r="A650" s="5" t="s">
        <v>146</v>
      </c>
      <c r="B650" s="3" t="s">
        <v>53</v>
      </c>
      <c r="C650" s="3" t="s">
        <v>550</v>
      </c>
      <c r="D650" s="3" t="s">
        <v>2388</v>
      </c>
      <c r="E650" s="3" t="s">
        <v>21</v>
      </c>
      <c r="F650" s="3" t="s">
        <v>2389</v>
      </c>
      <c r="G650" s="3" t="s">
        <v>2390</v>
      </c>
      <c r="H650" s="43">
        <v>45366</v>
      </c>
      <c r="I650" s="43">
        <v>45540</v>
      </c>
      <c r="J650" s="47" t="str">
        <f>IF(GroDB3[[#This Row],[Last_Order_Date]]&lt;=GroDB3[[#This Row],[Date_Received]], "Yes", "No")</f>
        <v>No</v>
      </c>
      <c r="K650" s="43">
        <f>IF(GroDB3[[#This Row],[Column1]]="No",GroDB3[[#This Row],[Last_Order_Date]],GroDB3[[#This Row],[Date_Received]])</f>
        <v>45540</v>
      </c>
      <c r="L650" s="43">
        <f>IF(GroDB3[[#This Row],[Column1]]="No",GroDB3[[#This Row],[Date_Received]],GroDB3[[#This Row],[Last_Order_Date]])</f>
        <v>45366</v>
      </c>
      <c r="M650" s="43">
        <v>45399</v>
      </c>
      <c r="N650" s="3">
        <v>33</v>
      </c>
      <c r="O650" s="3">
        <v>44</v>
      </c>
      <c r="P650" s="3">
        <v>89</v>
      </c>
      <c r="Q650" s="4">
        <v>4.75</v>
      </c>
      <c r="R650" s="3">
        <v>93</v>
      </c>
      <c r="S650" s="3">
        <v>19</v>
      </c>
      <c r="T650" s="7">
        <v>0.06</v>
      </c>
    </row>
    <row r="651" spans="1:20" x14ac:dyDescent="0.35">
      <c r="A651" s="5" t="s">
        <v>1202</v>
      </c>
      <c r="B651" s="3" t="s">
        <v>18</v>
      </c>
      <c r="C651" s="3" t="s">
        <v>996</v>
      </c>
      <c r="D651" s="3" t="s">
        <v>2391</v>
      </c>
      <c r="E651" s="3" t="s">
        <v>21</v>
      </c>
      <c r="F651" s="3" t="s">
        <v>2392</v>
      </c>
      <c r="G651" s="3" t="s">
        <v>2393</v>
      </c>
      <c r="H651" s="43">
        <v>45367</v>
      </c>
      <c r="I651" s="43">
        <v>45670</v>
      </c>
      <c r="J651" s="47" t="str">
        <f>IF(GroDB3[[#This Row],[Last_Order_Date]]&lt;=GroDB3[[#This Row],[Date_Received]], "Yes", "No")</f>
        <v>No</v>
      </c>
      <c r="K651" s="43">
        <f>IF(GroDB3[[#This Row],[Column1]]="No",GroDB3[[#This Row],[Last_Order_Date]],GroDB3[[#This Row],[Date_Received]])</f>
        <v>45670</v>
      </c>
      <c r="L651" s="43">
        <f>IF(GroDB3[[#This Row],[Column1]]="No",GroDB3[[#This Row],[Date_Received]],GroDB3[[#This Row],[Last_Order_Date]])</f>
        <v>45367</v>
      </c>
      <c r="M651" s="43">
        <v>45554</v>
      </c>
      <c r="N651" s="3">
        <v>53</v>
      </c>
      <c r="O651" s="3">
        <v>41</v>
      </c>
      <c r="P651" s="3">
        <v>30</v>
      </c>
      <c r="Q651" s="4">
        <v>3</v>
      </c>
      <c r="R651" s="3">
        <v>24</v>
      </c>
      <c r="S651" s="3">
        <v>77</v>
      </c>
      <c r="T651" s="7">
        <v>0.8</v>
      </c>
    </row>
    <row r="652" spans="1:20" x14ac:dyDescent="0.35">
      <c r="A652" s="5" t="s">
        <v>707</v>
      </c>
      <c r="B652" s="3" t="s">
        <v>25</v>
      </c>
      <c r="C652" s="3" t="s">
        <v>1328</v>
      </c>
      <c r="D652" s="3" t="s">
        <v>2394</v>
      </c>
      <c r="E652" s="3" t="s">
        <v>21</v>
      </c>
      <c r="F652" s="3" t="s">
        <v>2395</v>
      </c>
      <c r="G652" s="3" t="s">
        <v>2396</v>
      </c>
      <c r="H652" s="43">
        <v>45367</v>
      </c>
      <c r="I652" s="43">
        <v>45416</v>
      </c>
      <c r="J652" s="47" t="str">
        <f>IF(GroDB3[[#This Row],[Last_Order_Date]]&lt;=GroDB3[[#This Row],[Date_Received]], "Yes", "No")</f>
        <v>No</v>
      </c>
      <c r="K652" s="43">
        <f>IF(GroDB3[[#This Row],[Column1]]="No",GroDB3[[#This Row],[Last_Order_Date]],GroDB3[[#This Row],[Date_Received]])</f>
        <v>45416</v>
      </c>
      <c r="L652" s="43">
        <f>IF(GroDB3[[#This Row],[Column1]]="No",GroDB3[[#This Row],[Date_Received]],GroDB3[[#This Row],[Last_Order_Date]])</f>
        <v>45367</v>
      </c>
      <c r="M652" s="43">
        <v>45622</v>
      </c>
      <c r="N652" s="3">
        <v>96</v>
      </c>
      <c r="O652" s="3">
        <v>51</v>
      </c>
      <c r="P652" s="3">
        <v>40</v>
      </c>
      <c r="Q652" s="4">
        <v>2.2999999999999998</v>
      </c>
      <c r="R652" s="3">
        <v>61</v>
      </c>
      <c r="S652" s="3">
        <v>4</v>
      </c>
      <c r="T652" s="7">
        <v>-2.21</v>
      </c>
    </row>
    <row r="653" spans="1:20" x14ac:dyDescent="0.35">
      <c r="A653" s="5" t="s">
        <v>276</v>
      </c>
      <c r="B653" s="3" t="s">
        <v>18</v>
      </c>
      <c r="C653" s="3" t="s">
        <v>1365</v>
      </c>
      <c r="D653" s="3" t="s">
        <v>2397</v>
      </c>
      <c r="E653" s="3" t="s">
        <v>21</v>
      </c>
      <c r="F653" s="3" t="s">
        <v>2398</v>
      </c>
      <c r="G653" s="3" t="s">
        <v>2399</v>
      </c>
      <c r="H653" s="43">
        <v>45368</v>
      </c>
      <c r="I653" s="43">
        <v>45682</v>
      </c>
      <c r="J653" s="47" t="str">
        <f>IF(GroDB3[[#This Row],[Last_Order_Date]]&lt;=GroDB3[[#This Row],[Date_Received]], "Yes", "No")</f>
        <v>No</v>
      </c>
      <c r="K653" s="43">
        <f>IF(GroDB3[[#This Row],[Column1]]="No",GroDB3[[#This Row],[Last_Order_Date]],GroDB3[[#This Row],[Date_Received]])</f>
        <v>45682</v>
      </c>
      <c r="L653" s="43">
        <f>IF(GroDB3[[#This Row],[Column1]]="No",GroDB3[[#This Row],[Date_Received]],GroDB3[[#This Row],[Last_Order_Date]])</f>
        <v>45368</v>
      </c>
      <c r="M653" s="43">
        <v>45595</v>
      </c>
      <c r="N653" s="3">
        <v>48</v>
      </c>
      <c r="O653" s="3">
        <v>48</v>
      </c>
      <c r="P653" s="3">
        <v>39</v>
      </c>
      <c r="Q653" s="4">
        <v>3.45</v>
      </c>
      <c r="R653" s="3">
        <v>51</v>
      </c>
      <c r="S653" s="3">
        <v>50</v>
      </c>
      <c r="T653" s="7">
        <v>0.93</v>
      </c>
    </row>
    <row r="654" spans="1:20" x14ac:dyDescent="0.35">
      <c r="A654" s="5" t="s">
        <v>1016</v>
      </c>
      <c r="B654" s="3" t="s">
        <v>25</v>
      </c>
      <c r="C654" s="3" t="s">
        <v>1180</v>
      </c>
      <c r="D654" s="3" t="s">
        <v>2400</v>
      </c>
      <c r="E654" s="3" t="s">
        <v>56</v>
      </c>
      <c r="F654" s="3" t="s">
        <v>2401</v>
      </c>
      <c r="G654" s="3" t="s">
        <v>2402</v>
      </c>
      <c r="H654" s="43">
        <v>45369</v>
      </c>
      <c r="I654" s="43">
        <v>45419</v>
      </c>
      <c r="J654" s="47" t="str">
        <f>IF(GroDB3[[#This Row],[Last_Order_Date]]&lt;=GroDB3[[#This Row],[Date_Received]], "Yes", "No")</f>
        <v>No</v>
      </c>
      <c r="K654" s="43">
        <f>IF(GroDB3[[#This Row],[Column1]]="No",GroDB3[[#This Row],[Last_Order_Date]],GroDB3[[#This Row],[Date_Received]])</f>
        <v>45419</v>
      </c>
      <c r="L654" s="43">
        <f>IF(GroDB3[[#This Row],[Column1]]="No",GroDB3[[#This Row],[Date_Received]],GroDB3[[#This Row],[Last_Order_Date]])</f>
        <v>45369</v>
      </c>
      <c r="M654" s="43">
        <v>45463</v>
      </c>
      <c r="N654" s="3">
        <v>96</v>
      </c>
      <c r="O654" s="3">
        <v>52</v>
      </c>
      <c r="P654" s="3">
        <v>16</v>
      </c>
      <c r="Q654" s="4">
        <v>2.5</v>
      </c>
      <c r="R654" s="3">
        <v>67</v>
      </c>
      <c r="S654" s="3">
        <v>13</v>
      </c>
      <c r="T654" s="7">
        <v>0.02</v>
      </c>
    </row>
    <row r="655" spans="1:20" x14ac:dyDescent="0.35">
      <c r="A655" s="5" t="s">
        <v>137</v>
      </c>
      <c r="B655" s="3" t="s">
        <v>18</v>
      </c>
      <c r="C655" s="3" t="s">
        <v>2403</v>
      </c>
      <c r="D655" s="3" t="s">
        <v>2404</v>
      </c>
      <c r="E655" s="3" t="s">
        <v>56</v>
      </c>
      <c r="F655" s="3" t="s">
        <v>2405</v>
      </c>
      <c r="G655" s="3" t="s">
        <v>2406</v>
      </c>
      <c r="H655" s="43">
        <v>45369</v>
      </c>
      <c r="I655" s="43">
        <v>45509</v>
      </c>
      <c r="J655" s="47" t="str">
        <f>IF(GroDB3[[#This Row],[Last_Order_Date]]&lt;=GroDB3[[#This Row],[Date_Received]], "Yes", "No")</f>
        <v>No</v>
      </c>
      <c r="K655" s="43">
        <f>IF(GroDB3[[#This Row],[Column1]]="No",GroDB3[[#This Row],[Last_Order_Date]],GroDB3[[#This Row],[Date_Received]])</f>
        <v>45509</v>
      </c>
      <c r="L655" s="43">
        <f>IF(GroDB3[[#This Row],[Column1]]="No",GroDB3[[#This Row],[Date_Received]],GroDB3[[#This Row],[Last_Order_Date]])</f>
        <v>45369</v>
      </c>
      <c r="M655" s="43">
        <v>45686</v>
      </c>
      <c r="N655" s="3">
        <v>58</v>
      </c>
      <c r="O655" s="3">
        <v>58</v>
      </c>
      <c r="P655" s="3">
        <v>28</v>
      </c>
      <c r="Q655" s="4">
        <v>4.7</v>
      </c>
      <c r="R655" s="3">
        <v>85</v>
      </c>
      <c r="S655" s="3">
        <v>63</v>
      </c>
      <c r="T655" s="7">
        <v>0.81</v>
      </c>
    </row>
    <row r="656" spans="1:20" x14ac:dyDescent="0.35">
      <c r="A656" s="5" t="s">
        <v>1278</v>
      </c>
      <c r="B656" s="3" t="s">
        <v>18</v>
      </c>
      <c r="C656" s="3" t="s">
        <v>38</v>
      </c>
      <c r="D656" s="3" t="s">
        <v>2407</v>
      </c>
      <c r="E656" s="3" t="s">
        <v>21</v>
      </c>
      <c r="F656" s="3" t="s">
        <v>2408</v>
      </c>
      <c r="G656" s="3" t="s">
        <v>2409</v>
      </c>
      <c r="H656" s="43">
        <v>45369</v>
      </c>
      <c r="I656" s="43">
        <v>45680</v>
      </c>
      <c r="J656" s="47" t="str">
        <f>IF(GroDB3[[#This Row],[Last_Order_Date]]&lt;=GroDB3[[#This Row],[Date_Received]], "Yes", "No")</f>
        <v>No</v>
      </c>
      <c r="K656" s="43">
        <f>IF(GroDB3[[#This Row],[Column1]]="No",GroDB3[[#This Row],[Last_Order_Date]],GroDB3[[#This Row],[Date_Received]])</f>
        <v>45680</v>
      </c>
      <c r="L656" s="43">
        <f>IF(GroDB3[[#This Row],[Column1]]="No",GroDB3[[#This Row],[Date_Received]],GroDB3[[#This Row],[Last_Order_Date]])</f>
        <v>45369</v>
      </c>
      <c r="M656" s="43">
        <v>45526</v>
      </c>
      <c r="N656" s="3">
        <v>45</v>
      </c>
      <c r="O656" s="3">
        <v>28</v>
      </c>
      <c r="P656" s="3">
        <v>6</v>
      </c>
      <c r="Q656" s="4">
        <v>4.5</v>
      </c>
      <c r="R656" s="3">
        <v>35</v>
      </c>
      <c r="S656" s="3">
        <v>16</v>
      </c>
      <c r="T656" s="7">
        <v>0.26</v>
      </c>
    </row>
    <row r="657" spans="1:20" x14ac:dyDescent="0.35">
      <c r="A657" s="5" t="s">
        <v>566</v>
      </c>
      <c r="B657" s="3" t="s">
        <v>127</v>
      </c>
      <c r="C657" s="3" t="s">
        <v>1311</v>
      </c>
      <c r="D657" s="3" t="s">
        <v>2410</v>
      </c>
      <c r="E657" s="3" t="s">
        <v>21</v>
      </c>
      <c r="F657" s="3" t="s">
        <v>2411</v>
      </c>
      <c r="G657" s="3" t="s">
        <v>2412</v>
      </c>
      <c r="H657" s="43">
        <v>45369</v>
      </c>
      <c r="I657" s="43">
        <v>45453</v>
      </c>
      <c r="J657" s="47" t="str">
        <f>IF(GroDB3[[#This Row],[Last_Order_Date]]&lt;=GroDB3[[#This Row],[Date_Received]], "Yes", "No")</f>
        <v>No</v>
      </c>
      <c r="K657" s="43">
        <f>IF(GroDB3[[#This Row],[Column1]]="No",GroDB3[[#This Row],[Last_Order_Date]],GroDB3[[#This Row],[Date_Received]])</f>
        <v>45453</v>
      </c>
      <c r="L657" s="43">
        <f>IF(GroDB3[[#This Row],[Column1]]="No",GroDB3[[#This Row],[Date_Received]],GroDB3[[#This Row],[Last_Order_Date]])</f>
        <v>45369</v>
      </c>
      <c r="M657" s="43">
        <v>45355</v>
      </c>
      <c r="N657" s="3">
        <v>24</v>
      </c>
      <c r="O657" s="3">
        <v>77</v>
      </c>
      <c r="P657" s="3">
        <v>32</v>
      </c>
      <c r="Q657" s="4">
        <v>15.5</v>
      </c>
      <c r="R657" s="3">
        <v>80</v>
      </c>
      <c r="S657" s="3">
        <v>42</v>
      </c>
      <c r="T657" s="7">
        <v>0.54</v>
      </c>
    </row>
    <row r="658" spans="1:20" x14ac:dyDescent="0.35">
      <c r="A658" s="5" t="s">
        <v>1257</v>
      </c>
      <c r="B658" s="3" t="s">
        <v>91</v>
      </c>
      <c r="C658" s="3" t="s">
        <v>2413</v>
      </c>
      <c r="D658" s="3" t="s">
        <v>2414</v>
      </c>
      <c r="E658" s="3" t="s">
        <v>28</v>
      </c>
      <c r="F658" s="3" t="s">
        <v>2415</v>
      </c>
      <c r="G658" s="3" t="s">
        <v>2416</v>
      </c>
      <c r="H658" s="43">
        <v>45369</v>
      </c>
      <c r="I658" s="43">
        <v>45371</v>
      </c>
      <c r="J658" s="47" t="str">
        <f>IF(GroDB3[[#This Row],[Last_Order_Date]]&lt;=GroDB3[[#This Row],[Date_Received]], "Yes", "No")</f>
        <v>No</v>
      </c>
      <c r="K658" s="43">
        <f>IF(GroDB3[[#This Row],[Column1]]="No",GroDB3[[#This Row],[Last_Order_Date]],GroDB3[[#This Row],[Date_Received]])</f>
        <v>45371</v>
      </c>
      <c r="L658" s="43">
        <f>IF(GroDB3[[#This Row],[Column1]]="No",GroDB3[[#This Row],[Date_Received]],GroDB3[[#This Row],[Last_Order_Date]])</f>
        <v>45369</v>
      </c>
      <c r="M658" s="43">
        <v>45597</v>
      </c>
      <c r="N658" s="3">
        <v>94</v>
      </c>
      <c r="O658" s="3">
        <v>34</v>
      </c>
      <c r="P658" s="3">
        <v>21</v>
      </c>
      <c r="Q658" s="4">
        <v>5.5</v>
      </c>
      <c r="R658" s="3">
        <v>74</v>
      </c>
      <c r="S658" s="3">
        <v>70</v>
      </c>
      <c r="T658" s="7">
        <v>0.48</v>
      </c>
    </row>
    <row r="659" spans="1:20" x14ac:dyDescent="0.35">
      <c r="A659" s="5" t="s">
        <v>170</v>
      </c>
      <c r="B659" s="3" t="s">
        <v>53</v>
      </c>
      <c r="C659" s="3" t="s">
        <v>774</v>
      </c>
      <c r="D659" s="3" t="s">
        <v>2417</v>
      </c>
      <c r="E659" s="3" t="s">
        <v>21</v>
      </c>
      <c r="F659" s="3" t="s">
        <v>2418</v>
      </c>
      <c r="G659" s="3" t="s">
        <v>2419</v>
      </c>
      <c r="H659" s="43">
        <v>45369</v>
      </c>
      <c r="I659" s="43">
        <v>45425</v>
      </c>
      <c r="J659" s="47" t="str">
        <f>IF(GroDB3[[#This Row],[Last_Order_Date]]&lt;=GroDB3[[#This Row],[Date_Received]], "Yes", "No")</f>
        <v>No</v>
      </c>
      <c r="K659" s="43">
        <f>IF(GroDB3[[#This Row],[Column1]]="No",GroDB3[[#This Row],[Last_Order_Date]],GroDB3[[#This Row],[Date_Received]])</f>
        <v>45425</v>
      </c>
      <c r="L659" s="43">
        <f>IF(GroDB3[[#This Row],[Column1]]="No",GroDB3[[#This Row],[Date_Received]],GroDB3[[#This Row],[Last_Order_Date]])</f>
        <v>45369</v>
      </c>
      <c r="M659" s="43">
        <v>45432</v>
      </c>
      <c r="N659" s="3">
        <v>86</v>
      </c>
      <c r="O659" s="3">
        <v>80</v>
      </c>
      <c r="P659" s="3">
        <v>80</v>
      </c>
      <c r="Q659" s="4">
        <v>4.5</v>
      </c>
      <c r="R659" s="3">
        <v>22</v>
      </c>
      <c r="S659" s="3">
        <v>67</v>
      </c>
      <c r="T659" s="7">
        <v>0.05</v>
      </c>
    </row>
    <row r="660" spans="1:20" x14ac:dyDescent="0.35">
      <c r="A660" s="5" t="s">
        <v>52</v>
      </c>
      <c r="B660" s="3" t="s">
        <v>53</v>
      </c>
      <c r="C660" s="3" t="s">
        <v>500</v>
      </c>
      <c r="D660" s="3" t="s">
        <v>2420</v>
      </c>
      <c r="E660" s="3" t="s">
        <v>28</v>
      </c>
      <c r="F660" s="3" t="s">
        <v>2421</v>
      </c>
      <c r="G660" s="3" t="s">
        <v>2422</v>
      </c>
      <c r="H660" s="43">
        <v>45370</v>
      </c>
      <c r="I660" s="43">
        <v>45501</v>
      </c>
      <c r="J660" s="47" t="str">
        <f>IF(GroDB3[[#This Row],[Last_Order_Date]]&lt;=GroDB3[[#This Row],[Date_Received]], "Yes", "No")</f>
        <v>No</v>
      </c>
      <c r="K660" s="43">
        <f>IF(GroDB3[[#This Row],[Column1]]="No",GroDB3[[#This Row],[Last_Order_Date]],GroDB3[[#This Row],[Date_Received]])</f>
        <v>45501</v>
      </c>
      <c r="L660" s="43">
        <f>IF(GroDB3[[#This Row],[Column1]]="No",GroDB3[[#This Row],[Date_Received]],GroDB3[[#This Row],[Last_Order_Date]])</f>
        <v>45370</v>
      </c>
      <c r="M660" s="43">
        <v>45461</v>
      </c>
      <c r="N660" s="3">
        <v>20</v>
      </c>
      <c r="O660" s="3">
        <v>51</v>
      </c>
      <c r="P660" s="3">
        <v>21</v>
      </c>
      <c r="Q660" s="4">
        <v>5</v>
      </c>
      <c r="R660" s="3">
        <v>71</v>
      </c>
      <c r="S660" s="3">
        <v>26</v>
      </c>
      <c r="T660" s="7">
        <v>-2.0499999999999998</v>
      </c>
    </row>
    <row r="661" spans="1:20" x14ac:dyDescent="0.35">
      <c r="A661" s="5" t="s">
        <v>85</v>
      </c>
      <c r="B661" s="3" t="s">
        <v>18</v>
      </c>
      <c r="C661" s="3" t="s">
        <v>92</v>
      </c>
      <c r="D661" s="3" t="s">
        <v>2423</v>
      </c>
      <c r="E661" s="3" t="s">
        <v>21</v>
      </c>
      <c r="F661" s="3" t="s">
        <v>2424</v>
      </c>
      <c r="G661" s="3" t="s">
        <v>2425</v>
      </c>
      <c r="H661" s="43">
        <v>45371</v>
      </c>
      <c r="I661" s="43">
        <v>45654</v>
      </c>
      <c r="J661" s="47" t="str">
        <f>IF(GroDB3[[#This Row],[Last_Order_Date]]&lt;=GroDB3[[#This Row],[Date_Received]], "Yes", "No")</f>
        <v>No</v>
      </c>
      <c r="K661" s="43">
        <f>IF(GroDB3[[#This Row],[Column1]]="No",GroDB3[[#This Row],[Last_Order_Date]],GroDB3[[#This Row],[Date_Received]])</f>
        <v>45654</v>
      </c>
      <c r="L661" s="43">
        <f>IF(GroDB3[[#This Row],[Column1]]="No",GroDB3[[#This Row],[Date_Received]],GroDB3[[#This Row],[Last_Order_Date]])</f>
        <v>45371</v>
      </c>
      <c r="M661" s="43">
        <v>45690</v>
      </c>
      <c r="N661" s="3">
        <v>85</v>
      </c>
      <c r="O661" s="3">
        <v>45</v>
      </c>
      <c r="P661" s="3">
        <v>71</v>
      </c>
      <c r="Q661" s="4">
        <v>3</v>
      </c>
      <c r="R661" s="3">
        <v>95</v>
      </c>
      <c r="S661" s="3">
        <v>72</v>
      </c>
      <c r="T661" s="7">
        <v>0.63</v>
      </c>
    </row>
    <row r="662" spans="1:20" x14ac:dyDescent="0.35">
      <c r="A662" s="5" t="s">
        <v>984</v>
      </c>
      <c r="B662" s="3" t="s">
        <v>18</v>
      </c>
      <c r="C662" s="3" t="s">
        <v>1194</v>
      </c>
      <c r="D662" s="3" t="s">
        <v>2426</v>
      </c>
      <c r="E662" s="3" t="s">
        <v>21</v>
      </c>
      <c r="F662" s="3" t="s">
        <v>2427</v>
      </c>
      <c r="G662" s="3" t="s">
        <v>2428</v>
      </c>
      <c r="H662" s="43">
        <v>45371</v>
      </c>
      <c r="I662" s="43">
        <v>45671</v>
      </c>
      <c r="J662" s="47" t="str">
        <f>IF(GroDB3[[#This Row],[Last_Order_Date]]&lt;=GroDB3[[#This Row],[Date_Received]], "Yes", "No")</f>
        <v>No</v>
      </c>
      <c r="K662" s="43">
        <f>IF(GroDB3[[#This Row],[Column1]]="No",GroDB3[[#This Row],[Last_Order_Date]],GroDB3[[#This Row],[Date_Received]])</f>
        <v>45671</v>
      </c>
      <c r="L662" s="43">
        <f>IF(GroDB3[[#This Row],[Column1]]="No",GroDB3[[#This Row],[Date_Received]],GroDB3[[#This Row],[Last_Order_Date]])</f>
        <v>45371</v>
      </c>
      <c r="M662" s="43">
        <v>45393</v>
      </c>
      <c r="N662" s="3">
        <v>30</v>
      </c>
      <c r="O662" s="3">
        <v>59</v>
      </c>
      <c r="P662" s="3">
        <v>76</v>
      </c>
      <c r="Q662" s="4">
        <v>4</v>
      </c>
      <c r="R662" s="3">
        <v>61</v>
      </c>
      <c r="S662" s="3">
        <v>3</v>
      </c>
      <c r="T662" s="7">
        <v>0.24</v>
      </c>
    </row>
    <row r="663" spans="1:20" x14ac:dyDescent="0.35">
      <c r="A663" s="5" t="s">
        <v>700</v>
      </c>
      <c r="B663" s="3" t="s">
        <v>18</v>
      </c>
      <c r="C663" s="3" t="s">
        <v>1557</v>
      </c>
      <c r="D663" s="3" t="s">
        <v>2429</v>
      </c>
      <c r="E663" s="3" t="s">
        <v>28</v>
      </c>
      <c r="F663" s="3" t="s">
        <v>2430</v>
      </c>
      <c r="G663" s="3" t="s">
        <v>2431</v>
      </c>
      <c r="H663" s="43">
        <v>45371</v>
      </c>
      <c r="I663" s="43">
        <v>45645</v>
      </c>
      <c r="J663" s="47" t="str">
        <f>IF(GroDB3[[#This Row],[Last_Order_Date]]&lt;=GroDB3[[#This Row],[Date_Received]], "Yes", "No")</f>
        <v>No</v>
      </c>
      <c r="K663" s="43">
        <f>IF(GroDB3[[#This Row],[Column1]]="No",GroDB3[[#This Row],[Last_Order_Date]],GroDB3[[#This Row],[Date_Received]])</f>
        <v>45645</v>
      </c>
      <c r="L663" s="43">
        <f>IF(GroDB3[[#This Row],[Column1]]="No",GroDB3[[#This Row],[Date_Received]],GroDB3[[#This Row],[Last_Order_Date]])</f>
        <v>45371</v>
      </c>
      <c r="M663" s="43">
        <v>45462</v>
      </c>
      <c r="N663" s="3">
        <v>23</v>
      </c>
      <c r="O663" s="3">
        <v>6</v>
      </c>
      <c r="P663" s="3">
        <v>40</v>
      </c>
      <c r="Q663" s="4">
        <v>2.5</v>
      </c>
      <c r="R663" s="3">
        <v>95</v>
      </c>
      <c r="S663" s="3">
        <v>24</v>
      </c>
      <c r="T663" s="7">
        <v>0.95</v>
      </c>
    </row>
    <row r="664" spans="1:20" x14ac:dyDescent="0.35">
      <c r="A664" s="5" t="s">
        <v>116</v>
      </c>
      <c r="B664" s="3" t="s">
        <v>18</v>
      </c>
      <c r="C664" s="3" t="s">
        <v>2332</v>
      </c>
      <c r="D664" s="3" t="s">
        <v>2432</v>
      </c>
      <c r="E664" s="3" t="s">
        <v>28</v>
      </c>
      <c r="F664" s="3" t="s">
        <v>2433</v>
      </c>
      <c r="G664" s="3" t="s">
        <v>2434</v>
      </c>
      <c r="H664" s="43">
        <v>45372</v>
      </c>
      <c r="I664" s="43">
        <v>45549</v>
      </c>
      <c r="J664" s="47" t="str">
        <f>IF(GroDB3[[#This Row],[Last_Order_Date]]&lt;=GroDB3[[#This Row],[Date_Received]], "Yes", "No")</f>
        <v>No</v>
      </c>
      <c r="K664" s="43">
        <f>IF(GroDB3[[#This Row],[Column1]]="No",GroDB3[[#This Row],[Last_Order_Date]],GroDB3[[#This Row],[Date_Received]])</f>
        <v>45549</v>
      </c>
      <c r="L664" s="43">
        <f>IF(GroDB3[[#This Row],[Column1]]="No",GroDB3[[#This Row],[Date_Received]],GroDB3[[#This Row],[Last_Order_Date]])</f>
        <v>45372</v>
      </c>
      <c r="M664" s="43">
        <v>45443</v>
      </c>
      <c r="N664" s="3">
        <v>17</v>
      </c>
      <c r="O664" s="3">
        <v>3</v>
      </c>
      <c r="P664" s="3">
        <v>33</v>
      </c>
      <c r="Q664" s="4">
        <v>3</v>
      </c>
      <c r="R664" s="3">
        <v>49</v>
      </c>
      <c r="S664" s="3">
        <v>17</v>
      </c>
      <c r="T664" s="7">
        <v>0.75</v>
      </c>
    </row>
    <row r="665" spans="1:20" x14ac:dyDescent="0.35">
      <c r="A665" s="5" t="s">
        <v>1179</v>
      </c>
      <c r="B665" s="3" t="s">
        <v>91</v>
      </c>
      <c r="C665" s="3" t="s">
        <v>138</v>
      </c>
      <c r="D665" s="3" t="s">
        <v>2435</v>
      </c>
      <c r="E665" s="3" t="s">
        <v>28</v>
      </c>
      <c r="F665" s="3" t="s">
        <v>2436</v>
      </c>
      <c r="G665" s="3" t="s">
        <v>2437</v>
      </c>
      <c r="H665" s="43">
        <v>45372</v>
      </c>
      <c r="I665" s="43">
        <v>45351</v>
      </c>
      <c r="J665" s="47" t="str">
        <f>IF(GroDB3[[#This Row],[Last_Order_Date]]&lt;=GroDB3[[#This Row],[Date_Received]], "Yes", "No")</f>
        <v>Yes</v>
      </c>
      <c r="K665" s="43">
        <f>IF(GroDB3[[#This Row],[Column1]]="No",GroDB3[[#This Row],[Last_Order_Date]],GroDB3[[#This Row],[Date_Received]])</f>
        <v>45372</v>
      </c>
      <c r="L665" s="43">
        <f>IF(GroDB3[[#This Row],[Column1]]="No",GroDB3[[#This Row],[Date_Received]],GroDB3[[#This Row],[Last_Order_Date]])</f>
        <v>45351</v>
      </c>
      <c r="M665" s="43">
        <v>45465</v>
      </c>
      <c r="N665" s="3">
        <v>61</v>
      </c>
      <c r="O665" s="3">
        <v>77</v>
      </c>
      <c r="P665" s="3">
        <v>45</v>
      </c>
      <c r="Q665" s="4">
        <v>2.5</v>
      </c>
      <c r="R665" s="3">
        <v>51</v>
      </c>
      <c r="S665" s="3">
        <v>48</v>
      </c>
      <c r="T665" s="7">
        <v>0.65</v>
      </c>
    </row>
    <row r="666" spans="1:20" x14ac:dyDescent="0.35">
      <c r="A666" s="5" t="s">
        <v>90</v>
      </c>
      <c r="B666" s="3" t="s">
        <v>91</v>
      </c>
      <c r="C666" s="3" t="s">
        <v>61</v>
      </c>
      <c r="D666" s="3" t="s">
        <v>2438</v>
      </c>
      <c r="E666" s="3" t="s">
        <v>28</v>
      </c>
      <c r="F666" s="3" t="s">
        <v>2439</v>
      </c>
      <c r="G666" s="3" t="s">
        <v>2440</v>
      </c>
      <c r="H666" s="43">
        <v>45372</v>
      </c>
      <c r="I666" s="43">
        <v>45401</v>
      </c>
      <c r="J666" s="47" t="str">
        <f>IF(GroDB3[[#This Row],[Last_Order_Date]]&lt;=GroDB3[[#This Row],[Date_Received]], "Yes", "No")</f>
        <v>No</v>
      </c>
      <c r="K666" s="43">
        <f>IF(GroDB3[[#This Row],[Column1]]="No",GroDB3[[#This Row],[Last_Order_Date]],GroDB3[[#This Row],[Date_Received]])</f>
        <v>45401</v>
      </c>
      <c r="L666" s="43">
        <f>IF(GroDB3[[#This Row],[Column1]]="No",GroDB3[[#This Row],[Date_Received]],GroDB3[[#This Row],[Last_Order_Date]])</f>
        <v>45372</v>
      </c>
      <c r="M666" s="43">
        <v>45560</v>
      </c>
      <c r="N666" s="3">
        <v>29</v>
      </c>
      <c r="O666" s="3">
        <v>2</v>
      </c>
      <c r="P666" s="3">
        <v>84</v>
      </c>
      <c r="Q666" s="4">
        <v>4</v>
      </c>
      <c r="R666" s="3">
        <v>80</v>
      </c>
      <c r="S666" s="3">
        <v>85</v>
      </c>
      <c r="T666" s="7">
        <v>0.06</v>
      </c>
    </row>
    <row r="667" spans="1:20" x14ac:dyDescent="0.35">
      <c r="A667" s="5" t="s">
        <v>549</v>
      </c>
      <c r="B667" s="3" t="s">
        <v>32</v>
      </c>
      <c r="C667" s="3" t="s">
        <v>1127</v>
      </c>
      <c r="D667" s="3" t="s">
        <v>2441</v>
      </c>
      <c r="E667" s="3" t="s">
        <v>28</v>
      </c>
      <c r="F667" s="3" t="s">
        <v>2442</v>
      </c>
      <c r="G667" s="3" t="s">
        <v>2443</v>
      </c>
      <c r="H667" s="43">
        <v>45373</v>
      </c>
      <c r="I667" s="43">
        <v>45558</v>
      </c>
      <c r="J667" s="47" t="str">
        <f>IF(GroDB3[[#This Row],[Last_Order_Date]]&lt;=GroDB3[[#This Row],[Date_Received]], "Yes", "No")</f>
        <v>No</v>
      </c>
      <c r="K667" s="43">
        <f>IF(GroDB3[[#This Row],[Column1]]="No",GroDB3[[#This Row],[Last_Order_Date]],GroDB3[[#This Row],[Date_Received]])</f>
        <v>45558</v>
      </c>
      <c r="L667" s="43">
        <f>IF(GroDB3[[#This Row],[Column1]]="No",GroDB3[[#This Row],[Date_Received]],GroDB3[[#This Row],[Last_Order_Date]])</f>
        <v>45373</v>
      </c>
      <c r="M667" s="43">
        <v>45367</v>
      </c>
      <c r="N667" s="3">
        <v>40</v>
      </c>
      <c r="O667" s="3">
        <v>22</v>
      </c>
      <c r="P667" s="3">
        <v>74</v>
      </c>
      <c r="Q667" s="4">
        <v>2.4500000000000002</v>
      </c>
      <c r="R667" s="3">
        <v>76</v>
      </c>
      <c r="S667" s="3">
        <v>70</v>
      </c>
      <c r="T667" s="7">
        <v>-0.06</v>
      </c>
    </row>
    <row r="668" spans="1:20" x14ac:dyDescent="0.35">
      <c r="A668" s="5" t="s">
        <v>220</v>
      </c>
      <c r="B668" s="3" t="s">
        <v>127</v>
      </c>
      <c r="C668" s="3" t="s">
        <v>2444</v>
      </c>
      <c r="D668" s="3" t="s">
        <v>2445</v>
      </c>
      <c r="E668" s="3" t="s">
        <v>21</v>
      </c>
      <c r="F668" s="3" t="s">
        <v>2446</v>
      </c>
      <c r="G668" s="3" t="s">
        <v>2447</v>
      </c>
      <c r="H668" s="43">
        <v>45373</v>
      </c>
      <c r="I668" s="43">
        <v>45468</v>
      </c>
      <c r="J668" s="47" t="str">
        <f>IF(GroDB3[[#This Row],[Last_Order_Date]]&lt;=GroDB3[[#This Row],[Date_Received]], "Yes", "No")</f>
        <v>No</v>
      </c>
      <c r="K668" s="43">
        <f>IF(GroDB3[[#This Row],[Column1]]="No",GroDB3[[#This Row],[Last_Order_Date]],GroDB3[[#This Row],[Date_Received]])</f>
        <v>45468</v>
      </c>
      <c r="L668" s="43">
        <f>IF(GroDB3[[#This Row],[Column1]]="No",GroDB3[[#This Row],[Date_Received]],GroDB3[[#This Row],[Last_Order_Date]])</f>
        <v>45373</v>
      </c>
      <c r="M668" s="43">
        <v>45557</v>
      </c>
      <c r="N668" s="3">
        <v>20</v>
      </c>
      <c r="O668" s="3">
        <v>42</v>
      </c>
      <c r="P668" s="3">
        <v>45</v>
      </c>
      <c r="Q668" s="4">
        <v>10</v>
      </c>
      <c r="R668" s="3">
        <v>72</v>
      </c>
      <c r="S668" s="3">
        <v>28</v>
      </c>
      <c r="T668" s="7">
        <v>0.08</v>
      </c>
    </row>
    <row r="669" spans="1:20" x14ac:dyDescent="0.35">
      <c r="A669" s="5" t="s">
        <v>1202</v>
      </c>
      <c r="B669" s="3" t="s">
        <v>18</v>
      </c>
      <c r="C669" s="3" t="s">
        <v>2448</v>
      </c>
      <c r="D669" s="3" t="s">
        <v>2449</v>
      </c>
      <c r="E669" s="3" t="s">
        <v>56</v>
      </c>
      <c r="F669" s="3" t="s">
        <v>2450</v>
      </c>
      <c r="G669" s="3" t="s">
        <v>2451</v>
      </c>
      <c r="H669" s="43">
        <v>45374</v>
      </c>
      <c r="I669" s="43">
        <v>45396</v>
      </c>
      <c r="J669" s="47" t="str">
        <f>IF(GroDB3[[#This Row],[Last_Order_Date]]&lt;=GroDB3[[#This Row],[Date_Received]], "Yes", "No")</f>
        <v>No</v>
      </c>
      <c r="K669" s="43">
        <f>IF(GroDB3[[#This Row],[Column1]]="No",GroDB3[[#This Row],[Last_Order_Date]],GroDB3[[#This Row],[Date_Received]])</f>
        <v>45396</v>
      </c>
      <c r="L669" s="43">
        <f>IF(GroDB3[[#This Row],[Column1]]="No",GroDB3[[#This Row],[Date_Received]],GroDB3[[#This Row],[Last_Order_Date]])</f>
        <v>45374</v>
      </c>
      <c r="M669" s="43">
        <v>45588</v>
      </c>
      <c r="N669" s="3">
        <v>51</v>
      </c>
      <c r="O669" s="3">
        <v>72</v>
      </c>
      <c r="P669" s="3">
        <v>85</v>
      </c>
      <c r="Q669" s="4">
        <v>3</v>
      </c>
      <c r="R669" s="3">
        <v>23</v>
      </c>
      <c r="S669" s="3">
        <v>17</v>
      </c>
      <c r="T669" s="7">
        <v>0.61</v>
      </c>
    </row>
    <row r="670" spans="1:20" x14ac:dyDescent="0.35">
      <c r="A670" s="5" t="s">
        <v>37</v>
      </c>
      <c r="B670" s="3" t="s">
        <v>18</v>
      </c>
      <c r="C670" s="3" t="s">
        <v>2413</v>
      </c>
      <c r="D670" s="3" t="s">
        <v>2452</v>
      </c>
      <c r="E670" s="3" t="s">
        <v>56</v>
      </c>
      <c r="F670" s="3" t="s">
        <v>2453</v>
      </c>
      <c r="G670" s="3" t="s">
        <v>2454</v>
      </c>
      <c r="H670" s="43">
        <v>45375</v>
      </c>
      <c r="I670" s="43">
        <v>45481</v>
      </c>
      <c r="J670" s="47" t="str">
        <f>IF(GroDB3[[#This Row],[Last_Order_Date]]&lt;=GroDB3[[#This Row],[Date_Received]], "Yes", "No")</f>
        <v>No</v>
      </c>
      <c r="K670" s="43">
        <f>IF(GroDB3[[#This Row],[Column1]]="No",GroDB3[[#This Row],[Last_Order_Date]],GroDB3[[#This Row],[Date_Received]])</f>
        <v>45481</v>
      </c>
      <c r="L670" s="43">
        <f>IF(GroDB3[[#This Row],[Column1]]="No",GroDB3[[#This Row],[Date_Received]],GroDB3[[#This Row],[Last_Order_Date]])</f>
        <v>45375</v>
      </c>
      <c r="M670" s="43">
        <v>45591</v>
      </c>
      <c r="N670" s="3">
        <v>80</v>
      </c>
      <c r="O670" s="3">
        <v>91</v>
      </c>
      <c r="P670" s="3">
        <v>36</v>
      </c>
      <c r="Q670" s="4">
        <v>1.5</v>
      </c>
      <c r="R670" s="3">
        <v>81</v>
      </c>
      <c r="S670" s="3">
        <v>74</v>
      </c>
      <c r="T670" s="7">
        <v>0.26</v>
      </c>
    </row>
    <row r="671" spans="1:20" x14ac:dyDescent="0.35">
      <c r="A671" s="5" t="s">
        <v>446</v>
      </c>
      <c r="B671" s="3" t="s">
        <v>53</v>
      </c>
      <c r="C671" s="3" t="s">
        <v>2455</v>
      </c>
      <c r="D671" s="3" t="s">
        <v>2456</v>
      </c>
      <c r="E671" s="3" t="s">
        <v>21</v>
      </c>
      <c r="F671" s="3" t="s">
        <v>2457</v>
      </c>
      <c r="G671" s="3" t="s">
        <v>2458</v>
      </c>
      <c r="H671" s="43">
        <v>45375</v>
      </c>
      <c r="I671" s="43">
        <v>45590</v>
      </c>
      <c r="J671" s="47" t="str">
        <f>IF(GroDB3[[#This Row],[Last_Order_Date]]&lt;=GroDB3[[#This Row],[Date_Received]], "Yes", "No")</f>
        <v>No</v>
      </c>
      <c r="K671" s="43">
        <f>IF(GroDB3[[#This Row],[Column1]]="No",GroDB3[[#This Row],[Last_Order_Date]],GroDB3[[#This Row],[Date_Received]])</f>
        <v>45590</v>
      </c>
      <c r="L671" s="43">
        <f>IF(GroDB3[[#This Row],[Column1]]="No",GroDB3[[#This Row],[Date_Received]],GroDB3[[#This Row],[Last_Order_Date]])</f>
        <v>45375</v>
      </c>
      <c r="M671" s="43">
        <v>45365</v>
      </c>
      <c r="N671" s="3">
        <v>85</v>
      </c>
      <c r="O671" s="3">
        <v>12</v>
      </c>
      <c r="P671" s="3">
        <v>94</v>
      </c>
      <c r="Q671" s="4">
        <v>9.5</v>
      </c>
      <c r="R671" s="3">
        <v>26</v>
      </c>
      <c r="S671" s="3">
        <v>32</v>
      </c>
      <c r="T671" s="7">
        <v>0.09</v>
      </c>
    </row>
    <row r="672" spans="1:20" x14ac:dyDescent="0.35">
      <c r="A672" s="5" t="s">
        <v>812</v>
      </c>
      <c r="B672" s="3" t="s">
        <v>18</v>
      </c>
      <c r="C672" s="3" t="s">
        <v>740</v>
      </c>
      <c r="D672" s="3" t="s">
        <v>2459</v>
      </c>
      <c r="E672" s="3" t="s">
        <v>21</v>
      </c>
      <c r="F672" s="3" t="s">
        <v>2460</v>
      </c>
      <c r="G672" s="3" t="s">
        <v>2461</v>
      </c>
      <c r="H672" s="43">
        <v>45375</v>
      </c>
      <c r="I672" s="43">
        <v>45570</v>
      </c>
      <c r="J672" s="47" t="str">
        <f>IF(GroDB3[[#This Row],[Last_Order_Date]]&lt;=GroDB3[[#This Row],[Date_Received]], "Yes", "No")</f>
        <v>No</v>
      </c>
      <c r="K672" s="43">
        <f>IF(GroDB3[[#This Row],[Column1]]="No",GroDB3[[#This Row],[Last_Order_Date]],GroDB3[[#This Row],[Date_Received]])</f>
        <v>45570</v>
      </c>
      <c r="L672" s="43">
        <f>IF(GroDB3[[#This Row],[Column1]]="No",GroDB3[[#This Row],[Date_Received]],GroDB3[[#This Row],[Last_Order_Date]])</f>
        <v>45375</v>
      </c>
      <c r="M672" s="43">
        <v>45396</v>
      </c>
      <c r="N672" s="3">
        <v>17</v>
      </c>
      <c r="O672" s="3">
        <v>14</v>
      </c>
      <c r="P672" s="3">
        <v>17</v>
      </c>
      <c r="Q672" s="4">
        <v>3.5</v>
      </c>
      <c r="R672" s="3">
        <v>36</v>
      </c>
      <c r="S672" s="3">
        <v>64</v>
      </c>
      <c r="T672" s="7">
        <v>-0.23</v>
      </c>
    </row>
    <row r="673" spans="1:20" x14ac:dyDescent="0.35">
      <c r="A673" s="5" t="s">
        <v>329</v>
      </c>
      <c r="B673" s="3" t="s">
        <v>53</v>
      </c>
      <c r="C673" s="3" t="s">
        <v>2462</v>
      </c>
      <c r="D673" s="3" t="s">
        <v>2463</v>
      </c>
      <c r="E673" s="3" t="s">
        <v>56</v>
      </c>
      <c r="F673" s="3" t="s">
        <v>2464</v>
      </c>
      <c r="G673" s="3" t="s">
        <v>2465</v>
      </c>
      <c r="H673" s="43">
        <v>45376</v>
      </c>
      <c r="I673" s="43">
        <v>45674</v>
      </c>
      <c r="J673" s="47" t="str">
        <f>IF(GroDB3[[#This Row],[Last_Order_Date]]&lt;=GroDB3[[#This Row],[Date_Received]], "Yes", "No")</f>
        <v>No</v>
      </c>
      <c r="K673" s="43">
        <f>IF(GroDB3[[#This Row],[Column1]]="No",GroDB3[[#This Row],[Last_Order_Date]],GroDB3[[#This Row],[Date_Received]])</f>
        <v>45674</v>
      </c>
      <c r="L673" s="43">
        <f>IF(GroDB3[[#This Row],[Column1]]="No",GroDB3[[#This Row],[Date_Received]],GroDB3[[#This Row],[Last_Order_Date]])</f>
        <v>45376</v>
      </c>
      <c r="M673" s="43">
        <v>45442</v>
      </c>
      <c r="N673" s="3">
        <v>86</v>
      </c>
      <c r="O673" s="3">
        <v>100</v>
      </c>
      <c r="P673" s="3">
        <v>74</v>
      </c>
      <c r="Q673" s="4">
        <v>6.1</v>
      </c>
      <c r="R673" s="3">
        <v>80</v>
      </c>
      <c r="S673" s="3">
        <v>94</v>
      </c>
      <c r="T673" s="7">
        <v>-0.78</v>
      </c>
    </row>
    <row r="674" spans="1:20" x14ac:dyDescent="0.35">
      <c r="A674" s="5" t="s">
        <v>121</v>
      </c>
      <c r="B674" s="3" t="s">
        <v>53</v>
      </c>
      <c r="C674" s="3" t="s">
        <v>900</v>
      </c>
      <c r="D674" s="3" t="s">
        <v>2466</v>
      </c>
      <c r="E674" s="3" t="s">
        <v>28</v>
      </c>
      <c r="F674" s="3" t="s">
        <v>2467</v>
      </c>
      <c r="G674" s="3" t="s">
        <v>2468</v>
      </c>
      <c r="H674" s="43">
        <v>45376</v>
      </c>
      <c r="I674" s="43">
        <v>45480</v>
      </c>
      <c r="J674" s="47" t="str">
        <f>IF(GroDB3[[#This Row],[Last_Order_Date]]&lt;=GroDB3[[#This Row],[Date_Received]], "Yes", "No")</f>
        <v>No</v>
      </c>
      <c r="K674" s="43">
        <f>IF(GroDB3[[#This Row],[Column1]]="No",GroDB3[[#This Row],[Last_Order_Date]],GroDB3[[#This Row],[Date_Received]])</f>
        <v>45480</v>
      </c>
      <c r="L674" s="43">
        <f>IF(GroDB3[[#This Row],[Column1]]="No",GroDB3[[#This Row],[Date_Received]],GroDB3[[#This Row],[Last_Order_Date]])</f>
        <v>45376</v>
      </c>
      <c r="M674" s="43">
        <v>45584</v>
      </c>
      <c r="N674" s="3">
        <v>82</v>
      </c>
      <c r="O674" s="3">
        <v>67</v>
      </c>
      <c r="P674" s="3">
        <v>67</v>
      </c>
      <c r="Q674" s="4">
        <v>2.75</v>
      </c>
      <c r="R674" s="3">
        <v>26</v>
      </c>
      <c r="S674" s="3">
        <v>1</v>
      </c>
      <c r="T674" s="7">
        <v>-0.18</v>
      </c>
    </row>
    <row r="675" spans="1:20" x14ac:dyDescent="0.35">
      <c r="A675" s="5" t="s">
        <v>980</v>
      </c>
      <c r="B675" s="3" t="s">
        <v>60</v>
      </c>
      <c r="C675" s="3" t="s">
        <v>2163</v>
      </c>
      <c r="D675" s="3" t="s">
        <v>2469</v>
      </c>
      <c r="E675" s="3" t="s">
        <v>21</v>
      </c>
      <c r="F675" s="3" t="s">
        <v>2470</v>
      </c>
      <c r="G675" s="3" t="s">
        <v>2471</v>
      </c>
      <c r="H675" s="43">
        <v>45376</v>
      </c>
      <c r="I675" s="43">
        <v>45371</v>
      </c>
      <c r="J675" s="47" t="str">
        <f>IF(GroDB3[[#This Row],[Last_Order_Date]]&lt;=GroDB3[[#This Row],[Date_Received]], "Yes", "No")</f>
        <v>Yes</v>
      </c>
      <c r="K675" s="43">
        <f>IF(GroDB3[[#This Row],[Column1]]="No",GroDB3[[#This Row],[Last_Order_Date]],GroDB3[[#This Row],[Date_Received]])</f>
        <v>45376</v>
      </c>
      <c r="L675" s="43">
        <f>IF(GroDB3[[#This Row],[Column1]]="No",GroDB3[[#This Row],[Date_Received]],GroDB3[[#This Row],[Last_Order_Date]])</f>
        <v>45371</v>
      </c>
      <c r="M675" s="43">
        <v>45654</v>
      </c>
      <c r="N675" s="3">
        <v>78</v>
      </c>
      <c r="O675" s="3">
        <v>68</v>
      </c>
      <c r="P675" s="3">
        <v>86</v>
      </c>
      <c r="Q675" s="4">
        <v>15</v>
      </c>
      <c r="R675" s="3">
        <v>47</v>
      </c>
      <c r="S675" s="3">
        <v>95</v>
      </c>
      <c r="T675" s="7">
        <v>0.96</v>
      </c>
    </row>
    <row r="676" spans="1:20" x14ac:dyDescent="0.35">
      <c r="A676" s="5" t="s">
        <v>230</v>
      </c>
      <c r="B676" s="3" t="s">
        <v>25</v>
      </c>
      <c r="C676" s="3" t="s">
        <v>570</v>
      </c>
      <c r="D676" s="3" t="s">
        <v>2472</v>
      </c>
      <c r="E676" s="3" t="s">
        <v>28</v>
      </c>
      <c r="F676" s="3" t="s">
        <v>2473</v>
      </c>
      <c r="G676" s="3" t="s">
        <v>2474</v>
      </c>
      <c r="H676" s="43">
        <v>45377</v>
      </c>
      <c r="I676" s="43">
        <v>45395</v>
      </c>
      <c r="J676" s="47" t="str">
        <f>IF(GroDB3[[#This Row],[Last_Order_Date]]&lt;=GroDB3[[#This Row],[Date_Received]], "Yes", "No")</f>
        <v>No</v>
      </c>
      <c r="K676" s="43">
        <f>IF(GroDB3[[#This Row],[Column1]]="No",GroDB3[[#This Row],[Last_Order_Date]],GroDB3[[#This Row],[Date_Received]])</f>
        <v>45395</v>
      </c>
      <c r="L676" s="43">
        <f>IF(GroDB3[[#This Row],[Column1]]="No",GroDB3[[#This Row],[Date_Received]],GroDB3[[#This Row],[Last_Order_Date]])</f>
        <v>45377</v>
      </c>
      <c r="M676" s="43">
        <v>45436</v>
      </c>
      <c r="N676" s="3">
        <v>74</v>
      </c>
      <c r="O676" s="3">
        <v>4</v>
      </c>
      <c r="P676" s="3">
        <v>67</v>
      </c>
      <c r="Q676" s="4">
        <v>1.8</v>
      </c>
      <c r="R676" s="3">
        <v>31</v>
      </c>
      <c r="S676" s="3">
        <v>34</v>
      </c>
      <c r="T676" s="7">
        <v>-1.02</v>
      </c>
    </row>
    <row r="677" spans="1:20" x14ac:dyDescent="0.35">
      <c r="A677" s="5" t="s">
        <v>416</v>
      </c>
      <c r="B677" s="3" t="s">
        <v>53</v>
      </c>
      <c r="C677" s="3" t="s">
        <v>578</v>
      </c>
      <c r="D677" s="3" t="s">
        <v>2475</v>
      </c>
      <c r="E677" s="3" t="s">
        <v>21</v>
      </c>
      <c r="F677" s="3" t="s">
        <v>2476</v>
      </c>
      <c r="G677" s="3" t="s">
        <v>2477</v>
      </c>
      <c r="H677" s="43">
        <v>45377</v>
      </c>
      <c r="I677" s="43">
        <v>45410</v>
      </c>
      <c r="J677" s="47" t="str">
        <f>IF(GroDB3[[#This Row],[Last_Order_Date]]&lt;=GroDB3[[#This Row],[Date_Received]], "Yes", "No")</f>
        <v>No</v>
      </c>
      <c r="K677" s="43">
        <f>IF(GroDB3[[#This Row],[Column1]]="No",GroDB3[[#This Row],[Last_Order_Date]],GroDB3[[#This Row],[Date_Received]])</f>
        <v>45410</v>
      </c>
      <c r="L677" s="43">
        <f>IF(GroDB3[[#This Row],[Column1]]="No",GroDB3[[#This Row],[Date_Received]],GroDB3[[#This Row],[Last_Order_Date]])</f>
        <v>45377</v>
      </c>
      <c r="M677" s="43">
        <v>45541</v>
      </c>
      <c r="N677" s="3">
        <v>18</v>
      </c>
      <c r="O677" s="3">
        <v>62</v>
      </c>
      <c r="P677" s="3">
        <v>2</v>
      </c>
      <c r="Q677" s="4">
        <v>3</v>
      </c>
      <c r="R677" s="3">
        <v>61</v>
      </c>
      <c r="S677" s="3">
        <v>78</v>
      </c>
      <c r="T677" s="7">
        <v>-0.1</v>
      </c>
    </row>
    <row r="678" spans="1:20" x14ac:dyDescent="0.35">
      <c r="A678" s="5" t="s">
        <v>1278</v>
      </c>
      <c r="B678" s="3" t="s">
        <v>18</v>
      </c>
      <c r="C678" s="3" t="s">
        <v>616</v>
      </c>
      <c r="D678" s="3" t="s">
        <v>2478</v>
      </c>
      <c r="E678" s="3" t="s">
        <v>56</v>
      </c>
      <c r="F678" s="3" t="s">
        <v>2479</v>
      </c>
      <c r="G678" s="3" t="s">
        <v>2480</v>
      </c>
      <c r="H678" s="43">
        <v>45377</v>
      </c>
      <c r="I678" s="43">
        <v>45550</v>
      </c>
      <c r="J678" s="47" t="str">
        <f>IF(GroDB3[[#This Row],[Last_Order_Date]]&lt;=GroDB3[[#This Row],[Date_Received]], "Yes", "No")</f>
        <v>No</v>
      </c>
      <c r="K678" s="43">
        <f>IF(GroDB3[[#This Row],[Column1]]="No",GroDB3[[#This Row],[Last_Order_Date]],GroDB3[[#This Row],[Date_Received]])</f>
        <v>45550</v>
      </c>
      <c r="L678" s="43">
        <f>IF(GroDB3[[#This Row],[Column1]]="No",GroDB3[[#This Row],[Date_Received]],GroDB3[[#This Row],[Last_Order_Date]])</f>
        <v>45377</v>
      </c>
      <c r="M678" s="43">
        <v>45608</v>
      </c>
      <c r="N678" s="3">
        <v>59</v>
      </c>
      <c r="O678" s="3">
        <v>74</v>
      </c>
      <c r="P678" s="3">
        <v>100</v>
      </c>
      <c r="Q678" s="4">
        <v>4.5</v>
      </c>
      <c r="R678" s="3">
        <v>63</v>
      </c>
      <c r="S678" s="3">
        <v>69</v>
      </c>
      <c r="T678" s="7">
        <v>-0.28000000000000003</v>
      </c>
    </row>
    <row r="679" spans="1:20" x14ac:dyDescent="0.35">
      <c r="A679" s="5" t="s">
        <v>544</v>
      </c>
      <c r="B679" s="3" t="s">
        <v>91</v>
      </c>
      <c r="C679" s="3" t="s">
        <v>1465</v>
      </c>
      <c r="D679" s="3" t="s">
        <v>2481</v>
      </c>
      <c r="E679" s="3" t="s">
        <v>21</v>
      </c>
      <c r="F679" s="3" t="s">
        <v>2482</v>
      </c>
      <c r="G679" s="3" t="s">
        <v>2483</v>
      </c>
      <c r="H679" s="43">
        <v>45377</v>
      </c>
      <c r="I679" s="43">
        <v>45620</v>
      </c>
      <c r="J679" s="47" t="str">
        <f>IF(GroDB3[[#This Row],[Last_Order_Date]]&lt;=GroDB3[[#This Row],[Date_Received]], "Yes", "No")</f>
        <v>No</v>
      </c>
      <c r="K679" s="43">
        <f>IF(GroDB3[[#This Row],[Column1]]="No",GroDB3[[#This Row],[Last_Order_Date]],GroDB3[[#This Row],[Date_Received]])</f>
        <v>45620</v>
      </c>
      <c r="L679" s="43">
        <f>IF(GroDB3[[#This Row],[Column1]]="No",GroDB3[[#This Row],[Date_Received]],GroDB3[[#This Row],[Last_Order_Date]])</f>
        <v>45377</v>
      </c>
      <c r="M679" s="43">
        <v>45451</v>
      </c>
      <c r="N679" s="3">
        <v>48</v>
      </c>
      <c r="O679" s="3">
        <v>2</v>
      </c>
      <c r="P679" s="3">
        <v>16</v>
      </c>
      <c r="Q679" s="4">
        <v>2.8</v>
      </c>
      <c r="R679" s="3">
        <v>27</v>
      </c>
      <c r="S679" s="3">
        <v>1</v>
      </c>
      <c r="T679" s="7">
        <v>-0.1</v>
      </c>
    </row>
    <row r="680" spans="1:20" x14ac:dyDescent="0.35">
      <c r="A680" s="5" t="s">
        <v>42</v>
      </c>
      <c r="B680" s="3" t="s">
        <v>18</v>
      </c>
      <c r="C680" s="3" t="s">
        <v>2041</v>
      </c>
      <c r="D680" s="3" t="s">
        <v>2484</v>
      </c>
      <c r="E680" s="3" t="s">
        <v>21</v>
      </c>
      <c r="F680" s="3" t="s">
        <v>2485</v>
      </c>
      <c r="G680" s="3" t="s">
        <v>2486</v>
      </c>
      <c r="H680" s="43">
        <v>45378</v>
      </c>
      <c r="I680" s="43">
        <v>45528</v>
      </c>
      <c r="J680" s="47" t="str">
        <f>IF(GroDB3[[#This Row],[Last_Order_Date]]&lt;=GroDB3[[#This Row],[Date_Received]], "Yes", "No")</f>
        <v>No</v>
      </c>
      <c r="K680" s="43">
        <f>IF(GroDB3[[#This Row],[Column1]]="No",GroDB3[[#This Row],[Last_Order_Date]],GroDB3[[#This Row],[Date_Received]])</f>
        <v>45528</v>
      </c>
      <c r="L680" s="43">
        <f>IF(GroDB3[[#This Row],[Column1]]="No",GroDB3[[#This Row],[Date_Received]],GroDB3[[#This Row],[Last_Order_Date]])</f>
        <v>45378</v>
      </c>
      <c r="M680" s="43">
        <v>45423</v>
      </c>
      <c r="N680" s="3">
        <v>76</v>
      </c>
      <c r="O680" s="3">
        <v>97</v>
      </c>
      <c r="P680" s="3">
        <v>20</v>
      </c>
      <c r="Q680" s="4">
        <v>7</v>
      </c>
      <c r="R680" s="3">
        <v>52</v>
      </c>
      <c r="S680" s="3">
        <v>82</v>
      </c>
      <c r="T680" s="7">
        <v>0.96</v>
      </c>
    </row>
    <row r="681" spans="1:20" x14ac:dyDescent="0.35">
      <c r="A681" s="5" t="s">
        <v>544</v>
      </c>
      <c r="B681" s="3" t="s">
        <v>91</v>
      </c>
      <c r="C681" s="3" t="s">
        <v>1712</v>
      </c>
      <c r="D681" s="3" t="s">
        <v>2487</v>
      </c>
      <c r="E681" s="3" t="s">
        <v>21</v>
      </c>
      <c r="F681" s="3" t="s">
        <v>2488</v>
      </c>
      <c r="G681" s="3" t="s">
        <v>2489</v>
      </c>
      <c r="H681" s="43">
        <v>45378</v>
      </c>
      <c r="I681" s="43">
        <v>45428</v>
      </c>
      <c r="J681" s="47" t="str">
        <f>IF(GroDB3[[#This Row],[Last_Order_Date]]&lt;=GroDB3[[#This Row],[Date_Received]], "Yes", "No")</f>
        <v>No</v>
      </c>
      <c r="K681" s="43">
        <f>IF(GroDB3[[#This Row],[Column1]]="No",GroDB3[[#This Row],[Last_Order_Date]],GroDB3[[#This Row],[Date_Received]])</f>
        <v>45428</v>
      </c>
      <c r="L681" s="43">
        <f>IF(GroDB3[[#This Row],[Column1]]="No",GroDB3[[#This Row],[Date_Received]],GroDB3[[#This Row],[Last_Order_Date]])</f>
        <v>45378</v>
      </c>
      <c r="M681" s="43">
        <v>45552</v>
      </c>
      <c r="N681" s="3">
        <v>50</v>
      </c>
      <c r="O681" s="3">
        <v>56</v>
      </c>
      <c r="P681" s="3">
        <v>63</v>
      </c>
      <c r="Q681" s="4">
        <v>3</v>
      </c>
      <c r="R681" s="3">
        <v>70</v>
      </c>
      <c r="S681" s="3">
        <v>100</v>
      </c>
      <c r="T681" s="7">
        <v>-0.57999999999999996</v>
      </c>
    </row>
    <row r="682" spans="1:20" x14ac:dyDescent="0.35">
      <c r="A682" s="5" t="s">
        <v>126</v>
      </c>
      <c r="B682" s="3" t="s">
        <v>127</v>
      </c>
      <c r="C682" s="3" t="s">
        <v>637</v>
      </c>
      <c r="D682" s="3" t="s">
        <v>2490</v>
      </c>
      <c r="E682" s="3" t="s">
        <v>28</v>
      </c>
      <c r="F682" s="3" t="s">
        <v>2491</v>
      </c>
      <c r="G682" s="3" t="s">
        <v>2492</v>
      </c>
      <c r="H682" s="43">
        <v>45378</v>
      </c>
      <c r="I682" s="43">
        <v>45433</v>
      </c>
      <c r="J682" s="47" t="str">
        <f>IF(GroDB3[[#This Row],[Last_Order_Date]]&lt;=GroDB3[[#This Row],[Date_Received]], "Yes", "No")</f>
        <v>No</v>
      </c>
      <c r="K682" s="43">
        <f>IF(GroDB3[[#This Row],[Column1]]="No",GroDB3[[#This Row],[Last_Order_Date]],GroDB3[[#This Row],[Date_Received]])</f>
        <v>45433</v>
      </c>
      <c r="L682" s="43">
        <f>IF(GroDB3[[#This Row],[Column1]]="No",GroDB3[[#This Row],[Date_Received]],GroDB3[[#This Row],[Last_Order_Date]])</f>
        <v>45378</v>
      </c>
      <c r="M682" s="43">
        <v>45617</v>
      </c>
      <c r="N682" s="3">
        <v>23</v>
      </c>
      <c r="O682" s="3">
        <v>13</v>
      </c>
      <c r="P682" s="3">
        <v>15</v>
      </c>
      <c r="Q682" s="4">
        <v>20</v>
      </c>
      <c r="R682" s="3">
        <v>31</v>
      </c>
      <c r="S682" s="3">
        <v>28</v>
      </c>
      <c r="T682" s="7">
        <v>-0.43</v>
      </c>
    </row>
    <row r="683" spans="1:20" x14ac:dyDescent="0.35">
      <c r="A683" s="5" t="s">
        <v>106</v>
      </c>
      <c r="B683" s="3" t="s">
        <v>32</v>
      </c>
      <c r="C683" s="3" t="s">
        <v>2223</v>
      </c>
      <c r="D683" s="3" t="s">
        <v>2493</v>
      </c>
      <c r="E683" s="3" t="s">
        <v>56</v>
      </c>
      <c r="F683" s="3" t="s">
        <v>2494</v>
      </c>
      <c r="G683" s="3" t="s">
        <v>2495</v>
      </c>
      <c r="H683" s="43">
        <v>45378</v>
      </c>
      <c r="I683" s="43">
        <v>45421</v>
      </c>
      <c r="J683" s="47" t="str">
        <f>IF(GroDB3[[#This Row],[Last_Order_Date]]&lt;=GroDB3[[#This Row],[Date_Received]], "Yes", "No")</f>
        <v>No</v>
      </c>
      <c r="K683" s="43">
        <f>IF(GroDB3[[#This Row],[Column1]]="No",GroDB3[[#This Row],[Last_Order_Date]],GroDB3[[#This Row],[Date_Received]])</f>
        <v>45421</v>
      </c>
      <c r="L683" s="43">
        <f>IF(GroDB3[[#This Row],[Column1]]="No",GroDB3[[#This Row],[Date_Received]],GroDB3[[#This Row],[Last_Order_Date]])</f>
        <v>45378</v>
      </c>
      <c r="M683" s="43">
        <v>45646</v>
      </c>
      <c r="N683" s="3">
        <v>86</v>
      </c>
      <c r="O683" s="3">
        <v>16</v>
      </c>
      <c r="P683" s="3">
        <v>37</v>
      </c>
      <c r="Q683" s="4">
        <v>2.5</v>
      </c>
      <c r="R683" s="3">
        <v>34</v>
      </c>
      <c r="S683" s="3">
        <v>66</v>
      </c>
      <c r="T683" s="7">
        <v>0.1</v>
      </c>
    </row>
    <row r="684" spans="1:20" x14ac:dyDescent="0.35">
      <c r="A684" s="5" t="s">
        <v>736</v>
      </c>
      <c r="B684" s="3" t="s">
        <v>91</v>
      </c>
      <c r="C684" s="3" t="s">
        <v>2496</v>
      </c>
      <c r="D684" s="3" t="s">
        <v>2497</v>
      </c>
      <c r="E684" s="3" t="s">
        <v>21</v>
      </c>
      <c r="F684" s="3" t="s">
        <v>2498</v>
      </c>
      <c r="G684" s="3" t="s">
        <v>2499</v>
      </c>
      <c r="H684" s="43">
        <v>45378</v>
      </c>
      <c r="I684" s="43">
        <v>45468</v>
      </c>
      <c r="J684" s="47" t="str">
        <f>IF(GroDB3[[#This Row],[Last_Order_Date]]&lt;=GroDB3[[#This Row],[Date_Received]], "Yes", "No")</f>
        <v>No</v>
      </c>
      <c r="K684" s="43">
        <f>IF(GroDB3[[#This Row],[Column1]]="No",GroDB3[[#This Row],[Last_Order_Date]],GroDB3[[#This Row],[Date_Received]])</f>
        <v>45468</v>
      </c>
      <c r="L684" s="43">
        <f>IF(GroDB3[[#This Row],[Column1]]="No",GroDB3[[#This Row],[Date_Received]],GroDB3[[#This Row],[Last_Order_Date]])</f>
        <v>45378</v>
      </c>
      <c r="M684" s="43">
        <v>45572</v>
      </c>
      <c r="N684" s="3">
        <v>28</v>
      </c>
      <c r="O684" s="3">
        <v>62</v>
      </c>
      <c r="P684" s="3">
        <v>81</v>
      </c>
      <c r="Q684" s="4">
        <v>5</v>
      </c>
      <c r="R684" s="3">
        <v>28</v>
      </c>
      <c r="S684" s="3">
        <v>30</v>
      </c>
      <c r="T684" s="7">
        <v>-0.94</v>
      </c>
    </row>
    <row r="685" spans="1:20" x14ac:dyDescent="0.35">
      <c r="A685" s="5" t="s">
        <v>165</v>
      </c>
      <c r="B685" s="3" t="s">
        <v>60</v>
      </c>
      <c r="C685" s="3" t="s">
        <v>2500</v>
      </c>
      <c r="D685" s="3" t="s">
        <v>2501</v>
      </c>
      <c r="E685" s="3" t="s">
        <v>28</v>
      </c>
      <c r="F685" s="3" t="s">
        <v>2502</v>
      </c>
      <c r="G685" s="3" t="s">
        <v>2503</v>
      </c>
      <c r="H685" s="43">
        <v>45379</v>
      </c>
      <c r="I685" s="43">
        <v>45658</v>
      </c>
      <c r="J685" s="47" t="str">
        <f>IF(GroDB3[[#This Row],[Last_Order_Date]]&lt;=GroDB3[[#This Row],[Date_Received]], "Yes", "No")</f>
        <v>No</v>
      </c>
      <c r="K685" s="43">
        <f>IF(GroDB3[[#This Row],[Column1]]="No",GroDB3[[#This Row],[Last_Order_Date]],GroDB3[[#This Row],[Date_Received]])</f>
        <v>45658</v>
      </c>
      <c r="L685" s="43">
        <f>IF(GroDB3[[#This Row],[Column1]]="No",GroDB3[[#This Row],[Date_Received]],GroDB3[[#This Row],[Last_Order_Date]])</f>
        <v>45379</v>
      </c>
      <c r="M685" s="43">
        <v>45415</v>
      </c>
      <c r="N685" s="3">
        <v>85</v>
      </c>
      <c r="O685" s="3">
        <v>92</v>
      </c>
      <c r="P685" s="3">
        <v>66</v>
      </c>
      <c r="Q685" s="4">
        <v>6.7</v>
      </c>
      <c r="R685" s="3">
        <v>54</v>
      </c>
      <c r="S685" s="3">
        <v>85</v>
      </c>
      <c r="T685" s="7">
        <v>-7.0000000000000007E-2</v>
      </c>
    </row>
    <row r="686" spans="1:20" x14ac:dyDescent="0.35">
      <c r="A686" s="5" t="s">
        <v>1179</v>
      </c>
      <c r="B686" s="3" t="s">
        <v>91</v>
      </c>
      <c r="C686" s="3" t="s">
        <v>2504</v>
      </c>
      <c r="D686" s="3" t="s">
        <v>2505</v>
      </c>
      <c r="E686" s="3" t="s">
        <v>28</v>
      </c>
      <c r="F686" s="3" t="s">
        <v>2506</v>
      </c>
      <c r="G686" s="3" t="s">
        <v>2507</v>
      </c>
      <c r="H686" s="43">
        <v>45379</v>
      </c>
      <c r="I686" s="43">
        <v>45685</v>
      </c>
      <c r="J686" s="47" t="str">
        <f>IF(GroDB3[[#This Row],[Last_Order_Date]]&lt;=GroDB3[[#This Row],[Date_Received]], "Yes", "No")</f>
        <v>No</v>
      </c>
      <c r="K686" s="43">
        <f>IF(GroDB3[[#This Row],[Column1]]="No",GroDB3[[#This Row],[Last_Order_Date]],GroDB3[[#This Row],[Date_Received]])</f>
        <v>45685</v>
      </c>
      <c r="L686" s="43">
        <f>IF(GroDB3[[#This Row],[Column1]]="No",GroDB3[[#This Row],[Date_Received]],GroDB3[[#This Row],[Last_Order_Date]])</f>
        <v>45379</v>
      </c>
      <c r="M686" s="43">
        <v>45406</v>
      </c>
      <c r="N686" s="3">
        <v>42</v>
      </c>
      <c r="O686" s="3">
        <v>88</v>
      </c>
      <c r="P686" s="3">
        <v>95</v>
      </c>
      <c r="Q686" s="4">
        <v>2.5</v>
      </c>
      <c r="R686" s="3">
        <v>67</v>
      </c>
      <c r="S686" s="3">
        <v>94</v>
      </c>
      <c r="T686" s="7">
        <v>-0.56999999999999995</v>
      </c>
    </row>
    <row r="687" spans="1:20" x14ac:dyDescent="0.35">
      <c r="A687" s="5" t="s">
        <v>1081</v>
      </c>
      <c r="B687" s="3" t="s">
        <v>127</v>
      </c>
      <c r="C687" s="3" t="s">
        <v>540</v>
      </c>
      <c r="D687" s="3" t="s">
        <v>2508</v>
      </c>
      <c r="E687" s="3" t="s">
        <v>56</v>
      </c>
      <c r="F687" s="3" t="s">
        <v>2509</v>
      </c>
      <c r="G687" s="3" t="s">
        <v>2510</v>
      </c>
      <c r="H687" s="43">
        <v>45380</v>
      </c>
      <c r="I687" s="43">
        <v>45461</v>
      </c>
      <c r="J687" s="47" t="str">
        <f>IF(GroDB3[[#This Row],[Last_Order_Date]]&lt;=GroDB3[[#This Row],[Date_Received]], "Yes", "No")</f>
        <v>No</v>
      </c>
      <c r="K687" s="43">
        <f>IF(GroDB3[[#This Row],[Column1]]="No",GroDB3[[#This Row],[Last_Order_Date]],GroDB3[[#This Row],[Date_Received]])</f>
        <v>45461</v>
      </c>
      <c r="L687" s="43">
        <f>IF(GroDB3[[#This Row],[Column1]]="No",GroDB3[[#This Row],[Date_Received]],GroDB3[[#This Row],[Last_Order_Date]])</f>
        <v>45380</v>
      </c>
      <c r="M687" s="43">
        <v>45613</v>
      </c>
      <c r="N687" s="3">
        <v>51</v>
      </c>
      <c r="O687" s="3">
        <v>1</v>
      </c>
      <c r="P687" s="3">
        <v>61</v>
      </c>
      <c r="Q687" s="4">
        <v>7.6</v>
      </c>
      <c r="R687" s="3">
        <v>96</v>
      </c>
      <c r="S687" s="3">
        <v>26</v>
      </c>
      <c r="T687" s="7">
        <v>-0.4</v>
      </c>
    </row>
    <row r="688" spans="1:20" x14ac:dyDescent="0.35">
      <c r="A688" s="5" t="s">
        <v>253</v>
      </c>
      <c r="B688" s="3" t="s">
        <v>18</v>
      </c>
      <c r="C688" s="3" t="s">
        <v>2511</v>
      </c>
      <c r="D688" s="3" t="s">
        <v>2512</v>
      </c>
      <c r="E688" s="3" t="s">
        <v>21</v>
      </c>
      <c r="F688" s="3" t="s">
        <v>2513</v>
      </c>
      <c r="G688" s="3" t="s">
        <v>2514</v>
      </c>
      <c r="H688" s="43">
        <v>45380</v>
      </c>
      <c r="I688" s="43">
        <v>45693</v>
      </c>
      <c r="J688" s="47" t="str">
        <f>IF(GroDB3[[#This Row],[Last_Order_Date]]&lt;=GroDB3[[#This Row],[Date_Received]], "Yes", "No")</f>
        <v>No</v>
      </c>
      <c r="K688" s="43">
        <f>IF(GroDB3[[#This Row],[Column1]]="No",GroDB3[[#This Row],[Last_Order_Date]],GroDB3[[#This Row],[Date_Received]])</f>
        <v>45693</v>
      </c>
      <c r="L688" s="43">
        <f>IF(GroDB3[[#This Row],[Column1]]="No",GroDB3[[#This Row],[Date_Received]],GroDB3[[#This Row],[Last_Order_Date]])</f>
        <v>45380</v>
      </c>
      <c r="M688" s="43">
        <v>45495</v>
      </c>
      <c r="N688" s="3">
        <v>73</v>
      </c>
      <c r="O688" s="3">
        <v>83</v>
      </c>
      <c r="P688" s="3">
        <v>74</v>
      </c>
      <c r="Q688" s="4">
        <v>5</v>
      </c>
      <c r="R688" s="3">
        <v>87</v>
      </c>
      <c r="S688" s="3">
        <v>10</v>
      </c>
      <c r="T688" s="7">
        <v>0.73</v>
      </c>
    </row>
    <row r="689" spans="1:20" x14ac:dyDescent="0.35">
      <c r="A689" s="5" t="s">
        <v>225</v>
      </c>
      <c r="B689" s="3" t="s">
        <v>91</v>
      </c>
      <c r="C689" s="3" t="s">
        <v>2515</v>
      </c>
      <c r="D689" s="3" t="s">
        <v>2516</v>
      </c>
      <c r="E689" s="3" t="s">
        <v>21</v>
      </c>
      <c r="F689" s="3" t="s">
        <v>2517</v>
      </c>
      <c r="G689" s="3" t="s">
        <v>2518</v>
      </c>
      <c r="H689" s="43">
        <v>45380</v>
      </c>
      <c r="I689" s="43">
        <v>45608</v>
      </c>
      <c r="J689" s="47" t="str">
        <f>IF(GroDB3[[#This Row],[Last_Order_Date]]&lt;=GroDB3[[#This Row],[Date_Received]], "Yes", "No")</f>
        <v>No</v>
      </c>
      <c r="K689" s="43">
        <f>IF(GroDB3[[#This Row],[Column1]]="No",GroDB3[[#This Row],[Last_Order_Date]],GroDB3[[#This Row],[Date_Received]])</f>
        <v>45608</v>
      </c>
      <c r="L689" s="43">
        <f>IF(GroDB3[[#This Row],[Column1]]="No",GroDB3[[#This Row],[Date_Received]],GroDB3[[#This Row],[Last_Order_Date]])</f>
        <v>45380</v>
      </c>
      <c r="M689" s="43">
        <v>45583</v>
      </c>
      <c r="N689" s="3">
        <v>53</v>
      </c>
      <c r="O689" s="3">
        <v>19</v>
      </c>
      <c r="P689" s="3">
        <v>94</v>
      </c>
      <c r="Q689" s="4">
        <v>5</v>
      </c>
      <c r="R689" s="3">
        <v>82</v>
      </c>
      <c r="S689" s="3">
        <v>56</v>
      </c>
      <c r="T689" s="7">
        <v>0.89</v>
      </c>
    </row>
    <row r="690" spans="1:20" x14ac:dyDescent="0.35">
      <c r="A690" s="5" t="s">
        <v>1624</v>
      </c>
      <c r="B690" s="3" t="s">
        <v>60</v>
      </c>
      <c r="C690" s="3" t="s">
        <v>770</v>
      </c>
      <c r="D690" s="3" t="s">
        <v>2519</v>
      </c>
      <c r="E690" s="3" t="s">
        <v>28</v>
      </c>
      <c r="F690" s="3" t="s">
        <v>2520</v>
      </c>
      <c r="G690" s="3" t="s">
        <v>2521</v>
      </c>
      <c r="H690" s="43">
        <v>45381</v>
      </c>
      <c r="I690" s="43">
        <v>45367</v>
      </c>
      <c r="J690" s="47" t="str">
        <f>IF(GroDB3[[#This Row],[Last_Order_Date]]&lt;=GroDB3[[#This Row],[Date_Received]], "Yes", "No")</f>
        <v>Yes</v>
      </c>
      <c r="K690" s="43">
        <f>IF(GroDB3[[#This Row],[Column1]]="No",GroDB3[[#This Row],[Last_Order_Date]],GroDB3[[#This Row],[Date_Received]])</f>
        <v>45381</v>
      </c>
      <c r="L690" s="43">
        <f>IF(GroDB3[[#This Row],[Column1]]="No",GroDB3[[#This Row],[Date_Received]],GroDB3[[#This Row],[Last_Order_Date]])</f>
        <v>45367</v>
      </c>
      <c r="M690" s="43">
        <v>45703</v>
      </c>
      <c r="N690" s="3">
        <v>82</v>
      </c>
      <c r="O690" s="3">
        <v>25</v>
      </c>
      <c r="P690" s="3">
        <v>94</v>
      </c>
      <c r="Q690" s="4">
        <v>7.5</v>
      </c>
      <c r="R690" s="3">
        <v>66</v>
      </c>
      <c r="S690" s="3">
        <v>14</v>
      </c>
      <c r="T690" s="7">
        <v>0.32</v>
      </c>
    </row>
    <row r="691" spans="1:20" x14ac:dyDescent="0.35">
      <c r="A691" s="5" t="s">
        <v>392</v>
      </c>
      <c r="B691" s="3" t="s">
        <v>18</v>
      </c>
      <c r="C691" s="3" t="s">
        <v>2233</v>
      </c>
      <c r="D691" s="3" t="s">
        <v>2522</v>
      </c>
      <c r="E691" s="3" t="s">
        <v>56</v>
      </c>
      <c r="F691" s="3" t="s">
        <v>2523</v>
      </c>
      <c r="G691" s="3" t="s">
        <v>2524</v>
      </c>
      <c r="H691" s="43">
        <v>45381</v>
      </c>
      <c r="I691" s="43">
        <v>45529</v>
      </c>
      <c r="J691" s="47" t="str">
        <f>IF(GroDB3[[#This Row],[Last_Order_Date]]&lt;=GroDB3[[#This Row],[Date_Received]], "Yes", "No")</f>
        <v>No</v>
      </c>
      <c r="K691" s="43">
        <f>IF(GroDB3[[#This Row],[Column1]]="No",GroDB3[[#This Row],[Last_Order_Date]],GroDB3[[#This Row],[Date_Received]])</f>
        <v>45529</v>
      </c>
      <c r="L691" s="43">
        <f>IF(GroDB3[[#This Row],[Column1]]="No",GroDB3[[#This Row],[Date_Received]],GroDB3[[#This Row],[Last_Order_Date]])</f>
        <v>45381</v>
      </c>
      <c r="M691" s="43">
        <v>45697</v>
      </c>
      <c r="N691" s="3">
        <v>98</v>
      </c>
      <c r="O691" s="3">
        <v>62</v>
      </c>
      <c r="P691" s="3">
        <v>97</v>
      </c>
      <c r="Q691" s="4">
        <v>5.5</v>
      </c>
      <c r="R691" s="3">
        <v>59</v>
      </c>
      <c r="S691" s="3">
        <v>19</v>
      </c>
      <c r="T691" s="7">
        <v>0.79</v>
      </c>
    </row>
    <row r="692" spans="1:20" x14ac:dyDescent="0.35">
      <c r="A692" s="5" t="s">
        <v>433</v>
      </c>
      <c r="B692" s="3" t="s">
        <v>18</v>
      </c>
      <c r="C692" s="3" t="s">
        <v>2525</v>
      </c>
      <c r="D692" s="3" t="s">
        <v>2526</v>
      </c>
      <c r="E692" s="3" t="s">
        <v>56</v>
      </c>
      <c r="F692" s="3" t="s">
        <v>2527</v>
      </c>
      <c r="G692" s="3" t="s">
        <v>2528</v>
      </c>
      <c r="H692" s="43">
        <v>45381</v>
      </c>
      <c r="I692" s="43">
        <v>45491</v>
      </c>
      <c r="J692" s="47" t="str">
        <f>IF(GroDB3[[#This Row],[Last_Order_Date]]&lt;=GroDB3[[#This Row],[Date_Received]], "Yes", "No")</f>
        <v>No</v>
      </c>
      <c r="K692" s="43">
        <f>IF(GroDB3[[#This Row],[Column1]]="No",GroDB3[[#This Row],[Last_Order_Date]],GroDB3[[#This Row],[Date_Received]])</f>
        <v>45491</v>
      </c>
      <c r="L692" s="43">
        <f>IF(GroDB3[[#This Row],[Column1]]="No",GroDB3[[#This Row],[Date_Received]],GroDB3[[#This Row],[Last_Order_Date]])</f>
        <v>45381</v>
      </c>
      <c r="M692" s="43">
        <v>45677</v>
      </c>
      <c r="N692" s="3">
        <v>39</v>
      </c>
      <c r="O692" s="3">
        <v>19</v>
      </c>
      <c r="P692" s="3">
        <v>18</v>
      </c>
      <c r="Q692" s="4">
        <v>13.99</v>
      </c>
      <c r="R692" s="3">
        <v>58</v>
      </c>
      <c r="S692" s="3">
        <v>90</v>
      </c>
      <c r="T692" s="7">
        <v>0.68</v>
      </c>
    </row>
    <row r="693" spans="1:20" x14ac:dyDescent="0.35">
      <c r="A693" s="5" t="s">
        <v>156</v>
      </c>
      <c r="B693" s="3" t="s">
        <v>127</v>
      </c>
      <c r="C693" s="3" t="s">
        <v>66</v>
      </c>
      <c r="D693" s="3" t="s">
        <v>2529</v>
      </c>
      <c r="E693" s="3" t="s">
        <v>28</v>
      </c>
      <c r="F693" s="3" t="s">
        <v>2530</v>
      </c>
      <c r="G693" s="3" t="s">
        <v>2531</v>
      </c>
      <c r="H693" s="43">
        <v>45382</v>
      </c>
      <c r="I693" s="43">
        <v>45690</v>
      </c>
      <c r="J693" s="47" t="str">
        <f>IF(GroDB3[[#This Row],[Last_Order_Date]]&lt;=GroDB3[[#This Row],[Date_Received]], "Yes", "No")</f>
        <v>No</v>
      </c>
      <c r="K693" s="43">
        <f>IF(GroDB3[[#This Row],[Column1]]="No",GroDB3[[#This Row],[Last_Order_Date]],GroDB3[[#This Row],[Date_Received]])</f>
        <v>45690</v>
      </c>
      <c r="L693" s="43">
        <f>IF(GroDB3[[#This Row],[Column1]]="No",GroDB3[[#This Row],[Date_Received]],GroDB3[[#This Row],[Last_Order_Date]])</f>
        <v>45382</v>
      </c>
      <c r="M693" s="43">
        <v>45391</v>
      </c>
      <c r="N693" s="3">
        <v>43</v>
      </c>
      <c r="O693" s="3">
        <v>38</v>
      </c>
      <c r="P693" s="3">
        <v>63</v>
      </c>
      <c r="Q693" s="4">
        <v>12</v>
      </c>
      <c r="R693" s="3">
        <v>88</v>
      </c>
      <c r="S693" s="3">
        <v>65</v>
      </c>
      <c r="T693" s="7">
        <v>-0.55000000000000004</v>
      </c>
    </row>
    <row r="694" spans="1:20" x14ac:dyDescent="0.35">
      <c r="A694" s="5" t="s">
        <v>1202</v>
      </c>
      <c r="B694" s="3" t="s">
        <v>18</v>
      </c>
      <c r="C694" s="3" t="s">
        <v>133</v>
      </c>
      <c r="D694" s="3" t="s">
        <v>2532</v>
      </c>
      <c r="E694" s="3" t="s">
        <v>28</v>
      </c>
      <c r="F694" s="3" t="s">
        <v>2533</v>
      </c>
      <c r="G694" s="3" t="s">
        <v>2534</v>
      </c>
      <c r="H694" s="43">
        <v>45382</v>
      </c>
      <c r="I694" s="43">
        <v>45538</v>
      </c>
      <c r="J694" s="47" t="str">
        <f>IF(GroDB3[[#This Row],[Last_Order_Date]]&lt;=GroDB3[[#This Row],[Date_Received]], "Yes", "No")</f>
        <v>No</v>
      </c>
      <c r="K694" s="43">
        <f>IF(GroDB3[[#This Row],[Column1]]="No",GroDB3[[#This Row],[Last_Order_Date]],GroDB3[[#This Row],[Date_Received]])</f>
        <v>45538</v>
      </c>
      <c r="L694" s="43">
        <f>IF(GroDB3[[#This Row],[Column1]]="No",GroDB3[[#This Row],[Date_Received]],GroDB3[[#This Row],[Last_Order_Date]])</f>
        <v>45382</v>
      </c>
      <c r="M694" s="43">
        <v>45361</v>
      </c>
      <c r="N694" s="3">
        <v>90</v>
      </c>
      <c r="O694" s="3">
        <v>17</v>
      </c>
      <c r="P694" s="3">
        <v>17</v>
      </c>
      <c r="Q694" s="4">
        <v>3</v>
      </c>
      <c r="R694" s="3">
        <v>82</v>
      </c>
      <c r="S694" s="3">
        <v>84</v>
      </c>
      <c r="T694" s="7">
        <v>0.26</v>
      </c>
    </row>
    <row r="695" spans="1:20" x14ac:dyDescent="0.35">
      <c r="A695" s="5" t="s">
        <v>1138</v>
      </c>
      <c r="B695" s="3" t="s">
        <v>32</v>
      </c>
      <c r="C695" s="3" t="s">
        <v>2535</v>
      </c>
      <c r="D695" s="3" t="s">
        <v>2536</v>
      </c>
      <c r="E695" s="3" t="s">
        <v>28</v>
      </c>
      <c r="F695" s="3" t="s">
        <v>2537</v>
      </c>
      <c r="G695" s="3" t="s">
        <v>2538</v>
      </c>
      <c r="H695" s="43">
        <v>45382</v>
      </c>
      <c r="I695" s="43">
        <v>45591</v>
      </c>
      <c r="J695" s="47" t="str">
        <f>IF(GroDB3[[#This Row],[Last_Order_Date]]&lt;=GroDB3[[#This Row],[Date_Received]], "Yes", "No")</f>
        <v>No</v>
      </c>
      <c r="K695" s="43">
        <f>IF(GroDB3[[#This Row],[Column1]]="No",GroDB3[[#This Row],[Last_Order_Date]],GroDB3[[#This Row],[Date_Received]])</f>
        <v>45591</v>
      </c>
      <c r="L695" s="43">
        <f>IF(GroDB3[[#This Row],[Column1]]="No",GroDB3[[#This Row],[Date_Received]],GroDB3[[#This Row],[Last_Order_Date]])</f>
        <v>45382</v>
      </c>
      <c r="M695" s="43">
        <v>45552</v>
      </c>
      <c r="N695" s="3">
        <v>70</v>
      </c>
      <c r="O695" s="3">
        <v>29</v>
      </c>
      <c r="P695" s="3">
        <v>24</v>
      </c>
      <c r="Q695" s="4">
        <v>0.2</v>
      </c>
      <c r="R695" s="3">
        <v>62</v>
      </c>
      <c r="S695" s="3">
        <v>55</v>
      </c>
      <c r="T695" s="7">
        <v>-0.02</v>
      </c>
    </row>
    <row r="696" spans="1:20" x14ac:dyDescent="0.35">
      <c r="A696" s="5" t="s">
        <v>52</v>
      </c>
      <c r="B696" s="3" t="s">
        <v>53</v>
      </c>
      <c r="C696" s="3" t="s">
        <v>678</v>
      </c>
      <c r="D696" s="3" t="s">
        <v>2539</v>
      </c>
      <c r="E696" s="3" t="s">
        <v>56</v>
      </c>
      <c r="F696" s="3" t="s">
        <v>2540</v>
      </c>
      <c r="G696" s="3" t="s">
        <v>2541</v>
      </c>
      <c r="H696" s="43">
        <v>45382</v>
      </c>
      <c r="I696" s="43">
        <v>45647</v>
      </c>
      <c r="J696" s="47" t="str">
        <f>IF(GroDB3[[#This Row],[Last_Order_Date]]&lt;=GroDB3[[#This Row],[Date_Received]], "Yes", "No")</f>
        <v>No</v>
      </c>
      <c r="K696" s="43">
        <f>IF(GroDB3[[#This Row],[Column1]]="No",GroDB3[[#This Row],[Last_Order_Date]],GroDB3[[#This Row],[Date_Received]])</f>
        <v>45647</v>
      </c>
      <c r="L696" s="43">
        <f>IF(GroDB3[[#This Row],[Column1]]="No",GroDB3[[#This Row],[Date_Received]],GroDB3[[#This Row],[Last_Order_Date]])</f>
        <v>45382</v>
      </c>
      <c r="M696" s="43">
        <v>45612</v>
      </c>
      <c r="N696" s="3">
        <v>91</v>
      </c>
      <c r="O696" s="3">
        <v>39</v>
      </c>
      <c r="P696" s="3">
        <v>48</v>
      </c>
      <c r="Q696" s="4">
        <v>5</v>
      </c>
      <c r="R696" s="3">
        <v>48</v>
      </c>
      <c r="S696" s="3">
        <v>18</v>
      </c>
      <c r="T696" s="7">
        <v>0.11</v>
      </c>
    </row>
    <row r="697" spans="1:20" x14ac:dyDescent="0.35">
      <c r="A697" s="5" t="s">
        <v>1350</v>
      </c>
      <c r="B697" s="3" t="s">
        <v>32</v>
      </c>
      <c r="C697" s="3" t="s">
        <v>2542</v>
      </c>
      <c r="D697" s="3" t="s">
        <v>2543</v>
      </c>
      <c r="E697" s="3" t="s">
        <v>21</v>
      </c>
      <c r="F697" s="3" t="s">
        <v>2544</v>
      </c>
      <c r="G697" s="3" t="s">
        <v>2545</v>
      </c>
      <c r="H697" s="43">
        <v>45395</v>
      </c>
      <c r="I697" s="43">
        <v>45460</v>
      </c>
      <c r="J697" s="47" t="str">
        <f>IF(GroDB3[[#This Row],[Last_Order_Date]]&lt;=GroDB3[[#This Row],[Date_Received]], "Yes", "No")</f>
        <v>No</v>
      </c>
      <c r="K697" s="43">
        <f>IF(GroDB3[[#This Row],[Column1]]="No",GroDB3[[#This Row],[Last_Order_Date]],GroDB3[[#This Row],[Date_Received]])</f>
        <v>45460</v>
      </c>
      <c r="L697" s="43">
        <f>IF(GroDB3[[#This Row],[Column1]]="No",GroDB3[[#This Row],[Date_Received]],GroDB3[[#This Row],[Last_Order_Date]])</f>
        <v>45395</v>
      </c>
      <c r="M697" s="43">
        <v>45619</v>
      </c>
      <c r="N697" s="3">
        <v>36</v>
      </c>
      <c r="O697" s="3">
        <v>75</v>
      </c>
      <c r="P697" s="3">
        <v>35</v>
      </c>
      <c r="Q697" s="4">
        <v>2.9</v>
      </c>
      <c r="R697" s="3">
        <v>26</v>
      </c>
      <c r="S697" s="3">
        <v>41</v>
      </c>
      <c r="T697" s="7">
        <v>0.63</v>
      </c>
    </row>
    <row r="698" spans="1:20" x14ac:dyDescent="0.35">
      <c r="A698" s="5" t="s">
        <v>320</v>
      </c>
      <c r="B698" s="3" t="s">
        <v>18</v>
      </c>
      <c r="C698" s="3" t="s">
        <v>2496</v>
      </c>
      <c r="D698" s="3" t="s">
        <v>2546</v>
      </c>
      <c r="E698" s="3" t="s">
        <v>28</v>
      </c>
      <c r="F698" s="3" t="s">
        <v>2547</v>
      </c>
      <c r="G698" s="3" t="s">
        <v>2548</v>
      </c>
      <c r="H698" s="43">
        <v>45396</v>
      </c>
      <c r="I698" s="43">
        <v>45667</v>
      </c>
      <c r="J698" s="47" t="str">
        <f>IF(GroDB3[[#This Row],[Last_Order_Date]]&lt;=GroDB3[[#This Row],[Date_Received]], "Yes", "No")</f>
        <v>No</v>
      </c>
      <c r="K698" s="43">
        <f>IF(GroDB3[[#This Row],[Column1]]="No",GroDB3[[#This Row],[Last_Order_Date]],GroDB3[[#This Row],[Date_Received]])</f>
        <v>45667</v>
      </c>
      <c r="L698" s="43">
        <f>IF(GroDB3[[#This Row],[Column1]]="No",GroDB3[[#This Row],[Date_Received]],GroDB3[[#This Row],[Last_Order_Date]])</f>
        <v>45396</v>
      </c>
      <c r="M698" s="43">
        <v>45575</v>
      </c>
      <c r="N698" s="3">
        <v>11</v>
      </c>
      <c r="O698" s="3">
        <v>56</v>
      </c>
      <c r="P698" s="3">
        <v>62</v>
      </c>
      <c r="Q698" s="4">
        <v>3.9</v>
      </c>
      <c r="R698" s="3">
        <v>40</v>
      </c>
      <c r="S698" s="3">
        <v>5</v>
      </c>
      <c r="T698" s="7">
        <v>-0.57999999999999996</v>
      </c>
    </row>
    <row r="699" spans="1:20" x14ac:dyDescent="0.35">
      <c r="A699" s="5" t="s">
        <v>392</v>
      </c>
      <c r="B699" s="3" t="s">
        <v>18</v>
      </c>
      <c r="C699" s="3" t="s">
        <v>2253</v>
      </c>
      <c r="D699" s="3" t="s">
        <v>2549</v>
      </c>
      <c r="E699" s="3" t="s">
        <v>28</v>
      </c>
      <c r="F699" s="3" t="s">
        <v>2550</v>
      </c>
      <c r="G699" s="3" t="s">
        <v>2551</v>
      </c>
      <c r="H699" s="43">
        <v>45396</v>
      </c>
      <c r="I699" s="43">
        <v>45370</v>
      </c>
      <c r="J699" s="47" t="str">
        <f>IF(GroDB3[[#This Row],[Last_Order_Date]]&lt;=GroDB3[[#This Row],[Date_Received]], "Yes", "No")</f>
        <v>Yes</v>
      </c>
      <c r="K699" s="43">
        <f>IF(GroDB3[[#This Row],[Column1]]="No",GroDB3[[#This Row],[Last_Order_Date]],GroDB3[[#This Row],[Date_Received]])</f>
        <v>45396</v>
      </c>
      <c r="L699" s="43">
        <f>IF(GroDB3[[#This Row],[Column1]]="No",GroDB3[[#This Row],[Date_Received]],GroDB3[[#This Row],[Last_Order_Date]])</f>
        <v>45370</v>
      </c>
      <c r="M699" s="43">
        <v>45481</v>
      </c>
      <c r="N699" s="3">
        <v>82</v>
      </c>
      <c r="O699" s="3">
        <v>21</v>
      </c>
      <c r="P699" s="3">
        <v>85</v>
      </c>
      <c r="Q699" s="4">
        <v>5.5</v>
      </c>
      <c r="R699" s="3">
        <v>39</v>
      </c>
      <c r="S699" s="3">
        <v>18</v>
      </c>
      <c r="T699" s="7">
        <v>0.88</v>
      </c>
    </row>
    <row r="700" spans="1:20" x14ac:dyDescent="0.35">
      <c r="A700" s="5" t="s">
        <v>24</v>
      </c>
      <c r="B700" s="3" t="s">
        <v>25</v>
      </c>
      <c r="C700" s="3" t="s">
        <v>2008</v>
      </c>
      <c r="D700" s="3" t="s">
        <v>2552</v>
      </c>
      <c r="E700" s="3" t="s">
        <v>21</v>
      </c>
      <c r="F700" s="3" t="s">
        <v>2553</v>
      </c>
      <c r="G700" s="3" t="s">
        <v>2554</v>
      </c>
      <c r="H700" s="43">
        <v>45396</v>
      </c>
      <c r="I700" s="43">
        <v>45673</v>
      </c>
      <c r="J700" s="47" t="str">
        <f>IF(GroDB3[[#This Row],[Last_Order_Date]]&lt;=GroDB3[[#This Row],[Date_Received]], "Yes", "No")</f>
        <v>No</v>
      </c>
      <c r="K700" s="43">
        <f>IF(GroDB3[[#This Row],[Column1]]="No",GroDB3[[#This Row],[Last_Order_Date]],GroDB3[[#This Row],[Date_Received]])</f>
        <v>45673</v>
      </c>
      <c r="L700" s="43">
        <f>IF(GroDB3[[#This Row],[Column1]]="No",GroDB3[[#This Row],[Date_Received]],GroDB3[[#This Row],[Last_Order_Date]])</f>
        <v>45396</v>
      </c>
      <c r="M700" s="43">
        <v>45522</v>
      </c>
      <c r="N700" s="3">
        <v>23</v>
      </c>
      <c r="O700" s="3">
        <v>71</v>
      </c>
      <c r="P700" s="3">
        <v>32</v>
      </c>
      <c r="Q700" s="4">
        <v>2</v>
      </c>
      <c r="R700" s="3">
        <v>63</v>
      </c>
      <c r="S700" s="3">
        <v>23</v>
      </c>
      <c r="T700" s="7">
        <v>0.54</v>
      </c>
    </row>
    <row r="701" spans="1:20" x14ac:dyDescent="0.35">
      <c r="A701" s="5" t="s">
        <v>836</v>
      </c>
      <c r="B701" s="3" t="s">
        <v>91</v>
      </c>
      <c r="C701" s="3" t="s">
        <v>601</v>
      </c>
      <c r="D701" s="3" t="s">
        <v>2555</v>
      </c>
      <c r="E701" s="3" t="s">
        <v>28</v>
      </c>
      <c r="F701" s="3" t="s">
        <v>2556</v>
      </c>
      <c r="G701" s="3" t="s">
        <v>2557</v>
      </c>
      <c r="H701" s="43">
        <v>45397</v>
      </c>
      <c r="I701" s="43">
        <v>45411</v>
      </c>
      <c r="J701" s="47" t="str">
        <f>IF(GroDB3[[#This Row],[Last_Order_Date]]&lt;=GroDB3[[#This Row],[Date_Received]], "Yes", "No")</f>
        <v>No</v>
      </c>
      <c r="K701" s="43">
        <f>IF(GroDB3[[#This Row],[Column1]]="No",GroDB3[[#This Row],[Last_Order_Date]],GroDB3[[#This Row],[Date_Received]])</f>
        <v>45411</v>
      </c>
      <c r="L701" s="43">
        <f>IF(GroDB3[[#This Row],[Column1]]="No",GroDB3[[#This Row],[Date_Received]],GroDB3[[#This Row],[Last_Order_Date]])</f>
        <v>45397</v>
      </c>
      <c r="M701" s="43">
        <v>45391</v>
      </c>
      <c r="N701" s="3">
        <v>56</v>
      </c>
      <c r="O701" s="3">
        <v>86</v>
      </c>
      <c r="P701" s="3">
        <v>23</v>
      </c>
      <c r="Q701" s="4">
        <v>3.2</v>
      </c>
      <c r="R701" s="3">
        <v>67</v>
      </c>
      <c r="S701" s="3">
        <v>56</v>
      </c>
      <c r="T701" s="7">
        <v>0.63</v>
      </c>
    </row>
    <row r="702" spans="1:20" x14ac:dyDescent="0.35">
      <c r="A702" s="5" t="s">
        <v>116</v>
      </c>
      <c r="B702" s="3" t="s">
        <v>18</v>
      </c>
      <c r="C702" s="3" t="s">
        <v>1249</v>
      </c>
      <c r="D702" s="3" t="s">
        <v>2558</v>
      </c>
      <c r="E702" s="3" t="s">
        <v>56</v>
      </c>
      <c r="F702" s="3" t="s">
        <v>2559</v>
      </c>
      <c r="G702" s="3" t="s">
        <v>2560</v>
      </c>
      <c r="H702" s="43">
        <v>45397</v>
      </c>
      <c r="I702" s="43">
        <v>45444</v>
      </c>
      <c r="J702" s="47" t="str">
        <f>IF(GroDB3[[#This Row],[Last_Order_Date]]&lt;=GroDB3[[#This Row],[Date_Received]], "Yes", "No")</f>
        <v>No</v>
      </c>
      <c r="K702" s="43">
        <f>IF(GroDB3[[#This Row],[Column1]]="No",GroDB3[[#This Row],[Last_Order_Date]],GroDB3[[#This Row],[Date_Received]])</f>
        <v>45444</v>
      </c>
      <c r="L702" s="43">
        <f>IF(GroDB3[[#This Row],[Column1]]="No",GroDB3[[#This Row],[Date_Received]],GroDB3[[#This Row],[Last_Order_Date]])</f>
        <v>45397</v>
      </c>
      <c r="M702" s="43">
        <v>45666</v>
      </c>
      <c r="N702" s="3">
        <v>47</v>
      </c>
      <c r="O702" s="3">
        <v>41</v>
      </c>
      <c r="P702" s="3">
        <v>63</v>
      </c>
      <c r="Q702" s="4">
        <v>3</v>
      </c>
      <c r="R702" s="3">
        <v>39</v>
      </c>
      <c r="S702" s="3">
        <v>54</v>
      </c>
      <c r="T702" s="7">
        <v>0.16</v>
      </c>
    </row>
    <row r="703" spans="1:20" x14ac:dyDescent="0.35">
      <c r="A703" s="5" t="s">
        <v>17</v>
      </c>
      <c r="B703" s="3" t="s">
        <v>18</v>
      </c>
      <c r="C703" s="3" t="s">
        <v>536</v>
      </c>
      <c r="D703" s="3" t="s">
        <v>2561</v>
      </c>
      <c r="E703" s="3" t="s">
        <v>28</v>
      </c>
      <c r="F703" s="3" t="s">
        <v>2562</v>
      </c>
      <c r="G703" s="3" t="s">
        <v>2563</v>
      </c>
      <c r="H703" s="43">
        <v>45397</v>
      </c>
      <c r="I703" s="43">
        <v>45349</v>
      </c>
      <c r="J703" s="47" t="str">
        <f>IF(GroDB3[[#This Row],[Last_Order_Date]]&lt;=GroDB3[[#This Row],[Date_Received]], "Yes", "No")</f>
        <v>Yes</v>
      </c>
      <c r="K703" s="43">
        <f>IF(GroDB3[[#This Row],[Column1]]="No",GroDB3[[#This Row],[Last_Order_Date]],GroDB3[[#This Row],[Date_Received]])</f>
        <v>45397</v>
      </c>
      <c r="L703" s="43">
        <f>IF(GroDB3[[#This Row],[Column1]]="No",GroDB3[[#This Row],[Date_Received]],GroDB3[[#This Row],[Last_Order_Date]])</f>
        <v>45349</v>
      </c>
      <c r="M703" s="43">
        <v>45681</v>
      </c>
      <c r="N703" s="3">
        <v>84</v>
      </c>
      <c r="O703" s="3">
        <v>26</v>
      </c>
      <c r="P703" s="3">
        <v>37</v>
      </c>
      <c r="Q703" s="4">
        <v>4.5</v>
      </c>
      <c r="R703" s="3">
        <v>46</v>
      </c>
      <c r="S703" s="3">
        <v>67</v>
      </c>
      <c r="T703" s="7">
        <v>-0.38</v>
      </c>
    </row>
    <row r="704" spans="1:20" x14ac:dyDescent="0.35">
      <c r="A704" s="5" t="s">
        <v>1369</v>
      </c>
      <c r="B704" s="3" t="s">
        <v>32</v>
      </c>
      <c r="C704" s="3" t="s">
        <v>2564</v>
      </c>
      <c r="D704" s="3" t="s">
        <v>2565</v>
      </c>
      <c r="E704" s="3" t="s">
        <v>56</v>
      </c>
      <c r="F704" s="3" t="s">
        <v>2566</v>
      </c>
      <c r="G704" s="3" t="s">
        <v>2567</v>
      </c>
      <c r="H704" s="43">
        <v>45398</v>
      </c>
      <c r="I704" s="43">
        <v>45590</v>
      </c>
      <c r="J704" s="47" t="str">
        <f>IF(GroDB3[[#This Row],[Last_Order_Date]]&lt;=GroDB3[[#This Row],[Date_Received]], "Yes", "No")</f>
        <v>No</v>
      </c>
      <c r="K704" s="43">
        <f>IF(GroDB3[[#This Row],[Column1]]="No",GroDB3[[#This Row],[Last_Order_Date]],GroDB3[[#This Row],[Date_Received]])</f>
        <v>45590</v>
      </c>
      <c r="L704" s="43">
        <f>IF(GroDB3[[#This Row],[Column1]]="No",GroDB3[[#This Row],[Date_Received]],GroDB3[[#This Row],[Last_Order_Date]])</f>
        <v>45398</v>
      </c>
      <c r="M704" s="43">
        <v>45632</v>
      </c>
      <c r="N704" s="3">
        <v>85</v>
      </c>
      <c r="O704" s="3">
        <v>15</v>
      </c>
      <c r="P704" s="3">
        <v>30</v>
      </c>
      <c r="Q704" s="4">
        <v>4</v>
      </c>
      <c r="R704" s="3">
        <v>95</v>
      </c>
      <c r="S704" s="3">
        <v>63</v>
      </c>
      <c r="T704" s="7">
        <v>-0.46</v>
      </c>
    </row>
    <row r="705" spans="1:20" x14ac:dyDescent="0.35">
      <c r="A705" s="5" t="s">
        <v>587</v>
      </c>
      <c r="B705" s="3" t="s">
        <v>127</v>
      </c>
      <c r="C705" s="3" t="s">
        <v>2568</v>
      </c>
      <c r="D705" s="3" t="s">
        <v>2569</v>
      </c>
      <c r="E705" s="3" t="s">
        <v>28</v>
      </c>
      <c r="F705" s="3" t="s">
        <v>2570</v>
      </c>
      <c r="G705" s="3" t="s">
        <v>2571</v>
      </c>
      <c r="H705" s="43">
        <v>45398</v>
      </c>
      <c r="I705" s="43">
        <v>45513</v>
      </c>
      <c r="J705" s="47" t="str">
        <f>IF(GroDB3[[#This Row],[Last_Order_Date]]&lt;=GroDB3[[#This Row],[Date_Received]], "Yes", "No")</f>
        <v>No</v>
      </c>
      <c r="K705" s="43">
        <f>IF(GroDB3[[#This Row],[Column1]]="No",GroDB3[[#This Row],[Last_Order_Date]],GroDB3[[#This Row],[Date_Received]])</f>
        <v>45513</v>
      </c>
      <c r="L705" s="43">
        <f>IF(GroDB3[[#This Row],[Column1]]="No",GroDB3[[#This Row],[Date_Received]],GroDB3[[#This Row],[Last_Order_Date]])</f>
        <v>45398</v>
      </c>
      <c r="M705" s="43">
        <v>45624</v>
      </c>
      <c r="N705" s="3">
        <v>27</v>
      </c>
      <c r="O705" s="3">
        <v>1</v>
      </c>
      <c r="P705" s="3">
        <v>3</v>
      </c>
      <c r="Q705" s="4">
        <v>30</v>
      </c>
      <c r="R705" s="3">
        <v>34</v>
      </c>
      <c r="S705" s="3">
        <v>63</v>
      </c>
      <c r="T705" s="7">
        <v>0.34</v>
      </c>
    </row>
    <row r="706" spans="1:20" x14ac:dyDescent="0.35">
      <c r="A706" s="5" t="s">
        <v>239</v>
      </c>
      <c r="B706" s="3" t="s">
        <v>25</v>
      </c>
      <c r="C706" s="3" t="s">
        <v>943</v>
      </c>
      <c r="D706" s="3" t="s">
        <v>2572</v>
      </c>
      <c r="E706" s="3" t="s">
        <v>28</v>
      </c>
      <c r="F706" s="3" t="s">
        <v>2573</v>
      </c>
      <c r="G706" s="3" t="s">
        <v>2574</v>
      </c>
      <c r="H706" s="43">
        <v>45399</v>
      </c>
      <c r="I706" s="43">
        <v>45584</v>
      </c>
      <c r="J706" s="47" t="str">
        <f>IF(GroDB3[[#This Row],[Last_Order_Date]]&lt;=GroDB3[[#This Row],[Date_Received]], "Yes", "No")</f>
        <v>No</v>
      </c>
      <c r="K706" s="43">
        <f>IF(GroDB3[[#This Row],[Column1]]="No",GroDB3[[#This Row],[Last_Order_Date]],GroDB3[[#This Row],[Date_Received]])</f>
        <v>45584</v>
      </c>
      <c r="L706" s="43">
        <f>IF(GroDB3[[#This Row],[Column1]]="No",GroDB3[[#This Row],[Date_Received]],GroDB3[[#This Row],[Last_Order_Date]])</f>
        <v>45399</v>
      </c>
      <c r="M706" s="43">
        <v>45491</v>
      </c>
      <c r="N706" s="3">
        <v>77</v>
      </c>
      <c r="O706" s="3">
        <v>95</v>
      </c>
      <c r="P706" s="3">
        <v>82</v>
      </c>
      <c r="Q706" s="4">
        <v>6.5</v>
      </c>
      <c r="R706" s="3">
        <v>29</v>
      </c>
      <c r="S706" s="3">
        <v>46</v>
      </c>
      <c r="T706" s="7">
        <v>-0.85</v>
      </c>
    </row>
    <row r="707" spans="1:20" x14ac:dyDescent="0.35">
      <c r="A707" s="5" t="s">
        <v>1117</v>
      </c>
      <c r="B707" s="3" t="s">
        <v>91</v>
      </c>
      <c r="C707" s="3" t="s">
        <v>682</v>
      </c>
      <c r="D707" s="3" t="s">
        <v>2575</v>
      </c>
      <c r="E707" s="3" t="s">
        <v>56</v>
      </c>
      <c r="F707" s="3" t="s">
        <v>2576</v>
      </c>
      <c r="G707" s="3" t="s">
        <v>2577</v>
      </c>
      <c r="H707" s="43">
        <v>45399</v>
      </c>
      <c r="I707" s="43">
        <v>45692</v>
      </c>
      <c r="J707" s="47" t="str">
        <f>IF(GroDB3[[#This Row],[Last_Order_Date]]&lt;=GroDB3[[#This Row],[Date_Received]], "Yes", "No")</f>
        <v>No</v>
      </c>
      <c r="K707" s="43">
        <f>IF(GroDB3[[#This Row],[Column1]]="No",GroDB3[[#This Row],[Last_Order_Date]],GroDB3[[#This Row],[Date_Received]])</f>
        <v>45692</v>
      </c>
      <c r="L707" s="43">
        <f>IF(GroDB3[[#This Row],[Column1]]="No",GroDB3[[#This Row],[Date_Received]],GroDB3[[#This Row],[Last_Order_Date]])</f>
        <v>45399</v>
      </c>
      <c r="M707" s="43">
        <v>45437</v>
      </c>
      <c r="N707" s="3">
        <v>84</v>
      </c>
      <c r="O707" s="3">
        <v>58</v>
      </c>
      <c r="P707" s="3">
        <v>28</v>
      </c>
      <c r="Q707" s="4">
        <v>6</v>
      </c>
      <c r="R707" s="3">
        <v>51</v>
      </c>
      <c r="S707" s="3">
        <v>12</v>
      </c>
      <c r="T707" s="7">
        <v>-0.59</v>
      </c>
    </row>
    <row r="708" spans="1:20" x14ac:dyDescent="0.35">
      <c r="A708" s="5" t="s">
        <v>976</v>
      </c>
      <c r="B708" s="3" t="s">
        <v>60</v>
      </c>
      <c r="C708" s="3" t="s">
        <v>2033</v>
      </c>
      <c r="D708" s="3" t="s">
        <v>2578</v>
      </c>
      <c r="E708" s="3" t="s">
        <v>28</v>
      </c>
      <c r="F708" s="3" t="s">
        <v>2579</v>
      </c>
      <c r="G708" s="3" t="s">
        <v>2580</v>
      </c>
      <c r="H708" s="43">
        <v>45399</v>
      </c>
      <c r="I708" s="43">
        <v>45386</v>
      </c>
      <c r="J708" s="47" t="str">
        <f>IF(GroDB3[[#This Row],[Last_Order_Date]]&lt;=GroDB3[[#This Row],[Date_Received]], "Yes", "No")</f>
        <v>Yes</v>
      </c>
      <c r="K708" s="43">
        <f>IF(GroDB3[[#This Row],[Column1]]="No",GroDB3[[#This Row],[Last_Order_Date]],GroDB3[[#This Row],[Date_Received]])</f>
        <v>45399</v>
      </c>
      <c r="L708" s="43">
        <f>IF(GroDB3[[#This Row],[Column1]]="No",GroDB3[[#This Row],[Date_Received]],GroDB3[[#This Row],[Last_Order_Date]])</f>
        <v>45386</v>
      </c>
      <c r="M708" s="43">
        <v>45698</v>
      </c>
      <c r="N708" s="3">
        <v>35</v>
      </c>
      <c r="O708" s="3">
        <v>72</v>
      </c>
      <c r="P708" s="3">
        <v>70</v>
      </c>
      <c r="Q708" s="4">
        <v>20</v>
      </c>
      <c r="R708" s="3">
        <v>74</v>
      </c>
      <c r="S708" s="3">
        <v>15</v>
      </c>
      <c r="T708" s="7">
        <v>0.76</v>
      </c>
    </row>
    <row r="709" spans="1:20" x14ac:dyDescent="0.35">
      <c r="A709" s="5" t="s">
        <v>1109</v>
      </c>
      <c r="B709" s="3" t="s">
        <v>18</v>
      </c>
      <c r="C709" s="3" t="s">
        <v>962</v>
      </c>
      <c r="D709" s="3" t="s">
        <v>2581</v>
      </c>
      <c r="E709" s="3" t="s">
        <v>21</v>
      </c>
      <c r="F709" s="3" t="s">
        <v>2582</v>
      </c>
      <c r="G709" s="3" t="s">
        <v>2583</v>
      </c>
      <c r="H709" s="43">
        <v>45399</v>
      </c>
      <c r="I709" s="43">
        <v>45627</v>
      </c>
      <c r="J709" s="47" t="str">
        <f>IF(GroDB3[[#This Row],[Last_Order_Date]]&lt;=GroDB3[[#This Row],[Date_Received]], "Yes", "No")</f>
        <v>No</v>
      </c>
      <c r="K709" s="43">
        <f>IF(GroDB3[[#This Row],[Column1]]="No",GroDB3[[#This Row],[Last_Order_Date]],GroDB3[[#This Row],[Date_Received]])</f>
        <v>45627</v>
      </c>
      <c r="L709" s="43">
        <f>IF(GroDB3[[#This Row],[Column1]]="No",GroDB3[[#This Row],[Date_Received]],GroDB3[[#This Row],[Last_Order_Date]])</f>
        <v>45399</v>
      </c>
      <c r="M709" s="43">
        <v>45371</v>
      </c>
      <c r="N709" s="3">
        <v>98</v>
      </c>
      <c r="O709" s="3">
        <v>14</v>
      </c>
      <c r="P709" s="3">
        <v>11</v>
      </c>
      <c r="Q709" s="4">
        <v>2.5</v>
      </c>
      <c r="R709" s="3">
        <v>48</v>
      </c>
      <c r="S709" s="3">
        <v>38</v>
      </c>
      <c r="T709" s="7">
        <v>0.8</v>
      </c>
    </row>
    <row r="710" spans="1:20" x14ac:dyDescent="0.35">
      <c r="A710" s="5" t="s">
        <v>1138</v>
      </c>
      <c r="B710" s="3" t="s">
        <v>32</v>
      </c>
      <c r="C710" s="3" t="s">
        <v>1127</v>
      </c>
      <c r="D710" s="3" t="s">
        <v>2584</v>
      </c>
      <c r="E710" s="3" t="s">
        <v>56</v>
      </c>
      <c r="F710" s="3" t="s">
        <v>2585</v>
      </c>
      <c r="G710" s="3" t="s">
        <v>2586</v>
      </c>
      <c r="H710" s="43">
        <v>45399</v>
      </c>
      <c r="I710" s="43">
        <v>45384</v>
      </c>
      <c r="J710" s="47" t="str">
        <f>IF(GroDB3[[#This Row],[Last_Order_Date]]&lt;=GroDB3[[#This Row],[Date_Received]], "Yes", "No")</f>
        <v>Yes</v>
      </c>
      <c r="K710" s="43">
        <f>IF(GroDB3[[#This Row],[Column1]]="No",GroDB3[[#This Row],[Last_Order_Date]],GroDB3[[#This Row],[Date_Received]])</f>
        <v>45399</v>
      </c>
      <c r="L710" s="43">
        <f>IF(GroDB3[[#This Row],[Column1]]="No",GroDB3[[#This Row],[Date_Received]],GroDB3[[#This Row],[Last_Order_Date]])</f>
        <v>45384</v>
      </c>
      <c r="M710" s="43">
        <v>45601</v>
      </c>
      <c r="N710" s="3">
        <v>63</v>
      </c>
      <c r="O710" s="3">
        <v>62</v>
      </c>
      <c r="P710" s="3">
        <v>18</v>
      </c>
      <c r="Q710" s="4">
        <v>0.2</v>
      </c>
      <c r="R710" s="3">
        <v>67</v>
      </c>
      <c r="S710" s="3">
        <v>17</v>
      </c>
      <c r="T710" s="7">
        <v>0.21</v>
      </c>
    </row>
    <row r="711" spans="1:20" x14ac:dyDescent="0.35">
      <c r="A711" s="5" t="s">
        <v>239</v>
      </c>
      <c r="B711" s="3" t="s">
        <v>25</v>
      </c>
      <c r="C711" s="3" t="s">
        <v>904</v>
      </c>
      <c r="D711" s="3" t="s">
        <v>2587</v>
      </c>
      <c r="E711" s="3" t="s">
        <v>21</v>
      </c>
      <c r="F711" s="3" t="s">
        <v>2588</v>
      </c>
      <c r="G711" s="3" t="s">
        <v>2589</v>
      </c>
      <c r="H711" s="43">
        <v>45400</v>
      </c>
      <c r="I711" s="43">
        <v>45584</v>
      </c>
      <c r="J711" s="47" t="str">
        <f>IF(GroDB3[[#This Row],[Last_Order_Date]]&lt;=GroDB3[[#This Row],[Date_Received]], "Yes", "No")</f>
        <v>No</v>
      </c>
      <c r="K711" s="43">
        <f>IF(GroDB3[[#This Row],[Column1]]="No",GroDB3[[#This Row],[Last_Order_Date]],GroDB3[[#This Row],[Date_Received]])</f>
        <v>45584</v>
      </c>
      <c r="L711" s="43">
        <f>IF(GroDB3[[#This Row],[Column1]]="No",GroDB3[[#This Row],[Date_Received]],GroDB3[[#This Row],[Last_Order_Date]])</f>
        <v>45400</v>
      </c>
      <c r="M711" s="43">
        <v>45644</v>
      </c>
      <c r="N711" s="3">
        <v>27</v>
      </c>
      <c r="O711" s="3">
        <v>92</v>
      </c>
      <c r="P711" s="3">
        <v>56</v>
      </c>
      <c r="Q711" s="4">
        <v>6.5</v>
      </c>
      <c r="R711" s="3">
        <v>29</v>
      </c>
      <c r="S711" s="3">
        <v>32</v>
      </c>
      <c r="T711" s="7">
        <v>0.75</v>
      </c>
    </row>
    <row r="712" spans="1:20" x14ac:dyDescent="0.35">
      <c r="A712" s="5" t="s">
        <v>175</v>
      </c>
      <c r="B712" s="3" t="s">
        <v>53</v>
      </c>
      <c r="C712" s="3" t="s">
        <v>1609</v>
      </c>
      <c r="D712" s="3" t="s">
        <v>2590</v>
      </c>
      <c r="E712" s="3" t="s">
        <v>28</v>
      </c>
      <c r="F712" s="3" t="s">
        <v>2591</v>
      </c>
      <c r="G712" s="3" t="s">
        <v>2592</v>
      </c>
      <c r="H712" s="43">
        <v>45400</v>
      </c>
      <c r="I712" s="43">
        <v>45590</v>
      </c>
      <c r="J712" s="47" t="str">
        <f>IF(GroDB3[[#This Row],[Last_Order_Date]]&lt;=GroDB3[[#This Row],[Date_Received]], "Yes", "No")</f>
        <v>No</v>
      </c>
      <c r="K712" s="43">
        <f>IF(GroDB3[[#This Row],[Column1]]="No",GroDB3[[#This Row],[Last_Order_Date]],GroDB3[[#This Row],[Date_Received]])</f>
        <v>45590</v>
      </c>
      <c r="L712" s="43">
        <f>IF(GroDB3[[#This Row],[Column1]]="No",GroDB3[[#This Row],[Date_Received]],GroDB3[[#This Row],[Last_Order_Date]])</f>
        <v>45400</v>
      </c>
      <c r="M712" s="43">
        <v>45440</v>
      </c>
      <c r="N712" s="3">
        <v>70</v>
      </c>
      <c r="O712" s="3">
        <v>96</v>
      </c>
      <c r="P712" s="3">
        <v>92</v>
      </c>
      <c r="Q712" s="4">
        <v>1.5</v>
      </c>
      <c r="R712" s="3">
        <v>27</v>
      </c>
      <c r="S712" s="3">
        <v>58</v>
      </c>
      <c r="T712" s="7">
        <v>-0.1</v>
      </c>
    </row>
    <row r="713" spans="1:20" x14ac:dyDescent="0.35">
      <c r="A713" s="5" t="s">
        <v>52</v>
      </c>
      <c r="B713" s="3" t="s">
        <v>53</v>
      </c>
      <c r="C713" s="3" t="s">
        <v>1455</v>
      </c>
      <c r="D713" s="3" t="s">
        <v>2593</v>
      </c>
      <c r="E713" s="3" t="s">
        <v>21</v>
      </c>
      <c r="F713" s="3" t="s">
        <v>2594</v>
      </c>
      <c r="G713" s="3" t="s">
        <v>2595</v>
      </c>
      <c r="H713" s="43">
        <v>45400</v>
      </c>
      <c r="I713" s="43">
        <v>45388</v>
      </c>
      <c r="J713" s="47" t="str">
        <f>IF(GroDB3[[#This Row],[Last_Order_Date]]&lt;=GroDB3[[#This Row],[Date_Received]], "Yes", "No")</f>
        <v>Yes</v>
      </c>
      <c r="K713" s="43">
        <f>IF(GroDB3[[#This Row],[Column1]]="No",GroDB3[[#This Row],[Last_Order_Date]],GroDB3[[#This Row],[Date_Received]])</f>
        <v>45400</v>
      </c>
      <c r="L713" s="43">
        <f>IF(GroDB3[[#This Row],[Column1]]="No",GroDB3[[#This Row],[Date_Received]],GroDB3[[#This Row],[Last_Order_Date]])</f>
        <v>45388</v>
      </c>
      <c r="M713" s="43">
        <v>45438</v>
      </c>
      <c r="N713" s="3">
        <v>49</v>
      </c>
      <c r="O713" s="3">
        <v>59</v>
      </c>
      <c r="P713" s="3">
        <v>73</v>
      </c>
      <c r="Q713" s="4">
        <v>5</v>
      </c>
      <c r="R713" s="3">
        <v>93</v>
      </c>
      <c r="S713" s="3">
        <v>45</v>
      </c>
      <c r="T713" s="7">
        <v>-1.1499999999999999</v>
      </c>
    </row>
    <row r="714" spans="1:20" x14ac:dyDescent="0.35">
      <c r="A714" s="5" t="s">
        <v>1138</v>
      </c>
      <c r="B714" s="3" t="s">
        <v>32</v>
      </c>
      <c r="C714" s="3" t="s">
        <v>1351</v>
      </c>
      <c r="D714" s="3" t="s">
        <v>2596</v>
      </c>
      <c r="E714" s="3" t="s">
        <v>21</v>
      </c>
      <c r="F714" s="3" t="s">
        <v>2597</v>
      </c>
      <c r="G714" s="3" t="s">
        <v>2598</v>
      </c>
      <c r="H714" s="43">
        <v>45400</v>
      </c>
      <c r="I714" s="43">
        <v>45368</v>
      </c>
      <c r="J714" s="47" t="str">
        <f>IF(GroDB3[[#This Row],[Last_Order_Date]]&lt;=GroDB3[[#This Row],[Date_Received]], "Yes", "No")</f>
        <v>Yes</v>
      </c>
      <c r="K714" s="43">
        <f>IF(GroDB3[[#This Row],[Column1]]="No",GroDB3[[#This Row],[Last_Order_Date]],GroDB3[[#This Row],[Date_Received]])</f>
        <v>45400</v>
      </c>
      <c r="L714" s="43">
        <f>IF(GroDB3[[#This Row],[Column1]]="No",GroDB3[[#This Row],[Date_Received]],GroDB3[[#This Row],[Last_Order_Date]])</f>
        <v>45368</v>
      </c>
      <c r="M714" s="43">
        <v>45552</v>
      </c>
      <c r="N714" s="3">
        <v>22</v>
      </c>
      <c r="O714" s="3">
        <v>19</v>
      </c>
      <c r="P714" s="3">
        <v>4</v>
      </c>
      <c r="Q714" s="4">
        <v>0.2</v>
      </c>
      <c r="R714" s="3">
        <v>88</v>
      </c>
      <c r="S714" s="3">
        <v>24</v>
      </c>
      <c r="T714" s="7">
        <v>0.52</v>
      </c>
    </row>
    <row r="715" spans="1:20" x14ac:dyDescent="0.35">
      <c r="A715" s="5" t="s">
        <v>1516</v>
      </c>
      <c r="B715" s="3" t="s">
        <v>32</v>
      </c>
      <c r="C715" s="3" t="s">
        <v>678</v>
      </c>
      <c r="D715" s="3" t="s">
        <v>2599</v>
      </c>
      <c r="E715" s="3" t="s">
        <v>56</v>
      </c>
      <c r="F715" s="3" t="s">
        <v>2600</v>
      </c>
      <c r="G715" s="3" t="s">
        <v>2601</v>
      </c>
      <c r="H715" s="43">
        <v>45401</v>
      </c>
      <c r="I715" s="43">
        <v>45566</v>
      </c>
      <c r="J715" s="47" t="str">
        <f>IF(GroDB3[[#This Row],[Last_Order_Date]]&lt;=GroDB3[[#This Row],[Date_Received]], "Yes", "No")</f>
        <v>No</v>
      </c>
      <c r="K715" s="43">
        <f>IF(GroDB3[[#This Row],[Column1]]="No",GroDB3[[#This Row],[Last_Order_Date]],GroDB3[[#This Row],[Date_Received]])</f>
        <v>45566</v>
      </c>
      <c r="L715" s="43">
        <f>IF(GroDB3[[#This Row],[Column1]]="No",GroDB3[[#This Row],[Date_Received]],GroDB3[[#This Row],[Last_Order_Date]])</f>
        <v>45401</v>
      </c>
      <c r="M715" s="43">
        <v>45607</v>
      </c>
      <c r="N715" s="3">
        <v>96</v>
      </c>
      <c r="O715" s="3">
        <v>38</v>
      </c>
      <c r="P715" s="3">
        <v>17</v>
      </c>
      <c r="Q715" s="4">
        <v>7</v>
      </c>
      <c r="R715" s="3">
        <v>72</v>
      </c>
      <c r="S715" s="3">
        <v>84</v>
      </c>
      <c r="T715" s="7">
        <v>0.73</v>
      </c>
    </row>
    <row r="716" spans="1:20" x14ac:dyDescent="0.35">
      <c r="A716" s="5" t="s">
        <v>544</v>
      </c>
      <c r="B716" s="3" t="s">
        <v>91</v>
      </c>
      <c r="C716" s="3" t="s">
        <v>2112</v>
      </c>
      <c r="D716" s="3" t="s">
        <v>2602</v>
      </c>
      <c r="E716" s="3" t="s">
        <v>28</v>
      </c>
      <c r="F716" s="3" t="s">
        <v>2603</v>
      </c>
      <c r="G716" s="3" t="s">
        <v>2604</v>
      </c>
      <c r="H716" s="43">
        <v>45401</v>
      </c>
      <c r="I716" s="43">
        <v>45364</v>
      </c>
      <c r="J716" s="47" t="str">
        <f>IF(GroDB3[[#This Row],[Last_Order_Date]]&lt;=GroDB3[[#This Row],[Date_Received]], "Yes", "No")</f>
        <v>Yes</v>
      </c>
      <c r="K716" s="43">
        <f>IF(GroDB3[[#This Row],[Column1]]="No",GroDB3[[#This Row],[Last_Order_Date]],GroDB3[[#This Row],[Date_Received]])</f>
        <v>45401</v>
      </c>
      <c r="L716" s="43">
        <f>IF(GroDB3[[#This Row],[Column1]]="No",GroDB3[[#This Row],[Date_Received]],GroDB3[[#This Row],[Last_Order_Date]])</f>
        <v>45364</v>
      </c>
      <c r="M716" s="43">
        <v>45547</v>
      </c>
      <c r="N716" s="3">
        <v>61</v>
      </c>
      <c r="O716" s="3">
        <v>20</v>
      </c>
      <c r="P716" s="3">
        <v>29</v>
      </c>
      <c r="Q716" s="4">
        <v>3</v>
      </c>
      <c r="R716" s="3">
        <v>71</v>
      </c>
      <c r="S716" s="3">
        <v>97</v>
      </c>
      <c r="T716" s="7">
        <v>-0.17</v>
      </c>
    </row>
    <row r="717" spans="1:20" x14ac:dyDescent="0.35">
      <c r="A717" s="5" t="s">
        <v>1109</v>
      </c>
      <c r="B717" s="3" t="s">
        <v>18</v>
      </c>
      <c r="C717" s="3" t="s">
        <v>1394</v>
      </c>
      <c r="D717" s="3" t="s">
        <v>2605</v>
      </c>
      <c r="E717" s="3" t="s">
        <v>21</v>
      </c>
      <c r="F717" s="3" t="s">
        <v>2606</v>
      </c>
      <c r="G717" s="3" t="s">
        <v>2607</v>
      </c>
      <c r="H717" s="43">
        <v>45402</v>
      </c>
      <c r="I717" s="43">
        <v>45549</v>
      </c>
      <c r="J717" s="47" t="str">
        <f>IF(GroDB3[[#This Row],[Last_Order_Date]]&lt;=GroDB3[[#This Row],[Date_Received]], "Yes", "No")</f>
        <v>No</v>
      </c>
      <c r="K717" s="43">
        <f>IF(GroDB3[[#This Row],[Column1]]="No",GroDB3[[#This Row],[Last_Order_Date]],GroDB3[[#This Row],[Date_Received]])</f>
        <v>45549</v>
      </c>
      <c r="L717" s="43">
        <f>IF(GroDB3[[#This Row],[Column1]]="No",GroDB3[[#This Row],[Date_Received]],GroDB3[[#This Row],[Last_Order_Date]])</f>
        <v>45402</v>
      </c>
      <c r="M717" s="43">
        <v>45401</v>
      </c>
      <c r="N717" s="3">
        <v>43</v>
      </c>
      <c r="O717" s="3">
        <v>66</v>
      </c>
      <c r="P717" s="3">
        <v>85</v>
      </c>
      <c r="Q717" s="4">
        <v>2.5</v>
      </c>
      <c r="R717" s="3">
        <v>66</v>
      </c>
      <c r="S717" s="3">
        <v>65</v>
      </c>
      <c r="T717" s="7">
        <v>-0.37</v>
      </c>
    </row>
    <row r="718" spans="1:20" x14ac:dyDescent="0.35">
      <c r="A718" s="5" t="s">
        <v>90</v>
      </c>
      <c r="B718" s="3" t="s">
        <v>91</v>
      </c>
      <c r="C718" s="3" t="s">
        <v>181</v>
      </c>
      <c r="D718" s="3" t="s">
        <v>2608</v>
      </c>
      <c r="E718" s="3" t="s">
        <v>56</v>
      </c>
      <c r="F718" s="3" t="s">
        <v>2609</v>
      </c>
      <c r="G718" s="3" t="s">
        <v>2610</v>
      </c>
      <c r="H718" s="43">
        <v>45402</v>
      </c>
      <c r="I718" s="43">
        <v>45522</v>
      </c>
      <c r="J718" s="47" t="str">
        <f>IF(GroDB3[[#This Row],[Last_Order_Date]]&lt;=GroDB3[[#This Row],[Date_Received]], "Yes", "No")</f>
        <v>No</v>
      </c>
      <c r="K718" s="43">
        <f>IF(GroDB3[[#This Row],[Column1]]="No",GroDB3[[#This Row],[Last_Order_Date]],GroDB3[[#This Row],[Date_Received]])</f>
        <v>45522</v>
      </c>
      <c r="L718" s="43">
        <f>IF(GroDB3[[#This Row],[Column1]]="No",GroDB3[[#This Row],[Date_Received]],GroDB3[[#This Row],[Last_Order_Date]])</f>
        <v>45402</v>
      </c>
      <c r="M718" s="43">
        <v>45706</v>
      </c>
      <c r="N718" s="3">
        <v>38</v>
      </c>
      <c r="O718" s="3">
        <v>43</v>
      </c>
      <c r="P718" s="3">
        <v>91</v>
      </c>
      <c r="Q718" s="4">
        <v>4</v>
      </c>
      <c r="R718" s="3">
        <v>72</v>
      </c>
      <c r="S718" s="3">
        <v>64</v>
      </c>
      <c r="T718" s="7">
        <v>0.02</v>
      </c>
    </row>
    <row r="719" spans="1:20" x14ac:dyDescent="0.35">
      <c r="A719" s="5" t="s">
        <v>836</v>
      </c>
      <c r="B719" s="3" t="s">
        <v>91</v>
      </c>
      <c r="C719" s="3" t="s">
        <v>1249</v>
      </c>
      <c r="D719" s="3" t="s">
        <v>2611</v>
      </c>
      <c r="E719" s="3" t="s">
        <v>28</v>
      </c>
      <c r="F719" s="3" t="s">
        <v>2612</v>
      </c>
      <c r="G719" s="3" t="s">
        <v>2613</v>
      </c>
      <c r="H719" s="43">
        <v>45403</v>
      </c>
      <c r="I719" s="43">
        <v>45455</v>
      </c>
      <c r="J719" s="47" t="str">
        <f>IF(GroDB3[[#This Row],[Last_Order_Date]]&lt;=GroDB3[[#This Row],[Date_Received]], "Yes", "No")</f>
        <v>No</v>
      </c>
      <c r="K719" s="43">
        <f>IF(GroDB3[[#This Row],[Column1]]="No",GroDB3[[#This Row],[Last_Order_Date]],GroDB3[[#This Row],[Date_Received]])</f>
        <v>45455</v>
      </c>
      <c r="L719" s="43">
        <f>IF(GroDB3[[#This Row],[Column1]]="No",GroDB3[[#This Row],[Date_Received]],GroDB3[[#This Row],[Last_Order_Date]])</f>
        <v>45403</v>
      </c>
      <c r="M719" s="43">
        <v>45681</v>
      </c>
      <c r="N719" s="3">
        <v>65</v>
      </c>
      <c r="O719" s="3">
        <v>36</v>
      </c>
      <c r="P719" s="3">
        <v>37</v>
      </c>
      <c r="Q719" s="4">
        <v>3.5</v>
      </c>
      <c r="R719" s="3">
        <v>32</v>
      </c>
      <c r="S719" s="3">
        <v>70</v>
      </c>
      <c r="T719" s="7">
        <v>0.11</v>
      </c>
    </row>
    <row r="720" spans="1:20" x14ac:dyDescent="0.35">
      <c r="A720" s="5" t="s">
        <v>1369</v>
      </c>
      <c r="B720" s="3" t="s">
        <v>32</v>
      </c>
      <c r="C720" s="3" t="s">
        <v>1877</v>
      </c>
      <c r="D720" s="3" t="s">
        <v>2614</v>
      </c>
      <c r="E720" s="3" t="s">
        <v>21</v>
      </c>
      <c r="F720" s="3" t="s">
        <v>2615</v>
      </c>
      <c r="G720" s="3" t="s">
        <v>2616</v>
      </c>
      <c r="H720" s="43">
        <v>45403</v>
      </c>
      <c r="I720" s="43">
        <v>45663</v>
      </c>
      <c r="J720" s="47" t="str">
        <f>IF(GroDB3[[#This Row],[Last_Order_Date]]&lt;=GroDB3[[#This Row],[Date_Received]], "Yes", "No")</f>
        <v>No</v>
      </c>
      <c r="K720" s="43">
        <f>IF(GroDB3[[#This Row],[Column1]]="No",GroDB3[[#This Row],[Last_Order_Date]],GroDB3[[#This Row],[Date_Received]])</f>
        <v>45663</v>
      </c>
      <c r="L720" s="43">
        <f>IF(GroDB3[[#This Row],[Column1]]="No",GroDB3[[#This Row],[Date_Received]],GroDB3[[#This Row],[Last_Order_Date]])</f>
        <v>45403</v>
      </c>
      <c r="M720" s="43">
        <v>45469</v>
      </c>
      <c r="N720" s="3">
        <v>14</v>
      </c>
      <c r="O720" s="3">
        <v>99</v>
      </c>
      <c r="P720" s="3">
        <v>97</v>
      </c>
      <c r="Q720" s="4">
        <v>4.2</v>
      </c>
      <c r="R720" s="3">
        <v>28</v>
      </c>
      <c r="S720" s="3">
        <v>45</v>
      </c>
      <c r="T720" s="7">
        <v>-1.19</v>
      </c>
    </row>
    <row r="721" spans="1:20" x14ac:dyDescent="0.35">
      <c r="A721" s="5" t="s">
        <v>828</v>
      </c>
      <c r="B721" s="3" t="s">
        <v>32</v>
      </c>
      <c r="C721" s="3" t="s">
        <v>678</v>
      </c>
      <c r="D721" s="3" t="s">
        <v>2617</v>
      </c>
      <c r="E721" s="3" t="s">
        <v>28</v>
      </c>
      <c r="F721" s="3" t="s">
        <v>2618</v>
      </c>
      <c r="G721" s="3" t="s">
        <v>2619</v>
      </c>
      <c r="H721" s="43">
        <v>45404</v>
      </c>
      <c r="I721" s="43">
        <v>45535</v>
      </c>
      <c r="J721" s="47" t="str">
        <f>IF(GroDB3[[#This Row],[Last_Order_Date]]&lt;=GroDB3[[#This Row],[Date_Received]], "Yes", "No")</f>
        <v>No</v>
      </c>
      <c r="K721" s="43">
        <f>IF(GroDB3[[#This Row],[Column1]]="No",GroDB3[[#This Row],[Last_Order_Date]],GroDB3[[#This Row],[Date_Received]])</f>
        <v>45535</v>
      </c>
      <c r="L721" s="43">
        <f>IF(GroDB3[[#This Row],[Column1]]="No",GroDB3[[#This Row],[Date_Received]],GroDB3[[#This Row],[Last_Order_Date]])</f>
        <v>45404</v>
      </c>
      <c r="M721" s="43">
        <v>45633</v>
      </c>
      <c r="N721" s="3">
        <v>67</v>
      </c>
      <c r="O721" s="3">
        <v>98</v>
      </c>
      <c r="P721" s="3">
        <v>92</v>
      </c>
      <c r="Q721" s="4">
        <v>5</v>
      </c>
      <c r="R721" s="3">
        <v>35</v>
      </c>
      <c r="S721" s="3">
        <v>98</v>
      </c>
      <c r="T721" s="7">
        <v>-0.61</v>
      </c>
    </row>
    <row r="722" spans="1:20" x14ac:dyDescent="0.35">
      <c r="A722" s="5" t="s">
        <v>1085</v>
      </c>
      <c r="B722" s="3" t="s">
        <v>32</v>
      </c>
      <c r="C722" s="3" t="s">
        <v>2444</v>
      </c>
      <c r="D722" s="3" t="s">
        <v>2620</v>
      </c>
      <c r="E722" s="3" t="s">
        <v>21</v>
      </c>
      <c r="F722" s="3" t="s">
        <v>2621</v>
      </c>
      <c r="G722" s="3" t="s">
        <v>2622</v>
      </c>
      <c r="H722" s="43">
        <v>45404</v>
      </c>
      <c r="I722" s="43">
        <v>45389</v>
      </c>
      <c r="J722" s="47" t="str">
        <f>IF(GroDB3[[#This Row],[Last_Order_Date]]&lt;=GroDB3[[#This Row],[Date_Received]], "Yes", "No")</f>
        <v>Yes</v>
      </c>
      <c r="K722" s="43">
        <f>IF(GroDB3[[#This Row],[Column1]]="No",GroDB3[[#This Row],[Last_Order_Date]],GroDB3[[#This Row],[Date_Received]])</f>
        <v>45404</v>
      </c>
      <c r="L722" s="43">
        <f>IF(GroDB3[[#This Row],[Column1]]="No",GroDB3[[#This Row],[Date_Received]],GroDB3[[#This Row],[Last_Order_Date]])</f>
        <v>45389</v>
      </c>
      <c r="M722" s="43">
        <v>45703</v>
      </c>
      <c r="N722" s="3">
        <v>85</v>
      </c>
      <c r="O722" s="3">
        <v>89</v>
      </c>
      <c r="P722" s="3">
        <v>41</v>
      </c>
      <c r="Q722" s="4">
        <v>8</v>
      </c>
      <c r="R722" s="3">
        <v>68</v>
      </c>
      <c r="S722" s="3">
        <v>93</v>
      </c>
      <c r="T722" s="7">
        <v>-1.8</v>
      </c>
    </row>
    <row r="723" spans="1:20" x14ac:dyDescent="0.35">
      <c r="A723" s="5" t="s">
        <v>59</v>
      </c>
      <c r="B723" s="3" t="s">
        <v>60</v>
      </c>
      <c r="C723" s="3" t="s">
        <v>2001</v>
      </c>
      <c r="D723" s="3" t="s">
        <v>2623</v>
      </c>
      <c r="E723" s="3" t="s">
        <v>56</v>
      </c>
      <c r="F723" s="3" t="s">
        <v>2624</v>
      </c>
      <c r="G723" s="3" t="s">
        <v>2625</v>
      </c>
      <c r="H723" s="43">
        <v>45404</v>
      </c>
      <c r="I723" s="43">
        <v>45455</v>
      </c>
      <c r="J723" s="47" t="str">
        <f>IF(GroDB3[[#This Row],[Last_Order_Date]]&lt;=GroDB3[[#This Row],[Date_Received]], "Yes", "No")</f>
        <v>No</v>
      </c>
      <c r="K723" s="43">
        <f>IF(GroDB3[[#This Row],[Column1]]="No",GroDB3[[#This Row],[Last_Order_Date]],GroDB3[[#This Row],[Date_Received]])</f>
        <v>45455</v>
      </c>
      <c r="L723" s="43">
        <f>IF(GroDB3[[#This Row],[Column1]]="No",GroDB3[[#This Row],[Date_Received]],GroDB3[[#This Row],[Last_Order_Date]])</f>
        <v>45404</v>
      </c>
      <c r="M723" s="43">
        <v>45539</v>
      </c>
      <c r="N723" s="3">
        <v>93</v>
      </c>
      <c r="O723" s="3">
        <v>51</v>
      </c>
      <c r="P723" s="3">
        <v>70</v>
      </c>
      <c r="Q723" s="4">
        <v>10</v>
      </c>
      <c r="R723" s="3">
        <v>81</v>
      </c>
      <c r="S723" s="3">
        <v>18</v>
      </c>
      <c r="T723" s="7">
        <v>-0.37</v>
      </c>
    </row>
    <row r="724" spans="1:20" x14ac:dyDescent="0.35">
      <c r="A724" s="5" t="s">
        <v>2626</v>
      </c>
      <c r="B724" s="3" t="s">
        <v>53</v>
      </c>
      <c r="C724" s="3" t="s">
        <v>97</v>
      </c>
      <c r="D724" s="3" t="s">
        <v>2627</v>
      </c>
      <c r="E724" s="3" t="s">
        <v>28</v>
      </c>
      <c r="F724" s="3" t="s">
        <v>2628</v>
      </c>
      <c r="G724" s="3" t="s">
        <v>2629</v>
      </c>
      <c r="H724" s="43">
        <v>45405</v>
      </c>
      <c r="I724" s="43">
        <v>45658</v>
      </c>
      <c r="J724" s="47" t="str">
        <f>IF(GroDB3[[#This Row],[Last_Order_Date]]&lt;=GroDB3[[#This Row],[Date_Received]], "Yes", "No")</f>
        <v>No</v>
      </c>
      <c r="K724" s="43">
        <f>IF(GroDB3[[#This Row],[Column1]]="No",GroDB3[[#This Row],[Last_Order_Date]],GroDB3[[#This Row],[Date_Received]])</f>
        <v>45658</v>
      </c>
      <c r="L724" s="43">
        <f>IF(GroDB3[[#This Row],[Column1]]="No",GroDB3[[#This Row],[Date_Received]],GroDB3[[#This Row],[Last_Order_Date]])</f>
        <v>45405</v>
      </c>
      <c r="M724" s="43">
        <v>45464</v>
      </c>
      <c r="N724" s="3">
        <v>100</v>
      </c>
      <c r="O724" s="3">
        <v>10</v>
      </c>
      <c r="P724" s="3">
        <v>89</v>
      </c>
      <c r="Q724" s="4">
        <v>1.5</v>
      </c>
      <c r="R724" s="3">
        <v>76</v>
      </c>
      <c r="S724" s="3">
        <v>38</v>
      </c>
      <c r="T724" s="7">
        <v>0.78</v>
      </c>
    </row>
    <row r="725" spans="1:20" x14ac:dyDescent="0.35">
      <c r="A725" s="5" t="s">
        <v>111</v>
      </c>
      <c r="B725" s="3" t="s">
        <v>32</v>
      </c>
      <c r="C725" s="3" t="s">
        <v>1735</v>
      </c>
      <c r="D725" s="3" t="s">
        <v>2630</v>
      </c>
      <c r="E725" s="3" t="s">
        <v>21</v>
      </c>
      <c r="F725" s="3" t="s">
        <v>2631</v>
      </c>
      <c r="G725" s="3" t="s">
        <v>2632</v>
      </c>
      <c r="H725" s="43">
        <v>45406</v>
      </c>
      <c r="I725" s="43">
        <v>45445</v>
      </c>
      <c r="J725" s="47" t="str">
        <f>IF(GroDB3[[#This Row],[Last_Order_Date]]&lt;=GroDB3[[#This Row],[Date_Received]], "Yes", "No")</f>
        <v>No</v>
      </c>
      <c r="K725" s="43">
        <f>IF(GroDB3[[#This Row],[Column1]]="No",GroDB3[[#This Row],[Last_Order_Date]],GroDB3[[#This Row],[Date_Received]])</f>
        <v>45445</v>
      </c>
      <c r="L725" s="43">
        <f>IF(GroDB3[[#This Row],[Column1]]="No",GroDB3[[#This Row],[Date_Received]],GroDB3[[#This Row],[Last_Order_Date]])</f>
        <v>45406</v>
      </c>
      <c r="M725" s="43">
        <v>45518</v>
      </c>
      <c r="N725" s="3">
        <v>88</v>
      </c>
      <c r="O725" s="3">
        <v>4</v>
      </c>
      <c r="P725" s="3">
        <v>79</v>
      </c>
      <c r="Q725" s="4">
        <v>6</v>
      </c>
      <c r="R725" s="3">
        <v>23</v>
      </c>
      <c r="S725" s="3">
        <v>39</v>
      </c>
      <c r="T725" s="7">
        <v>0.5</v>
      </c>
    </row>
    <row r="726" spans="1:20" x14ac:dyDescent="0.35">
      <c r="A726" s="5" t="s">
        <v>90</v>
      </c>
      <c r="B726" s="3" t="s">
        <v>91</v>
      </c>
      <c r="C726" s="3" t="s">
        <v>33</v>
      </c>
      <c r="D726" s="3" t="s">
        <v>2633</v>
      </c>
      <c r="E726" s="3" t="s">
        <v>28</v>
      </c>
      <c r="F726" s="3" t="s">
        <v>2634</v>
      </c>
      <c r="G726" s="3" t="s">
        <v>2635</v>
      </c>
      <c r="H726" s="43">
        <v>45407</v>
      </c>
      <c r="I726" s="43">
        <v>45679</v>
      </c>
      <c r="J726" s="47" t="str">
        <f>IF(GroDB3[[#This Row],[Last_Order_Date]]&lt;=GroDB3[[#This Row],[Date_Received]], "Yes", "No")</f>
        <v>No</v>
      </c>
      <c r="K726" s="43">
        <f>IF(GroDB3[[#This Row],[Column1]]="No",GroDB3[[#This Row],[Last_Order_Date]],GroDB3[[#This Row],[Date_Received]])</f>
        <v>45679</v>
      </c>
      <c r="L726" s="43">
        <f>IF(GroDB3[[#This Row],[Column1]]="No",GroDB3[[#This Row],[Date_Received]],GroDB3[[#This Row],[Last_Order_Date]])</f>
        <v>45407</v>
      </c>
      <c r="M726" s="43">
        <v>45623</v>
      </c>
      <c r="N726" s="3">
        <v>97</v>
      </c>
      <c r="O726" s="3">
        <v>99</v>
      </c>
      <c r="P726" s="3">
        <v>96</v>
      </c>
      <c r="Q726" s="4">
        <v>4</v>
      </c>
      <c r="R726" s="3">
        <v>57</v>
      </c>
      <c r="S726" s="3">
        <v>42</v>
      </c>
      <c r="T726" s="7">
        <v>-0.7</v>
      </c>
    </row>
    <row r="727" spans="1:20" x14ac:dyDescent="0.35">
      <c r="A727" s="5" t="s">
        <v>106</v>
      </c>
      <c r="B727" s="3" t="s">
        <v>32</v>
      </c>
      <c r="C727" s="3" t="s">
        <v>1509</v>
      </c>
      <c r="D727" s="3" t="s">
        <v>2636</v>
      </c>
      <c r="E727" s="3" t="s">
        <v>21</v>
      </c>
      <c r="F727" s="3" t="s">
        <v>2637</v>
      </c>
      <c r="G727" s="3" t="s">
        <v>2638</v>
      </c>
      <c r="H727" s="43">
        <v>45407</v>
      </c>
      <c r="I727" s="43">
        <v>45494</v>
      </c>
      <c r="J727" s="47" t="str">
        <f>IF(GroDB3[[#This Row],[Last_Order_Date]]&lt;=GroDB3[[#This Row],[Date_Received]], "Yes", "No")</f>
        <v>No</v>
      </c>
      <c r="K727" s="43">
        <f>IF(GroDB3[[#This Row],[Column1]]="No",GroDB3[[#This Row],[Last_Order_Date]],GroDB3[[#This Row],[Date_Received]])</f>
        <v>45494</v>
      </c>
      <c r="L727" s="43">
        <f>IF(GroDB3[[#This Row],[Column1]]="No",GroDB3[[#This Row],[Date_Received]],GroDB3[[#This Row],[Last_Order_Date]])</f>
        <v>45407</v>
      </c>
      <c r="M727" s="43">
        <v>45373</v>
      </c>
      <c r="N727" s="3">
        <v>19</v>
      </c>
      <c r="O727" s="3">
        <v>100</v>
      </c>
      <c r="P727" s="3">
        <v>83</v>
      </c>
      <c r="Q727" s="4">
        <v>2.5</v>
      </c>
      <c r="R727" s="3">
        <v>66</v>
      </c>
      <c r="S727" s="3">
        <v>28</v>
      </c>
      <c r="T727" s="7">
        <v>0.26</v>
      </c>
    </row>
    <row r="728" spans="1:20" x14ac:dyDescent="0.35">
      <c r="A728" s="5" t="s">
        <v>137</v>
      </c>
      <c r="B728" s="3" t="s">
        <v>18</v>
      </c>
      <c r="C728" s="3" t="s">
        <v>2639</v>
      </c>
      <c r="D728" s="3" t="s">
        <v>2640</v>
      </c>
      <c r="E728" s="3" t="s">
        <v>21</v>
      </c>
      <c r="F728" s="3" t="s">
        <v>2641</v>
      </c>
      <c r="G728" s="3" t="s">
        <v>2642</v>
      </c>
      <c r="H728" s="43">
        <v>45408</v>
      </c>
      <c r="I728" s="43">
        <v>45712</v>
      </c>
      <c r="J728" s="47" t="str">
        <f>IF(GroDB3[[#This Row],[Last_Order_Date]]&lt;=GroDB3[[#This Row],[Date_Received]], "Yes", "No")</f>
        <v>No</v>
      </c>
      <c r="K728" s="43">
        <f>IF(GroDB3[[#This Row],[Column1]]="No",GroDB3[[#This Row],[Last_Order_Date]],GroDB3[[#This Row],[Date_Received]])</f>
        <v>45712</v>
      </c>
      <c r="L728" s="43">
        <f>IF(GroDB3[[#This Row],[Column1]]="No",GroDB3[[#This Row],[Date_Received]],GroDB3[[#This Row],[Last_Order_Date]])</f>
        <v>45408</v>
      </c>
      <c r="M728" s="43">
        <v>45621</v>
      </c>
      <c r="N728" s="3">
        <v>24</v>
      </c>
      <c r="O728" s="3">
        <v>55</v>
      </c>
      <c r="P728" s="3">
        <v>51</v>
      </c>
      <c r="Q728" s="4">
        <v>5</v>
      </c>
      <c r="R728" s="3">
        <v>39</v>
      </c>
      <c r="S728" s="3">
        <v>15</v>
      </c>
      <c r="T728" s="7">
        <v>0.57999999999999996</v>
      </c>
    </row>
    <row r="729" spans="1:20" x14ac:dyDescent="0.35">
      <c r="A729" s="5" t="s">
        <v>717</v>
      </c>
      <c r="B729" s="3" t="s">
        <v>53</v>
      </c>
      <c r="C729" s="3" t="s">
        <v>112</v>
      </c>
      <c r="D729" s="3" t="s">
        <v>2643</v>
      </c>
      <c r="E729" s="3" t="s">
        <v>28</v>
      </c>
      <c r="F729" s="3" t="s">
        <v>2644</v>
      </c>
      <c r="G729" s="3" t="s">
        <v>2645</v>
      </c>
      <c r="H729" s="43">
        <v>45408</v>
      </c>
      <c r="I729" s="43">
        <v>45587</v>
      </c>
      <c r="J729" s="47" t="str">
        <f>IF(GroDB3[[#This Row],[Last_Order_Date]]&lt;=GroDB3[[#This Row],[Date_Received]], "Yes", "No")</f>
        <v>No</v>
      </c>
      <c r="K729" s="43">
        <f>IF(GroDB3[[#This Row],[Column1]]="No",GroDB3[[#This Row],[Last_Order_Date]],GroDB3[[#This Row],[Date_Received]])</f>
        <v>45587</v>
      </c>
      <c r="L729" s="43">
        <f>IF(GroDB3[[#This Row],[Column1]]="No",GroDB3[[#This Row],[Date_Received]],GroDB3[[#This Row],[Last_Order_Date]])</f>
        <v>45408</v>
      </c>
      <c r="M729" s="43">
        <v>45396</v>
      </c>
      <c r="N729" s="3">
        <v>55</v>
      </c>
      <c r="O729" s="3">
        <v>13</v>
      </c>
      <c r="P729" s="3">
        <v>71</v>
      </c>
      <c r="Q729" s="4">
        <v>4.45</v>
      </c>
      <c r="R729" s="3">
        <v>37</v>
      </c>
      <c r="S729" s="3">
        <v>4</v>
      </c>
      <c r="T729" s="7">
        <v>0.62</v>
      </c>
    </row>
    <row r="730" spans="1:20" x14ac:dyDescent="0.35">
      <c r="A730" s="5" t="s">
        <v>707</v>
      </c>
      <c r="B730" s="3" t="s">
        <v>25</v>
      </c>
      <c r="C730" s="3" t="s">
        <v>886</v>
      </c>
      <c r="D730" s="3" t="s">
        <v>2646</v>
      </c>
      <c r="E730" s="3" t="s">
        <v>21</v>
      </c>
      <c r="F730" s="3" t="s">
        <v>2647</v>
      </c>
      <c r="G730" s="3" t="s">
        <v>2648</v>
      </c>
      <c r="H730" s="43">
        <v>45409</v>
      </c>
      <c r="I730" s="43">
        <v>45586</v>
      </c>
      <c r="J730" s="47" t="str">
        <f>IF(GroDB3[[#This Row],[Last_Order_Date]]&lt;=GroDB3[[#This Row],[Date_Received]], "Yes", "No")</f>
        <v>No</v>
      </c>
      <c r="K730" s="43">
        <f>IF(GroDB3[[#This Row],[Column1]]="No",GroDB3[[#This Row],[Last_Order_Date]],GroDB3[[#This Row],[Date_Received]])</f>
        <v>45586</v>
      </c>
      <c r="L730" s="43">
        <f>IF(GroDB3[[#This Row],[Column1]]="No",GroDB3[[#This Row],[Date_Received]],GroDB3[[#This Row],[Last_Order_Date]])</f>
        <v>45409</v>
      </c>
      <c r="M730" s="43">
        <v>45710</v>
      </c>
      <c r="N730" s="3">
        <v>91</v>
      </c>
      <c r="O730" s="3">
        <v>82</v>
      </c>
      <c r="P730" s="3">
        <v>58</v>
      </c>
      <c r="Q730" s="4">
        <v>2.2999999999999998</v>
      </c>
      <c r="R730" s="3">
        <v>43</v>
      </c>
      <c r="S730" s="3">
        <v>45</v>
      </c>
      <c r="T730" s="7">
        <v>0.89</v>
      </c>
    </row>
    <row r="731" spans="1:20" x14ac:dyDescent="0.35">
      <c r="A731" s="5" t="s">
        <v>17</v>
      </c>
      <c r="B731" s="3" t="s">
        <v>18</v>
      </c>
      <c r="C731" s="3" t="s">
        <v>1609</v>
      </c>
      <c r="D731" s="3" t="s">
        <v>2649</v>
      </c>
      <c r="E731" s="3" t="s">
        <v>28</v>
      </c>
      <c r="F731" s="3" t="s">
        <v>2650</v>
      </c>
      <c r="G731" s="3" t="s">
        <v>2651</v>
      </c>
      <c r="H731" s="43">
        <v>45409</v>
      </c>
      <c r="I731" s="43">
        <v>45413</v>
      </c>
      <c r="J731" s="47" t="str">
        <f>IF(GroDB3[[#This Row],[Last_Order_Date]]&lt;=GroDB3[[#This Row],[Date_Received]], "Yes", "No")</f>
        <v>No</v>
      </c>
      <c r="K731" s="43">
        <f>IF(GroDB3[[#This Row],[Column1]]="No",GroDB3[[#This Row],[Last_Order_Date]],GroDB3[[#This Row],[Date_Received]])</f>
        <v>45413</v>
      </c>
      <c r="L731" s="43">
        <f>IF(GroDB3[[#This Row],[Column1]]="No",GroDB3[[#This Row],[Date_Received]],GroDB3[[#This Row],[Last_Order_Date]])</f>
        <v>45409</v>
      </c>
      <c r="M731" s="43">
        <v>45409</v>
      </c>
      <c r="N731" s="3">
        <v>49</v>
      </c>
      <c r="O731" s="3">
        <v>93</v>
      </c>
      <c r="P731" s="3">
        <v>15</v>
      </c>
      <c r="Q731" s="4">
        <v>4.5</v>
      </c>
      <c r="R731" s="3">
        <v>52</v>
      </c>
      <c r="S731" s="3">
        <v>31</v>
      </c>
      <c r="T731" s="7">
        <v>-0.05</v>
      </c>
    </row>
    <row r="732" spans="1:20" x14ac:dyDescent="0.35">
      <c r="A732" s="5" t="s">
        <v>342</v>
      </c>
      <c r="B732" s="3" t="s">
        <v>18</v>
      </c>
      <c r="C732" s="3" t="s">
        <v>2652</v>
      </c>
      <c r="D732" s="3" t="s">
        <v>2653</v>
      </c>
      <c r="E732" s="3" t="s">
        <v>28</v>
      </c>
      <c r="F732" s="3" t="s">
        <v>2654</v>
      </c>
      <c r="G732" s="3" t="s">
        <v>2655</v>
      </c>
      <c r="H732" s="43">
        <v>45409</v>
      </c>
      <c r="I732" s="43">
        <v>45591</v>
      </c>
      <c r="J732" s="47" t="str">
        <f>IF(GroDB3[[#This Row],[Last_Order_Date]]&lt;=GroDB3[[#This Row],[Date_Received]], "Yes", "No")</f>
        <v>No</v>
      </c>
      <c r="K732" s="43">
        <f>IF(GroDB3[[#This Row],[Column1]]="No",GroDB3[[#This Row],[Last_Order_Date]],GroDB3[[#This Row],[Date_Received]])</f>
        <v>45591</v>
      </c>
      <c r="L732" s="43">
        <f>IF(GroDB3[[#This Row],[Column1]]="No",GroDB3[[#This Row],[Date_Received]],GroDB3[[#This Row],[Last_Order_Date]])</f>
        <v>45409</v>
      </c>
      <c r="M732" s="43">
        <v>45518</v>
      </c>
      <c r="N732" s="3">
        <v>66</v>
      </c>
      <c r="O732" s="3">
        <v>28</v>
      </c>
      <c r="P732" s="3">
        <v>7</v>
      </c>
      <c r="Q732" s="4">
        <v>6</v>
      </c>
      <c r="R732" s="3">
        <v>85</v>
      </c>
      <c r="S732" s="3">
        <v>6</v>
      </c>
      <c r="T732" s="7">
        <v>0.4</v>
      </c>
    </row>
    <row r="733" spans="1:20" x14ac:dyDescent="0.35">
      <c r="A733" s="5" t="s">
        <v>549</v>
      </c>
      <c r="B733" s="3" t="s">
        <v>32</v>
      </c>
      <c r="C733" s="3" t="s">
        <v>199</v>
      </c>
      <c r="D733" s="3" t="s">
        <v>2656</v>
      </c>
      <c r="E733" s="3" t="s">
        <v>28</v>
      </c>
      <c r="F733" s="3" t="s">
        <v>2657</v>
      </c>
      <c r="G733" s="3" t="s">
        <v>2658</v>
      </c>
      <c r="H733" s="43">
        <v>45410</v>
      </c>
      <c r="I733" s="43">
        <v>45707</v>
      </c>
      <c r="J733" s="47" t="str">
        <f>IF(GroDB3[[#This Row],[Last_Order_Date]]&lt;=GroDB3[[#This Row],[Date_Received]], "Yes", "No")</f>
        <v>No</v>
      </c>
      <c r="K733" s="43">
        <f>IF(GroDB3[[#This Row],[Column1]]="No",GroDB3[[#This Row],[Last_Order_Date]],GroDB3[[#This Row],[Date_Received]])</f>
        <v>45707</v>
      </c>
      <c r="L733" s="43">
        <f>IF(GroDB3[[#This Row],[Column1]]="No",GroDB3[[#This Row],[Date_Received]],GroDB3[[#This Row],[Last_Order_Date]])</f>
        <v>45410</v>
      </c>
      <c r="M733" s="43">
        <v>45624</v>
      </c>
      <c r="N733" s="3">
        <v>14</v>
      </c>
      <c r="O733" s="3">
        <v>63</v>
      </c>
      <c r="P733" s="3">
        <v>74</v>
      </c>
      <c r="Q733" s="4">
        <v>2.5</v>
      </c>
      <c r="R733" s="3">
        <v>59</v>
      </c>
      <c r="S733" s="3">
        <v>63</v>
      </c>
      <c r="T733" s="7">
        <v>0.93</v>
      </c>
    </row>
    <row r="734" spans="1:20" x14ac:dyDescent="0.35">
      <c r="A734" s="5" t="s">
        <v>1516</v>
      </c>
      <c r="B734" s="3" t="s">
        <v>32</v>
      </c>
      <c r="C734" s="3" t="s">
        <v>2243</v>
      </c>
      <c r="D734" s="3" t="s">
        <v>2659</v>
      </c>
      <c r="E734" s="3" t="s">
        <v>21</v>
      </c>
      <c r="F734" s="3" t="s">
        <v>2660</v>
      </c>
      <c r="G734" s="3" t="s">
        <v>2661</v>
      </c>
      <c r="H734" s="43">
        <v>45410</v>
      </c>
      <c r="I734" s="43">
        <v>45380</v>
      </c>
      <c r="J734" s="47" t="str">
        <f>IF(GroDB3[[#This Row],[Last_Order_Date]]&lt;=GroDB3[[#This Row],[Date_Received]], "Yes", "No")</f>
        <v>Yes</v>
      </c>
      <c r="K734" s="43">
        <f>IF(GroDB3[[#This Row],[Column1]]="No",GroDB3[[#This Row],[Last_Order_Date]],GroDB3[[#This Row],[Date_Received]])</f>
        <v>45410</v>
      </c>
      <c r="L734" s="43">
        <f>IF(GroDB3[[#This Row],[Column1]]="No",GroDB3[[#This Row],[Date_Received]],GroDB3[[#This Row],[Last_Order_Date]])</f>
        <v>45380</v>
      </c>
      <c r="M734" s="43">
        <v>45509</v>
      </c>
      <c r="N734" s="3">
        <v>36</v>
      </c>
      <c r="O734" s="3">
        <v>82</v>
      </c>
      <c r="P734" s="3">
        <v>85</v>
      </c>
      <c r="Q734" s="4">
        <v>7.1</v>
      </c>
      <c r="R734" s="3">
        <v>27</v>
      </c>
      <c r="S734" s="3">
        <v>67</v>
      </c>
      <c r="T734" s="7">
        <v>-7.0000000000000007E-2</v>
      </c>
    </row>
    <row r="735" spans="1:20" x14ac:dyDescent="0.35">
      <c r="A735" s="5" t="s">
        <v>272</v>
      </c>
      <c r="B735" s="3" t="s">
        <v>32</v>
      </c>
      <c r="C735" s="3" t="s">
        <v>570</v>
      </c>
      <c r="D735" s="3" t="s">
        <v>2662</v>
      </c>
      <c r="E735" s="3" t="s">
        <v>28</v>
      </c>
      <c r="F735" s="3" t="s">
        <v>2663</v>
      </c>
      <c r="G735" s="3" t="s">
        <v>2664</v>
      </c>
      <c r="H735" s="43">
        <v>45410</v>
      </c>
      <c r="I735" s="43">
        <v>45617</v>
      </c>
      <c r="J735" s="47" t="str">
        <f>IF(GroDB3[[#This Row],[Last_Order_Date]]&lt;=GroDB3[[#This Row],[Date_Received]], "Yes", "No")</f>
        <v>No</v>
      </c>
      <c r="K735" s="43">
        <f>IF(GroDB3[[#This Row],[Column1]]="No",GroDB3[[#This Row],[Last_Order_Date]],GroDB3[[#This Row],[Date_Received]])</f>
        <v>45617</v>
      </c>
      <c r="L735" s="43">
        <f>IF(GroDB3[[#This Row],[Column1]]="No",GroDB3[[#This Row],[Date_Received]],GroDB3[[#This Row],[Last_Order_Date]])</f>
        <v>45410</v>
      </c>
      <c r="M735" s="43">
        <v>45690</v>
      </c>
      <c r="N735" s="3">
        <v>52</v>
      </c>
      <c r="O735" s="3">
        <v>31</v>
      </c>
      <c r="P735" s="3">
        <v>18</v>
      </c>
      <c r="Q735" s="4">
        <v>1</v>
      </c>
      <c r="R735" s="3">
        <v>77</v>
      </c>
      <c r="S735" s="3">
        <v>16</v>
      </c>
      <c r="T735" s="7">
        <v>-1.48</v>
      </c>
    </row>
    <row r="736" spans="1:20" x14ac:dyDescent="0.35">
      <c r="A736" s="5" t="s">
        <v>1350</v>
      </c>
      <c r="B736" s="3" t="s">
        <v>32</v>
      </c>
      <c r="C736" s="3" t="s">
        <v>1000</v>
      </c>
      <c r="D736" s="3" t="s">
        <v>2665</v>
      </c>
      <c r="E736" s="3" t="s">
        <v>21</v>
      </c>
      <c r="F736" s="3" t="s">
        <v>2666</v>
      </c>
      <c r="G736" s="3" t="s">
        <v>2667</v>
      </c>
      <c r="H736" s="43">
        <v>45411</v>
      </c>
      <c r="I736" s="43">
        <v>45475</v>
      </c>
      <c r="J736" s="47" t="str">
        <f>IF(GroDB3[[#This Row],[Last_Order_Date]]&lt;=GroDB3[[#This Row],[Date_Received]], "Yes", "No")</f>
        <v>No</v>
      </c>
      <c r="K736" s="43">
        <f>IF(GroDB3[[#This Row],[Column1]]="No",GroDB3[[#This Row],[Last_Order_Date]],GroDB3[[#This Row],[Date_Received]])</f>
        <v>45475</v>
      </c>
      <c r="L736" s="43">
        <f>IF(GroDB3[[#This Row],[Column1]]="No",GroDB3[[#This Row],[Date_Received]],GroDB3[[#This Row],[Last_Order_Date]])</f>
        <v>45411</v>
      </c>
      <c r="M736" s="43">
        <v>45533</v>
      </c>
      <c r="N736" s="3">
        <v>48</v>
      </c>
      <c r="O736" s="3">
        <v>71</v>
      </c>
      <c r="P736" s="3">
        <v>86</v>
      </c>
      <c r="Q736" s="4">
        <v>3</v>
      </c>
      <c r="R736" s="3">
        <v>95</v>
      </c>
      <c r="S736" s="3">
        <v>3</v>
      </c>
      <c r="T736" s="7">
        <v>0.79</v>
      </c>
    </row>
    <row r="737" spans="1:20" x14ac:dyDescent="0.35">
      <c r="A737" s="5" t="s">
        <v>230</v>
      </c>
      <c r="B737" s="3" t="s">
        <v>25</v>
      </c>
      <c r="C737" s="3" t="s">
        <v>562</v>
      </c>
      <c r="D737" s="3" t="s">
        <v>2668</v>
      </c>
      <c r="E737" s="3" t="s">
        <v>28</v>
      </c>
      <c r="F737" s="3" t="s">
        <v>2669</v>
      </c>
      <c r="G737" s="3" t="s">
        <v>2670</v>
      </c>
      <c r="H737" s="43">
        <v>45411</v>
      </c>
      <c r="I737" s="43">
        <v>45424</v>
      </c>
      <c r="J737" s="47" t="str">
        <f>IF(GroDB3[[#This Row],[Last_Order_Date]]&lt;=GroDB3[[#This Row],[Date_Received]], "Yes", "No")</f>
        <v>No</v>
      </c>
      <c r="K737" s="43">
        <f>IF(GroDB3[[#This Row],[Column1]]="No",GroDB3[[#This Row],[Last_Order_Date]],GroDB3[[#This Row],[Date_Received]])</f>
        <v>45424</v>
      </c>
      <c r="L737" s="43">
        <f>IF(GroDB3[[#This Row],[Column1]]="No",GroDB3[[#This Row],[Date_Received]],GroDB3[[#This Row],[Last_Order_Date]])</f>
        <v>45411</v>
      </c>
      <c r="M737" s="43">
        <v>45712</v>
      </c>
      <c r="N737" s="3">
        <v>58</v>
      </c>
      <c r="O737" s="3">
        <v>23</v>
      </c>
      <c r="P737" s="3">
        <v>66</v>
      </c>
      <c r="Q737" s="4">
        <v>1.8</v>
      </c>
      <c r="R737" s="3">
        <v>82</v>
      </c>
      <c r="S737" s="3">
        <v>61</v>
      </c>
      <c r="T737" s="7">
        <v>0.97</v>
      </c>
    </row>
    <row r="738" spans="1:20" x14ac:dyDescent="0.35">
      <c r="A738" s="5" t="s">
        <v>531</v>
      </c>
      <c r="B738" s="3" t="s">
        <v>53</v>
      </c>
      <c r="C738" s="3" t="s">
        <v>2332</v>
      </c>
      <c r="D738" s="3" t="s">
        <v>2671</v>
      </c>
      <c r="E738" s="3" t="s">
        <v>28</v>
      </c>
      <c r="F738" s="3" t="s">
        <v>2672</v>
      </c>
      <c r="G738" s="3" t="s">
        <v>2673</v>
      </c>
      <c r="H738" s="43">
        <v>45411</v>
      </c>
      <c r="I738" s="43">
        <v>45369</v>
      </c>
      <c r="J738" s="47" t="str">
        <f>IF(GroDB3[[#This Row],[Last_Order_Date]]&lt;=GroDB3[[#This Row],[Date_Received]], "Yes", "No")</f>
        <v>Yes</v>
      </c>
      <c r="K738" s="43">
        <f>IF(GroDB3[[#This Row],[Column1]]="No",GroDB3[[#This Row],[Last_Order_Date]],GroDB3[[#This Row],[Date_Received]])</f>
        <v>45411</v>
      </c>
      <c r="L738" s="43">
        <f>IF(GroDB3[[#This Row],[Column1]]="No",GroDB3[[#This Row],[Date_Received]],GroDB3[[#This Row],[Last_Order_Date]])</f>
        <v>45369</v>
      </c>
      <c r="M738" s="43">
        <v>45403</v>
      </c>
      <c r="N738" s="3">
        <v>39</v>
      </c>
      <c r="O738" s="3">
        <v>2</v>
      </c>
      <c r="P738" s="3">
        <v>71</v>
      </c>
      <c r="Q738" s="4">
        <v>1.45</v>
      </c>
      <c r="R738" s="3">
        <v>20</v>
      </c>
      <c r="S738" s="3">
        <v>70</v>
      </c>
      <c r="T738" s="7">
        <v>0.26</v>
      </c>
    </row>
    <row r="739" spans="1:20" x14ac:dyDescent="0.35">
      <c r="A739" s="5" t="s">
        <v>1350</v>
      </c>
      <c r="B739" s="3" t="s">
        <v>32</v>
      </c>
      <c r="C739" s="3" t="s">
        <v>338</v>
      </c>
      <c r="D739" s="3" t="s">
        <v>2674</v>
      </c>
      <c r="E739" s="3" t="s">
        <v>21</v>
      </c>
      <c r="F739" s="3" t="s">
        <v>2675</v>
      </c>
      <c r="G739" s="3" t="s">
        <v>2676</v>
      </c>
      <c r="H739" s="43">
        <v>45412</v>
      </c>
      <c r="I739" s="43">
        <v>45586</v>
      </c>
      <c r="J739" s="47" t="str">
        <f>IF(GroDB3[[#This Row],[Last_Order_Date]]&lt;=GroDB3[[#This Row],[Date_Received]], "Yes", "No")</f>
        <v>No</v>
      </c>
      <c r="K739" s="43">
        <f>IF(GroDB3[[#This Row],[Column1]]="No",GroDB3[[#This Row],[Last_Order_Date]],GroDB3[[#This Row],[Date_Received]])</f>
        <v>45586</v>
      </c>
      <c r="L739" s="43">
        <f>IF(GroDB3[[#This Row],[Column1]]="No",GroDB3[[#This Row],[Date_Received]],GroDB3[[#This Row],[Last_Order_Date]])</f>
        <v>45412</v>
      </c>
      <c r="M739" s="43">
        <v>45557</v>
      </c>
      <c r="N739" s="3">
        <v>51</v>
      </c>
      <c r="O739" s="3">
        <v>100</v>
      </c>
      <c r="P739" s="3">
        <v>70</v>
      </c>
      <c r="Q739" s="4">
        <v>3</v>
      </c>
      <c r="R739" s="3">
        <v>40</v>
      </c>
      <c r="S739" s="3">
        <v>21</v>
      </c>
      <c r="T739" s="7">
        <v>-2.5</v>
      </c>
    </row>
    <row r="740" spans="1:20" x14ac:dyDescent="0.35">
      <c r="A740" s="5" t="s">
        <v>632</v>
      </c>
      <c r="B740" s="3" t="s">
        <v>60</v>
      </c>
      <c r="C740" s="3" t="s">
        <v>2677</v>
      </c>
      <c r="D740" s="3" t="s">
        <v>2678</v>
      </c>
      <c r="E740" s="3" t="s">
        <v>56</v>
      </c>
      <c r="F740" s="3" t="s">
        <v>2679</v>
      </c>
      <c r="G740" s="3" t="s">
        <v>2680</v>
      </c>
      <c r="H740" s="43">
        <v>45412</v>
      </c>
      <c r="I740" s="43">
        <v>45583</v>
      </c>
      <c r="J740" s="47" t="str">
        <f>IF(GroDB3[[#This Row],[Last_Order_Date]]&lt;=GroDB3[[#This Row],[Date_Received]], "Yes", "No")</f>
        <v>No</v>
      </c>
      <c r="K740" s="43">
        <f>IF(GroDB3[[#This Row],[Column1]]="No",GroDB3[[#This Row],[Last_Order_Date]],GroDB3[[#This Row],[Date_Received]])</f>
        <v>45583</v>
      </c>
      <c r="L740" s="43">
        <f>IF(GroDB3[[#This Row],[Column1]]="No",GroDB3[[#This Row],[Date_Received]],GroDB3[[#This Row],[Last_Order_Date]])</f>
        <v>45412</v>
      </c>
      <c r="M740" s="43">
        <v>45450</v>
      </c>
      <c r="N740" s="3">
        <v>16</v>
      </c>
      <c r="O740" s="3">
        <v>20</v>
      </c>
      <c r="P740" s="3">
        <v>45</v>
      </c>
      <c r="Q740" s="4">
        <v>8</v>
      </c>
      <c r="R740" s="3">
        <v>81</v>
      </c>
      <c r="S740" s="3">
        <v>62</v>
      </c>
      <c r="T740" s="7">
        <v>0.48</v>
      </c>
    </row>
    <row r="741" spans="1:20" x14ac:dyDescent="0.35">
      <c r="A741" s="5" t="s">
        <v>517</v>
      </c>
      <c r="B741" s="3" t="s">
        <v>127</v>
      </c>
      <c r="C741" s="3" t="s">
        <v>1719</v>
      </c>
      <c r="D741" s="3" t="s">
        <v>2681</v>
      </c>
      <c r="E741" s="3" t="s">
        <v>28</v>
      </c>
      <c r="F741" s="3" t="s">
        <v>2682</v>
      </c>
      <c r="G741" s="3" t="s">
        <v>2683</v>
      </c>
      <c r="H741" s="43">
        <v>45412</v>
      </c>
      <c r="I741" s="43">
        <v>45453</v>
      </c>
      <c r="J741" s="47" t="str">
        <f>IF(GroDB3[[#This Row],[Last_Order_Date]]&lt;=GroDB3[[#This Row],[Date_Received]], "Yes", "No")</f>
        <v>No</v>
      </c>
      <c r="K741" s="43">
        <f>IF(GroDB3[[#This Row],[Column1]]="No",GroDB3[[#This Row],[Last_Order_Date]],GroDB3[[#This Row],[Date_Received]])</f>
        <v>45453</v>
      </c>
      <c r="L741" s="43">
        <f>IF(GroDB3[[#This Row],[Column1]]="No",GroDB3[[#This Row],[Date_Received]],GroDB3[[#This Row],[Last_Order_Date]])</f>
        <v>45412</v>
      </c>
      <c r="M741" s="43">
        <v>45694</v>
      </c>
      <c r="N741" s="3">
        <v>62</v>
      </c>
      <c r="O741" s="3">
        <v>31</v>
      </c>
      <c r="P741" s="3">
        <v>24</v>
      </c>
      <c r="Q741" s="4">
        <v>25</v>
      </c>
      <c r="R741" s="3">
        <v>89</v>
      </c>
      <c r="S741" s="3">
        <v>100</v>
      </c>
      <c r="T741" s="7">
        <v>0.23</v>
      </c>
    </row>
    <row r="742" spans="1:20" x14ac:dyDescent="0.35">
      <c r="A742" s="5" t="s">
        <v>342</v>
      </c>
      <c r="B742" s="3" t="s">
        <v>18</v>
      </c>
      <c r="C742" s="3" t="s">
        <v>425</v>
      </c>
      <c r="D742" s="3" t="s">
        <v>2684</v>
      </c>
      <c r="E742" s="3" t="s">
        <v>56</v>
      </c>
      <c r="F742" s="3" t="s">
        <v>2685</v>
      </c>
      <c r="G742" s="3" t="s">
        <v>2686</v>
      </c>
      <c r="H742" s="43">
        <v>45425</v>
      </c>
      <c r="I742" s="43">
        <v>45516</v>
      </c>
      <c r="J742" s="47" t="str">
        <f>IF(GroDB3[[#This Row],[Last_Order_Date]]&lt;=GroDB3[[#This Row],[Date_Received]], "Yes", "No")</f>
        <v>No</v>
      </c>
      <c r="K742" s="43">
        <f>IF(GroDB3[[#This Row],[Column1]]="No",GroDB3[[#This Row],[Last_Order_Date]],GroDB3[[#This Row],[Date_Received]])</f>
        <v>45516</v>
      </c>
      <c r="L742" s="43">
        <f>IF(GroDB3[[#This Row],[Column1]]="No",GroDB3[[#This Row],[Date_Received]],GroDB3[[#This Row],[Last_Order_Date]])</f>
        <v>45425</v>
      </c>
      <c r="M742" s="43">
        <v>45531</v>
      </c>
      <c r="N742" s="3">
        <v>60</v>
      </c>
      <c r="O742" s="3">
        <v>61</v>
      </c>
      <c r="P742" s="3">
        <v>2</v>
      </c>
      <c r="Q742" s="4">
        <v>6</v>
      </c>
      <c r="R742" s="3">
        <v>96</v>
      </c>
      <c r="S742" s="3">
        <v>50</v>
      </c>
      <c r="T742" s="7">
        <v>-0.12</v>
      </c>
    </row>
    <row r="743" spans="1:20" x14ac:dyDescent="0.35">
      <c r="A743" s="5" t="s">
        <v>600</v>
      </c>
      <c r="B743" s="3" t="s">
        <v>32</v>
      </c>
      <c r="C743" s="3" t="s">
        <v>166</v>
      </c>
      <c r="D743" s="3" t="s">
        <v>2687</v>
      </c>
      <c r="E743" s="3" t="s">
        <v>21</v>
      </c>
      <c r="F743" s="3" t="s">
        <v>2688</v>
      </c>
      <c r="G743" s="3" t="s">
        <v>2689</v>
      </c>
      <c r="H743" s="43">
        <v>45425</v>
      </c>
      <c r="I743" s="43">
        <v>45472</v>
      </c>
      <c r="J743" s="47" t="str">
        <f>IF(GroDB3[[#This Row],[Last_Order_Date]]&lt;=GroDB3[[#This Row],[Date_Received]], "Yes", "No")</f>
        <v>No</v>
      </c>
      <c r="K743" s="43">
        <f>IF(GroDB3[[#This Row],[Column1]]="No",GroDB3[[#This Row],[Last_Order_Date]],GroDB3[[#This Row],[Date_Received]])</f>
        <v>45472</v>
      </c>
      <c r="L743" s="43">
        <f>IF(GroDB3[[#This Row],[Column1]]="No",GroDB3[[#This Row],[Date_Received]],GroDB3[[#This Row],[Last_Order_Date]])</f>
        <v>45425</v>
      </c>
      <c r="M743" s="43">
        <v>45357</v>
      </c>
      <c r="N743" s="3">
        <v>47</v>
      </c>
      <c r="O743" s="3">
        <v>2</v>
      </c>
      <c r="P743" s="3">
        <v>76</v>
      </c>
      <c r="Q743" s="4">
        <v>2.5</v>
      </c>
      <c r="R743" s="3">
        <v>48</v>
      </c>
      <c r="S743" s="3">
        <v>36</v>
      </c>
      <c r="T743" s="7">
        <v>0.48</v>
      </c>
    </row>
    <row r="744" spans="1:20" x14ac:dyDescent="0.35">
      <c r="A744" s="5" t="s">
        <v>272</v>
      </c>
      <c r="B744" s="3" t="s">
        <v>32</v>
      </c>
      <c r="C744" s="3" t="s">
        <v>2690</v>
      </c>
      <c r="D744" s="3" t="s">
        <v>2691</v>
      </c>
      <c r="E744" s="3" t="s">
        <v>21</v>
      </c>
      <c r="F744" s="3" t="s">
        <v>2692</v>
      </c>
      <c r="G744" s="3" t="s">
        <v>2693</v>
      </c>
      <c r="H744" s="43">
        <v>45425</v>
      </c>
      <c r="I744" s="43">
        <v>45709</v>
      </c>
      <c r="J744" s="47" t="str">
        <f>IF(GroDB3[[#This Row],[Last_Order_Date]]&lt;=GroDB3[[#This Row],[Date_Received]], "Yes", "No")</f>
        <v>No</v>
      </c>
      <c r="K744" s="43">
        <f>IF(GroDB3[[#This Row],[Column1]]="No",GroDB3[[#This Row],[Last_Order_Date]],GroDB3[[#This Row],[Date_Received]])</f>
        <v>45709</v>
      </c>
      <c r="L744" s="43">
        <f>IF(GroDB3[[#This Row],[Column1]]="No",GroDB3[[#This Row],[Date_Received]],GroDB3[[#This Row],[Last_Order_Date]])</f>
        <v>45425</v>
      </c>
      <c r="M744" s="43">
        <v>45672</v>
      </c>
      <c r="N744" s="3">
        <v>23</v>
      </c>
      <c r="O744" s="3">
        <v>38</v>
      </c>
      <c r="P744" s="3">
        <v>25</v>
      </c>
      <c r="Q744" s="4">
        <v>1</v>
      </c>
      <c r="R744" s="3">
        <v>84</v>
      </c>
      <c r="S744" s="3">
        <v>78</v>
      </c>
      <c r="T744" s="7">
        <v>0.25</v>
      </c>
    </row>
    <row r="745" spans="1:20" x14ac:dyDescent="0.35">
      <c r="A745" s="5" t="s">
        <v>239</v>
      </c>
      <c r="B745" s="3" t="s">
        <v>25</v>
      </c>
      <c r="C745" s="3" t="s">
        <v>2167</v>
      </c>
      <c r="D745" s="3" t="s">
        <v>2694</v>
      </c>
      <c r="E745" s="3" t="s">
        <v>21</v>
      </c>
      <c r="F745" s="3" t="s">
        <v>2695</v>
      </c>
      <c r="G745" s="3" t="s">
        <v>2696</v>
      </c>
      <c r="H745" s="43">
        <v>45425</v>
      </c>
      <c r="I745" s="43">
        <v>45707</v>
      </c>
      <c r="J745" s="47" t="str">
        <f>IF(GroDB3[[#This Row],[Last_Order_Date]]&lt;=GroDB3[[#This Row],[Date_Received]], "Yes", "No")</f>
        <v>No</v>
      </c>
      <c r="K745" s="43">
        <f>IF(GroDB3[[#This Row],[Column1]]="No",GroDB3[[#This Row],[Last_Order_Date]],GroDB3[[#This Row],[Date_Received]])</f>
        <v>45707</v>
      </c>
      <c r="L745" s="43">
        <f>IF(GroDB3[[#This Row],[Column1]]="No",GroDB3[[#This Row],[Date_Received]],GroDB3[[#This Row],[Last_Order_Date]])</f>
        <v>45425</v>
      </c>
      <c r="M745" s="43">
        <v>45488</v>
      </c>
      <c r="N745" s="3">
        <v>85</v>
      </c>
      <c r="O745" s="3">
        <v>15</v>
      </c>
      <c r="P745" s="3">
        <v>16</v>
      </c>
      <c r="Q745" s="4">
        <v>6.5</v>
      </c>
      <c r="R745" s="3">
        <v>46</v>
      </c>
      <c r="S745" s="3">
        <v>24</v>
      </c>
      <c r="T745" s="7">
        <v>7.0000000000000007E-2</v>
      </c>
    </row>
    <row r="746" spans="1:20" x14ac:dyDescent="0.35">
      <c r="A746" s="5" t="s">
        <v>380</v>
      </c>
      <c r="B746" s="3" t="s">
        <v>32</v>
      </c>
      <c r="C746" s="3" t="s">
        <v>1770</v>
      </c>
      <c r="D746" s="3" t="s">
        <v>2697</v>
      </c>
      <c r="E746" s="3" t="s">
        <v>28</v>
      </c>
      <c r="F746" s="3" t="s">
        <v>2698</v>
      </c>
      <c r="G746" s="3" t="s">
        <v>2699</v>
      </c>
      <c r="H746" s="43">
        <v>45425</v>
      </c>
      <c r="I746" s="43">
        <v>45353</v>
      </c>
      <c r="J746" s="47" t="str">
        <f>IF(GroDB3[[#This Row],[Last_Order_Date]]&lt;=GroDB3[[#This Row],[Date_Received]], "Yes", "No")</f>
        <v>Yes</v>
      </c>
      <c r="K746" s="43">
        <f>IF(GroDB3[[#This Row],[Column1]]="No",GroDB3[[#This Row],[Last_Order_Date]],GroDB3[[#This Row],[Date_Received]])</f>
        <v>45425</v>
      </c>
      <c r="L746" s="43">
        <f>IF(GroDB3[[#This Row],[Column1]]="No",GroDB3[[#This Row],[Date_Received]],GroDB3[[#This Row],[Last_Order_Date]])</f>
        <v>45353</v>
      </c>
      <c r="M746" s="43">
        <v>45686</v>
      </c>
      <c r="N746" s="3">
        <v>55</v>
      </c>
      <c r="O746" s="3">
        <v>25</v>
      </c>
      <c r="P746" s="3">
        <v>87</v>
      </c>
      <c r="Q746" s="4">
        <v>4</v>
      </c>
      <c r="R746" s="3">
        <v>69</v>
      </c>
      <c r="S746" s="3">
        <v>48</v>
      </c>
      <c r="T746" s="7">
        <v>0.48</v>
      </c>
    </row>
    <row r="747" spans="1:20" x14ac:dyDescent="0.35">
      <c r="A747" s="5" t="s">
        <v>211</v>
      </c>
      <c r="B747" s="3" t="s">
        <v>32</v>
      </c>
      <c r="C747" s="3" t="s">
        <v>1465</v>
      </c>
      <c r="D747" s="3" t="s">
        <v>2700</v>
      </c>
      <c r="E747" s="3" t="s">
        <v>28</v>
      </c>
      <c r="F747" s="3" t="s">
        <v>2701</v>
      </c>
      <c r="G747" s="3" t="s">
        <v>2702</v>
      </c>
      <c r="H747" s="43">
        <v>45425</v>
      </c>
      <c r="I747" s="43">
        <v>45439</v>
      </c>
      <c r="J747" s="47" t="str">
        <f>IF(GroDB3[[#This Row],[Last_Order_Date]]&lt;=GroDB3[[#This Row],[Date_Received]], "Yes", "No")</f>
        <v>No</v>
      </c>
      <c r="K747" s="43">
        <f>IF(GroDB3[[#This Row],[Column1]]="No",GroDB3[[#This Row],[Last_Order_Date]],GroDB3[[#This Row],[Date_Received]])</f>
        <v>45439</v>
      </c>
      <c r="L747" s="43">
        <f>IF(GroDB3[[#This Row],[Column1]]="No",GroDB3[[#This Row],[Date_Received]],GroDB3[[#This Row],[Last_Order_Date]])</f>
        <v>45425</v>
      </c>
      <c r="M747" s="43">
        <v>45644</v>
      </c>
      <c r="N747" s="3">
        <v>81</v>
      </c>
      <c r="O747" s="3">
        <v>76</v>
      </c>
      <c r="P747" s="3">
        <v>10</v>
      </c>
      <c r="Q747" s="4">
        <v>4</v>
      </c>
      <c r="R747" s="3">
        <v>68</v>
      </c>
      <c r="S747" s="3">
        <v>100</v>
      </c>
      <c r="T747" s="7">
        <v>0.3</v>
      </c>
    </row>
    <row r="748" spans="1:20" x14ac:dyDescent="0.35">
      <c r="A748" s="5" t="s">
        <v>665</v>
      </c>
      <c r="B748" s="3" t="s">
        <v>18</v>
      </c>
      <c r="C748" s="3" t="s">
        <v>1550</v>
      </c>
      <c r="D748" s="3" t="s">
        <v>2703</v>
      </c>
      <c r="E748" s="3" t="s">
        <v>21</v>
      </c>
      <c r="F748" s="3" t="s">
        <v>2704</v>
      </c>
      <c r="G748" s="3" t="s">
        <v>2705</v>
      </c>
      <c r="H748" s="43">
        <v>45427</v>
      </c>
      <c r="I748" s="43">
        <v>45519</v>
      </c>
      <c r="J748" s="47" t="str">
        <f>IF(GroDB3[[#This Row],[Last_Order_Date]]&lt;=GroDB3[[#This Row],[Date_Received]], "Yes", "No")</f>
        <v>No</v>
      </c>
      <c r="K748" s="43">
        <f>IF(GroDB3[[#This Row],[Column1]]="No",GroDB3[[#This Row],[Last_Order_Date]],GroDB3[[#This Row],[Date_Received]])</f>
        <v>45519</v>
      </c>
      <c r="L748" s="43">
        <f>IF(GroDB3[[#This Row],[Column1]]="No",GroDB3[[#This Row],[Date_Received]],GroDB3[[#This Row],[Last_Order_Date]])</f>
        <v>45427</v>
      </c>
      <c r="M748" s="43">
        <v>45423</v>
      </c>
      <c r="N748" s="3">
        <v>28</v>
      </c>
      <c r="O748" s="3">
        <v>27</v>
      </c>
      <c r="P748" s="3">
        <v>22</v>
      </c>
      <c r="Q748" s="4">
        <v>6</v>
      </c>
      <c r="R748" s="3">
        <v>70</v>
      </c>
      <c r="S748" s="3">
        <v>30</v>
      </c>
      <c r="T748" s="7">
        <v>-0.47</v>
      </c>
    </row>
    <row r="749" spans="1:20" x14ac:dyDescent="0.35">
      <c r="A749" s="5" t="s">
        <v>544</v>
      </c>
      <c r="B749" s="3" t="s">
        <v>91</v>
      </c>
      <c r="C749" s="3" t="s">
        <v>620</v>
      </c>
      <c r="D749" s="3" t="s">
        <v>2706</v>
      </c>
      <c r="E749" s="3" t="s">
        <v>56</v>
      </c>
      <c r="F749" s="3" t="s">
        <v>2707</v>
      </c>
      <c r="G749" s="3" t="s">
        <v>2708</v>
      </c>
      <c r="H749" s="43">
        <v>45427</v>
      </c>
      <c r="I749" s="43">
        <v>45489</v>
      </c>
      <c r="J749" s="47" t="str">
        <f>IF(GroDB3[[#This Row],[Last_Order_Date]]&lt;=GroDB3[[#This Row],[Date_Received]], "Yes", "No")</f>
        <v>No</v>
      </c>
      <c r="K749" s="43">
        <f>IF(GroDB3[[#This Row],[Column1]]="No",GroDB3[[#This Row],[Last_Order_Date]],GroDB3[[#This Row],[Date_Received]])</f>
        <v>45489</v>
      </c>
      <c r="L749" s="43">
        <f>IF(GroDB3[[#This Row],[Column1]]="No",GroDB3[[#This Row],[Date_Received]],GroDB3[[#This Row],[Last_Order_Date]])</f>
        <v>45427</v>
      </c>
      <c r="M749" s="43">
        <v>45640</v>
      </c>
      <c r="N749" s="3">
        <v>99</v>
      </c>
      <c r="O749" s="3">
        <v>6</v>
      </c>
      <c r="P749" s="3">
        <v>88</v>
      </c>
      <c r="Q749" s="4">
        <v>3</v>
      </c>
      <c r="R749" s="3">
        <v>49</v>
      </c>
      <c r="S749" s="3">
        <v>9</v>
      </c>
      <c r="T749" s="7">
        <v>0.56999999999999995</v>
      </c>
    </row>
    <row r="750" spans="1:20" x14ac:dyDescent="0.35">
      <c r="A750" s="5" t="s">
        <v>151</v>
      </c>
      <c r="B750" s="3" t="s">
        <v>91</v>
      </c>
      <c r="C750" s="3" t="s">
        <v>2709</v>
      </c>
      <c r="D750" s="3" t="s">
        <v>2710</v>
      </c>
      <c r="E750" s="3" t="s">
        <v>21</v>
      </c>
      <c r="F750" s="3" t="s">
        <v>2711</v>
      </c>
      <c r="G750" s="3" t="s">
        <v>2712</v>
      </c>
      <c r="H750" s="43">
        <v>45428</v>
      </c>
      <c r="I750" s="43">
        <v>45572</v>
      </c>
      <c r="J750" s="47" t="str">
        <f>IF(GroDB3[[#This Row],[Last_Order_Date]]&lt;=GroDB3[[#This Row],[Date_Received]], "Yes", "No")</f>
        <v>No</v>
      </c>
      <c r="K750" s="43">
        <f>IF(GroDB3[[#This Row],[Column1]]="No",GroDB3[[#This Row],[Last_Order_Date]],GroDB3[[#This Row],[Date_Received]])</f>
        <v>45572</v>
      </c>
      <c r="L750" s="43">
        <f>IF(GroDB3[[#This Row],[Column1]]="No",GroDB3[[#This Row],[Date_Received]],GroDB3[[#This Row],[Last_Order_Date]])</f>
        <v>45428</v>
      </c>
      <c r="M750" s="43">
        <v>45383</v>
      </c>
      <c r="N750" s="3">
        <v>34</v>
      </c>
      <c r="O750" s="3">
        <v>42</v>
      </c>
      <c r="P750" s="3">
        <v>86</v>
      </c>
      <c r="Q750" s="4">
        <v>4</v>
      </c>
      <c r="R750" s="3">
        <v>28</v>
      </c>
      <c r="S750" s="3">
        <v>23</v>
      </c>
      <c r="T750" s="7">
        <v>0.82</v>
      </c>
    </row>
    <row r="751" spans="1:20" x14ac:dyDescent="0.35">
      <c r="A751" s="5" t="s">
        <v>355</v>
      </c>
      <c r="B751" s="3" t="s">
        <v>18</v>
      </c>
      <c r="C751" s="3" t="s">
        <v>2713</v>
      </c>
      <c r="D751" s="3" t="s">
        <v>2714</v>
      </c>
      <c r="E751" s="3" t="s">
        <v>56</v>
      </c>
      <c r="F751" s="3" t="s">
        <v>2715</v>
      </c>
      <c r="G751" s="3" t="s">
        <v>2716</v>
      </c>
      <c r="H751" s="43">
        <v>45428</v>
      </c>
      <c r="I751" s="43">
        <v>45479</v>
      </c>
      <c r="J751" s="47" t="str">
        <f>IF(GroDB3[[#This Row],[Last_Order_Date]]&lt;=GroDB3[[#This Row],[Date_Received]], "Yes", "No")</f>
        <v>No</v>
      </c>
      <c r="K751" s="43">
        <f>IF(GroDB3[[#This Row],[Column1]]="No",GroDB3[[#This Row],[Last_Order_Date]],GroDB3[[#This Row],[Date_Received]])</f>
        <v>45479</v>
      </c>
      <c r="L751" s="43">
        <f>IF(GroDB3[[#This Row],[Column1]]="No",GroDB3[[#This Row],[Date_Received]],GroDB3[[#This Row],[Last_Order_Date]])</f>
        <v>45428</v>
      </c>
      <c r="M751" s="43">
        <v>45656</v>
      </c>
      <c r="N751" s="3">
        <v>62</v>
      </c>
      <c r="O751" s="3">
        <v>79</v>
      </c>
      <c r="P751" s="3">
        <v>95</v>
      </c>
      <c r="Q751" s="4">
        <v>1</v>
      </c>
      <c r="R751" s="3">
        <v>34</v>
      </c>
      <c r="S751" s="3">
        <v>12</v>
      </c>
      <c r="T751" s="7">
        <v>0.18</v>
      </c>
    </row>
    <row r="752" spans="1:20" x14ac:dyDescent="0.35">
      <c r="A752" s="5" t="s">
        <v>253</v>
      </c>
      <c r="B752" s="3" t="s">
        <v>18</v>
      </c>
      <c r="C752" s="3" t="s">
        <v>570</v>
      </c>
      <c r="D752" s="3" t="s">
        <v>2717</v>
      </c>
      <c r="E752" s="3" t="s">
        <v>21</v>
      </c>
      <c r="F752" s="3" t="s">
        <v>2718</v>
      </c>
      <c r="G752" s="3" t="s">
        <v>2719</v>
      </c>
      <c r="H752" s="43">
        <v>45428</v>
      </c>
      <c r="I752" s="43">
        <v>45423</v>
      </c>
      <c r="J752" s="47" t="str">
        <f>IF(GroDB3[[#This Row],[Last_Order_Date]]&lt;=GroDB3[[#This Row],[Date_Received]], "Yes", "No")</f>
        <v>Yes</v>
      </c>
      <c r="K752" s="43">
        <f>IF(GroDB3[[#This Row],[Column1]]="No",GroDB3[[#This Row],[Last_Order_Date]],GroDB3[[#This Row],[Date_Received]])</f>
        <v>45428</v>
      </c>
      <c r="L752" s="43">
        <f>IF(GroDB3[[#This Row],[Column1]]="No",GroDB3[[#This Row],[Date_Received]],GroDB3[[#This Row],[Last_Order_Date]])</f>
        <v>45423</v>
      </c>
      <c r="M752" s="43">
        <v>45449</v>
      </c>
      <c r="N752" s="3">
        <v>55</v>
      </c>
      <c r="O752" s="3">
        <v>96</v>
      </c>
      <c r="P752" s="3">
        <v>40</v>
      </c>
      <c r="Q752" s="4">
        <v>5</v>
      </c>
      <c r="R752" s="3">
        <v>23</v>
      </c>
      <c r="S752" s="3">
        <v>47</v>
      </c>
      <c r="T752" s="7">
        <v>0.65</v>
      </c>
    </row>
    <row r="753" spans="1:20" x14ac:dyDescent="0.35">
      <c r="A753" s="5" t="s">
        <v>574</v>
      </c>
      <c r="B753" s="3" t="s">
        <v>53</v>
      </c>
      <c r="C753" s="3" t="s">
        <v>578</v>
      </c>
      <c r="D753" s="3" t="s">
        <v>2720</v>
      </c>
      <c r="E753" s="3" t="s">
        <v>28</v>
      </c>
      <c r="F753" s="3" t="s">
        <v>2721</v>
      </c>
      <c r="G753" s="3" t="s">
        <v>2722</v>
      </c>
      <c r="H753" s="43">
        <v>45430</v>
      </c>
      <c r="I753" s="43">
        <v>45555</v>
      </c>
      <c r="J753" s="47" t="str">
        <f>IF(GroDB3[[#This Row],[Last_Order_Date]]&lt;=GroDB3[[#This Row],[Date_Received]], "Yes", "No")</f>
        <v>No</v>
      </c>
      <c r="K753" s="43">
        <f>IF(GroDB3[[#This Row],[Column1]]="No",GroDB3[[#This Row],[Last_Order_Date]],GroDB3[[#This Row],[Date_Received]])</f>
        <v>45555</v>
      </c>
      <c r="L753" s="43">
        <f>IF(GroDB3[[#This Row],[Column1]]="No",GroDB3[[#This Row],[Date_Received]],GroDB3[[#This Row],[Last_Order_Date]])</f>
        <v>45430</v>
      </c>
      <c r="M753" s="43">
        <v>45412</v>
      </c>
      <c r="N753" s="3">
        <v>47</v>
      </c>
      <c r="O753" s="3">
        <v>7</v>
      </c>
      <c r="P753" s="3">
        <v>63</v>
      </c>
      <c r="Q753" s="4">
        <v>2</v>
      </c>
      <c r="R753" s="3">
        <v>29</v>
      </c>
      <c r="S753" s="3">
        <v>20</v>
      </c>
      <c r="T753" s="7">
        <v>-1.04</v>
      </c>
    </row>
    <row r="754" spans="1:20" x14ac:dyDescent="0.35">
      <c r="A754" s="5" t="s">
        <v>817</v>
      </c>
      <c r="B754" s="3" t="s">
        <v>18</v>
      </c>
      <c r="C754" s="3" t="s">
        <v>2723</v>
      </c>
      <c r="D754" s="3" t="s">
        <v>2724</v>
      </c>
      <c r="E754" s="3" t="s">
        <v>28</v>
      </c>
      <c r="F754" s="3" t="s">
        <v>2725</v>
      </c>
      <c r="G754" s="3" t="s">
        <v>2726</v>
      </c>
      <c r="H754" s="43">
        <v>45430</v>
      </c>
      <c r="I754" s="43">
        <v>45662</v>
      </c>
      <c r="J754" s="47" t="str">
        <f>IF(GroDB3[[#This Row],[Last_Order_Date]]&lt;=GroDB3[[#This Row],[Date_Received]], "Yes", "No")</f>
        <v>No</v>
      </c>
      <c r="K754" s="43">
        <f>IF(GroDB3[[#This Row],[Column1]]="No",GroDB3[[#This Row],[Last_Order_Date]],GroDB3[[#This Row],[Date_Received]])</f>
        <v>45662</v>
      </c>
      <c r="L754" s="43">
        <f>IF(GroDB3[[#This Row],[Column1]]="No",GroDB3[[#This Row],[Date_Received]],GroDB3[[#This Row],[Last_Order_Date]])</f>
        <v>45430</v>
      </c>
      <c r="M754" s="43">
        <v>45399</v>
      </c>
      <c r="N754" s="3">
        <v>12</v>
      </c>
      <c r="O754" s="3">
        <v>28</v>
      </c>
      <c r="P754" s="3">
        <v>11</v>
      </c>
      <c r="Q754" s="4">
        <v>3</v>
      </c>
      <c r="R754" s="3">
        <v>46</v>
      </c>
      <c r="S754" s="3">
        <v>88</v>
      </c>
      <c r="T754" s="7">
        <v>0.31</v>
      </c>
    </row>
    <row r="755" spans="1:20" x14ac:dyDescent="0.35">
      <c r="A755" s="5" t="s">
        <v>812</v>
      </c>
      <c r="B755" s="3" t="s">
        <v>18</v>
      </c>
      <c r="C755" s="3" t="s">
        <v>2455</v>
      </c>
      <c r="D755" s="3" t="s">
        <v>2727</v>
      </c>
      <c r="E755" s="3" t="s">
        <v>21</v>
      </c>
      <c r="F755" s="3" t="s">
        <v>2728</v>
      </c>
      <c r="G755" s="3" t="s">
        <v>2729</v>
      </c>
      <c r="H755" s="43">
        <v>45430</v>
      </c>
      <c r="I755" s="43">
        <v>45567</v>
      </c>
      <c r="J755" s="47" t="str">
        <f>IF(GroDB3[[#This Row],[Last_Order_Date]]&lt;=GroDB3[[#This Row],[Date_Received]], "Yes", "No")</f>
        <v>No</v>
      </c>
      <c r="K755" s="43">
        <f>IF(GroDB3[[#This Row],[Column1]]="No",GroDB3[[#This Row],[Last_Order_Date]],GroDB3[[#This Row],[Date_Received]])</f>
        <v>45567</v>
      </c>
      <c r="L755" s="43">
        <f>IF(GroDB3[[#This Row],[Column1]]="No",GroDB3[[#This Row],[Date_Received]],GroDB3[[#This Row],[Last_Order_Date]])</f>
        <v>45430</v>
      </c>
      <c r="M755" s="43">
        <v>45650</v>
      </c>
      <c r="N755" s="3">
        <v>84</v>
      </c>
      <c r="O755" s="3">
        <v>46</v>
      </c>
      <c r="P755" s="3">
        <v>80</v>
      </c>
      <c r="Q755" s="4">
        <v>3.5</v>
      </c>
      <c r="R755" s="3">
        <v>66</v>
      </c>
      <c r="S755" s="3">
        <v>84</v>
      </c>
      <c r="T755" s="7">
        <v>-0.91</v>
      </c>
    </row>
    <row r="756" spans="1:20" x14ac:dyDescent="0.35">
      <c r="A756" s="5" t="s">
        <v>984</v>
      </c>
      <c r="B756" s="3" t="s">
        <v>18</v>
      </c>
      <c r="C756" s="3" t="s">
        <v>1599</v>
      </c>
      <c r="D756" s="3" t="s">
        <v>2730</v>
      </c>
      <c r="E756" s="3" t="s">
        <v>56</v>
      </c>
      <c r="F756" s="3" t="s">
        <v>2731</v>
      </c>
      <c r="G756" s="3" t="s">
        <v>2732</v>
      </c>
      <c r="H756" s="43">
        <v>45431</v>
      </c>
      <c r="I756" s="43">
        <v>45701</v>
      </c>
      <c r="J756" s="47" t="str">
        <f>IF(GroDB3[[#This Row],[Last_Order_Date]]&lt;=GroDB3[[#This Row],[Date_Received]], "Yes", "No")</f>
        <v>No</v>
      </c>
      <c r="K756" s="43">
        <f>IF(GroDB3[[#This Row],[Column1]]="No",GroDB3[[#This Row],[Last_Order_Date]],GroDB3[[#This Row],[Date_Received]])</f>
        <v>45701</v>
      </c>
      <c r="L756" s="43">
        <f>IF(GroDB3[[#This Row],[Column1]]="No",GroDB3[[#This Row],[Date_Received]],GroDB3[[#This Row],[Last_Order_Date]])</f>
        <v>45431</v>
      </c>
      <c r="M756" s="43">
        <v>45419</v>
      </c>
      <c r="N756" s="3">
        <v>47</v>
      </c>
      <c r="O756" s="3">
        <v>63</v>
      </c>
      <c r="P756" s="3">
        <v>86</v>
      </c>
      <c r="Q756" s="4">
        <v>4</v>
      </c>
      <c r="R756" s="3">
        <v>76</v>
      </c>
      <c r="S756" s="3">
        <v>29</v>
      </c>
      <c r="T756" s="7">
        <v>-0.27</v>
      </c>
    </row>
    <row r="757" spans="1:20" x14ac:dyDescent="0.35">
      <c r="A757" s="5" t="s">
        <v>420</v>
      </c>
      <c r="B757" s="3" t="s">
        <v>60</v>
      </c>
      <c r="C757" s="3" t="s">
        <v>943</v>
      </c>
      <c r="D757" s="3" t="s">
        <v>2733</v>
      </c>
      <c r="E757" s="3" t="s">
        <v>56</v>
      </c>
      <c r="F757" s="3" t="s">
        <v>2734</v>
      </c>
      <c r="G757" s="3" t="s">
        <v>2735</v>
      </c>
      <c r="H757" s="43">
        <v>45432</v>
      </c>
      <c r="I757" s="43">
        <v>45620</v>
      </c>
      <c r="J757" s="47" t="str">
        <f>IF(GroDB3[[#This Row],[Last_Order_Date]]&lt;=GroDB3[[#This Row],[Date_Received]], "Yes", "No")</f>
        <v>No</v>
      </c>
      <c r="K757" s="43">
        <f>IF(GroDB3[[#This Row],[Column1]]="No",GroDB3[[#This Row],[Last_Order_Date]],GroDB3[[#This Row],[Date_Received]])</f>
        <v>45620</v>
      </c>
      <c r="L757" s="43">
        <f>IF(GroDB3[[#This Row],[Column1]]="No",GroDB3[[#This Row],[Date_Received]],GroDB3[[#This Row],[Last_Order_Date]])</f>
        <v>45432</v>
      </c>
      <c r="M757" s="43">
        <v>45416</v>
      </c>
      <c r="N757" s="3">
        <v>87</v>
      </c>
      <c r="O757" s="3">
        <v>24</v>
      </c>
      <c r="P757" s="3">
        <v>66</v>
      </c>
      <c r="Q757" s="4">
        <v>18</v>
      </c>
      <c r="R757" s="3">
        <v>22</v>
      </c>
      <c r="S757" s="3">
        <v>34</v>
      </c>
      <c r="T757" s="7">
        <v>0.62</v>
      </c>
    </row>
    <row r="758" spans="1:20" x14ac:dyDescent="0.35">
      <c r="A758" s="5" t="s">
        <v>470</v>
      </c>
      <c r="B758" s="3" t="s">
        <v>18</v>
      </c>
      <c r="C758" s="3" t="s">
        <v>696</v>
      </c>
      <c r="D758" s="3" t="s">
        <v>2736</v>
      </c>
      <c r="E758" s="3" t="s">
        <v>28</v>
      </c>
      <c r="F758" s="3" t="s">
        <v>2737</v>
      </c>
      <c r="G758" s="3" t="s">
        <v>2738</v>
      </c>
      <c r="H758" s="43">
        <v>45433</v>
      </c>
      <c r="I758" s="43">
        <v>45381</v>
      </c>
      <c r="J758" s="47" t="str">
        <f>IF(GroDB3[[#This Row],[Last_Order_Date]]&lt;=GroDB3[[#This Row],[Date_Received]], "Yes", "No")</f>
        <v>Yes</v>
      </c>
      <c r="K758" s="43">
        <f>IF(GroDB3[[#This Row],[Column1]]="No",GroDB3[[#This Row],[Last_Order_Date]],GroDB3[[#This Row],[Date_Received]])</f>
        <v>45433</v>
      </c>
      <c r="L758" s="43">
        <f>IF(GroDB3[[#This Row],[Column1]]="No",GroDB3[[#This Row],[Date_Received]],GroDB3[[#This Row],[Last_Order_Date]])</f>
        <v>45381</v>
      </c>
      <c r="M758" s="43">
        <v>45412</v>
      </c>
      <c r="N758" s="3">
        <v>47</v>
      </c>
      <c r="O758" s="3">
        <v>72</v>
      </c>
      <c r="P758" s="3">
        <v>73</v>
      </c>
      <c r="Q758" s="4">
        <v>4</v>
      </c>
      <c r="R758" s="3">
        <v>93</v>
      </c>
      <c r="S758" s="3">
        <v>27</v>
      </c>
      <c r="T758" s="7">
        <v>-0.55000000000000004</v>
      </c>
    </row>
    <row r="759" spans="1:20" x14ac:dyDescent="0.35">
      <c r="A759" s="5" t="s">
        <v>700</v>
      </c>
      <c r="B759" s="3" t="s">
        <v>18</v>
      </c>
      <c r="C759" s="3" t="s">
        <v>818</v>
      </c>
      <c r="D759" s="3" t="s">
        <v>2739</v>
      </c>
      <c r="E759" s="3" t="s">
        <v>56</v>
      </c>
      <c r="F759" s="3" t="s">
        <v>2740</v>
      </c>
      <c r="G759" s="3" t="s">
        <v>2741</v>
      </c>
      <c r="H759" s="43">
        <v>45434</v>
      </c>
      <c r="I759" s="43">
        <v>45419</v>
      </c>
      <c r="J759" s="47" t="str">
        <f>IF(GroDB3[[#This Row],[Last_Order_Date]]&lt;=GroDB3[[#This Row],[Date_Received]], "Yes", "No")</f>
        <v>Yes</v>
      </c>
      <c r="K759" s="43">
        <f>IF(GroDB3[[#This Row],[Column1]]="No",GroDB3[[#This Row],[Last_Order_Date]],GroDB3[[#This Row],[Date_Received]])</f>
        <v>45434</v>
      </c>
      <c r="L759" s="43">
        <f>IF(GroDB3[[#This Row],[Column1]]="No",GroDB3[[#This Row],[Date_Received]],GroDB3[[#This Row],[Last_Order_Date]])</f>
        <v>45419</v>
      </c>
      <c r="M759" s="43">
        <v>45460</v>
      </c>
      <c r="N759" s="3">
        <v>61</v>
      </c>
      <c r="O759" s="3">
        <v>17</v>
      </c>
      <c r="P759" s="3">
        <v>69</v>
      </c>
      <c r="Q759" s="4">
        <v>2.52</v>
      </c>
      <c r="R759" s="3">
        <v>31</v>
      </c>
      <c r="S759" s="3">
        <v>29</v>
      </c>
      <c r="T759" s="7">
        <v>0.71</v>
      </c>
    </row>
    <row r="760" spans="1:20" x14ac:dyDescent="0.35">
      <c r="A760" s="5" t="s">
        <v>465</v>
      </c>
      <c r="B760" s="3" t="s">
        <v>32</v>
      </c>
      <c r="C760" s="3" t="s">
        <v>1402</v>
      </c>
      <c r="D760" s="3" t="s">
        <v>2742</v>
      </c>
      <c r="E760" s="3" t="s">
        <v>21</v>
      </c>
      <c r="F760" s="3" t="s">
        <v>2743</v>
      </c>
      <c r="G760" s="3" t="s">
        <v>2744</v>
      </c>
      <c r="H760" s="43">
        <v>45435</v>
      </c>
      <c r="I760" s="43">
        <v>45583</v>
      </c>
      <c r="J760" s="47" t="str">
        <f>IF(GroDB3[[#This Row],[Last_Order_Date]]&lt;=GroDB3[[#This Row],[Date_Received]], "Yes", "No")</f>
        <v>No</v>
      </c>
      <c r="K760" s="43">
        <f>IF(GroDB3[[#This Row],[Column1]]="No",GroDB3[[#This Row],[Last_Order_Date]],GroDB3[[#This Row],[Date_Received]])</f>
        <v>45583</v>
      </c>
      <c r="L760" s="43">
        <f>IF(GroDB3[[#This Row],[Column1]]="No",GroDB3[[#This Row],[Date_Received]],GroDB3[[#This Row],[Last_Order_Date]])</f>
        <v>45435</v>
      </c>
      <c r="M760" s="43">
        <v>45540</v>
      </c>
      <c r="N760" s="3">
        <v>62</v>
      </c>
      <c r="O760" s="3">
        <v>2</v>
      </c>
      <c r="P760" s="3">
        <v>98</v>
      </c>
      <c r="Q760" s="4">
        <v>3</v>
      </c>
      <c r="R760" s="3">
        <v>50</v>
      </c>
      <c r="S760" s="3">
        <v>11</v>
      </c>
      <c r="T760" s="7">
        <v>0.06</v>
      </c>
    </row>
    <row r="761" spans="1:20" x14ac:dyDescent="0.35">
      <c r="A761" s="5" t="s">
        <v>632</v>
      </c>
      <c r="B761" s="3" t="s">
        <v>60</v>
      </c>
      <c r="C761" s="3" t="s">
        <v>1704</v>
      </c>
      <c r="D761" s="3" t="s">
        <v>2745</v>
      </c>
      <c r="E761" s="3" t="s">
        <v>56</v>
      </c>
      <c r="F761" s="3" t="s">
        <v>2746</v>
      </c>
      <c r="G761" s="3" t="s">
        <v>2747</v>
      </c>
      <c r="H761" s="43">
        <v>45435</v>
      </c>
      <c r="I761" s="43">
        <v>45486</v>
      </c>
      <c r="J761" s="47" t="str">
        <f>IF(GroDB3[[#This Row],[Last_Order_Date]]&lt;=GroDB3[[#This Row],[Date_Received]], "Yes", "No")</f>
        <v>No</v>
      </c>
      <c r="K761" s="43">
        <f>IF(GroDB3[[#This Row],[Column1]]="No",GroDB3[[#This Row],[Last_Order_Date]],GroDB3[[#This Row],[Date_Received]])</f>
        <v>45486</v>
      </c>
      <c r="L761" s="43">
        <f>IF(GroDB3[[#This Row],[Column1]]="No",GroDB3[[#This Row],[Date_Received]],GroDB3[[#This Row],[Last_Order_Date]])</f>
        <v>45435</v>
      </c>
      <c r="M761" s="43">
        <v>45413</v>
      </c>
      <c r="N761" s="3">
        <v>31</v>
      </c>
      <c r="O761" s="3">
        <v>87</v>
      </c>
      <c r="P761" s="3">
        <v>19</v>
      </c>
      <c r="Q761" s="4">
        <v>8</v>
      </c>
      <c r="R761" s="3">
        <v>41</v>
      </c>
      <c r="S761" s="3">
        <v>10</v>
      </c>
      <c r="T761" s="7">
        <v>0.78</v>
      </c>
    </row>
    <row r="762" spans="1:20" x14ac:dyDescent="0.35">
      <c r="A762" s="5" t="s">
        <v>544</v>
      </c>
      <c r="B762" s="3" t="s">
        <v>91</v>
      </c>
      <c r="C762" s="3" t="s">
        <v>1743</v>
      </c>
      <c r="D762" s="3" t="s">
        <v>2748</v>
      </c>
      <c r="E762" s="3" t="s">
        <v>28</v>
      </c>
      <c r="F762" s="3" t="s">
        <v>2749</v>
      </c>
      <c r="G762" s="3" t="s">
        <v>2750</v>
      </c>
      <c r="H762" s="43">
        <v>45435</v>
      </c>
      <c r="I762" s="43">
        <v>45680</v>
      </c>
      <c r="J762" s="47" t="str">
        <f>IF(GroDB3[[#This Row],[Last_Order_Date]]&lt;=GroDB3[[#This Row],[Date_Received]], "Yes", "No")</f>
        <v>No</v>
      </c>
      <c r="K762" s="43">
        <f>IF(GroDB3[[#This Row],[Column1]]="No",GroDB3[[#This Row],[Last_Order_Date]],GroDB3[[#This Row],[Date_Received]])</f>
        <v>45680</v>
      </c>
      <c r="L762" s="43">
        <f>IF(GroDB3[[#This Row],[Column1]]="No",GroDB3[[#This Row],[Date_Received]],GroDB3[[#This Row],[Last_Order_Date]])</f>
        <v>45435</v>
      </c>
      <c r="M762" s="43">
        <v>45462</v>
      </c>
      <c r="N762" s="3">
        <v>28</v>
      </c>
      <c r="O762" s="3">
        <v>94</v>
      </c>
      <c r="P762" s="3">
        <v>80</v>
      </c>
      <c r="Q762" s="4">
        <v>2.8</v>
      </c>
      <c r="R762" s="3">
        <v>31</v>
      </c>
      <c r="S762" s="3">
        <v>1</v>
      </c>
      <c r="T762" s="7">
        <v>0.76</v>
      </c>
    </row>
    <row r="763" spans="1:20" x14ac:dyDescent="0.35">
      <c r="A763" s="5" t="s">
        <v>1445</v>
      </c>
      <c r="B763" s="3" t="s">
        <v>18</v>
      </c>
      <c r="C763" s="3" t="s">
        <v>996</v>
      </c>
      <c r="D763" s="3" t="s">
        <v>2751</v>
      </c>
      <c r="E763" s="3" t="s">
        <v>28</v>
      </c>
      <c r="F763" s="3" t="s">
        <v>2752</v>
      </c>
      <c r="G763" s="3" t="s">
        <v>2753</v>
      </c>
      <c r="H763" s="43">
        <v>45435</v>
      </c>
      <c r="I763" s="43">
        <v>45614</v>
      </c>
      <c r="J763" s="47" t="str">
        <f>IF(GroDB3[[#This Row],[Last_Order_Date]]&lt;=GroDB3[[#This Row],[Date_Received]], "Yes", "No")</f>
        <v>No</v>
      </c>
      <c r="K763" s="43">
        <f>IF(GroDB3[[#This Row],[Column1]]="No",GroDB3[[#This Row],[Last_Order_Date]],GroDB3[[#This Row],[Date_Received]])</f>
        <v>45614</v>
      </c>
      <c r="L763" s="43">
        <f>IF(GroDB3[[#This Row],[Column1]]="No",GroDB3[[#This Row],[Date_Received]],GroDB3[[#This Row],[Last_Order_Date]])</f>
        <v>45435</v>
      </c>
      <c r="M763" s="43">
        <v>45502</v>
      </c>
      <c r="N763" s="3">
        <v>28</v>
      </c>
      <c r="O763" s="3">
        <v>86</v>
      </c>
      <c r="P763" s="3">
        <v>44</v>
      </c>
      <c r="Q763" s="4">
        <v>10</v>
      </c>
      <c r="R763" s="3">
        <v>48</v>
      </c>
      <c r="S763" s="3">
        <v>12</v>
      </c>
      <c r="T763" s="7">
        <v>0.97</v>
      </c>
    </row>
    <row r="764" spans="1:20" x14ac:dyDescent="0.35">
      <c r="A764" s="5" t="s">
        <v>188</v>
      </c>
      <c r="B764" s="3" t="s">
        <v>32</v>
      </c>
      <c r="C764" s="3" t="s">
        <v>33</v>
      </c>
      <c r="D764" s="3" t="s">
        <v>2754</v>
      </c>
      <c r="E764" s="3" t="s">
        <v>21</v>
      </c>
      <c r="F764" s="3" t="s">
        <v>2755</v>
      </c>
      <c r="G764" s="3" t="s">
        <v>2756</v>
      </c>
      <c r="H764" s="43">
        <v>45435</v>
      </c>
      <c r="I764" s="43">
        <v>45695</v>
      </c>
      <c r="J764" s="47" t="str">
        <f>IF(GroDB3[[#This Row],[Last_Order_Date]]&lt;=GroDB3[[#This Row],[Date_Received]], "Yes", "No")</f>
        <v>No</v>
      </c>
      <c r="K764" s="43">
        <f>IF(GroDB3[[#This Row],[Column1]]="No",GroDB3[[#This Row],[Last_Order_Date]],GroDB3[[#This Row],[Date_Received]])</f>
        <v>45695</v>
      </c>
      <c r="L764" s="43">
        <f>IF(GroDB3[[#This Row],[Column1]]="No",GroDB3[[#This Row],[Date_Received]],GroDB3[[#This Row],[Last_Order_Date]])</f>
        <v>45435</v>
      </c>
      <c r="M764" s="43">
        <v>45490</v>
      </c>
      <c r="N764" s="3">
        <v>74</v>
      </c>
      <c r="O764" s="3">
        <v>90</v>
      </c>
      <c r="P764" s="3">
        <v>26</v>
      </c>
      <c r="Q764" s="4">
        <v>1</v>
      </c>
      <c r="R764" s="3">
        <v>24</v>
      </c>
      <c r="S764" s="3">
        <v>11</v>
      </c>
      <c r="T764" s="7">
        <v>0.75</v>
      </c>
    </row>
    <row r="765" spans="1:20" x14ac:dyDescent="0.35">
      <c r="A765" s="5" t="s">
        <v>116</v>
      </c>
      <c r="B765" s="3" t="s">
        <v>18</v>
      </c>
      <c r="C765" s="3" t="s">
        <v>670</v>
      </c>
      <c r="D765" s="3" t="s">
        <v>2757</v>
      </c>
      <c r="E765" s="3" t="s">
        <v>56</v>
      </c>
      <c r="F765" s="3" t="s">
        <v>2758</v>
      </c>
      <c r="G765" s="3" t="s">
        <v>2759</v>
      </c>
      <c r="H765" s="43">
        <v>45436</v>
      </c>
      <c r="I765" s="43">
        <v>45515</v>
      </c>
      <c r="J765" s="47" t="str">
        <f>IF(GroDB3[[#This Row],[Last_Order_Date]]&lt;=GroDB3[[#This Row],[Date_Received]], "Yes", "No")</f>
        <v>No</v>
      </c>
      <c r="K765" s="43">
        <f>IF(GroDB3[[#This Row],[Column1]]="No",GroDB3[[#This Row],[Last_Order_Date]],GroDB3[[#This Row],[Date_Received]])</f>
        <v>45515</v>
      </c>
      <c r="L765" s="43">
        <f>IF(GroDB3[[#This Row],[Column1]]="No",GroDB3[[#This Row],[Date_Received]],GroDB3[[#This Row],[Last_Order_Date]])</f>
        <v>45436</v>
      </c>
      <c r="M765" s="43">
        <v>45429</v>
      </c>
      <c r="N765" s="3">
        <v>49</v>
      </c>
      <c r="O765" s="3">
        <v>89</v>
      </c>
      <c r="P765" s="3">
        <v>65</v>
      </c>
      <c r="Q765" s="4">
        <v>3</v>
      </c>
      <c r="R765" s="3">
        <v>37</v>
      </c>
      <c r="S765" s="3">
        <v>48</v>
      </c>
      <c r="T765" s="7">
        <v>0.54</v>
      </c>
    </row>
    <row r="766" spans="1:20" x14ac:dyDescent="0.35">
      <c r="A766" s="5" t="s">
        <v>111</v>
      </c>
      <c r="B766" s="3" t="s">
        <v>32</v>
      </c>
      <c r="C766" s="3" t="s">
        <v>2709</v>
      </c>
      <c r="D766" s="3" t="s">
        <v>2760</v>
      </c>
      <c r="E766" s="3" t="s">
        <v>21</v>
      </c>
      <c r="F766" s="3" t="s">
        <v>2761</v>
      </c>
      <c r="G766" s="3" t="s">
        <v>2762</v>
      </c>
      <c r="H766" s="43">
        <v>45436</v>
      </c>
      <c r="I766" s="43">
        <v>45526</v>
      </c>
      <c r="J766" s="47" t="str">
        <f>IF(GroDB3[[#This Row],[Last_Order_Date]]&lt;=GroDB3[[#This Row],[Date_Received]], "Yes", "No")</f>
        <v>No</v>
      </c>
      <c r="K766" s="43">
        <f>IF(GroDB3[[#This Row],[Column1]]="No",GroDB3[[#This Row],[Last_Order_Date]],GroDB3[[#This Row],[Date_Received]])</f>
        <v>45526</v>
      </c>
      <c r="L766" s="43">
        <f>IF(GroDB3[[#This Row],[Column1]]="No",GroDB3[[#This Row],[Date_Received]],GroDB3[[#This Row],[Last_Order_Date]])</f>
        <v>45436</v>
      </c>
      <c r="M766" s="43">
        <v>45429</v>
      </c>
      <c r="N766" s="3">
        <v>64</v>
      </c>
      <c r="O766" s="3">
        <v>95</v>
      </c>
      <c r="P766" s="3">
        <v>62</v>
      </c>
      <c r="Q766" s="4">
        <v>6</v>
      </c>
      <c r="R766" s="3">
        <v>55</v>
      </c>
      <c r="S766" s="3">
        <v>1</v>
      </c>
      <c r="T766" s="7">
        <v>-0.3</v>
      </c>
    </row>
    <row r="767" spans="1:20" x14ac:dyDescent="0.35">
      <c r="A767" s="5" t="s">
        <v>1179</v>
      </c>
      <c r="B767" s="3" t="s">
        <v>91</v>
      </c>
      <c r="C767" s="3" t="s">
        <v>1795</v>
      </c>
      <c r="D767" s="3" t="s">
        <v>2763</v>
      </c>
      <c r="E767" s="3" t="s">
        <v>28</v>
      </c>
      <c r="F767" s="3" t="s">
        <v>2764</v>
      </c>
      <c r="G767" s="3" t="s">
        <v>2765</v>
      </c>
      <c r="H767" s="43">
        <v>45437</v>
      </c>
      <c r="I767" s="43">
        <v>45501</v>
      </c>
      <c r="J767" s="47" t="str">
        <f>IF(GroDB3[[#This Row],[Last_Order_Date]]&lt;=GroDB3[[#This Row],[Date_Received]], "Yes", "No")</f>
        <v>No</v>
      </c>
      <c r="K767" s="43">
        <f>IF(GroDB3[[#This Row],[Column1]]="No",GroDB3[[#This Row],[Last_Order_Date]],GroDB3[[#This Row],[Date_Received]])</f>
        <v>45501</v>
      </c>
      <c r="L767" s="43">
        <f>IF(GroDB3[[#This Row],[Column1]]="No",GroDB3[[#This Row],[Date_Received]],GroDB3[[#This Row],[Last_Order_Date]])</f>
        <v>45437</v>
      </c>
      <c r="M767" s="43">
        <v>45676</v>
      </c>
      <c r="N767" s="3">
        <v>93</v>
      </c>
      <c r="O767" s="3">
        <v>76</v>
      </c>
      <c r="P767" s="3">
        <v>82</v>
      </c>
      <c r="Q767" s="4">
        <v>2.5</v>
      </c>
      <c r="R767" s="3">
        <v>76</v>
      </c>
      <c r="S767" s="3">
        <v>51</v>
      </c>
      <c r="T767" s="7">
        <v>0.98</v>
      </c>
    </row>
    <row r="768" spans="1:20" x14ac:dyDescent="0.35">
      <c r="A768" s="5" t="s">
        <v>1278</v>
      </c>
      <c r="B768" s="3" t="s">
        <v>18</v>
      </c>
      <c r="C768" s="3" t="s">
        <v>1236</v>
      </c>
      <c r="D768" s="3" t="s">
        <v>2766</v>
      </c>
      <c r="E768" s="3" t="s">
        <v>28</v>
      </c>
      <c r="F768" s="3" t="s">
        <v>2767</v>
      </c>
      <c r="G768" s="3" t="s">
        <v>2768</v>
      </c>
      <c r="H768" s="43">
        <v>45437</v>
      </c>
      <c r="I768" s="43">
        <v>45435</v>
      </c>
      <c r="J768" s="47" t="str">
        <f>IF(GroDB3[[#This Row],[Last_Order_Date]]&lt;=GroDB3[[#This Row],[Date_Received]], "Yes", "No")</f>
        <v>Yes</v>
      </c>
      <c r="K768" s="43">
        <f>IF(GroDB3[[#This Row],[Column1]]="No",GroDB3[[#This Row],[Last_Order_Date]],GroDB3[[#This Row],[Date_Received]])</f>
        <v>45437</v>
      </c>
      <c r="L768" s="43">
        <f>IF(GroDB3[[#This Row],[Column1]]="No",GroDB3[[#This Row],[Date_Received]],GroDB3[[#This Row],[Last_Order_Date]])</f>
        <v>45435</v>
      </c>
      <c r="M768" s="43">
        <v>45552</v>
      </c>
      <c r="N768" s="3">
        <v>24</v>
      </c>
      <c r="O768" s="3">
        <v>25</v>
      </c>
      <c r="P768" s="3">
        <v>52</v>
      </c>
      <c r="Q768" s="4">
        <v>4.5</v>
      </c>
      <c r="R768" s="3">
        <v>24</v>
      </c>
      <c r="S768" s="3">
        <v>77</v>
      </c>
      <c r="T768" s="7">
        <v>0.33</v>
      </c>
    </row>
    <row r="769" spans="1:20" x14ac:dyDescent="0.35">
      <c r="A769" s="5" t="s">
        <v>438</v>
      </c>
      <c r="B769" s="3" t="s">
        <v>18</v>
      </c>
      <c r="C769" s="3" t="s">
        <v>2769</v>
      </c>
      <c r="D769" s="3" t="s">
        <v>2770</v>
      </c>
      <c r="E769" s="3" t="s">
        <v>28</v>
      </c>
      <c r="F769" s="3" t="s">
        <v>2771</v>
      </c>
      <c r="G769" s="3" t="s">
        <v>2772</v>
      </c>
      <c r="H769" s="43">
        <v>45437</v>
      </c>
      <c r="I769" s="43">
        <v>45446</v>
      </c>
      <c r="J769" s="47" t="str">
        <f>IF(GroDB3[[#This Row],[Last_Order_Date]]&lt;=GroDB3[[#This Row],[Date_Received]], "Yes", "No")</f>
        <v>No</v>
      </c>
      <c r="K769" s="43">
        <f>IF(GroDB3[[#This Row],[Column1]]="No",GroDB3[[#This Row],[Last_Order_Date]],GroDB3[[#This Row],[Date_Received]])</f>
        <v>45446</v>
      </c>
      <c r="L769" s="43">
        <f>IF(GroDB3[[#This Row],[Column1]]="No",GroDB3[[#This Row],[Date_Received]],GroDB3[[#This Row],[Last_Order_Date]])</f>
        <v>45437</v>
      </c>
      <c r="M769" s="43">
        <v>45503</v>
      </c>
      <c r="N769" s="3">
        <v>85</v>
      </c>
      <c r="O769" s="3">
        <v>90</v>
      </c>
      <c r="P769" s="3">
        <v>16</v>
      </c>
      <c r="Q769" s="4">
        <v>5</v>
      </c>
      <c r="R769" s="3">
        <v>61</v>
      </c>
      <c r="S769" s="3">
        <v>80</v>
      </c>
      <c r="T769" s="7">
        <v>-2.21</v>
      </c>
    </row>
    <row r="770" spans="1:20" x14ac:dyDescent="0.35">
      <c r="A770" s="5" t="s">
        <v>495</v>
      </c>
      <c r="B770" s="3" t="s">
        <v>18</v>
      </c>
      <c r="C770" s="3" t="s">
        <v>908</v>
      </c>
      <c r="D770" s="3" t="s">
        <v>2773</v>
      </c>
      <c r="E770" s="3" t="s">
        <v>56</v>
      </c>
      <c r="F770" s="3" t="s">
        <v>2774</v>
      </c>
      <c r="G770" s="3" t="s">
        <v>2775</v>
      </c>
      <c r="H770" s="43">
        <v>45438</v>
      </c>
      <c r="I770" s="43">
        <v>45420</v>
      </c>
      <c r="J770" s="47" t="str">
        <f>IF(GroDB3[[#This Row],[Last_Order_Date]]&lt;=GroDB3[[#This Row],[Date_Received]], "Yes", "No")</f>
        <v>Yes</v>
      </c>
      <c r="K770" s="43">
        <f>IF(GroDB3[[#This Row],[Column1]]="No",GroDB3[[#This Row],[Last_Order_Date]],GroDB3[[#This Row],[Date_Received]])</f>
        <v>45438</v>
      </c>
      <c r="L770" s="43">
        <f>IF(GroDB3[[#This Row],[Column1]]="No",GroDB3[[#This Row],[Date_Received]],GroDB3[[#This Row],[Last_Order_Date]])</f>
        <v>45420</v>
      </c>
      <c r="M770" s="43">
        <v>45489</v>
      </c>
      <c r="N770" s="3">
        <v>81</v>
      </c>
      <c r="O770" s="3">
        <v>23</v>
      </c>
      <c r="P770" s="3">
        <v>17</v>
      </c>
      <c r="Q770" s="4">
        <v>6.25</v>
      </c>
      <c r="R770" s="3">
        <v>92</v>
      </c>
      <c r="S770" s="3">
        <v>78</v>
      </c>
      <c r="T770" s="7">
        <v>-0.31</v>
      </c>
    </row>
    <row r="771" spans="1:20" x14ac:dyDescent="0.35">
      <c r="A771" s="5" t="s">
        <v>263</v>
      </c>
      <c r="B771" s="3" t="s">
        <v>25</v>
      </c>
      <c r="C771" s="3" t="s">
        <v>1073</v>
      </c>
      <c r="D771" s="3" t="s">
        <v>2776</v>
      </c>
      <c r="E771" s="3" t="s">
        <v>21</v>
      </c>
      <c r="F771" s="3" t="s">
        <v>2777</v>
      </c>
      <c r="G771" s="3" t="s">
        <v>2778</v>
      </c>
      <c r="H771" s="43">
        <v>45439</v>
      </c>
      <c r="I771" s="43">
        <v>45417</v>
      </c>
      <c r="J771" s="47" t="str">
        <f>IF(GroDB3[[#This Row],[Last_Order_Date]]&lt;=GroDB3[[#This Row],[Date_Received]], "Yes", "No")</f>
        <v>Yes</v>
      </c>
      <c r="K771" s="43">
        <f>IF(GroDB3[[#This Row],[Column1]]="No",GroDB3[[#This Row],[Last_Order_Date]],GroDB3[[#This Row],[Date_Received]])</f>
        <v>45439</v>
      </c>
      <c r="L771" s="43">
        <f>IF(GroDB3[[#This Row],[Column1]]="No",GroDB3[[#This Row],[Date_Received]],GroDB3[[#This Row],[Last_Order_Date]])</f>
        <v>45417</v>
      </c>
      <c r="M771" s="43">
        <v>45609</v>
      </c>
      <c r="N771" s="3">
        <v>52</v>
      </c>
      <c r="O771" s="3">
        <v>88</v>
      </c>
      <c r="P771" s="3">
        <v>55</v>
      </c>
      <c r="Q771" s="4">
        <v>6</v>
      </c>
      <c r="R771" s="3">
        <v>100</v>
      </c>
      <c r="S771" s="3">
        <v>46</v>
      </c>
      <c r="T771" s="7">
        <v>0.15</v>
      </c>
    </row>
    <row r="772" spans="1:20" x14ac:dyDescent="0.35">
      <c r="A772" s="5" t="s">
        <v>582</v>
      </c>
      <c r="B772" s="3" t="s">
        <v>32</v>
      </c>
      <c r="C772" s="3" t="s">
        <v>1370</v>
      </c>
      <c r="D772" s="3" t="s">
        <v>2779</v>
      </c>
      <c r="E772" s="3" t="s">
        <v>56</v>
      </c>
      <c r="F772" s="3" t="s">
        <v>2780</v>
      </c>
      <c r="G772" s="3" t="s">
        <v>2781</v>
      </c>
      <c r="H772" s="43">
        <v>45439</v>
      </c>
      <c r="I772" s="43">
        <v>45571</v>
      </c>
      <c r="J772" s="47" t="str">
        <f>IF(GroDB3[[#This Row],[Last_Order_Date]]&lt;=GroDB3[[#This Row],[Date_Received]], "Yes", "No")</f>
        <v>No</v>
      </c>
      <c r="K772" s="43">
        <f>IF(GroDB3[[#This Row],[Column1]]="No",GroDB3[[#This Row],[Last_Order_Date]],GroDB3[[#This Row],[Date_Received]])</f>
        <v>45571</v>
      </c>
      <c r="L772" s="43">
        <f>IF(GroDB3[[#This Row],[Column1]]="No",GroDB3[[#This Row],[Date_Received]],GroDB3[[#This Row],[Last_Order_Date]])</f>
        <v>45439</v>
      </c>
      <c r="M772" s="43">
        <v>45644</v>
      </c>
      <c r="N772" s="3">
        <v>78</v>
      </c>
      <c r="O772" s="3">
        <v>61</v>
      </c>
      <c r="P772" s="3">
        <v>6</v>
      </c>
      <c r="Q772" s="4">
        <v>0.8</v>
      </c>
      <c r="R772" s="3">
        <v>49</v>
      </c>
      <c r="S772" s="3">
        <v>60</v>
      </c>
      <c r="T772" s="7">
        <v>0.54</v>
      </c>
    </row>
    <row r="773" spans="1:20" x14ac:dyDescent="0.35">
      <c r="A773" s="5" t="s">
        <v>59</v>
      </c>
      <c r="B773" s="3" t="s">
        <v>60</v>
      </c>
      <c r="C773" s="3" t="s">
        <v>1398</v>
      </c>
      <c r="D773" s="3" t="s">
        <v>2782</v>
      </c>
      <c r="E773" s="3" t="s">
        <v>21</v>
      </c>
      <c r="F773" s="3" t="s">
        <v>2783</v>
      </c>
      <c r="G773" s="3" t="s">
        <v>2784</v>
      </c>
      <c r="H773" s="43">
        <v>45439</v>
      </c>
      <c r="I773" s="43">
        <v>45392</v>
      </c>
      <c r="J773" s="47" t="str">
        <f>IF(GroDB3[[#This Row],[Last_Order_Date]]&lt;=GroDB3[[#This Row],[Date_Received]], "Yes", "No")</f>
        <v>Yes</v>
      </c>
      <c r="K773" s="43">
        <f>IF(GroDB3[[#This Row],[Column1]]="No",GroDB3[[#This Row],[Last_Order_Date]],GroDB3[[#This Row],[Date_Received]])</f>
        <v>45439</v>
      </c>
      <c r="L773" s="43">
        <f>IF(GroDB3[[#This Row],[Column1]]="No",GroDB3[[#This Row],[Date_Received]],GroDB3[[#This Row],[Last_Order_Date]])</f>
        <v>45392</v>
      </c>
      <c r="M773" s="43">
        <v>45641</v>
      </c>
      <c r="N773" s="3">
        <v>44</v>
      </c>
      <c r="O773" s="3">
        <v>97</v>
      </c>
      <c r="P773" s="3">
        <v>76</v>
      </c>
      <c r="Q773" s="4">
        <v>10</v>
      </c>
      <c r="R773" s="3">
        <v>80</v>
      </c>
      <c r="S773" s="3">
        <v>33</v>
      </c>
      <c r="T773" s="7">
        <v>-0.22</v>
      </c>
    </row>
    <row r="774" spans="1:20" x14ac:dyDescent="0.35">
      <c r="A774" s="5" t="s">
        <v>180</v>
      </c>
      <c r="B774" s="3" t="s">
        <v>18</v>
      </c>
      <c r="C774" s="3" t="s">
        <v>818</v>
      </c>
      <c r="D774" s="3" t="s">
        <v>2785</v>
      </c>
      <c r="E774" s="3" t="s">
        <v>21</v>
      </c>
      <c r="F774" s="3" t="s">
        <v>2786</v>
      </c>
      <c r="G774" s="3" t="s">
        <v>2787</v>
      </c>
      <c r="H774" s="43">
        <v>45439</v>
      </c>
      <c r="I774" s="43">
        <v>45415</v>
      </c>
      <c r="J774" s="47" t="str">
        <f>IF(GroDB3[[#This Row],[Last_Order_Date]]&lt;=GroDB3[[#This Row],[Date_Received]], "Yes", "No")</f>
        <v>Yes</v>
      </c>
      <c r="K774" s="43">
        <f>IF(GroDB3[[#This Row],[Column1]]="No",GroDB3[[#This Row],[Last_Order_Date]],GroDB3[[#This Row],[Date_Received]])</f>
        <v>45439</v>
      </c>
      <c r="L774" s="43">
        <f>IF(GroDB3[[#This Row],[Column1]]="No",GroDB3[[#This Row],[Date_Received]],GroDB3[[#This Row],[Last_Order_Date]])</f>
        <v>45415</v>
      </c>
      <c r="M774" s="43">
        <v>45525</v>
      </c>
      <c r="N774" s="3">
        <v>38</v>
      </c>
      <c r="O774" s="3">
        <v>94</v>
      </c>
      <c r="P774" s="3">
        <v>87</v>
      </c>
      <c r="Q774" s="4">
        <v>1.8</v>
      </c>
      <c r="R774" s="3">
        <v>89</v>
      </c>
      <c r="S774" s="3">
        <v>100</v>
      </c>
      <c r="T774" s="7">
        <v>0.59</v>
      </c>
    </row>
    <row r="775" spans="1:20" x14ac:dyDescent="0.35">
      <c r="A775" s="5" t="s">
        <v>2626</v>
      </c>
      <c r="B775" s="3" t="s">
        <v>53</v>
      </c>
      <c r="C775" s="3" t="s">
        <v>405</v>
      </c>
      <c r="D775" s="3" t="s">
        <v>2788</v>
      </c>
      <c r="E775" s="3" t="s">
        <v>28</v>
      </c>
      <c r="F775" s="3" t="s">
        <v>2789</v>
      </c>
      <c r="G775" s="3" t="s">
        <v>2790</v>
      </c>
      <c r="H775" s="43">
        <v>45440</v>
      </c>
      <c r="I775" s="43">
        <v>45710</v>
      </c>
      <c r="J775" s="47" t="str">
        <f>IF(GroDB3[[#This Row],[Last_Order_Date]]&lt;=GroDB3[[#This Row],[Date_Received]], "Yes", "No")</f>
        <v>No</v>
      </c>
      <c r="K775" s="43">
        <f>IF(GroDB3[[#This Row],[Column1]]="No",GroDB3[[#This Row],[Last_Order_Date]],GroDB3[[#This Row],[Date_Received]])</f>
        <v>45710</v>
      </c>
      <c r="L775" s="43">
        <f>IF(GroDB3[[#This Row],[Column1]]="No",GroDB3[[#This Row],[Date_Received]],GroDB3[[#This Row],[Last_Order_Date]])</f>
        <v>45440</v>
      </c>
      <c r="M775" s="43">
        <v>45442</v>
      </c>
      <c r="N775" s="3">
        <v>31</v>
      </c>
      <c r="O775" s="3">
        <v>43</v>
      </c>
      <c r="P775" s="3">
        <v>80</v>
      </c>
      <c r="Q775" s="4">
        <v>1.5</v>
      </c>
      <c r="R775" s="3">
        <v>46</v>
      </c>
      <c r="S775" s="3">
        <v>78</v>
      </c>
      <c r="T775" s="7">
        <v>-0.12</v>
      </c>
    </row>
    <row r="776" spans="1:20" x14ac:dyDescent="0.35">
      <c r="A776" s="5" t="s">
        <v>674</v>
      </c>
      <c r="B776" s="3" t="s">
        <v>60</v>
      </c>
      <c r="C776" s="3" t="s">
        <v>513</v>
      </c>
      <c r="D776" s="3" t="s">
        <v>2791</v>
      </c>
      <c r="E776" s="3" t="s">
        <v>21</v>
      </c>
      <c r="F776" s="3" t="s">
        <v>2792</v>
      </c>
      <c r="G776" s="3" t="s">
        <v>2793</v>
      </c>
      <c r="H776" s="43">
        <v>45440</v>
      </c>
      <c r="I776" s="43">
        <v>45593</v>
      </c>
      <c r="J776" s="47" t="str">
        <f>IF(GroDB3[[#This Row],[Last_Order_Date]]&lt;=GroDB3[[#This Row],[Date_Received]], "Yes", "No")</f>
        <v>No</v>
      </c>
      <c r="K776" s="43">
        <f>IF(GroDB3[[#This Row],[Column1]]="No",GroDB3[[#This Row],[Last_Order_Date]],GroDB3[[#This Row],[Date_Received]])</f>
        <v>45593</v>
      </c>
      <c r="L776" s="43">
        <f>IF(GroDB3[[#This Row],[Column1]]="No",GroDB3[[#This Row],[Date_Received]],GroDB3[[#This Row],[Last_Order_Date]])</f>
        <v>45440</v>
      </c>
      <c r="M776" s="43">
        <v>45652</v>
      </c>
      <c r="N776" s="3">
        <v>46</v>
      </c>
      <c r="O776" s="3">
        <v>28</v>
      </c>
      <c r="P776" s="3">
        <v>73</v>
      </c>
      <c r="Q776" s="4">
        <v>9</v>
      </c>
      <c r="R776" s="3">
        <v>65</v>
      </c>
      <c r="S776" s="3">
        <v>57</v>
      </c>
      <c r="T776" s="7">
        <v>-0.7</v>
      </c>
    </row>
    <row r="777" spans="1:20" x14ac:dyDescent="0.35">
      <c r="A777" s="5" t="s">
        <v>75</v>
      </c>
      <c r="B777" s="3" t="s">
        <v>32</v>
      </c>
      <c r="C777" s="3" t="s">
        <v>2260</v>
      </c>
      <c r="D777" s="3" t="s">
        <v>2794</v>
      </c>
      <c r="E777" s="3" t="s">
        <v>56</v>
      </c>
      <c r="F777" s="3" t="s">
        <v>2795</v>
      </c>
      <c r="G777" s="3" t="s">
        <v>2796</v>
      </c>
      <c r="H777" s="43">
        <v>45440</v>
      </c>
      <c r="I777" s="43">
        <v>45443</v>
      </c>
      <c r="J777" s="47" t="str">
        <f>IF(GroDB3[[#This Row],[Last_Order_Date]]&lt;=GroDB3[[#This Row],[Date_Received]], "Yes", "No")</f>
        <v>No</v>
      </c>
      <c r="K777" s="43">
        <f>IF(GroDB3[[#This Row],[Column1]]="No",GroDB3[[#This Row],[Last_Order_Date]],GroDB3[[#This Row],[Date_Received]])</f>
        <v>45443</v>
      </c>
      <c r="L777" s="43">
        <f>IF(GroDB3[[#This Row],[Column1]]="No",GroDB3[[#This Row],[Date_Received]],GroDB3[[#This Row],[Last_Order_Date]])</f>
        <v>45440</v>
      </c>
      <c r="M777" s="43">
        <v>45528</v>
      </c>
      <c r="N777" s="3">
        <v>88</v>
      </c>
      <c r="O777" s="3">
        <v>74</v>
      </c>
      <c r="P777" s="3">
        <v>97</v>
      </c>
      <c r="Q777" s="4">
        <v>9</v>
      </c>
      <c r="R777" s="3">
        <v>79</v>
      </c>
      <c r="S777" s="3">
        <v>5</v>
      </c>
      <c r="T777" s="7">
        <v>0.12</v>
      </c>
    </row>
    <row r="778" spans="1:20" x14ac:dyDescent="0.35">
      <c r="A778" s="5" t="s">
        <v>2626</v>
      </c>
      <c r="B778" s="3" t="s">
        <v>53</v>
      </c>
      <c r="C778" s="3" t="s">
        <v>1077</v>
      </c>
      <c r="D778" s="3" t="s">
        <v>2797</v>
      </c>
      <c r="E778" s="3" t="s">
        <v>21</v>
      </c>
      <c r="F778" s="3" t="s">
        <v>2798</v>
      </c>
      <c r="G778" s="3" t="s">
        <v>2799</v>
      </c>
      <c r="H778" s="43">
        <v>45440</v>
      </c>
      <c r="I778" s="43">
        <v>45553</v>
      </c>
      <c r="J778" s="47" t="str">
        <f>IF(GroDB3[[#This Row],[Last_Order_Date]]&lt;=GroDB3[[#This Row],[Date_Received]], "Yes", "No")</f>
        <v>No</v>
      </c>
      <c r="K778" s="43">
        <f>IF(GroDB3[[#This Row],[Column1]]="No",GroDB3[[#This Row],[Last_Order_Date]],GroDB3[[#This Row],[Date_Received]])</f>
        <v>45553</v>
      </c>
      <c r="L778" s="43">
        <f>IF(GroDB3[[#This Row],[Column1]]="No",GroDB3[[#This Row],[Date_Received]],GroDB3[[#This Row],[Last_Order_Date]])</f>
        <v>45440</v>
      </c>
      <c r="M778" s="43">
        <v>45711</v>
      </c>
      <c r="N778" s="3">
        <v>90</v>
      </c>
      <c r="O778" s="3">
        <v>75</v>
      </c>
      <c r="P778" s="3">
        <v>43</v>
      </c>
      <c r="Q778" s="4">
        <v>1.5</v>
      </c>
      <c r="R778" s="3">
        <v>80</v>
      </c>
      <c r="S778" s="3">
        <v>57</v>
      </c>
      <c r="T778" s="7">
        <v>0.94</v>
      </c>
    </row>
    <row r="779" spans="1:20" x14ac:dyDescent="0.35">
      <c r="A779" s="5" t="s">
        <v>1081</v>
      </c>
      <c r="B779" s="3" t="s">
        <v>127</v>
      </c>
      <c r="C779" s="3" t="s">
        <v>1739</v>
      </c>
      <c r="D779" s="3" t="s">
        <v>2800</v>
      </c>
      <c r="E779" s="3" t="s">
        <v>21</v>
      </c>
      <c r="F779" s="3" t="s">
        <v>2801</v>
      </c>
      <c r="G779" s="3" t="s">
        <v>2802</v>
      </c>
      <c r="H779" s="43">
        <v>45440</v>
      </c>
      <c r="I779" s="43">
        <v>45671</v>
      </c>
      <c r="J779" s="47" t="str">
        <f>IF(GroDB3[[#This Row],[Last_Order_Date]]&lt;=GroDB3[[#This Row],[Date_Received]], "Yes", "No")</f>
        <v>No</v>
      </c>
      <c r="K779" s="43">
        <f>IF(GroDB3[[#This Row],[Column1]]="No",GroDB3[[#This Row],[Last_Order_Date]],GroDB3[[#This Row],[Date_Received]])</f>
        <v>45671</v>
      </c>
      <c r="L779" s="43">
        <f>IF(GroDB3[[#This Row],[Column1]]="No",GroDB3[[#This Row],[Date_Received]],GroDB3[[#This Row],[Last_Order_Date]])</f>
        <v>45440</v>
      </c>
      <c r="M779" s="43">
        <v>45523</v>
      </c>
      <c r="N779" s="3">
        <v>64</v>
      </c>
      <c r="O779" s="3">
        <v>66</v>
      </c>
      <c r="P779" s="3">
        <v>28</v>
      </c>
      <c r="Q779" s="4">
        <v>8</v>
      </c>
      <c r="R779" s="3">
        <v>25</v>
      </c>
      <c r="S779" s="3">
        <v>52</v>
      </c>
      <c r="T779" s="7">
        <v>0.28999999999999998</v>
      </c>
    </row>
    <row r="780" spans="1:20" x14ac:dyDescent="0.35">
      <c r="A780" s="5" t="s">
        <v>126</v>
      </c>
      <c r="B780" s="3" t="s">
        <v>127</v>
      </c>
      <c r="C780" s="3" t="s">
        <v>2713</v>
      </c>
      <c r="D780" s="3" t="s">
        <v>2803</v>
      </c>
      <c r="E780" s="3" t="s">
        <v>56</v>
      </c>
      <c r="F780" s="3" t="s">
        <v>2804</v>
      </c>
      <c r="G780" s="3" t="s">
        <v>2805</v>
      </c>
      <c r="H780" s="43">
        <v>45441</v>
      </c>
      <c r="I780" s="43">
        <v>45604</v>
      </c>
      <c r="J780" s="47" t="str">
        <f>IF(GroDB3[[#This Row],[Last_Order_Date]]&lt;=GroDB3[[#This Row],[Date_Received]], "Yes", "No")</f>
        <v>No</v>
      </c>
      <c r="K780" s="43">
        <f>IF(GroDB3[[#This Row],[Column1]]="No",GroDB3[[#This Row],[Last_Order_Date]],GroDB3[[#This Row],[Date_Received]])</f>
        <v>45604</v>
      </c>
      <c r="L780" s="43">
        <f>IF(GroDB3[[#This Row],[Column1]]="No",GroDB3[[#This Row],[Date_Received]],GroDB3[[#This Row],[Last_Order_Date]])</f>
        <v>45441</v>
      </c>
      <c r="M780" s="43">
        <v>45417</v>
      </c>
      <c r="N780" s="3">
        <v>55</v>
      </c>
      <c r="O780" s="3">
        <v>93</v>
      </c>
      <c r="P780" s="3">
        <v>84</v>
      </c>
      <c r="Q780" s="4">
        <v>20</v>
      </c>
      <c r="R780" s="3">
        <v>46</v>
      </c>
      <c r="S780" s="3">
        <v>84</v>
      </c>
      <c r="T780" s="7">
        <v>-1.08</v>
      </c>
    </row>
    <row r="781" spans="1:20" x14ac:dyDescent="0.35">
      <c r="A781" s="5" t="s">
        <v>980</v>
      </c>
      <c r="B781" s="3" t="s">
        <v>60</v>
      </c>
      <c r="C781" s="3" t="s">
        <v>1557</v>
      </c>
      <c r="D781" s="3" t="s">
        <v>2806</v>
      </c>
      <c r="E781" s="3" t="s">
        <v>21</v>
      </c>
      <c r="F781" s="3" t="s">
        <v>2807</v>
      </c>
      <c r="G781" s="3" t="s">
        <v>2808</v>
      </c>
      <c r="H781" s="43">
        <v>45441</v>
      </c>
      <c r="I781" s="43">
        <v>45544</v>
      </c>
      <c r="J781" s="47" t="str">
        <f>IF(GroDB3[[#This Row],[Last_Order_Date]]&lt;=GroDB3[[#This Row],[Date_Received]], "Yes", "No")</f>
        <v>No</v>
      </c>
      <c r="K781" s="43">
        <f>IF(GroDB3[[#This Row],[Column1]]="No",GroDB3[[#This Row],[Last_Order_Date]],GroDB3[[#This Row],[Date_Received]])</f>
        <v>45544</v>
      </c>
      <c r="L781" s="43">
        <f>IF(GroDB3[[#This Row],[Column1]]="No",GroDB3[[#This Row],[Date_Received]],GroDB3[[#This Row],[Last_Order_Date]])</f>
        <v>45441</v>
      </c>
      <c r="M781" s="43">
        <v>45590</v>
      </c>
      <c r="N781" s="3">
        <v>88</v>
      </c>
      <c r="O781" s="3">
        <v>83</v>
      </c>
      <c r="P781" s="3">
        <v>42</v>
      </c>
      <c r="Q781" s="4">
        <v>15</v>
      </c>
      <c r="R781" s="3">
        <v>61</v>
      </c>
      <c r="S781" s="3">
        <v>59</v>
      </c>
      <c r="T781" s="7">
        <v>-0.83</v>
      </c>
    </row>
    <row r="782" spans="1:20" x14ac:dyDescent="0.35">
      <c r="A782" s="5" t="s">
        <v>211</v>
      </c>
      <c r="B782" s="3" t="s">
        <v>32</v>
      </c>
      <c r="C782" s="3" t="s">
        <v>1296</v>
      </c>
      <c r="D782" s="3" t="s">
        <v>2809</v>
      </c>
      <c r="E782" s="3" t="s">
        <v>28</v>
      </c>
      <c r="F782" s="3" t="s">
        <v>2810</v>
      </c>
      <c r="G782" s="3" t="s">
        <v>2811</v>
      </c>
      <c r="H782" s="43">
        <v>45441</v>
      </c>
      <c r="I782" s="43">
        <v>45599</v>
      </c>
      <c r="J782" s="47" t="str">
        <f>IF(GroDB3[[#This Row],[Last_Order_Date]]&lt;=GroDB3[[#This Row],[Date_Received]], "Yes", "No")</f>
        <v>No</v>
      </c>
      <c r="K782" s="43">
        <f>IF(GroDB3[[#This Row],[Column1]]="No",GroDB3[[#This Row],[Last_Order_Date]],GroDB3[[#This Row],[Date_Received]])</f>
        <v>45599</v>
      </c>
      <c r="L782" s="43">
        <f>IF(GroDB3[[#This Row],[Column1]]="No",GroDB3[[#This Row],[Date_Received]],GroDB3[[#This Row],[Last_Order_Date]])</f>
        <v>45441</v>
      </c>
      <c r="M782" s="43">
        <v>45388</v>
      </c>
      <c r="N782" s="3">
        <v>29</v>
      </c>
      <c r="O782" s="3">
        <v>39</v>
      </c>
      <c r="P782" s="3">
        <v>80</v>
      </c>
      <c r="Q782" s="4">
        <v>4</v>
      </c>
      <c r="R782" s="3">
        <v>23</v>
      </c>
      <c r="S782" s="3">
        <v>85</v>
      </c>
      <c r="T782" s="7">
        <v>0.03</v>
      </c>
    </row>
    <row r="783" spans="1:20" x14ac:dyDescent="0.35">
      <c r="A783" s="5" t="s">
        <v>116</v>
      </c>
      <c r="B783" s="3" t="s">
        <v>18</v>
      </c>
      <c r="C783" s="3" t="s">
        <v>321</v>
      </c>
      <c r="D783" s="3" t="s">
        <v>2812</v>
      </c>
      <c r="E783" s="3" t="s">
        <v>21</v>
      </c>
      <c r="F783" s="3" t="s">
        <v>2813</v>
      </c>
      <c r="G783" s="3" t="s">
        <v>2814</v>
      </c>
      <c r="H783" s="43">
        <v>45442</v>
      </c>
      <c r="I783" s="43">
        <v>45428</v>
      </c>
      <c r="J783" s="47" t="str">
        <f>IF(GroDB3[[#This Row],[Last_Order_Date]]&lt;=GroDB3[[#This Row],[Date_Received]], "Yes", "No")</f>
        <v>Yes</v>
      </c>
      <c r="K783" s="43">
        <f>IF(GroDB3[[#This Row],[Column1]]="No",GroDB3[[#This Row],[Last_Order_Date]],GroDB3[[#This Row],[Date_Received]])</f>
        <v>45442</v>
      </c>
      <c r="L783" s="43">
        <f>IF(GroDB3[[#This Row],[Column1]]="No",GroDB3[[#This Row],[Date_Received]],GroDB3[[#This Row],[Last_Order_Date]])</f>
        <v>45428</v>
      </c>
      <c r="M783" s="43">
        <v>45509</v>
      </c>
      <c r="N783" s="3">
        <v>31</v>
      </c>
      <c r="O783" s="3">
        <v>44</v>
      </c>
      <c r="P783" s="3">
        <v>9</v>
      </c>
      <c r="Q783" s="4">
        <v>3</v>
      </c>
      <c r="R783" s="3">
        <v>46</v>
      </c>
      <c r="S783" s="3">
        <v>9</v>
      </c>
      <c r="T783" s="7">
        <v>-2.7</v>
      </c>
    </row>
    <row r="784" spans="1:20" x14ac:dyDescent="0.35">
      <c r="A784" s="5" t="s">
        <v>1369</v>
      </c>
      <c r="B784" s="3" t="s">
        <v>32</v>
      </c>
      <c r="C784" s="3" t="s">
        <v>2815</v>
      </c>
      <c r="D784" s="3" t="s">
        <v>2816</v>
      </c>
      <c r="E784" s="3" t="s">
        <v>21</v>
      </c>
      <c r="F784" s="3" t="s">
        <v>2817</v>
      </c>
      <c r="G784" s="3" t="s">
        <v>2818</v>
      </c>
      <c r="H784" s="43">
        <v>45442</v>
      </c>
      <c r="I784" s="43">
        <v>45706</v>
      </c>
      <c r="J784" s="47" t="str">
        <f>IF(GroDB3[[#This Row],[Last_Order_Date]]&lt;=GroDB3[[#This Row],[Date_Received]], "Yes", "No")</f>
        <v>No</v>
      </c>
      <c r="K784" s="43">
        <f>IF(GroDB3[[#This Row],[Column1]]="No",GroDB3[[#This Row],[Last_Order_Date]],GroDB3[[#This Row],[Date_Received]])</f>
        <v>45706</v>
      </c>
      <c r="L784" s="43">
        <f>IF(GroDB3[[#This Row],[Column1]]="No",GroDB3[[#This Row],[Date_Received]],GroDB3[[#This Row],[Last_Order_Date]])</f>
        <v>45442</v>
      </c>
      <c r="M784" s="43">
        <v>45491</v>
      </c>
      <c r="N784" s="3">
        <v>63</v>
      </c>
      <c r="O784" s="3">
        <v>48</v>
      </c>
      <c r="P784" s="3">
        <v>22</v>
      </c>
      <c r="Q784" s="4">
        <v>4</v>
      </c>
      <c r="R784" s="3">
        <v>21</v>
      </c>
      <c r="S784" s="3">
        <v>90</v>
      </c>
      <c r="T784" s="7">
        <v>0.8</v>
      </c>
    </row>
    <row r="785" spans="1:20" x14ac:dyDescent="0.35">
      <c r="A785" s="5" t="s">
        <v>17</v>
      </c>
      <c r="B785" s="3" t="s">
        <v>18</v>
      </c>
      <c r="C785" s="3" t="s">
        <v>2819</v>
      </c>
      <c r="D785" s="3" t="s">
        <v>2820</v>
      </c>
      <c r="E785" s="3" t="s">
        <v>21</v>
      </c>
      <c r="F785" s="3" t="s">
        <v>2821</v>
      </c>
      <c r="G785" s="3" t="s">
        <v>2822</v>
      </c>
      <c r="H785" s="43">
        <v>45442</v>
      </c>
      <c r="I785" s="43">
        <v>45452</v>
      </c>
      <c r="J785" s="47" t="str">
        <f>IF(GroDB3[[#This Row],[Last_Order_Date]]&lt;=GroDB3[[#This Row],[Date_Received]], "Yes", "No")</f>
        <v>No</v>
      </c>
      <c r="K785" s="43">
        <f>IF(GroDB3[[#This Row],[Column1]]="No",GroDB3[[#This Row],[Last_Order_Date]],GroDB3[[#This Row],[Date_Received]])</f>
        <v>45452</v>
      </c>
      <c r="L785" s="43">
        <f>IF(GroDB3[[#This Row],[Column1]]="No",GroDB3[[#This Row],[Date_Received]],GroDB3[[#This Row],[Last_Order_Date]])</f>
        <v>45442</v>
      </c>
      <c r="M785" s="43">
        <v>45467</v>
      </c>
      <c r="N785" s="3">
        <v>75</v>
      </c>
      <c r="O785" s="3">
        <v>85</v>
      </c>
      <c r="P785" s="3">
        <v>27</v>
      </c>
      <c r="Q785" s="4">
        <v>4.5</v>
      </c>
      <c r="R785" s="3">
        <v>26</v>
      </c>
      <c r="S785" s="3">
        <v>68</v>
      </c>
      <c r="T785" s="7">
        <v>-3.29</v>
      </c>
    </row>
    <row r="786" spans="1:20" x14ac:dyDescent="0.35">
      <c r="A786" s="5" t="s">
        <v>96</v>
      </c>
      <c r="B786" s="3" t="s">
        <v>18</v>
      </c>
      <c r="C786" s="3" t="s">
        <v>166</v>
      </c>
      <c r="D786" s="3" t="s">
        <v>2823</v>
      </c>
      <c r="E786" s="3" t="s">
        <v>28</v>
      </c>
      <c r="F786" s="3" t="s">
        <v>2824</v>
      </c>
      <c r="G786" s="3" t="s">
        <v>2825</v>
      </c>
      <c r="H786" s="43">
        <v>45442</v>
      </c>
      <c r="I786" s="43">
        <v>45372</v>
      </c>
      <c r="J786" s="47" t="str">
        <f>IF(GroDB3[[#This Row],[Last_Order_Date]]&lt;=GroDB3[[#This Row],[Date_Received]], "Yes", "No")</f>
        <v>Yes</v>
      </c>
      <c r="K786" s="43">
        <f>IF(GroDB3[[#This Row],[Column1]]="No",GroDB3[[#This Row],[Last_Order_Date]],GroDB3[[#This Row],[Date_Received]])</f>
        <v>45442</v>
      </c>
      <c r="L786" s="43">
        <f>IF(GroDB3[[#This Row],[Column1]]="No",GroDB3[[#This Row],[Date_Received]],GroDB3[[#This Row],[Last_Order_Date]])</f>
        <v>45372</v>
      </c>
      <c r="M786" s="43">
        <v>45679</v>
      </c>
      <c r="N786" s="3">
        <v>63</v>
      </c>
      <c r="O786" s="3">
        <v>62</v>
      </c>
      <c r="P786" s="3">
        <v>98</v>
      </c>
      <c r="Q786" s="4">
        <v>2.5</v>
      </c>
      <c r="R786" s="3">
        <v>62</v>
      </c>
      <c r="S786" s="3">
        <v>45</v>
      </c>
      <c r="T786" s="7">
        <v>-1.62</v>
      </c>
    </row>
    <row r="787" spans="1:20" x14ac:dyDescent="0.35">
      <c r="A787" s="5" t="s">
        <v>438</v>
      </c>
      <c r="B787" s="3" t="s">
        <v>18</v>
      </c>
      <c r="C787" s="3" t="s">
        <v>2180</v>
      </c>
      <c r="D787" s="3" t="s">
        <v>2826</v>
      </c>
      <c r="E787" s="3" t="s">
        <v>28</v>
      </c>
      <c r="F787" s="3" t="s">
        <v>2827</v>
      </c>
      <c r="G787" s="3" t="s">
        <v>2828</v>
      </c>
      <c r="H787" s="43">
        <v>45442</v>
      </c>
      <c r="I787" s="43">
        <v>45616</v>
      </c>
      <c r="J787" s="47" t="str">
        <f>IF(GroDB3[[#This Row],[Last_Order_Date]]&lt;=GroDB3[[#This Row],[Date_Received]], "Yes", "No")</f>
        <v>No</v>
      </c>
      <c r="K787" s="43">
        <f>IF(GroDB3[[#This Row],[Column1]]="No",GroDB3[[#This Row],[Last_Order_Date]],GroDB3[[#This Row],[Date_Received]])</f>
        <v>45616</v>
      </c>
      <c r="L787" s="43">
        <f>IF(GroDB3[[#This Row],[Column1]]="No",GroDB3[[#This Row],[Date_Received]],GroDB3[[#This Row],[Last_Order_Date]])</f>
        <v>45442</v>
      </c>
      <c r="M787" s="43">
        <v>45671</v>
      </c>
      <c r="N787" s="3">
        <v>32</v>
      </c>
      <c r="O787" s="3">
        <v>27</v>
      </c>
      <c r="P787" s="3">
        <v>26</v>
      </c>
      <c r="Q787" s="4">
        <v>5</v>
      </c>
      <c r="R787" s="3">
        <v>38</v>
      </c>
      <c r="S787" s="3">
        <v>79</v>
      </c>
      <c r="T787" s="7">
        <v>0.27</v>
      </c>
    </row>
    <row r="788" spans="1:20" x14ac:dyDescent="0.35">
      <c r="A788" s="5" t="s">
        <v>574</v>
      </c>
      <c r="B788" s="3" t="s">
        <v>53</v>
      </c>
      <c r="C788" s="3" t="s">
        <v>886</v>
      </c>
      <c r="D788" s="3" t="s">
        <v>2829</v>
      </c>
      <c r="E788" s="3" t="s">
        <v>28</v>
      </c>
      <c r="F788" s="3" t="s">
        <v>2830</v>
      </c>
      <c r="G788" s="3" t="s">
        <v>2831</v>
      </c>
      <c r="H788" s="43">
        <v>45443</v>
      </c>
      <c r="I788" s="43">
        <v>45696</v>
      </c>
      <c r="J788" s="47" t="str">
        <f>IF(GroDB3[[#This Row],[Last_Order_Date]]&lt;=GroDB3[[#This Row],[Date_Received]], "Yes", "No")</f>
        <v>No</v>
      </c>
      <c r="K788" s="43">
        <f>IF(GroDB3[[#This Row],[Column1]]="No",GroDB3[[#This Row],[Last_Order_Date]],GroDB3[[#This Row],[Date_Received]])</f>
        <v>45696</v>
      </c>
      <c r="L788" s="43">
        <f>IF(GroDB3[[#This Row],[Column1]]="No",GroDB3[[#This Row],[Date_Received]],GroDB3[[#This Row],[Last_Order_Date]])</f>
        <v>45443</v>
      </c>
      <c r="M788" s="43">
        <v>45654</v>
      </c>
      <c r="N788" s="3">
        <v>65</v>
      </c>
      <c r="O788" s="3">
        <v>61</v>
      </c>
      <c r="P788" s="3">
        <v>82</v>
      </c>
      <c r="Q788" s="4">
        <v>2</v>
      </c>
      <c r="R788" s="3">
        <v>29</v>
      </c>
      <c r="S788" s="3">
        <v>11</v>
      </c>
      <c r="T788" s="7">
        <v>-1.08</v>
      </c>
    </row>
    <row r="789" spans="1:20" x14ac:dyDescent="0.35">
      <c r="A789" s="5" t="s">
        <v>96</v>
      </c>
      <c r="B789" s="3" t="s">
        <v>18</v>
      </c>
      <c r="C789" s="3" t="s">
        <v>532</v>
      </c>
      <c r="D789" s="3" t="s">
        <v>2832</v>
      </c>
      <c r="E789" s="3" t="s">
        <v>21</v>
      </c>
      <c r="F789" s="3" t="s">
        <v>2833</v>
      </c>
      <c r="G789" s="3" t="s">
        <v>2834</v>
      </c>
      <c r="H789" s="43">
        <v>45456</v>
      </c>
      <c r="I789" s="43">
        <v>45627</v>
      </c>
      <c r="J789" s="47" t="str">
        <f>IF(GroDB3[[#This Row],[Last_Order_Date]]&lt;=GroDB3[[#This Row],[Date_Received]], "Yes", "No")</f>
        <v>No</v>
      </c>
      <c r="K789" s="43">
        <f>IF(GroDB3[[#This Row],[Column1]]="No",GroDB3[[#This Row],[Last_Order_Date]],GroDB3[[#This Row],[Date_Received]])</f>
        <v>45627</v>
      </c>
      <c r="L789" s="43">
        <f>IF(GroDB3[[#This Row],[Column1]]="No",GroDB3[[#This Row],[Date_Received]],GroDB3[[#This Row],[Last_Order_Date]])</f>
        <v>45456</v>
      </c>
      <c r="M789" s="43">
        <v>45508</v>
      </c>
      <c r="N789" s="3">
        <v>57</v>
      </c>
      <c r="O789" s="3">
        <v>43</v>
      </c>
      <c r="P789" s="3">
        <v>46</v>
      </c>
      <c r="Q789" s="4">
        <v>2.5</v>
      </c>
      <c r="R789" s="3">
        <v>87</v>
      </c>
      <c r="S789" s="3">
        <v>88</v>
      </c>
      <c r="T789" s="7">
        <v>0.62</v>
      </c>
    </row>
    <row r="790" spans="1:20" x14ac:dyDescent="0.35">
      <c r="A790" s="5" t="s">
        <v>96</v>
      </c>
      <c r="B790" s="3" t="s">
        <v>18</v>
      </c>
      <c r="C790" s="3" t="s">
        <v>1743</v>
      </c>
      <c r="D790" s="3" t="s">
        <v>2835</v>
      </c>
      <c r="E790" s="3" t="s">
        <v>56</v>
      </c>
      <c r="F790" s="3" t="s">
        <v>2836</v>
      </c>
      <c r="G790" s="3" t="s">
        <v>2837</v>
      </c>
      <c r="H790" s="43">
        <v>45457</v>
      </c>
      <c r="I790" s="43">
        <v>45347</v>
      </c>
      <c r="J790" s="47" t="str">
        <f>IF(GroDB3[[#This Row],[Last_Order_Date]]&lt;=GroDB3[[#This Row],[Date_Received]], "Yes", "No")</f>
        <v>Yes</v>
      </c>
      <c r="K790" s="43">
        <f>IF(GroDB3[[#This Row],[Column1]]="No",GroDB3[[#This Row],[Last_Order_Date]],GroDB3[[#This Row],[Date_Received]])</f>
        <v>45457</v>
      </c>
      <c r="L790" s="43">
        <f>IF(GroDB3[[#This Row],[Column1]]="No",GroDB3[[#This Row],[Date_Received]],GroDB3[[#This Row],[Last_Order_Date]])</f>
        <v>45347</v>
      </c>
      <c r="M790" s="43">
        <v>45426</v>
      </c>
      <c r="N790" s="3">
        <v>57</v>
      </c>
      <c r="O790" s="3">
        <v>25</v>
      </c>
      <c r="P790" s="3">
        <v>98</v>
      </c>
      <c r="Q790" s="4">
        <v>2.5</v>
      </c>
      <c r="R790" s="3">
        <v>78</v>
      </c>
      <c r="S790" s="3">
        <v>37</v>
      </c>
      <c r="T790" s="7">
        <v>-0.01</v>
      </c>
    </row>
    <row r="791" spans="1:20" x14ac:dyDescent="0.35">
      <c r="A791" s="5" t="s">
        <v>836</v>
      </c>
      <c r="B791" s="3" t="s">
        <v>91</v>
      </c>
      <c r="C791" s="3" t="s">
        <v>1595</v>
      </c>
      <c r="D791" s="3" t="s">
        <v>2838</v>
      </c>
      <c r="E791" s="3" t="s">
        <v>28</v>
      </c>
      <c r="F791" s="3" t="s">
        <v>2839</v>
      </c>
      <c r="G791" s="3" t="s">
        <v>2840</v>
      </c>
      <c r="H791" s="43">
        <v>45457</v>
      </c>
      <c r="I791" s="43">
        <v>45570</v>
      </c>
      <c r="J791" s="47" t="str">
        <f>IF(GroDB3[[#This Row],[Last_Order_Date]]&lt;=GroDB3[[#This Row],[Date_Received]], "Yes", "No")</f>
        <v>No</v>
      </c>
      <c r="K791" s="43">
        <f>IF(GroDB3[[#This Row],[Column1]]="No",GroDB3[[#This Row],[Last_Order_Date]],GroDB3[[#This Row],[Date_Received]])</f>
        <v>45570</v>
      </c>
      <c r="L791" s="43">
        <f>IF(GroDB3[[#This Row],[Column1]]="No",GroDB3[[#This Row],[Date_Received]],GroDB3[[#This Row],[Last_Order_Date]])</f>
        <v>45457</v>
      </c>
      <c r="M791" s="43">
        <v>45487</v>
      </c>
      <c r="N791" s="3">
        <v>38</v>
      </c>
      <c r="O791" s="3">
        <v>37</v>
      </c>
      <c r="P791" s="3">
        <v>27</v>
      </c>
      <c r="Q791" s="4">
        <v>3.5</v>
      </c>
      <c r="R791" s="3">
        <v>45</v>
      </c>
      <c r="S791" s="3">
        <v>88</v>
      </c>
      <c r="T791" s="7">
        <v>0.53</v>
      </c>
    </row>
    <row r="792" spans="1:20" x14ac:dyDescent="0.35">
      <c r="A792" s="5" t="s">
        <v>70</v>
      </c>
      <c r="B792" s="3" t="s">
        <v>32</v>
      </c>
      <c r="C792" s="3" t="s">
        <v>882</v>
      </c>
      <c r="D792" s="3" t="s">
        <v>2841</v>
      </c>
      <c r="E792" s="3" t="s">
        <v>21</v>
      </c>
      <c r="F792" s="3" t="s">
        <v>2842</v>
      </c>
      <c r="G792" s="3" t="s">
        <v>2843</v>
      </c>
      <c r="H792" s="43">
        <v>45458</v>
      </c>
      <c r="I792" s="43">
        <v>45470</v>
      </c>
      <c r="J792" s="47" t="str">
        <f>IF(GroDB3[[#This Row],[Last_Order_Date]]&lt;=GroDB3[[#This Row],[Date_Received]], "Yes", "No")</f>
        <v>No</v>
      </c>
      <c r="K792" s="43">
        <f>IF(GroDB3[[#This Row],[Column1]]="No",GroDB3[[#This Row],[Last_Order_Date]],GroDB3[[#This Row],[Date_Received]])</f>
        <v>45470</v>
      </c>
      <c r="L792" s="43">
        <f>IF(GroDB3[[#This Row],[Column1]]="No",GroDB3[[#This Row],[Date_Received]],GroDB3[[#This Row],[Last_Order_Date]])</f>
        <v>45458</v>
      </c>
      <c r="M792" s="43">
        <v>45689</v>
      </c>
      <c r="N792" s="3">
        <v>59</v>
      </c>
      <c r="O792" s="3">
        <v>27</v>
      </c>
      <c r="P792" s="3">
        <v>63</v>
      </c>
      <c r="Q792" s="4">
        <v>1.75</v>
      </c>
      <c r="R792" s="3">
        <v>92</v>
      </c>
      <c r="S792" s="3">
        <v>82</v>
      </c>
      <c r="T792" s="7">
        <v>-0.96</v>
      </c>
    </row>
    <row r="793" spans="1:20" x14ac:dyDescent="0.35">
      <c r="A793" s="5" t="s">
        <v>470</v>
      </c>
      <c r="B793" s="3" t="s">
        <v>18</v>
      </c>
      <c r="C793" s="3" t="s">
        <v>1040</v>
      </c>
      <c r="D793" s="3" t="s">
        <v>2844</v>
      </c>
      <c r="E793" s="3" t="s">
        <v>56</v>
      </c>
      <c r="F793" s="3" t="s">
        <v>2845</v>
      </c>
      <c r="G793" s="3" t="s">
        <v>2846</v>
      </c>
      <c r="H793" s="43">
        <v>45458</v>
      </c>
      <c r="I793" s="43">
        <v>45537</v>
      </c>
      <c r="J793" s="47" t="str">
        <f>IF(GroDB3[[#This Row],[Last_Order_Date]]&lt;=GroDB3[[#This Row],[Date_Received]], "Yes", "No")</f>
        <v>No</v>
      </c>
      <c r="K793" s="43">
        <f>IF(GroDB3[[#This Row],[Column1]]="No",GroDB3[[#This Row],[Last_Order_Date]],GroDB3[[#This Row],[Date_Received]])</f>
        <v>45537</v>
      </c>
      <c r="L793" s="43">
        <f>IF(GroDB3[[#This Row],[Column1]]="No",GroDB3[[#This Row],[Date_Received]],GroDB3[[#This Row],[Last_Order_Date]])</f>
        <v>45458</v>
      </c>
      <c r="M793" s="43">
        <v>45524</v>
      </c>
      <c r="N793" s="3">
        <v>37</v>
      </c>
      <c r="O793" s="3">
        <v>38</v>
      </c>
      <c r="P793" s="3">
        <v>24</v>
      </c>
      <c r="Q793" s="4">
        <v>4</v>
      </c>
      <c r="R793" s="3">
        <v>93</v>
      </c>
      <c r="S793" s="3">
        <v>32</v>
      </c>
      <c r="T793" s="7">
        <v>0.11</v>
      </c>
    </row>
    <row r="794" spans="1:20" x14ac:dyDescent="0.35">
      <c r="A794" s="5" t="s">
        <v>691</v>
      </c>
      <c r="B794" s="3" t="s">
        <v>32</v>
      </c>
      <c r="C794" s="3" t="s">
        <v>38</v>
      </c>
      <c r="D794" s="3" t="s">
        <v>2847</v>
      </c>
      <c r="E794" s="3" t="s">
        <v>56</v>
      </c>
      <c r="F794" s="3" t="s">
        <v>2848</v>
      </c>
      <c r="G794" s="3" t="s">
        <v>2849</v>
      </c>
      <c r="H794" s="43">
        <v>45458</v>
      </c>
      <c r="I794" s="43">
        <v>45416</v>
      </c>
      <c r="J794" s="47" t="str">
        <f>IF(GroDB3[[#This Row],[Last_Order_Date]]&lt;=GroDB3[[#This Row],[Date_Received]], "Yes", "No")</f>
        <v>Yes</v>
      </c>
      <c r="K794" s="43">
        <f>IF(GroDB3[[#This Row],[Column1]]="No",GroDB3[[#This Row],[Last_Order_Date]],GroDB3[[#This Row],[Date_Received]])</f>
        <v>45458</v>
      </c>
      <c r="L794" s="43">
        <f>IF(GroDB3[[#This Row],[Column1]]="No",GroDB3[[#This Row],[Date_Received]],GroDB3[[#This Row],[Last_Order_Date]])</f>
        <v>45416</v>
      </c>
      <c r="M794" s="43">
        <v>45554</v>
      </c>
      <c r="N794" s="3">
        <v>48</v>
      </c>
      <c r="O794" s="3">
        <v>12</v>
      </c>
      <c r="P794" s="3">
        <v>62</v>
      </c>
      <c r="Q794" s="4">
        <v>7</v>
      </c>
      <c r="R794" s="3">
        <v>59</v>
      </c>
      <c r="S794" s="3">
        <v>23</v>
      </c>
      <c r="T794" s="7">
        <v>0.66</v>
      </c>
    </row>
    <row r="795" spans="1:20" x14ac:dyDescent="0.35">
      <c r="A795" s="5" t="s">
        <v>1117</v>
      </c>
      <c r="B795" s="3" t="s">
        <v>91</v>
      </c>
      <c r="C795" s="3" t="s">
        <v>2500</v>
      </c>
      <c r="D795" s="3" t="s">
        <v>2850</v>
      </c>
      <c r="E795" s="3" t="s">
        <v>21</v>
      </c>
      <c r="F795" s="3" t="s">
        <v>2851</v>
      </c>
      <c r="G795" s="3" t="s">
        <v>2852</v>
      </c>
      <c r="H795" s="43">
        <v>45459</v>
      </c>
      <c r="I795" s="43">
        <v>45436</v>
      </c>
      <c r="J795" s="47" t="str">
        <f>IF(GroDB3[[#This Row],[Last_Order_Date]]&lt;=GroDB3[[#This Row],[Date_Received]], "Yes", "No")</f>
        <v>Yes</v>
      </c>
      <c r="K795" s="43">
        <f>IF(GroDB3[[#This Row],[Column1]]="No",GroDB3[[#This Row],[Last_Order_Date]],GroDB3[[#This Row],[Date_Received]])</f>
        <v>45459</v>
      </c>
      <c r="L795" s="43">
        <f>IF(GroDB3[[#This Row],[Column1]]="No",GroDB3[[#This Row],[Date_Received]],GroDB3[[#This Row],[Last_Order_Date]])</f>
        <v>45436</v>
      </c>
      <c r="M795" s="43">
        <v>45654</v>
      </c>
      <c r="N795" s="3">
        <v>33</v>
      </c>
      <c r="O795" s="3">
        <v>60</v>
      </c>
      <c r="P795" s="3">
        <v>67</v>
      </c>
      <c r="Q795" s="4">
        <v>6</v>
      </c>
      <c r="R795" s="3">
        <v>20</v>
      </c>
      <c r="S795" s="3">
        <v>7</v>
      </c>
      <c r="T795" s="7">
        <v>0.61</v>
      </c>
    </row>
    <row r="796" spans="1:20" x14ac:dyDescent="0.35">
      <c r="A796" s="5" t="s">
        <v>1016</v>
      </c>
      <c r="B796" s="3" t="s">
        <v>25</v>
      </c>
      <c r="C796" s="3" t="s">
        <v>1540</v>
      </c>
      <c r="D796" s="3" t="s">
        <v>2853</v>
      </c>
      <c r="E796" s="3" t="s">
        <v>21</v>
      </c>
      <c r="F796" s="3" t="s">
        <v>2854</v>
      </c>
      <c r="G796" s="3" t="s">
        <v>2855</v>
      </c>
      <c r="H796" s="43">
        <v>45459</v>
      </c>
      <c r="I796" s="43">
        <v>45441</v>
      </c>
      <c r="J796" s="47" t="str">
        <f>IF(GroDB3[[#This Row],[Last_Order_Date]]&lt;=GroDB3[[#This Row],[Date_Received]], "Yes", "No")</f>
        <v>Yes</v>
      </c>
      <c r="K796" s="43">
        <f>IF(GroDB3[[#This Row],[Column1]]="No",GroDB3[[#This Row],[Last_Order_Date]],GroDB3[[#This Row],[Date_Received]])</f>
        <v>45459</v>
      </c>
      <c r="L796" s="43">
        <f>IF(GroDB3[[#This Row],[Column1]]="No",GroDB3[[#This Row],[Date_Received]],GroDB3[[#This Row],[Last_Order_Date]])</f>
        <v>45441</v>
      </c>
      <c r="M796" s="43">
        <v>45690</v>
      </c>
      <c r="N796" s="3">
        <v>32</v>
      </c>
      <c r="O796" s="3">
        <v>38</v>
      </c>
      <c r="P796" s="3">
        <v>23</v>
      </c>
      <c r="Q796" s="4">
        <v>2.5</v>
      </c>
      <c r="R796" s="3">
        <v>52</v>
      </c>
      <c r="S796" s="3">
        <v>11</v>
      </c>
      <c r="T796" s="7">
        <v>0.65</v>
      </c>
    </row>
    <row r="797" spans="1:20" x14ac:dyDescent="0.35">
      <c r="A797" s="5" t="s">
        <v>1092</v>
      </c>
      <c r="B797" s="3" t="s">
        <v>18</v>
      </c>
      <c r="C797" s="3" t="s">
        <v>2856</v>
      </c>
      <c r="D797" s="3" t="s">
        <v>2857</v>
      </c>
      <c r="E797" s="3" t="s">
        <v>56</v>
      </c>
      <c r="F797" s="3" t="s">
        <v>2858</v>
      </c>
      <c r="G797" s="3" t="s">
        <v>2859</v>
      </c>
      <c r="H797" s="43">
        <v>45459</v>
      </c>
      <c r="I797" s="43">
        <v>45390</v>
      </c>
      <c r="J797" s="47" t="str">
        <f>IF(GroDB3[[#This Row],[Last_Order_Date]]&lt;=GroDB3[[#This Row],[Date_Received]], "Yes", "No")</f>
        <v>Yes</v>
      </c>
      <c r="K797" s="43">
        <f>IF(GroDB3[[#This Row],[Column1]]="No",GroDB3[[#This Row],[Last_Order_Date]],GroDB3[[#This Row],[Date_Received]])</f>
        <v>45459</v>
      </c>
      <c r="L797" s="43">
        <f>IF(GroDB3[[#This Row],[Column1]]="No",GroDB3[[#This Row],[Date_Received]],GroDB3[[#This Row],[Last_Order_Date]])</f>
        <v>45390</v>
      </c>
      <c r="M797" s="43">
        <v>45444</v>
      </c>
      <c r="N797" s="3">
        <v>43</v>
      </c>
      <c r="O797" s="3">
        <v>41</v>
      </c>
      <c r="P797" s="3">
        <v>100</v>
      </c>
      <c r="Q797" s="4">
        <v>8</v>
      </c>
      <c r="R797" s="3">
        <v>27</v>
      </c>
      <c r="S797" s="3">
        <v>78</v>
      </c>
      <c r="T797" s="7">
        <v>0.79</v>
      </c>
    </row>
    <row r="798" spans="1:20" x14ac:dyDescent="0.35">
      <c r="A798" s="5" t="s">
        <v>239</v>
      </c>
      <c r="B798" s="3" t="s">
        <v>25</v>
      </c>
      <c r="C798" s="3" t="s">
        <v>933</v>
      </c>
      <c r="D798" s="3" t="s">
        <v>2860</v>
      </c>
      <c r="E798" s="3" t="s">
        <v>56</v>
      </c>
      <c r="F798" s="3" t="s">
        <v>2861</v>
      </c>
      <c r="G798" s="3" t="s">
        <v>2862</v>
      </c>
      <c r="H798" s="43">
        <v>45459</v>
      </c>
      <c r="I798" s="43">
        <v>45602</v>
      </c>
      <c r="J798" s="47" t="str">
        <f>IF(GroDB3[[#This Row],[Last_Order_Date]]&lt;=GroDB3[[#This Row],[Date_Received]], "Yes", "No")</f>
        <v>No</v>
      </c>
      <c r="K798" s="43">
        <f>IF(GroDB3[[#This Row],[Column1]]="No",GroDB3[[#This Row],[Last_Order_Date]],GroDB3[[#This Row],[Date_Received]])</f>
        <v>45602</v>
      </c>
      <c r="L798" s="43">
        <f>IF(GroDB3[[#This Row],[Column1]]="No",GroDB3[[#This Row],[Date_Received]],GroDB3[[#This Row],[Last_Order_Date]])</f>
        <v>45459</v>
      </c>
      <c r="M798" s="43">
        <v>45605</v>
      </c>
      <c r="N798" s="3">
        <v>97</v>
      </c>
      <c r="O798" s="3">
        <v>20</v>
      </c>
      <c r="P798" s="3">
        <v>8</v>
      </c>
      <c r="Q798" s="4">
        <v>6.5</v>
      </c>
      <c r="R798" s="3">
        <v>51</v>
      </c>
      <c r="S798" s="3">
        <v>51</v>
      </c>
      <c r="T798" s="7">
        <v>-1.89</v>
      </c>
    </row>
    <row r="799" spans="1:20" x14ac:dyDescent="0.35">
      <c r="A799" s="5" t="s">
        <v>566</v>
      </c>
      <c r="B799" s="3" t="s">
        <v>127</v>
      </c>
      <c r="C799" s="3" t="s">
        <v>1536</v>
      </c>
      <c r="D799" s="3" t="s">
        <v>2863</v>
      </c>
      <c r="E799" s="3" t="s">
        <v>28</v>
      </c>
      <c r="F799" s="3" t="s">
        <v>2864</v>
      </c>
      <c r="G799" s="3" t="s">
        <v>2865</v>
      </c>
      <c r="H799" s="43">
        <v>45460</v>
      </c>
      <c r="I799" s="43">
        <v>45676</v>
      </c>
      <c r="J799" s="47" t="str">
        <f>IF(GroDB3[[#This Row],[Last_Order_Date]]&lt;=GroDB3[[#This Row],[Date_Received]], "Yes", "No")</f>
        <v>No</v>
      </c>
      <c r="K799" s="43">
        <f>IF(GroDB3[[#This Row],[Column1]]="No",GroDB3[[#This Row],[Last_Order_Date]],GroDB3[[#This Row],[Date_Received]])</f>
        <v>45676</v>
      </c>
      <c r="L799" s="43">
        <f>IF(GroDB3[[#This Row],[Column1]]="No",GroDB3[[#This Row],[Date_Received]],GroDB3[[#This Row],[Last_Order_Date]])</f>
        <v>45460</v>
      </c>
      <c r="M799" s="43">
        <v>45692</v>
      </c>
      <c r="N799" s="3">
        <v>37</v>
      </c>
      <c r="O799" s="3">
        <v>94</v>
      </c>
      <c r="P799" s="3">
        <v>76</v>
      </c>
      <c r="Q799" s="4">
        <v>15</v>
      </c>
      <c r="R799" s="3">
        <v>94</v>
      </c>
      <c r="S799" s="3">
        <v>66</v>
      </c>
      <c r="T799" s="7">
        <v>0</v>
      </c>
    </row>
    <row r="800" spans="1:20" x14ac:dyDescent="0.35">
      <c r="A800" s="5" t="s">
        <v>1369</v>
      </c>
      <c r="B800" s="3" t="s">
        <v>32</v>
      </c>
      <c r="C800" s="3" t="s">
        <v>774</v>
      </c>
      <c r="D800" s="3" t="s">
        <v>2866</v>
      </c>
      <c r="E800" s="3" t="s">
        <v>28</v>
      </c>
      <c r="F800" s="3" t="s">
        <v>2867</v>
      </c>
      <c r="G800" s="3" t="s">
        <v>2868</v>
      </c>
      <c r="H800" s="43">
        <v>45460</v>
      </c>
      <c r="I800" s="43">
        <v>45434</v>
      </c>
      <c r="J800" s="47" t="str">
        <f>IF(GroDB3[[#This Row],[Last_Order_Date]]&lt;=GroDB3[[#This Row],[Date_Received]], "Yes", "No")</f>
        <v>Yes</v>
      </c>
      <c r="K800" s="43">
        <f>IF(GroDB3[[#This Row],[Column1]]="No",GroDB3[[#This Row],[Last_Order_Date]],GroDB3[[#This Row],[Date_Received]])</f>
        <v>45460</v>
      </c>
      <c r="L800" s="43">
        <f>IF(GroDB3[[#This Row],[Column1]]="No",GroDB3[[#This Row],[Date_Received]],GroDB3[[#This Row],[Last_Order_Date]])</f>
        <v>45434</v>
      </c>
      <c r="M800" s="43">
        <v>45613</v>
      </c>
      <c r="N800" s="3">
        <v>74</v>
      </c>
      <c r="O800" s="3">
        <v>60</v>
      </c>
      <c r="P800" s="3">
        <v>27</v>
      </c>
      <c r="Q800" s="4">
        <v>4</v>
      </c>
      <c r="R800" s="3">
        <v>99</v>
      </c>
      <c r="S800" s="3">
        <v>68</v>
      </c>
      <c r="T800" s="7">
        <v>0.3</v>
      </c>
    </row>
    <row r="801" spans="1:20" x14ac:dyDescent="0.35">
      <c r="A801" s="5" t="s">
        <v>674</v>
      </c>
      <c r="B801" s="3" t="s">
        <v>60</v>
      </c>
      <c r="C801" s="3" t="s">
        <v>491</v>
      </c>
      <c r="D801" s="3" t="s">
        <v>2869</v>
      </c>
      <c r="E801" s="3" t="s">
        <v>21</v>
      </c>
      <c r="F801" s="3" t="s">
        <v>2870</v>
      </c>
      <c r="G801" s="3" t="s">
        <v>2871</v>
      </c>
      <c r="H801" s="43">
        <v>45461</v>
      </c>
      <c r="I801" s="43">
        <v>45470</v>
      </c>
      <c r="J801" s="47" t="str">
        <f>IF(GroDB3[[#This Row],[Last_Order_Date]]&lt;=GroDB3[[#This Row],[Date_Received]], "Yes", "No")</f>
        <v>No</v>
      </c>
      <c r="K801" s="43">
        <f>IF(GroDB3[[#This Row],[Column1]]="No",GroDB3[[#This Row],[Last_Order_Date]],GroDB3[[#This Row],[Date_Received]])</f>
        <v>45470</v>
      </c>
      <c r="L801" s="43">
        <f>IF(GroDB3[[#This Row],[Column1]]="No",GroDB3[[#This Row],[Date_Received]],GroDB3[[#This Row],[Last_Order_Date]])</f>
        <v>45461</v>
      </c>
      <c r="M801" s="43">
        <v>45410</v>
      </c>
      <c r="N801" s="3">
        <v>76</v>
      </c>
      <c r="O801" s="3">
        <v>57</v>
      </c>
      <c r="P801" s="3">
        <v>78</v>
      </c>
      <c r="Q801" s="4">
        <v>9</v>
      </c>
      <c r="R801" s="3">
        <v>52</v>
      </c>
      <c r="S801" s="3">
        <v>86</v>
      </c>
      <c r="T801" s="7">
        <v>0.31</v>
      </c>
    </row>
    <row r="802" spans="1:20" x14ac:dyDescent="0.35">
      <c r="A802" s="5" t="s">
        <v>691</v>
      </c>
      <c r="B802" s="3" t="s">
        <v>32</v>
      </c>
      <c r="C802" s="3" t="s">
        <v>1402</v>
      </c>
      <c r="D802" s="3" t="s">
        <v>2872</v>
      </c>
      <c r="E802" s="3" t="s">
        <v>28</v>
      </c>
      <c r="F802" s="3" t="s">
        <v>2873</v>
      </c>
      <c r="G802" s="3" t="s">
        <v>2874</v>
      </c>
      <c r="H802" s="43">
        <v>45462</v>
      </c>
      <c r="I802" s="43">
        <v>45362</v>
      </c>
      <c r="J802" s="47" t="str">
        <f>IF(GroDB3[[#This Row],[Last_Order_Date]]&lt;=GroDB3[[#This Row],[Date_Received]], "Yes", "No")</f>
        <v>Yes</v>
      </c>
      <c r="K802" s="43">
        <f>IF(GroDB3[[#This Row],[Column1]]="No",GroDB3[[#This Row],[Last_Order_Date]],GroDB3[[#This Row],[Date_Received]])</f>
        <v>45462</v>
      </c>
      <c r="L802" s="43">
        <f>IF(GroDB3[[#This Row],[Column1]]="No",GroDB3[[#This Row],[Date_Received]],GroDB3[[#This Row],[Last_Order_Date]])</f>
        <v>45362</v>
      </c>
      <c r="M802" s="43">
        <v>45533</v>
      </c>
      <c r="N802" s="3">
        <v>100</v>
      </c>
      <c r="O802" s="3">
        <v>21</v>
      </c>
      <c r="P802" s="3">
        <v>64</v>
      </c>
      <c r="Q802" s="4">
        <v>7</v>
      </c>
      <c r="R802" s="3">
        <v>20</v>
      </c>
      <c r="S802" s="3">
        <v>13</v>
      </c>
      <c r="T802" s="7">
        <v>-0.65</v>
      </c>
    </row>
    <row r="803" spans="1:20" x14ac:dyDescent="0.35">
      <c r="A803" s="5" t="s">
        <v>615</v>
      </c>
      <c r="B803" s="3" t="s">
        <v>32</v>
      </c>
      <c r="C803" s="3" t="s">
        <v>1568</v>
      </c>
      <c r="D803" s="3" t="s">
        <v>2875</v>
      </c>
      <c r="E803" s="3" t="s">
        <v>21</v>
      </c>
      <c r="F803" s="3" t="s">
        <v>2876</v>
      </c>
      <c r="G803" s="3" t="s">
        <v>2877</v>
      </c>
      <c r="H803" s="43">
        <v>45462</v>
      </c>
      <c r="I803" s="43">
        <v>45508</v>
      </c>
      <c r="J803" s="47" t="str">
        <f>IF(GroDB3[[#This Row],[Last_Order_Date]]&lt;=GroDB3[[#This Row],[Date_Received]], "Yes", "No")</f>
        <v>No</v>
      </c>
      <c r="K803" s="43">
        <f>IF(GroDB3[[#This Row],[Column1]]="No",GroDB3[[#This Row],[Last_Order_Date]],GroDB3[[#This Row],[Date_Received]])</f>
        <v>45508</v>
      </c>
      <c r="L803" s="43">
        <f>IF(GroDB3[[#This Row],[Column1]]="No",GroDB3[[#This Row],[Date_Received]],GroDB3[[#This Row],[Last_Order_Date]])</f>
        <v>45462</v>
      </c>
      <c r="M803" s="43">
        <v>45575</v>
      </c>
      <c r="N803" s="3">
        <v>64</v>
      </c>
      <c r="O803" s="3">
        <v>31</v>
      </c>
      <c r="P803" s="3">
        <v>91</v>
      </c>
      <c r="Q803" s="4">
        <v>1.9</v>
      </c>
      <c r="R803" s="3">
        <v>85</v>
      </c>
      <c r="S803" s="3">
        <v>42</v>
      </c>
      <c r="T803" s="7">
        <v>0.35</v>
      </c>
    </row>
    <row r="804" spans="1:20" x14ac:dyDescent="0.35">
      <c r="A804" s="5" t="s">
        <v>691</v>
      </c>
      <c r="B804" s="3" t="s">
        <v>32</v>
      </c>
      <c r="C804" s="3" t="s">
        <v>2856</v>
      </c>
      <c r="D804" s="3" t="s">
        <v>2878</v>
      </c>
      <c r="E804" s="3" t="s">
        <v>56</v>
      </c>
      <c r="F804" s="3" t="s">
        <v>2879</v>
      </c>
      <c r="G804" s="3" t="s">
        <v>2880</v>
      </c>
      <c r="H804" s="43">
        <v>45462</v>
      </c>
      <c r="I804" s="43">
        <v>45405</v>
      </c>
      <c r="J804" s="47" t="str">
        <f>IF(GroDB3[[#This Row],[Last_Order_Date]]&lt;=GroDB3[[#This Row],[Date_Received]], "Yes", "No")</f>
        <v>Yes</v>
      </c>
      <c r="K804" s="43">
        <f>IF(GroDB3[[#This Row],[Column1]]="No",GroDB3[[#This Row],[Last_Order_Date]],GroDB3[[#This Row],[Date_Received]])</f>
        <v>45462</v>
      </c>
      <c r="L804" s="43">
        <f>IF(GroDB3[[#This Row],[Column1]]="No",GroDB3[[#This Row],[Date_Received]],GroDB3[[#This Row],[Last_Order_Date]])</f>
        <v>45405</v>
      </c>
      <c r="M804" s="43">
        <v>45399</v>
      </c>
      <c r="N804" s="3">
        <v>41</v>
      </c>
      <c r="O804" s="3">
        <v>22</v>
      </c>
      <c r="P804" s="3">
        <v>11</v>
      </c>
      <c r="Q804" s="4">
        <v>7</v>
      </c>
      <c r="R804" s="3">
        <v>86</v>
      </c>
      <c r="S804" s="3">
        <v>30</v>
      </c>
      <c r="T804" s="7">
        <v>0.51</v>
      </c>
    </row>
    <row r="805" spans="1:20" x14ac:dyDescent="0.35">
      <c r="A805" s="5" t="s">
        <v>85</v>
      </c>
      <c r="B805" s="3" t="s">
        <v>18</v>
      </c>
      <c r="C805" s="3" t="s">
        <v>235</v>
      </c>
      <c r="D805" s="3" t="s">
        <v>2881</v>
      </c>
      <c r="E805" s="3" t="s">
        <v>21</v>
      </c>
      <c r="F805" s="3" t="s">
        <v>2882</v>
      </c>
      <c r="G805" s="3" t="s">
        <v>2883</v>
      </c>
      <c r="H805" s="43">
        <v>45463</v>
      </c>
      <c r="I805" s="43">
        <v>45426</v>
      </c>
      <c r="J805" s="47" t="str">
        <f>IF(GroDB3[[#This Row],[Last_Order_Date]]&lt;=GroDB3[[#This Row],[Date_Received]], "Yes", "No")</f>
        <v>Yes</v>
      </c>
      <c r="K805" s="43">
        <f>IF(GroDB3[[#This Row],[Column1]]="No",GroDB3[[#This Row],[Last_Order_Date]],GroDB3[[#This Row],[Date_Received]])</f>
        <v>45463</v>
      </c>
      <c r="L805" s="43">
        <f>IF(GroDB3[[#This Row],[Column1]]="No",GroDB3[[#This Row],[Date_Received]],GroDB3[[#This Row],[Last_Order_Date]])</f>
        <v>45426</v>
      </c>
      <c r="M805" s="43">
        <v>45572</v>
      </c>
      <c r="N805" s="3">
        <v>84</v>
      </c>
      <c r="O805" s="3">
        <v>95</v>
      </c>
      <c r="P805" s="3">
        <v>22</v>
      </c>
      <c r="Q805" s="4">
        <v>2.85</v>
      </c>
      <c r="R805" s="3">
        <v>48</v>
      </c>
      <c r="S805" s="3">
        <v>82</v>
      </c>
      <c r="T805" s="7">
        <v>0.65</v>
      </c>
    </row>
    <row r="806" spans="1:20" x14ac:dyDescent="0.35">
      <c r="A806" s="5" t="s">
        <v>90</v>
      </c>
      <c r="B806" s="3" t="s">
        <v>91</v>
      </c>
      <c r="C806" s="3" t="s">
        <v>199</v>
      </c>
      <c r="D806" s="3" t="s">
        <v>2884</v>
      </c>
      <c r="E806" s="3" t="s">
        <v>21</v>
      </c>
      <c r="F806" s="3" t="s">
        <v>2885</v>
      </c>
      <c r="G806" s="3" t="s">
        <v>2886</v>
      </c>
      <c r="H806" s="43">
        <v>45463</v>
      </c>
      <c r="I806" s="43">
        <v>45562</v>
      </c>
      <c r="J806" s="47" t="str">
        <f>IF(GroDB3[[#This Row],[Last_Order_Date]]&lt;=GroDB3[[#This Row],[Date_Received]], "Yes", "No")</f>
        <v>No</v>
      </c>
      <c r="K806" s="43">
        <f>IF(GroDB3[[#This Row],[Column1]]="No",GroDB3[[#This Row],[Last_Order_Date]],GroDB3[[#This Row],[Date_Received]])</f>
        <v>45562</v>
      </c>
      <c r="L806" s="43">
        <f>IF(GroDB3[[#This Row],[Column1]]="No",GroDB3[[#This Row],[Date_Received]],GroDB3[[#This Row],[Last_Order_Date]])</f>
        <v>45463</v>
      </c>
      <c r="M806" s="43">
        <v>45552</v>
      </c>
      <c r="N806" s="3">
        <v>61</v>
      </c>
      <c r="O806" s="3">
        <v>8</v>
      </c>
      <c r="P806" s="3">
        <v>45</v>
      </c>
      <c r="Q806" s="4">
        <v>4</v>
      </c>
      <c r="R806" s="3">
        <v>73</v>
      </c>
      <c r="S806" s="3">
        <v>64</v>
      </c>
      <c r="T806" s="7">
        <v>-0.71</v>
      </c>
    </row>
    <row r="807" spans="1:20" x14ac:dyDescent="0.35">
      <c r="A807" s="5" t="s">
        <v>258</v>
      </c>
      <c r="B807" s="3" t="s">
        <v>25</v>
      </c>
      <c r="C807" s="3" t="s">
        <v>221</v>
      </c>
      <c r="D807" s="3" t="s">
        <v>2887</v>
      </c>
      <c r="E807" s="3" t="s">
        <v>56</v>
      </c>
      <c r="F807" s="3" t="s">
        <v>2888</v>
      </c>
      <c r="G807" s="3" t="s">
        <v>2889</v>
      </c>
      <c r="H807" s="43">
        <v>45463</v>
      </c>
      <c r="I807" s="43">
        <v>45381</v>
      </c>
      <c r="J807" s="47" t="str">
        <f>IF(GroDB3[[#This Row],[Last_Order_Date]]&lt;=GroDB3[[#This Row],[Date_Received]], "Yes", "No")</f>
        <v>Yes</v>
      </c>
      <c r="K807" s="43">
        <f>IF(GroDB3[[#This Row],[Column1]]="No",GroDB3[[#This Row],[Last_Order_Date]],GroDB3[[#This Row],[Date_Received]])</f>
        <v>45463</v>
      </c>
      <c r="L807" s="43">
        <f>IF(GroDB3[[#This Row],[Column1]]="No",GroDB3[[#This Row],[Date_Received]],GroDB3[[#This Row],[Last_Order_Date]])</f>
        <v>45381</v>
      </c>
      <c r="M807" s="43">
        <v>45460</v>
      </c>
      <c r="N807" s="3">
        <v>24</v>
      </c>
      <c r="O807" s="3">
        <v>14</v>
      </c>
      <c r="P807" s="3">
        <v>5</v>
      </c>
      <c r="Q807" s="4">
        <v>4</v>
      </c>
      <c r="R807" s="3">
        <v>98</v>
      </c>
      <c r="S807" s="3">
        <v>9</v>
      </c>
      <c r="T807" s="7">
        <v>0.12</v>
      </c>
    </row>
    <row r="808" spans="1:20" x14ac:dyDescent="0.35">
      <c r="A808" s="5" t="s">
        <v>75</v>
      </c>
      <c r="B808" s="3" t="s">
        <v>32</v>
      </c>
      <c r="C808" s="3" t="s">
        <v>729</v>
      </c>
      <c r="D808" s="3" t="s">
        <v>2890</v>
      </c>
      <c r="E808" s="3" t="s">
        <v>28</v>
      </c>
      <c r="F808" s="3" t="s">
        <v>2891</v>
      </c>
      <c r="G808" s="3" t="s">
        <v>2892</v>
      </c>
      <c r="H808" s="43">
        <v>45463</v>
      </c>
      <c r="I808" s="43">
        <v>45431</v>
      </c>
      <c r="J808" s="47" t="str">
        <f>IF(GroDB3[[#This Row],[Last_Order_Date]]&lt;=GroDB3[[#This Row],[Date_Received]], "Yes", "No")</f>
        <v>Yes</v>
      </c>
      <c r="K808" s="43">
        <f>IF(GroDB3[[#This Row],[Column1]]="No",GroDB3[[#This Row],[Last_Order_Date]],GroDB3[[#This Row],[Date_Received]])</f>
        <v>45463</v>
      </c>
      <c r="L808" s="43">
        <f>IF(GroDB3[[#This Row],[Column1]]="No",GroDB3[[#This Row],[Date_Received]],GroDB3[[#This Row],[Last_Order_Date]])</f>
        <v>45431</v>
      </c>
      <c r="M808" s="43">
        <v>45374</v>
      </c>
      <c r="N808" s="3">
        <v>86</v>
      </c>
      <c r="O808" s="3">
        <v>23</v>
      </c>
      <c r="P808" s="3">
        <v>1</v>
      </c>
      <c r="Q808" s="4">
        <v>9</v>
      </c>
      <c r="R808" s="3">
        <v>100</v>
      </c>
      <c r="S808" s="3">
        <v>86</v>
      </c>
      <c r="T808" s="7">
        <v>0.91</v>
      </c>
    </row>
    <row r="809" spans="1:20" x14ac:dyDescent="0.35">
      <c r="A809" s="5" t="s">
        <v>165</v>
      </c>
      <c r="B809" s="3" t="s">
        <v>60</v>
      </c>
      <c r="C809" s="3" t="s">
        <v>2893</v>
      </c>
      <c r="D809" s="3" t="s">
        <v>2894</v>
      </c>
      <c r="E809" s="3" t="s">
        <v>28</v>
      </c>
      <c r="F809" s="3" t="s">
        <v>2895</v>
      </c>
      <c r="G809" s="3" t="s">
        <v>2896</v>
      </c>
      <c r="H809" s="43">
        <v>45464</v>
      </c>
      <c r="I809" s="43">
        <v>45521</v>
      </c>
      <c r="J809" s="47" t="str">
        <f>IF(GroDB3[[#This Row],[Last_Order_Date]]&lt;=GroDB3[[#This Row],[Date_Received]], "Yes", "No")</f>
        <v>No</v>
      </c>
      <c r="K809" s="43">
        <f>IF(GroDB3[[#This Row],[Column1]]="No",GroDB3[[#This Row],[Last_Order_Date]],GroDB3[[#This Row],[Date_Received]])</f>
        <v>45521</v>
      </c>
      <c r="L809" s="43">
        <f>IF(GroDB3[[#This Row],[Column1]]="No",GroDB3[[#This Row],[Date_Received]],GroDB3[[#This Row],[Last_Order_Date]])</f>
        <v>45464</v>
      </c>
      <c r="M809" s="43">
        <v>45411</v>
      </c>
      <c r="N809" s="3">
        <v>93</v>
      </c>
      <c r="O809" s="3">
        <v>25</v>
      </c>
      <c r="P809" s="3">
        <v>23</v>
      </c>
      <c r="Q809" s="4">
        <v>7</v>
      </c>
      <c r="R809" s="3">
        <v>72</v>
      </c>
      <c r="S809" s="3">
        <v>83</v>
      </c>
      <c r="T809" s="7">
        <v>0.14000000000000001</v>
      </c>
    </row>
    <row r="810" spans="1:20" x14ac:dyDescent="0.35">
      <c r="A810" s="5" t="s">
        <v>80</v>
      </c>
      <c r="B810" s="3" t="s">
        <v>25</v>
      </c>
      <c r="C810" s="3" t="s">
        <v>2496</v>
      </c>
      <c r="D810" s="3" t="s">
        <v>2897</v>
      </c>
      <c r="E810" s="3" t="s">
        <v>28</v>
      </c>
      <c r="F810" s="3" t="s">
        <v>2898</v>
      </c>
      <c r="G810" s="3" t="s">
        <v>2899</v>
      </c>
      <c r="H810" s="43">
        <v>45465</v>
      </c>
      <c r="I810" s="43">
        <v>45462</v>
      </c>
      <c r="J810" s="47" t="str">
        <f>IF(GroDB3[[#This Row],[Last_Order_Date]]&lt;=GroDB3[[#This Row],[Date_Received]], "Yes", "No")</f>
        <v>Yes</v>
      </c>
      <c r="K810" s="43">
        <f>IF(GroDB3[[#This Row],[Column1]]="No",GroDB3[[#This Row],[Last_Order_Date]],GroDB3[[#This Row],[Date_Received]])</f>
        <v>45465</v>
      </c>
      <c r="L810" s="43">
        <f>IF(GroDB3[[#This Row],[Column1]]="No",GroDB3[[#This Row],[Date_Received]],GroDB3[[#This Row],[Last_Order_Date]])</f>
        <v>45462</v>
      </c>
      <c r="M810" s="43">
        <v>45563</v>
      </c>
      <c r="N810" s="3">
        <v>99</v>
      </c>
      <c r="O810" s="3">
        <v>96</v>
      </c>
      <c r="P810" s="3">
        <v>39</v>
      </c>
      <c r="Q810" s="4">
        <v>10</v>
      </c>
      <c r="R810" s="3">
        <v>94</v>
      </c>
      <c r="S810" s="3">
        <v>89</v>
      </c>
      <c r="T810" s="7">
        <v>-0.15</v>
      </c>
    </row>
    <row r="811" spans="1:20" x14ac:dyDescent="0.35">
      <c r="A811" s="5" t="s">
        <v>1624</v>
      </c>
      <c r="B811" s="3" t="s">
        <v>60</v>
      </c>
      <c r="C811" s="3" t="s">
        <v>2900</v>
      </c>
      <c r="D811" s="3" t="s">
        <v>2901</v>
      </c>
      <c r="E811" s="3" t="s">
        <v>28</v>
      </c>
      <c r="F811" s="3" t="s">
        <v>2902</v>
      </c>
      <c r="G811" s="3" t="s">
        <v>2903</v>
      </c>
      <c r="H811" s="43">
        <v>45465</v>
      </c>
      <c r="I811" s="43">
        <v>45578</v>
      </c>
      <c r="J811" s="47" t="str">
        <f>IF(GroDB3[[#This Row],[Last_Order_Date]]&lt;=GroDB3[[#This Row],[Date_Received]], "Yes", "No")</f>
        <v>No</v>
      </c>
      <c r="K811" s="43">
        <f>IF(GroDB3[[#This Row],[Column1]]="No",GroDB3[[#This Row],[Last_Order_Date]],GroDB3[[#This Row],[Date_Received]])</f>
        <v>45578</v>
      </c>
      <c r="L811" s="43">
        <f>IF(GroDB3[[#This Row],[Column1]]="No",GroDB3[[#This Row],[Date_Received]],GroDB3[[#This Row],[Last_Order_Date]])</f>
        <v>45465</v>
      </c>
      <c r="M811" s="43">
        <v>45555</v>
      </c>
      <c r="N811" s="3">
        <v>30</v>
      </c>
      <c r="O811" s="3">
        <v>29</v>
      </c>
      <c r="P811" s="3">
        <v>70</v>
      </c>
      <c r="Q811" s="4">
        <v>7.5</v>
      </c>
      <c r="R811" s="3">
        <v>80</v>
      </c>
      <c r="S811" s="3">
        <v>43</v>
      </c>
      <c r="T811" s="7">
        <v>0.05</v>
      </c>
    </row>
    <row r="812" spans="1:20" x14ac:dyDescent="0.35">
      <c r="A812" s="5" t="s">
        <v>1016</v>
      </c>
      <c r="B812" s="3" t="s">
        <v>25</v>
      </c>
      <c r="C812" s="3" t="s">
        <v>2542</v>
      </c>
      <c r="D812" s="3" t="s">
        <v>2904</v>
      </c>
      <c r="E812" s="3" t="s">
        <v>28</v>
      </c>
      <c r="F812" s="3" t="s">
        <v>2905</v>
      </c>
      <c r="G812" s="3" t="s">
        <v>2906</v>
      </c>
      <c r="H812" s="43">
        <v>45465</v>
      </c>
      <c r="I812" s="43">
        <v>45539</v>
      </c>
      <c r="J812" s="47" t="str">
        <f>IF(GroDB3[[#This Row],[Last_Order_Date]]&lt;=GroDB3[[#This Row],[Date_Received]], "Yes", "No")</f>
        <v>No</v>
      </c>
      <c r="K812" s="43">
        <f>IF(GroDB3[[#This Row],[Column1]]="No",GroDB3[[#This Row],[Last_Order_Date]],GroDB3[[#This Row],[Date_Received]])</f>
        <v>45539</v>
      </c>
      <c r="L812" s="43">
        <f>IF(GroDB3[[#This Row],[Column1]]="No",GroDB3[[#This Row],[Date_Received]],GroDB3[[#This Row],[Last_Order_Date]])</f>
        <v>45465</v>
      </c>
      <c r="M812" s="43">
        <v>45477</v>
      </c>
      <c r="N812" s="3">
        <v>75</v>
      </c>
      <c r="O812" s="3">
        <v>23</v>
      </c>
      <c r="P812" s="3">
        <v>34</v>
      </c>
      <c r="Q812" s="4">
        <v>2.5</v>
      </c>
      <c r="R812" s="3">
        <v>100</v>
      </c>
      <c r="S812" s="3">
        <v>54</v>
      </c>
      <c r="T812" s="7">
        <v>0.46</v>
      </c>
    </row>
    <row r="813" spans="1:20" x14ac:dyDescent="0.35">
      <c r="A813" s="5" t="s">
        <v>121</v>
      </c>
      <c r="B813" s="3" t="s">
        <v>53</v>
      </c>
      <c r="C813" s="3" t="s">
        <v>2180</v>
      </c>
      <c r="D813" s="3" t="s">
        <v>2907</v>
      </c>
      <c r="E813" s="3" t="s">
        <v>56</v>
      </c>
      <c r="F813" s="3" t="s">
        <v>2908</v>
      </c>
      <c r="G813" s="3" t="s">
        <v>2909</v>
      </c>
      <c r="H813" s="43">
        <v>45465</v>
      </c>
      <c r="I813" s="43">
        <v>45475</v>
      </c>
      <c r="J813" s="47" t="str">
        <f>IF(GroDB3[[#This Row],[Last_Order_Date]]&lt;=GroDB3[[#This Row],[Date_Received]], "Yes", "No")</f>
        <v>No</v>
      </c>
      <c r="K813" s="43">
        <f>IF(GroDB3[[#This Row],[Column1]]="No",GroDB3[[#This Row],[Last_Order_Date]],GroDB3[[#This Row],[Date_Received]])</f>
        <v>45475</v>
      </c>
      <c r="L813" s="43">
        <f>IF(GroDB3[[#This Row],[Column1]]="No",GroDB3[[#This Row],[Date_Received]],GroDB3[[#This Row],[Last_Order_Date]])</f>
        <v>45465</v>
      </c>
      <c r="M813" s="43">
        <v>45653</v>
      </c>
      <c r="N813" s="3">
        <v>39</v>
      </c>
      <c r="O813" s="3">
        <v>53</v>
      </c>
      <c r="P813" s="3">
        <v>64</v>
      </c>
      <c r="Q813" s="4">
        <v>2.75</v>
      </c>
      <c r="R813" s="3">
        <v>92</v>
      </c>
      <c r="S813" s="3">
        <v>8</v>
      </c>
      <c r="T813" s="7">
        <v>0.46</v>
      </c>
    </row>
    <row r="814" spans="1:20" x14ac:dyDescent="0.35">
      <c r="A814" s="5" t="s">
        <v>812</v>
      </c>
      <c r="B814" s="3" t="s">
        <v>18</v>
      </c>
      <c r="C814" s="3" t="s">
        <v>171</v>
      </c>
      <c r="D814" s="3" t="s">
        <v>2910</v>
      </c>
      <c r="E814" s="3" t="s">
        <v>21</v>
      </c>
      <c r="F814" s="3" t="s">
        <v>2911</v>
      </c>
      <c r="G814" s="3" t="s">
        <v>2912</v>
      </c>
      <c r="H814" s="43">
        <v>45465</v>
      </c>
      <c r="I814" s="43">
        <v>45435</v>
      </c>
      <c r="J814" s="47" t="str">
        <f>IF(GroDB3[[#This Row],[Last_Order_Date]]&lt;=GroDB3[[#This Row],[Date_Received]], "Yes", "No")</f>
        <v>Yes</v>
      </c>
      <c r="K814" s="43">
        <f>IF(GroDB3[[#This Row],[Column1]]="No",GroDB3[[#This Row],[Last_Order_Date]],GroDB3[[#This Row],[Date_Received]])</f>
        <v>45465</v>
      </c>
      <c r="L814" s="43">
        <f>IF(GroDB3[[#This Row],[Column1]]="No",GroDB3[[#This Row],[Date_Received]],GroDB3[[#This Row],[Last_Order_Date]])</f>
        <v>45435</v>
      </c>
      <c r="M814" s="43">
        <v>45398</v>
      </c>
      <c r="N814" s="3">
        <v>77</v>
      </c>
      <c r="O814" s="3">
        <v>58</v>
      </c>
      <c r="P814" s="3">
        <v>13</v>
      </c>
      <c r="Q814" s="4">
        <v>3.5</v>
      </c>
      <c r="R814" s="3">
        <v>63</v>
      </c>
      <c r="S814" s="3">
        <v>28</v>
      </c>
      <c r="T814" s="7">
        <v>0.91</v>
      </c>
    </row>
    <row r="815" spans="1:20" x14ac:dyDescent="0.35">
      <c r="A815" s="5" t="s">
        <v>230</v>
      </c>
      <c r="B815" s="3" t="s">
        <v>25</v>
      </c>
      <c r="C815" s="3" t="s">
        <v>1756</v>
      </c>
      <c r="D815" s="3" t="s">
        <v>2913</v>
      </c>
      <c r="E815" s="3" t="s">
        <v>21</v>
      </c>
      <c r="F815" s="3" t="s">
        <v>2914</v>
      </c>
      <c r="G815" s="3" t="s">
        <v>2915</v>
      </c>
      <c r="H815" s="43">
        <v>45466</v>
      </c>
      <c r="I815" s="43">
        <v>45504</v>
      </c>
      <c r="J815" s="47" t="str">
        <f>IF(GroDB3[[#This Row],[Last_Order_Date]]&lt;=GroDB3[[#This Row],[Date_Received]], "Yes", "No")</f>
        <v>No</v>
      </c>
      <c r="K815" s="43">
        <f>IF(GroDB3[[#This Row],[Column1]]="No",GroDB3[[#This Row],[Last_Order_Date]],GroDB3[[#This Row],[Date_Received]])</f>
        <v>45504</v>
      </c>
      <c r="L815" s="43">
        <f>IF(GroDB3[[#This Row],[Column1]]="No",GroDB3[[#This Row],[Date_Received]],GroDB3[[#This Row],[Last_Order_Date]])</f>
        <v>45466</v>
      </c>
      <c r="M815" s="43">
        <v>45699</v>
      </c>
      <c r="N815" s="3">
        <v>43</v>
      </c>
      <c r="O815" s="3">
        <v>63</v>
      </c>
      <c r="P815" s="3">
        <v>80</v>
      </c>
      <c r="Q815" s="4">
        <v>1.8</v>
      </c>
      <c r="R815" s="3">
        <v>33</v>
      </c>
      <c r="S815" s="3">
        <v>96</v>
      </c>
      <c r="T815" s="7">
        <v>0.56000000000000005</v>
      </c>
    </row>
    <row r="816" spans="1:20" x14ac:dyDescent="0.35">
      <c r="A816" s="5" t="s">
        <v>1516</v>
      </c>
      <c r="B816" s="3" t="s">
        <v>32</v>
      </c>
      <c r="C816" s="3" t="s">
        <v>1812</v>
      </c>
      <c r="D816" s="3" t="s">
        <v>2916</v>
      </c>
      <c r="E816" s="3" t="s">
        <v>28</v>
      </c>
      <c r="F816" s="3" t="s">
        <v>2917</v>
      </c>
      <c r="G816" s="3" t="s">
        <v>2918</v>
      </c>
      <c r="H816" s="43">
        <v>45466</v>
      </c>
      <c r="I816" s="43">
        <v>45480</v>
      </c>
      <c r="J816" s="47" t="str">
        <f>IF(GroDB3[[#This Row],[Last_Order_Date]]&lt;=GroDB3[[#This Row],[Date_Received]], "Yes", "No")</f>
        <v>No</v>
      </c>
      <c r="K816" s="43">
        <f>IF(GroDB3[[#This Row],[Column1]]="No",GroDB3[[#This Row],[Last_Order_Date]],GroDB3[[#This Row],[Date_Received]])</f>
        <v>45480</v>
      </c>
      <c r="L816" s="43">
        <f>IF(GroDB3[[#This Row],[Column1]]="No",GroDB3[[#This Row],[Date_Received]],GroDB3[[#This Row],[Last_Order_Date]])</f>
        <v>45466</v>
      </c>
      <c r="M816" s="43">
        <v>45660</v>
      </c>
      <c r="N816" s="3">
        <v>58</v>
      </c>
      <c r="O816" s="3">
        <v>17</v>
      </c>
      <c r="P816" s="3">
        <v>26</v>
      </c>
      <c r="Q816" s="4">
        <v>7</v>
      </c>
      <c r="R816" s="3">
        <v>62</v>
      </c>
      <c r="S816" s="3">
        <v>89</v>
      </c>
      <c r="T816" s="7">
        <v>-1.91</v>
      </c>
    </row>
    <row r="817" spans="1:20" x14ac:dyDescent="0.35">
      <c r="A817" s="5" t="s">
        <v>1085</v>
      </c>
      <c r="B817" s="3" t="s">
        <v>32</v>
      </c>
      <c r="C817" s="3" t="s">
        <v>343</v>
      </c>
      <c r="D817" s="3" t="s">
        <v>2919</v>
      </c>
      <c r="E817" s="3" t="s">
        <v>56</v>
      </c>
      <c r="F817" s="3" t="s">
        <v>2920</v>
      </c>
      <c r="G817" s="3" t="s">
        <v>2921</v>
      </c>
      <c r="H817" s="43">
        <v>45466</v>
      </c>
      <c r="I817" s="43">
        <v>45428</v>
      </c>
      <c r="J817" s="47" t="str">
        <f>IF(GroDB3[[#This Row],[Last_Order_Date]]&lt;=GroDB3[[#This Row],[Date_Received]], "Yes", "No")</f>
        <v>Yes</v>
      </c>
      <c r="K817" s="43">
        <f>IF(GroDB3[[#This Row],[Column1]]="No",GroDB3[[#This Row],[Last_Order_Date]],GroDB3[[#This Row],[Date_Received]])</f>
        <v>45466</v>
      </c>
      <c r="L817" s="43">
        <f>IF(GroDB3[[#This Row],[Column1]]="No",GroDB3[[#This Row],[Date_Received]],GroDB3[[#This Row],[Last_Order_Date]])</f>
        <v>45428</v>
      </c>
      <c r="M817" s="43">
        <v>45655</v>
      </c>
      <c r="N817" s="3">
        <v>64</v>
      </c>
      <c r="O817" s="3">
        <v>14</v>
      </c>
      <c r="P817" s="3">
        <v>44</v>
      </c>
      <c r="Q817" s="4">
        <v>8</v>
      </c>
      <c r="R817" s="3">
        <v>53</v>
      </c>
      <c r="S817" s="3">
        <v>33</v>
      </c>
      <c r="T817" s="7">
        <v>-0.44</v>
      </c>
    </row>
    <row r="818" spans="1:20" x14ac:dyDescent="0.35">
      <c r="A818" s="5" t="s">
        <v>976</v>
      </c>
      <c r="B818" s="3" t="s">
        <v>60</v>
      </c>
      <c r="C818" s="3" t="s">
        <v>235</v>
      </c>
      <c r="D818" s="3" t="s">
        <v>2922</v>
      </c>
      <c r="E818" s="3" t="s">
        <v>56</v>
      </c>
      <c r="F818" s="3" t="s">
        <v>2923</v>
      </c>
      <c r="G818" s="3" t="s">
        <v>2924</v>
      </c>
      <c r="H818" s="43">
        <v>45466</v>
      </c>
      <c r="I818" s="43">
        <v>45625</v>
      </c>
      <c r="J818" s="47" t="str">
        <f>IF(GroDB3[[#This Row],[Last_Order_Date]]&lt;=GroDB3[[#This Row],[Date_Received]], "Yes", "No")</f>
        <v>No</v>
      </c>
      <c r="K818" s="43">
        <f>IF(GroDB3[[#This Row],[Column1]]="No",GroDB3[[#This Row],[Last_Order_Date]],GroDB3[[#This Row],[Date_Received]])</f>
        <v>45625</v>
      </c>
      <c r="L818" s="43">
        <f>IF(GroDB3[[#This Row],[Column1]]="No",GroDB3[[#This Row],[Date_Received]],GroDB3[[#This Row],[Last_Order_Date]])</f>
        <v>45466</v>
      </c>
      <c r="M818" s="43">
        <v>45391</v>
      </c>
      <c r="N818" s="3">
        <v>88</v>
      </c>
      <c r="O818" s="3">
        <v>42</v>
      </c>
      <c r="P818" s="3">
        <v>68</v>
      </c>
      <c r="Q818" s="4">
        <v>20</v>
      </c>
      <c r="R818" s="3">
        <v>92</v>
      </c>
      <c r="S818" s="3">
        <v>29</v>
      </c>
      <c r="T818" s="7">
        <v>0.38</v>
      </c>
    </row>
    <row r="819" spans="1:20" x14ac:dyDescent="0.35">
      <c r="A819" s="5" t="s">
        <v>495</v>
      </c>
      <c r="B819" s="3" t="s">
        <v>18</v>
      </c>
      <c r="C819" s="3" t="s">
        <v>2925</v>
      </c>
      <c r="D819" s="3" t="s">
        <v>2926</v>
      </c>
      <c r="E819" s="3" t="s">
        <v>56</v>
      </c>
      <c r="F819" s="3" t="s">
        <v>2927</v>
      </c>
      <c r="G819" s="3" t="s">
        <v>2928</v>
      </c>
      <c r="H819" s="43">
        <v>45467</v>
      </c>
      <c r="I819" s="43">
        <v>45712</v>
      </c>
      <c r="J819" s="47" t="str">
        <f>IF(GroDB3[[#This Row],[Last_Order_Date]]&lt;=GroDB3[[#This Row],[Date_Received]], "Yes", "No")</f>
        <v>No</v>
      </c>
      <c r="K819" s="43">
        <f>IF(GroDB3[[#This Row],[Column1]]="No",GroDB3[[#This Row],[Last_Order_Date]],GroDB3[[#This Row],[Date_Received]])</f>
        <v>45712</v>
      </c>
      <c r="L819" s="43">
        <f>IF(GroDB3[[#This Row],[Column1]]="No",GroDB3[[#This Row],[Date_Received]],GroDB3[[#This Row],[Last_Order_Date]])</f>
        <v>45467</v>
      </c>
      <c r="M819" s="43">
        <v>45368</v>
      </c>
      <c r="N819" s="3">
        <v>72</v>
      </c>
      <c r="O819" s="3">
        <v>87</v>
      </c>
      <c r="P819" s="3">
        <v>39</v>
      </c>
      <c r="Q819" s="4">
        <v>6</v>
      </c>
      <c r="R819" s="3">
        <v>94</v>
      </c>
      <c r="S819" s="3">
        <v>57</v>
      </c>
      <c r="T819" s="7">
        <v>0.68</v>
      </c>
    </row>
    <row r="820" spans="1:20" x14ac:dyDescent="0.35">
      <c r="A820" s="5" t="s">
        <v>47</v>
      </c>
      <c r="B820" s="3" t="s">
        <v>18</v>
      </c>
      <c r="C820" s="3" t="s">
        <v>1073</v>
      </c>
      <c r="D820" s="3" t="s">
        <v>2929</v>
      </c>
      <c r="E820" s="3" t="s">
        <v>21</v>
      </c>
      <c r="F820" s="3" t="s">
        <v>2930</v>
      </c>
      <c r="G820" s="3" t="s">
        <v>2931</v>
      </c>
      <c r="H820" s="43">
        <v>45467</v>
      </c>
      <c r="I820" s="43">
        <v>45651</v>
      </c>
      <c r="J820" s="47" t="str">
        <f>IF(GroDB3[[#This Row],[Last_Order_Date]]&lt;=GroDB3[[#This Row],[Date_Received]], "Yes", "No")</f>
        <v>No</v>
      </c>
      <c r="K820" s="43">
        <f>IF(GroDB3[[#This Row],[Column1]]="No",GroDB3[[#This Row],[Last_Order_Date]],GroDB3[[#This Row],[Date_Received]])</f>
        <v>45651</v>
      </c>
      <c r="L820" s="43">
        <f>IF(GroDB3[[#This Row],[Column1]]="No",GroDB3[[#This Row],[Date_Received]],GroDB3[[#This Row],[Last_Order_Date]])</f>
        <v>45467</v>
      </c>
      <c r="M820" s="43">
        <v>45448</v>
      </c>
      <c r="N820" s="3">
        <v>12</v>
      </c>
      <c r="O820" s="3">
        <v>7</v>
      </c>
      <c r="P820" s="3">
        <v>48</v>
      </c>
      <c r="Q820" s="4">
        <v>2.2999999999999998</v>
      </c>
      <c r="R820" s="3">
        <v>66</v>
      </c>
      <c r="S820" s="3">
        <v>4</v>
      </c>
      <c r="T820" s="7">
        <v>0.39</v>
      </c>
    </row>
    <row r="821" spans="1:20" x14ac:dyDescent="0.35">
      <c r="A821" s="5" t="s">
        <v>517</v>
      </c>
      <c r="B821" s="3" t="s">
        <v>127</v>
      </c>
      <c r="C821" s="3" t="s">
        <v>555</v>
      </c>
      <c r="D821" s="3" t="s">
        <v>2932</v>
      </c>
      <c r="E821" s="3" t="s">
        <v>56</v>
      </c>
      <c r="F821" s="3" t="s">
        <v>2933</v>
      </c>
      <c r="G821" s="3" t="s">
        <v>2934</v>
      </c>
      <c r="H821" s="43">
        <v>45467</v>
      </c>
      <c r="I821" s="43">
        <v>45701</v>
      </c>
      <c r="J821" s="47" t="str">
        <f>IF(GroDB3[[#This Row],[Last_Order_Date]]&lt;=GroDB3[[#This Row],[Date_Received]], "Yes", "No")</f>
        <v>No</v>
      </c>
      <c r="K821" s="43">
        <f>IF(GroDB3[[#This Row],[Column1]]="No",GroDB3[[#This Row],[Last_Order_Date]],GroDB3[[#This Row],[Date_Received]])</f>
        <v>45701</v>
      </c>
      <c r="L821" s="43">
        <f>IF(GroDB3[[#This Row],[Column1]]="No",GroDB3[[#This Row],[Date_Received]],GroDB3[[#This Row],[Last_Order_Date]])</f>
        <v>45467</v>
      </c>
      <c r="M821" s="43">
        <v>45659</v>
      </c>
      <c r="N821" s="3">
        <v>58</v>
      </c>
      <c r="O821" s="3">
        <v>81</v>
      </c>
      <c r="P821" s="3">
        <v>66</v>
      </c>
      <c r="Q821" s="4">
        <v>25</v>
      </c>
      <c r="R821" s="3">
        <v>85</v>
      </c>
      <c r="S821" s="3">
        <v>78</v>
      </c>
      <c r="T821" s="7">
        <v>0.94</v>
      </c>
    </row>
    <row r="822" spans="1:20" x14ac:dyDescent="0.35">
      <c r="A822" s="5" t="s">
        <v>137</v>
      </c>
      <c r="B822" s="3" t="s">
        <v>18</v>
      </c>
      <c r="C822" s="3" t="s">
        <v>138</v>
      </c>
      <c r="D822" s="3" t="s">
        <v>2935</v>
      </c>
      <c r="E822" s="3" t="s">
        <v>28</v>
      </c>
      <c r="F822" s="3" t="s">
        <v>2936</v>
      </c>
      <c r="G822" s="3" t="s">
        <v>2937</v>
      </c>
      <c r="H822" s="43">
        <v>45467</v>
      </c>
      <c r="I822" s="43">
        <v>45555</v>
      </c>
      <c r="J822" s="47" t="str">
        <f>IF(GroDB3[[#This Row],[Last_Order_Date]]&lt;=GroDB3[[#This Row],[Date_Received]], "Yes", "No")</f>
        <v>No</v>
      </c>
      <c r="K822" s="43">
        <f>IF(GroDB3[[#This Row],[Column1]]="No",GroDB3[[#This Row],[Last_Order_Date]],GroDB3[[#This Row],[Date_Received]])</f>
        <v>45555</v>
      </c>
      <c r="L822" s="43">
        <f>IF(GroDB3[[#This Row],[Column1]]="No",GroDB3[[#This Row],[Date_Received]],GroDB3[[#This Row],[Last_Order_Date]])</f>
        <v>45467</v>
      </c>
      <c r="M822" s="43">
        <v>45700</v>
      </c>
      <c r="N822" s="3">
        <v>99</v>
      </c>
      <c r="O822" s="3">
        <v>59</v>
      </c>
      <c r="P822" s="3">
        <v>12</v>
      </c>
      <c r="Q822" s="4">
        <v>5</v>
      </c>
      <c r="R822" s="3">
        <v>52</v>
      </c>
      <c r="S822" s="3">
        <v>57</v>
      </c>
      <c r="T822" s="7">
        <v>0.08</v>
      </c>
    </row>
    <row r="823" spans="1:20" x14ac:dyDescent="0.35">
      <c r="A823" s="5" t="s">
        <v>198</v>
      </c>
      <c r="B823" s="3" t="s">
        <v>53</v>
      </c>
      <c r="C823" s="3" t="s">
        <v>1394</v>
      </c>
      <c r="D823" s="3" t="s">
        <v>2938</v>
      </c>
      <c r="E823" s="3" t="s">
        <v>28</v>
      </c>
      <c r="F823" s="3" t="s">
        <v>2939</v>
      </c>
      <c r="G823" s="3" t="s">
        <v>2940</v>
      </c>
      <c r="H823" s="43">
        <v>45468</v>
      </c>
      <c r="I823" s="43">
        <v>45482</v>
      </c>
      <c r="J823" s="47" t="str">
        <f>IF(GroDB3[[#This Row],[Last_Order_Date]]&lt;=GroDB3[[#This Row],[Date_Received]], "Yes", "No")</f>
        <v>No</v>
      </c>
      <c r="K823" s="43">
        <f>IF(GroDB3[[#This Row],[Column1]]="No",GroDB3[[#This Row],[Last_Order_Date]],GroDB3[[#This Row],[Date_Received]])</f>
        <v>45482</v>
      </c>
      <c r="L823" s="43">
        <f>IF(GroDB3[[#This Row],[Column1]]="No",GroDB3[[#This Row],[Date_Received]],GroDB3[[#This Row],[Last_Order_Date]])</f>
        <v>45468</v>
      </c>
      <c r="M823" s="43">
        <v>45671</v>
      </c>
      <c r="N823" s="3">
        <v>25</v>
      </c>
      <c r="O823" s="3">
        <v>95</v>
      </c>
      <c r="P823" s="3">
        <v>71</v>
      </c>
      <c r="Q823" s="4">
        <v>2</v>
      </c>
      <c r="R823" s="3">
        <v>24</v>
      </c>
      <c r="S823" s="3">
        <v>76</v>
      </c>
      <c r="T823" s="7">
        <v>-0.1</v>
      </c>
    </row>
    <row r="824" spans="1:20" x14ac:dyDescent="0.35">
      <c r="A824" s="5" t="s">
        <v>17</v>
      </c>
      <c r="B824" s="3" t="s">
        <v>18</v>
      </c>
      <c r="C824" s="3" t="s">
        <v>2941</v>
      </c>
      <c r="D824" s="3" t="s">
        <v>2942</v>
      </c>
      <c r="E824" s="3" t="s">
        <v>28</v>
      </c>
      <c r="F824" s="3" t="s">
        <v>2943</v>
      </c>
      <c r="G824" s="3" t="s">
        <v>2944</v>
      </c>
      <c r="H824" s="43">
        <v>45468</v>
      </c>
      <c r="I824" s="43">
        <v>45357</v>
      </c>
      <c r="J824" s="47" t="str">
        <f>IF(GroDB3[[#This Row],[Last_Order_Date]]&lt;=GroDB3[[#This Row],[Date_Received]], "Yes", "No")</f>
        <v>Yes</v>
      </c>
      <c r="K824" s="43">
        <f>IF(GroDB3[[#This Row],[Column1]]="No",GroDB3[[#This Row],[Last_Order_Date]],GroDB3[[#This Row],[Date_Received]])</f>
        <v>45468</v>
      </c>
      <c r="L824" s="43">
        <f>IF(GroDB3[[#This Row],[Column1]]="No",GroDB3[[#This Row],[Date_Received]],GroDB3[[#This Row],[Last_Order_Date]])</f>
        <v>45357</v>
      </c>
      <c r="M824" s="43">
        <v>45655</v>
      </c>
      <c r="N824" s="3">
        <v>98</v>
      </c>
      <c r="O824" s="3">
        <v>43</v>
      </c>
      <c r="P824" s="3">
        <v>9</v>
      </c>
      <c r="Q824" s="4">
        <v>4.5</v>
      </c>
      <c r="R824" s="3">
        <v>86</v>
      </c>
      <c r="S824" s="3">
        <v>62</v>
      </c>
      <c r="T824" s="7">
        <v>-2.17</v>
      </c>
    </row>
    <row r="825" spans="1:20" x14ac:dyDescent="0.35">
      <c r="A825" s="5" t="s">
        <v>156</v>
      </c>
      <c r="B825" s="3" t="s">
        <v>127</v>
      </c>
      <c r="C825" s="3" t="s">
        <v>1027</v>
      </c>
      <c r="D825" s="3" t="s">
        <v>2945</v>
      </c>
      <c r="E825" s="3" t="s">
        <v>21</v>
      </c>
      <c r="F825" s="3" t="s">
        <v>2946</v>
      </c>
      <c r="G825" s="3" t="s">
        <v>2947</v>
      </c>
      <c r="H825" s="43">
        <v>45469</v>
      </c>
      <c r="I825" s="43">
        <v>45635</v>
      </c>
      <c r="J825" s="47" t="str">
        <f>IF(GroDB3[[#This Row],[Last_Order_Date]]&lt;=GroDB3[[#This Row],[Date_Received]], "Yes", "No")</f>
        <v>No</v>
      </c>
      <c r="K825" s="43">
        <f>IF(GroDB3[[#This Row],[Column1]]="No",GroDB3[[#This Row],[Last_Order_Date]],GroDB3[[#This Row],[Date_Received]])</f>
        <v>45635</v>
      </c>
      <c r="L825" s="43">
        <f>IF(GroDB3[[#This Row],[Column1]]="No",GroDB3[[#This Row],[Date_Received]],GroDB3[[#This Row],[Last_Order_Date]])</f>
        <v>45469</v>
      </c>
      <c r="M825" s="43">
        <v>45435</v>
      </c>
      <c r="N825" s="3">
        <v>75</v>
      </c>
      <c r="O825" s="3">
        <v>47</v>
      </c>
      <c r="P825" s="3">
        <v>33</v>
      </c>
      <c r="Q825" s="4">
        <v>12.5</v>
      </c>
      <c r="R825" s="3">
        <v>33</v>
      </c>
      <c r="S825" s="3">
        <v>12</v>
      </c>
      <c r="T825" s="7">
        <v>0.28000000000000003</v>
      </c>
    </row>
    <row r="826" spans="1:20" x14ac:dyDescent="0.35">
      <c r="A826" s="5" t="s">
        <v>248</v>
      </c>
      <c r="B826" s="3" t="s">
        <v>32</v>
      </c>
      <c r="C826" s="3" t="s">
        <v>616</v>
      </c>
      <c r="D826" s="3" t="s">
        <v>2948</v>
      </c>
      <c r="E826" s="3" t="s">
        <v>56</v>
      </c>
      <c r="F826" s="3" t="s">
        <v>2949</v>
      </c>
      <c r="G826" s="3" t="s">
        <v>2950</v>
      </c>
      <c r="H826" s="43">
        <v>45469</v>
      </c>
      <c r="I826" s="43">
        <v>45540</v>
      </c>
      <c r="J826" s="47" t="str">
        <f>IF(GroDB3[[#This Row],[Last_Order_Date]]&lt;=GroDB3[[#This Row],[Date_Received]], "Yes", "No")</f>
        <v>No</v>
      </c>
      <c r="K826" s="43">
        <f>IF(GroDB3[[#This Row],[Column1]]="No",GroDB3[[#This Row],[Last_Order_Date]],GroDB3[[#This Row],[Date_Received]])</f>
        <v>45540</v>
      </c>
      <c r="L826" s="43">
        <f>IF(GroDB3[[#This Row],[Column1]]="No",GroDB3[[#This Row],[Date_Received]],GroDB3[[#This Row],[Last_Order_Date]])</f>
        <v>45469</v>
      </c>
      <c r="M826" s="43">
        <v>45394</v>
      </c>
      <c r="N826" s="3">
        <v>80</v>
      </c>
      <c r="O826" s="3">
        <v>43</v>
      </c>
      <c r="P826" s="3">
        <v>80</v>
      </c>
      <c r="Q826" s="4">
        <v>7</v>
      </c>
      <c r="R826" s="3">
        <v>64</v>
      </c>
      <c r="S826" s="3">
        <v>53</v>
      </c>
      <c r="T826" s="7">
        <v>0.64</v>
      </c>
    </row>
    <row r="827" spans="1:20" x14ac:dyDescent="0.35">
      <c r="A827" s="5" t="s">
        <v>587</v>
      </c>
      <c r="B827" s="3" t="s">
        <v>127</v>
      </c>
      <c r="C827" s="3" t="s">
        <v>2951</v>
      </c>
      <c r="D827" s="3" t="s">
        <v>2952</v>
      </c>
      <c r="E827" s="3" t="s">
        <v>21</v>
      </c>
      <c r="F827" s="3" t="s">
        <v>2953</v>
      </c>
      <c r="G827" s="3" t="s">
        <v>2954</v>
      </c>
      <c r="H827" s="43">
        <v>45469</v>
      </c>
      <c r="I827" s="43">
        <v>45710</v>
      </c>
      <c r="J827" s="47" t="str">
        <f>IF(GroDB3[[#This Row],[Last_Order_Date]]&lt;=GroDB3[[#This Row],[Date_Received]], "Yes", "No")</f>
        <v>No</v>
      </c>
      <c r="K827" s="43">
        <f>IF(GroDB3[[#This Row],[Column1]]="No",GroDB3[[#This Row],[Last_Order_Date]],GroDB3[[#This Row],[Date_Received]])</f>
        <v>45710</v>
      </c>
      <c r="L827" s="43">
        <f>IF(GroDB3[[#This Row],[Column1]]="No",GroDB3[[#This Row],[Date_Received]],GroDB3[[#This Row],[Last_Order_Date]])</f>
        <v>45469</v>
      </c>
      <c r="M827" s="43">
        <v>45367</v>
      </c>
      <c r="N827" s="3">
        <v>20</v>
      </c>
      <c r="O827" s="3">
        <v>9</v>
      </c>
      <c r="P827" s="3">
        <v>12</v>
      </c>
      <c r="Q827" s="4">
        <v>30.5</v>
      </c>
      <c r="R827" s="3">
        <v>46</v>
      </c>
      <c r="S827" s="3">
        <v>32</v>
      </c>
      <c r="T827" s="7">
        <v>0.17</v>
      </c>
    </row>
    <row r="828" spans="1:20" x14ac:dyDescent="0.35">
      <c r="A828" s="5" t="s">
        <v>736</v>
      </c>
      <c r="B828" s="3" t="s">
        <v>91</v>
      </c>
      <c r="C828" s="3" t="s">
        <v>962</v>
      </c>
      <c r="D828" s="3" t="s">
        <v>2955</v>
      </c>
      <c r="E828" s="3" t="s">
        <v>21</v>
      </c>
      <c r="F828" s="3" t="s">
        <v>2956</v>
      </c>
      <c r="G828" s="3" t="s">
        <v>2957</v>
      </c>
      <c r="H828" s="43">
        <v>45470</v>
      </c>
      <c r="I828" s="43">
        <v>45428</v>
      </c>
      <c r="J828" s="47" t="str">
        <f>IF(GroDB3[[#This Row],[Last_Order_Date]]&lt;=GroDB3[[#This Row],[Date_Received]], "Yes", "No")</f>
        <v>Yes</v>
      </c>
      <c r="K828" s="43">
        <f>IF(GroDB3[[#This Row],[Column1]]="No",GroDB3[[#This Row],[Last_Order_Date]],GroDB3[[#This Row],[Date_Received]])</f>
        <v>45470</v>
      </c>
      <c r="L828" s="43">
        <f>IF(GroDB3[[#This Row],[Column1]]="No",GroDB3[[#This Row],[Date_Received]],GroDB3[[#This Row],[Last_Order_Date]])</f>
        <v>45428</v>
      </c>
      <c r="M828" s="43">
        <v>45574</v>
      </c>
      <c r="N828" s="3">
        <v>93</v>
      </c>
      <c r="O828" s="3">
        <v>50</v>
      </c>
      <c r="P828" s="3">
        <v>43</v>
      </c>
      <c r="Q828" s="4">
        <v>5</v>
      </c>
      <c r="R828" s="3">
        <v>76</v>
      </c>
      <c r="S828" s="3">
        <v>35</v>
      </c>
      <c r="T828" s="7">
        <v>0.3</v>
      </c>
    </row>
    <row r="829" spans="1:20" x14ac:dyDescent="0.35">
      <c r="A829" s="5" t="s">
        <v>59</v>
      </c>
      <c r="B829" s="3" t="s">
        <v>60</v>
      </c>
      <c r="C829" s="3" t="s">
        <v>199</v>
      </c>
      <c r="D829" s="3" t="s">
        <v>2958</v>
      </c>
      <c r="E829" s="3" t="s">
        <v>21</v>
      </c>
      <c r="F829" s="3" t="s">
        <v>2959</v>
      </c>
      <c r="G829" s="3" t="s">
        <v>2960</v>
      </c>
      <c r="H829" s="43">
        <v>45470</v>
      </c>
      <c r="I829" s="43">
        <v>45573</v>
      </c>
      <c r="J829" s="47" t="str">
        <f>IF(GroDB3[[#This Row],[Last_Order_Date]]&lt;=GroDB3[[#This Row],[Date_Received]], "Yes", "No")</f>
        <v>No</v>
      </c>
      <c r="K829" s="43">
        <f>IF(GroDB3[[#This Row],[Column1]]="No",GroDB3[[#This Row],[Last_Order_Date]],GroDB3[[#This Row],[Date_Received]])</f>
        <v>45573</v>
      </c>
      <c r="L829" s="43">
        <f>IF(GroDB3[[#This Row],[Column1]]="No",GroDB3[[#This Row],[Date_Received]],GroDB3[[#This Row],[Last_Order_Date]])</f>
        <v>45470</v>
      </c>
      <c r="M829" s="43">
        <v>45499</v>
      </c>
      <c r="N829" s="3">
        <v>66</v>
      </c>
      <c r="O829" s="3">
        <v>49</v>
      </c>
      <c r="P829" s="3">
        <v>41</v>
      </c>
      <c r="Q829" s="4">
        <v>10</v>
      </c>
      <c r="R829" s="3">
        <v>27</v>
      </c>
      <c r="S829" s="3">
        <v>37</v>
      </c>
      <c r="T829" s="7">
        <v>0.54</v>
      </c>
    </row>
    <row r="830" spans="1:20" x14ac:dyDescent="0.35">
      <c r="A830" s="5" t="s">
        <v>80</v>
      </c>
      <c r="B830" s="3" t="s">
        <v>25</v>
      </c>
      <c r="C830" s="3" t="s">
        <v>1536</v>
      </c>
      <c r="D830" s="3" t="s">
        <v>2961</v>
      </c>
      <c r="E830" s="3" t="s">
        <v>28</v>
      </c>
      <c r="F830" s="3" t="s">
        <v>2962</v>
      </c>
      <c r="G830" s="3" t="s">
        <v>2963</v>
      </c>
      <c r="H830" s="43">
        <v>45472</v>
      </c>
      <c r="I830" s="43">
        <v>45622</v>
      </c>
      <c r="J830" s="47" t="str">
        <f>IF(GroDB3[[#This Row],[Last_Order_Date]]&lt;=GroDB3[[#This Row],[Date_Received]], "Yes", "No")</f>
        <v>No</v>
      </c>
      <c r="K830" s="43">
        <f>IF(GroDB3[[#This Row],[Column1]]="No",GroDB3[[#This Row],[Last_Order_Date]],GroDB3[[#This Row],[Date_Received]])</f>
        <v>45622</v>
      </c>
      <c r="L830" s="43">
        <f>IF(GroDB3[[#This Row],[Column1]]="No",GroDB3[[#This Row],[Date_Received]],GroDB3[[#This Row],[Last_Order_Date]])</f>
        <v>45472</v>
      </c>
      <c r="M830" s="43">
        <v>45639</v>
      </c>
      <c r="N830" s="3">
        <v>10</v>
      </c>
      <c r="O830" s="3">
        <v>86</v>
      </c>
      <c r="P830" s="3">
        <v>23</v>
      </c>
      <c r="Q830" s="4">
        <v>10</v>
      </c>
      <c r="R830" s="3">
        <v>24</v>
      </c>
      <c r="S830" s="3">
        <v>52</v>
      </c>
      <c r="T830" s="7">
        <v>-0.37</v>
      </c>
    </row>
    <row r="831" spans="1:20" x14ac:dyDescent="0.35">
      <c r="A831" s="5" t="s">
        <v>90</v>
      </c>
      <c r="B831" s="3" t="s">
        <v>91</v>
      </c>
      <c r="C831" s="3" t="s">
        <v>2964</v>
      </c>
      <c r="D831" s="3" t="s">
        <v>2965</v>
      </c>
      <c r="E831" s="3" t="s">
        <v>21</v>
      </c>
      <c r="F831" s="3" t="s">
        <v>2966</v>
      </c>
      <c r="G831" s="3" t="s">
        <v>2967</v>
      </c>
      <c r="H831" s="43">
        <v>45472</v>
      </c>
      <c r="I831" s="43">
        <v>45397</v>
      </c>
      <c r="J831" s="47" t="str">
        <f>IF(GroDB3[[#This Row],[Last_Order_Date]]&lt;=GroDB3[[#This Row],[Date_Received]], "Yes", "No")</f>
        <v>Yes</v>
      </c>
      <c r="K831" s="43">
        <f>IF(GroDB3[[#This Row],[Column1]]="No",GroDB3[[#This Row],[Last_Order_Date]],GroDB3[[#This Row],[Date_Received]])</f>
        <v>45472</v>
      </c>
      <c r="L831" s="43">
        <f>IF(GroDB3[[#This Row],[Column1]]="No",GroDB3[[#This Row],[Date_Received]],GroDB3[[#This Row],[Last_Order_Date]])</f>
        <v>45397</v>
      </c>
      <c r="M831" s="43">
        <v>45419</v>
      </c>
      <c r="N831" s="3">
        <v>90</v>
      </c>
      <c r="O831" s="3">
        <v>52</v>
      </c>
      <c r="P831" s="3">
        <v>50</v>
      </c>
      <c r="Q831" s="4">
        <v>4</v>
      </c>
      <c r="R831" s="3">
        <v>63</v>
      </c>
      <c r="S831" s="3">
        <v>14</v>
      </c>
      <c r="T831" s="7">
        <v>-1.17</v>
      </c>
    </row>
    <row r="832" spans="1:20" x14ac:dyDescent="0.35">
      <c r="A832" s="5" t="s">
        <v>2626</v>
      </c>
      <c r="B832" s="3" t="s">
        <v>53</v>
      </c>
      <c r="C832" s="3" t="s">
        <v>540</v>
      </c>
      <c r="D832" s="3" t="s">
        <v>2968</v>
      </c>
      <c r="E832" s="3" t="s">
        <v>28</v>
      </c>
      <c r="F832" s="3" t="s">
        <v>2969</v>
      </c>
      <c r="G832" s="3" t="s">
        <v>2970</v>
      </c>
      <c r="H832" s="43">
        <v>45472</v>
      </c>
      <c r="I832" s="43">
        <v>45710</v>
      </c>
      <c r="J832" s="47" t="str">
        <f>IF(GroDB3[[#This Row],[Last_Order_Date]]&lt;=GroDB3[[#This Row],[Date_Received]], "Yes", "No")</f>
        <v>No</v>
      </c>
      <c r="K832" s="43">
        <f>IF(GroDB3[[#This Row],[Column1]]="No",GroDB3[[#This Row],[Last_Order_Date]],GroDB3[[#This Row],[Date_Received]])</f>
        <v>45710</v>
      </c>
      <c r="L832" s="43">
        <f>IF(GroDB3[[#This Row],[Column1]]="No",GroDB3[[#This Row],[Date_Received]],GroDB3[[#This Row],[Last_Order_Date]])</f>
        <v>45472</v>
      </c>
      <c r="M832" s="43">
        <v>45650</v>
      </c>
      <c r="N832" s="3">
        <v>19</v>
      </c>
      <c r="O832" s="3">
        <v>81</v>
      </c>
      <c r="P832" s="3">
        <v>33</v>
      </c>
      <c r="Q832" s="4">
        <v>1.5</v>
      </c>
      <c r="R832" s="3">
        <v>39</v>
      </c>
      <c r="S832" s="3">
        <v>85</v>
      </c>
      <c r="T832" s="7">
        <v>0.78</v>
      </c>
    </row>
    <row r="833" spans="1:20" x14ac:dyDescent="0.35">
      <c r="A833" s="5" t="s">
        <v>1179</v>
      </c>
      <c r="B833" s="3" t="s">
        <v>91</v>
      </c>
      <c r="C833" s="3" t="s">
        <v>2713</v>
      </c>
      <c r="D833" s="3" t="s">
        <v>2971</v>
      </c>
      <c r="E833" s="3" t="s">
        <v>21</v>
      </c>
      <c r="F833" s="3" t="s">
        <v>2972</v>
      </c>
      <c r="G833" s="3" t="s">
        <v>2973</v>
      </c>
      <c r="H833" s="43">
        <v>45472</v>
      </c>
      <c r="I833" s="43">
        <v>45429</v>
      </c>
      <c r="J833" s="47" t="str">
        <f>IF(GroDB3[[#This Row],[Last_Order_Date]]&lt;=GroDB3[[#This Row],[Date_Received]], "Yes", "No")</f>
        <v>Yes</v>
      </c>
      <c r="K833" s="43">
        <f>IF(GroDB3[[#This Row],[Column1]]="No",GroDB3[[#This Row],[Last_Order_Date]],GroDB3[[#This Row],[Date_Received]])</f>
        <v>45472</v>
      </c>
      <c r="L833" s="43">
        <f>IF(GroDB3[[#This Row],[Column1]]="No",GroDB3[[#This Row],[Date_Received]],GroDB3[[#This Row],[Last_Order_Date]])</f>
        <v>45429</v>
      </c>
      <c r="M833" s="43">
        <v>45594</v>
      </c>
      <c r="N833" s="3">
        <v>72</v>
      </c>
      <c r="O833" s="3">
        <v>20</v>
      </c>
      <c r="P833" s="3">
        <v>71</v>
      </c>
      <c r="Q833" s="4">
        <v>2.5</v>
      </c>
      <c r="R833" s="3">
        <v>87</v>
      </c>
      <c r="S833" s="3">
        <v>68</v>
      </c>
      <c r="T833" s="7">
        <v>-1.18</v>
      </c>
    </row>
    <row r="834" spans="1:20" x14ac:dyDescent="0.35">
      <c r="A834" s="5" t="s">
        <v>137</v>
      </c>
      <c r="B834" s="3" t="s">
        <v>18</v>
      </c>
      <c r="C834" s="3" t="s">
        <v>1160</v>
      </c>
      <c r="D834" s="3" t="s">
        <v>2974</v>
      </c>
      <c r="E834" s="3" t="s">
        <v>56</v>
      </c>
      <c r="F834" s="3" t="s">
        <v>2975</v>
      </c>
      <c r="G834" s="3" t="s">
        <v>2976</v>
      </c>
      <c r="H834" s="43">
        <v>45473</v>
      </c>
      <c r="I834" s="43">
        <v>45553</v>
      </c>
      <c r="J834" s="47" t="str">
        <f>IF(GroDB3[[#This Row],[Last_Order_Date]]&lt;=GroDB3[[#This Row],[Date_Received]], "Yes", "No")</f>
        <v>No</v>
      </c>
      <c r="K834" s="43">
        <f>IF(GroDB3[[#This Row],[Column1]]="No",GroDB3[[#This Row],[Last_Order_Date]],GroDB3[[#This Row],[Date_Received]])</f>
        <v>45553</v>
      </c>
      <c r="L834" s="43">
        <f>IF(GroDB3[[#This Row],[Column1]]="No",GroDB3[[#This Row],[Date_Received]],GroDB3[[#This Row],[Last_Order_Date]])</f>
        <v>45473</v>
      </c>
      <c r="M834" s="43">
        <v>45646</v>
      </c>
      <c r="N834" s="3">
        <v>60</v>
      </c>
      <c r="O834" s="3">
        <v>36</v>
      </c>
      <c r="P834" s="3">
        <v>28</v>
      </c>
      <c r="Q834" s="4">
        <v>4.5</v>
      </c>
      <c r="R834" s="3">
        <v>26</v>
      </c>
      <c r="S834" s="3">
        <v>29</v>
      </c>
      <c r="T834" s="7">
        <v>0.22</v>
      </c>
    </row>
    <row r="835" spans="1:20" x14ac:dyDescent="0.35">
      <c r="A835" s="5" t="s">
        <v>947</v>
      </c>
      <c r="B835" s="3" t="s">
        <v>18</v>
      </c>
      <c r="C835" s="3" t="s">
        <v>2233</v>
      </c>
      <c r="D835" s="3" t="s">
        <v>2977</v>
      </c>
      <c r="E835" s="3" t="s">
        <v>21</v>
      </c>
      <c r="F835" s="3" t="s">
        <v>2978</v>
      </c>
      <c r="G835" s="3" t="s">
        <v>2979</v>
      </c>
      <c r="H835" s="43">
        <v>45473</v>
      </c>
      <c r="I835" s="43">
        <v>45377</v>
      </c>
      <c r="J835" s="47" t="str">
        <f>IF(GroDB3[[#This Row],[Last_Order_Date]]&lt;=GroDB3[[#This Row],[Date_Received]], "Yes", "No")</f>
        <v>Yes</v>
      </c>
      <c r="K835" s="43">
        <f>IF(GroDB3[[#This Row],[Column1]]="No",GroDB3[[#This Row],[Last_Order_Date]],GroDB3[[#This Row],[Date_Received]])</f>
        <v>45473</v>
      </c>
      <c r="L835" s="43">
        <f>IF(GroDB3[[#This Row],[Column1]]="No",GroDB3[[#This Row],[Date_Received]],GroDB3[[#This Row],[Last_Order_Date]])</f>
        <v>45377</v>
      </c>
      <c r="M835" s="43">
        <v>45523</v>
      </c>
      <c r="N835" s="3">
        <v>26</v>
      </c>
      <c r="O835" s="3">
        <v>16</v>
      </c>
      <c r="P835" s="3">
        <v>69</v>
      </c>
      <c r="Q835" s="4">
        <v>1.2</v>
      </c>
      <c r="R835" s="3">
        <v>64</v>
      </c>
      <c r="S835" s="3">
        <v>79</v>
      </c>
      <c r="T835" s="7">
        <v>-0.12</v>
      </c>
    </row>
    <row r="836" spans="1:20" x14ac:dyDescent="0.35">
      <c r="A836" s="5" t="s">
        <v>239</v>
      </c>
      <c r="B836" s="3" t="s">
        <v>25</v>
      </c>
      <c r="C836" s="3" t="s">
        <v>2980</v>
      </c>
      <c r="D836" s="3" t="s">
        <v>2981</v>
      </c>
      <c r="E836" s="3" t="s">
        <v>28</v>
      </c>
      <c r="F836" s="3" t="s">
        <v>2982</v>
      </c>
      <c r="G836" s="3" t="s">
        <v>2983</v>
      </c>
      <c r="H836" s="43">
        <v>45473</v>
      </c>
      <c r="I836" s="43">
        <v>45497</v>
      </c>
      <c r="J836" s="47" t="str">
        <f>IF(GroDB3[[#This Row],[Last_Order_Date]]&lt;=GroDB3[[#This Row],[Date_Received]], "Yes", "No")</f>
        <v>No</v>
      </c>
      <c r="K836" s="43">
        <f>IF(GroDB3[[#This Row],[Column1]]="No",GroDB3[[#This Row],[Last_Order_Date]],GroDB3[[#This Row],[Date_Received]])</f>
        <v>45497</v>
      </c>
      <c r="L836" s="43">
        <f>IF(GroDB3[[#This Row],[Column1]]="No",GroDB3[[#This Row],[Date_Received]],GroDB3[[#This Row],[Last_Order_Date]])</f>
        <v>45473</v>
      </c>
      <c r="M836" s="43">
        <v>45491</v>
      </c>
      <c r="N836" s="3">
        <v>85</v>
      </c>
      <c r="O836" s="3">
        <v>86</v>
      </c>
      <c r="P836" s="3">
        <v>21</v>
      </c>
      <c r="Q836" s="4">
        <v>6.5</v>
      </c>
      <c r="R836" s="3">
        <v>78</v>
      </c>
      <c r="S836" s="3">
        <v>53</v>
      </c>
      <c r="T836" s="7">
        <v>-0.23</v>
      </c>
    </row>
    <row r="837" spans="1:20" x14ac:dyDescent="0.35">
      <c r="A837" s="5" t="s">
        <v>17</v>
      </c>
      <c r="B837" s="3" t="s">
        <v>18</v>
      </c>
      <c r="C837" s="3" t="s">
        <v>2984</v>
      </c>
      <c r="D837" s="3" t="s">
        <v>2985</v>
      </c>
      <c r="E837" s="3" t="s">
        <v>28</v>
      </c>
      <c r="F837" s="3" t="s">
        <v>2986</v>
      </c>
      <c r="G837" s="3" t="s">
        <v>2987</v>
      </c>
      <c r="H837" s="43">
        <v>45473</v>
      </c>
      <c r="I837" s="43">
        <v>45710</v>
      </c>
      <c r="J837" s="47" t="str">
        <f>IF(GroDB3[[#This Row],[Last_Order_Date]]&lt;=GroDB3[[#This Row],[Date_Received]], "Yes", "No")</f>
        <v>No</v>
      </c>
      <c r="K837" s="43">
        <f>IF(GroDB3[[#This Row],[Column1]]="No",GroDB3[[#This Row],[Last_Order_Date]],GroDB3[[#This Row],[Date_Received]])</f>
        <v>45710</v>
      </c>
      <c r="L837" s="43">
        <f>IF(GroDB3[[#This Row],[Column1]]="No",GroDB3[[#This Row],[Date_Received]],GroDB3[[#This Row],[Last_Order_Date]])</f>
        <v>45473</v>
      </c>
      <c r="M837" s="43">
        <v>45670</v>
      </c>
      <c r="N837" s="3">
        <v>90</v>
      </c>
      <c r="O837" s="3">
        <v>22</v>
      </c>
      <c r="P837" s="3">
        <v>20</v>
      </c>
      <c r="Q837" s="4">
        <v>4.5</v>
      </c>
      <c r="R837" s="3">
        <v>81</v>
      </c>
      <c r="S837" s="3">
        <v>88</v>
      </c>
      <c r="T837" s="7">
        <v>0.32</v>
      </c>
    </row>
    <row r="838" spans="1:20" x14ac:dyDescent="0.35">
      <c r="A838" s="5" t="s">
        <v>517</v>
      </c>
      <c r="B838" s="3" t="s">
        <v>127</v>
      </c>
      <c r="C838" s="3" t="s">
        <v>2504</v>
      </c>
      <c r="D838" s="3" t="s">
        <v>2988</v>
      </c>
      <c r="E838" s="3" t="s">
        <v>21</v>
      </c>
      <c r="F838" s="3" t="s">
        <v>2989</v>
      </c>
      <c r="G838" s="3" t="s">
        <v>2990</v>
      </c>
      <c r="H838" s="43">
        <v>45473</v>
      </c>
      <c r="I838" s="43">
        <v>45509</v>
      </c>
      <c r="J838" s="47" t="str">
        <f>IF(GroDB3[[#This Row],[Last_Order_Date]]&lt;=GroDB3[[#This Row],[Date_Received]], "Yes", "No")</f>
        <v>No</v>
      </c>
      <c r="K838" s="43">
        <f>IF(GroDB3[[#This Row],[Column1]]="No",GroDB3[[#This Row],[Last_Order_Date]],GroDB3[[#This Row],[Date_Received]])</f>
        <v>45509</v>
      </c>
      <c r="L838" s="43">
        <f>IF(GroDB3[[#This Row],[Column1]]="No",GroDB3[[#This Row],[Date_Received]],GroDB3[[#This Row],[Last_Order_Date]])</f>
        <v>45473</v>
      </c>
      <c r="M838" s="43">
        <v>45665</v>
      </c>
      <c r="N838" s="3">
        <v>35</v>
      </c>
      <c r="O838" s="3">
        <v>20</v>
      </c>
      <c r="P838" s="3">
        <v>42</v>
      </c>
      <c r="Q838" s="4">
        <v>25.25</v>
      </c>
      <c r="R838" s="3">
        <v>53</v>
      </c>
      <c r="S838" s="3">
        <v>56</v>
      </c>
      <c r="T838" s="7">
        <v>-0.09</v>
      </c>
    </row>
    <row r="839" spans="1:20" x14ac:dyDescent="0.35">
      <c r="A839" s="5" t="s">
        <v>1016</v>
      </c>
      <c r="B839" s="3" t="s">
        <v>25</v>
      </c>
      <c r="C839" s="3" t="s">
        <v>922</v>
      </c>
      <c r="D839" s="3" t="s">
        <v>2991</v>
      </c>
      <c r="E839" s="3" t="s">
        <v>56</v>
      </c>
      <c r="F839" s="3" t="s">
        <v>2992</v>
      </c>
      <c r="G839" s="3" t="s">
        <v>2993</v>
      </c>
      <c r="H839" s="43">
        <v>45473</v>
      </c>
      <c r="I839" s="43">
        <v>45382</v>
      </c>
      <c r="J839" s="47" t="str">
        <f>IF(GroDB3[[#This Row],[Last_Order_Date]]&lt;=GroDB3[[#This Row],[Date_Received]], "Yes", "No")</f>
        <v>Yes</v>
      </c>
      <c r="K839" s="43">
        <f>IF(GroDB3[[#This Row],[Column1]]="No",GroDB3[[#This Row],[Last_Order_Date]],GroDB3[[#This Row],[Date_Received]])</f>
        <v>45473</v>
      </c>
      <c r="L839" s="43">
        <f>IF(GroDB3[[#This Row],[Column1]]="No",GroDB3[[#This Row],[Date_Received]],GroDB3[[#This Row],[Last_Order_Date]])</f>
        <v>45382</v>
      </c>
      <c r="M839" s="43">
        <v>45530</v>
      </c>
      <c r="N839" s="3">
        <v>50</v>
      </c>
      <c r="O839" s="3">
        <v>40</v>
      </c>
      <c r="P839" s="3">
        <v>69</v>
      </c>
      <c r="Q839" s="4">
        <v>2.5</v>
      </c>
      <c r="R839" s="3">
        <v>28</v>
      </c>
      <c r="S839" s="3">
        <v>98</v>
      </c>
      <c r="T839" s="7">
        <v>-0.06</v>
      </c>
    </row>
    <row r="840" spans="1:20" x14ac:dyDescent="0.35">
      <c r="A840" s="5" t="s">
        <v>42</v>
      </c>
      <c r="B840" s="3" t="s">
        <v>18</v>
      </c>
      <c r="C840" s="3" t="s">
        <v>2994</v>
      </c>
      <c r="D840" s="3" t="s">
        <v>2995</v>
      </c>
      <c r="E840" s="3" t="s">
        <v>56</v>
      </c>
      <c r="F840" s="3" t="s">
        <v>2996</v>
      </c>
      <c r="G840" s="3" t="s">
        <v>2997</v>
      </c>
      <c r="H840" s="43">
        <v>45486</v>
      </c>
      <c r="I840" s="43">
        <v>45567</v>
      </c>
      <c r="J840" s="47" t="str">
        <f>IF(GroDB3[[#This Row],[Last_Order_Date]]&lt;=GroDB3[[#This Row],[Date_Received]], "Yes", "No")</f>
        <v>No</v>
      </c>
      <c r="K840" s="43">
        <f>IF(GroDB3[[#This Row],[Column1]]="No",GroDB3[[#This Row],[Last_Order_Date]],GroDB3[[#This Row],[Date_Received]])</f>
        <v>45567</v>
      </c>
      <c r="L840" s="43">
        <f>IF(GroDB3[[#This Row],[Column1]]="No",GroDB3[[#This Row],[Date_Received]],GroDB3[[#This Row],[Last_Order_Date]])</f>
        <v>45486</v>
      </c>
      <c r="M840" s="43">
        <v>45645</v>
      </c>
      <c r="N840" s="3">
        <v>43</v>
      </c>
      <c r="O840" s="3">
        <v>40</v>
      </c>
      <c r="P840" s="3">
        <v>30</v>
      </c>
      <c r="Q840" s="4">
        <v>7</v>
      </c>
      <c r="R840" s="3">
        <v>95</v>
      </c>
      <c r="S840" s="3">
        <v>26</v>
      </c>
      <c r="T840" s="7">
        <v>-2.5</v>
      </c>
    </row>
    <row r="841" spans="1:20" x14ac:dyDescent="0.35">
      <c r="A841" s="5" t="s">
        <v>392</v>
      </c>
      <c r="B841" s="3" t="s">
        <v>18</v>
      </c>
      <c r="C841" s="3" t="s">
        <v>1311</v>
      </c>
      <c r="D841" s="3" t="s">
        <v>2998</v>
      </c>
      <c r="E841" s="3" t="s">
        <v>21</v>
      </c>
      <c r="F841" s="3" t="s">
        <v>2999</v>
      </c>
      <c r="G841" s="3" t="s">
        <v>3000</v>
      </c>
      <c r="H841" s="43">
        <v>45486</v>
      </c>
      <c r="I841" s="43">
        <v>45347</v>
      </c>
      <c r="J841" s="47" t="str">
        <f>IF(GroDB3[[#This Row],[Last_Order_Date]]&lt;=GroDB3[[#This Row],[Date_Received]], "Yes", "No")</f>
        <v>Yes</v>
      </c>
      <c r="K841" s="43">
        <f>IF(GroDB3[[#This Row],[Column1]]="No",GroDB3[[#This Row],[Last_Order_Date]],GroDB3[[#This Row],[Date_Received]])</f>
        <v>45486</v>
      </c>
      <c r="L841" s="43">
        <f>IF(GroDB3[[#This Row],[Column1]]="No",GroDB3[[#This Row],[Date_Received]],GroDB3[[#This Row],[Last_Order_Date]])</f>
        <v>45347</v>
      </c>
      <c r="M841" s="43">
        <v>45543</v>
      </c>
      <c r="N841" s="3">
        <v>99</v>
      </c>
      <c r="O841" s="3">
        <v>68</v>
      </c>
      <c r="P841" s="3">
        <v>1</v>
      </c>
      <c r="Q841" s="4">
        <v>5.5</v>
      </c>
      <c r="R841" s="3">
        <v>59</v>
      </c>
      <c r="S841" s="3">
        <v>16</v>
      </c>
      <c r="T841" s="7">
        <v>0.73</v>
      </c>
    </row>
    <row r="842" spans="1:20" x14ac:dyDescent="0.35">
      <c r="A842" s="5" t="s">
        <v>31</v>
      </c>
      <c r="B842" s="3" t="s">
        <v>32</v>
      </c>
      <c r="C842" s="3" t="s">
        <v>1578</v>
      </c>
      <c r="D842" s="3" t="s">
        <v>3001</v>
      </c>
      <c r="E842" s="3" t="s">
        <v>56</v>
      </c>
      <c r="F842" s="3" t="s">
        <v>3002</v>
      </c>
      <c r="G842" s="3" t="s">
        <v>3003</v>
      </c>
      <c r="H842" s="43">
        <v>45487</v>
      </c>
      <c r="I842" s="43">
        <v>45631</v>
      </c>
      <c r="J842" s="47" t="str">
        <f>IF(GroDB3[[#This Row],[Last_Order_Date]]&lt;=GroDB3[[#This Row],[Date_Received]], "Yes", "No")</f>
        <v>No</v>
      </c>
      <c r="K842" s="43">
        <f>IF(GroDB3[[#This Row],[Column1]]="No",GroDB3[[#This Row],[Last_Order_Date]],GroDB3[[#This Row],[Date_Received]])</f>
        <v>45631</v>
      </c>
      <c r="L842" s="43">
        <f>IF(GroDB3[[#This Row],[Column1]]="No",GroDB3[[#This Row],[Date_Received]],GroDB3[[#This Row],[Last_Order_Date]])</f>
        <v>45487</v>
      </c>
      <c r="M842" s="43">
        <v>45677</v>
      </c>
      <c r="N842" s="3">
        <v>99</v>
      </c>
      <c r="O842" s="3">
        <v>10</v>
      </c>
      <c r="P842" s="3">
        <v>88</v>
      </c>
      <c r="Q842" s="4">
        <v>12</v>
      </c>
      <c r="R842" s="3">
        <v>69</v>
      </c>
      <c r="S842" s="3">
        <v>98</v>
      </c>
      <c r="T842" s="7">
        <v>0.73</v>
      </c>
    </row>
    <row r="843" spans="1:20" x14ac:dyDescent="0.35">
      <c r="A843" s="5" t="s">
        <v>1624</v>
      </c>
      <c r="B843" s="3" t="s">
        <v>60</v>
      </c>
      <c r="C843" s="3" t="s">
        <v>740</v>
      </c>
      <c r="D843" s="3" t="s">
        <v>3004</v>
      </c>
      <c r="E843" s="3" t="s">
        <v>21</v>
      </c>
      <c r="F843" s="3" t="s">
        <v>3005</v>
      </c>
      <c r="G843" s="3" t="s">
        <v>3006</v>
      </c>
      <c r="H843" s="43">
        <v>45487</v>
      </c>
      <c r="I843" s="43">
        <v>45530</v>
      </c>
      <c r="J843" s="47" t="str">
        <f>IF(GroDB3[[#This Row],[Last_Order_Date]]&lt;=GroDB3[[#This Row],[Date_Received]], "Yes", "No")</f>
        <v>No</v>
      </c>
      <c r="K843" s="43">
        <f>IF(GroDB3[[#This Row],[Column1]]="No",GroDB3[[#This Row],[Last_Order_Date]],GroDB3[[#This Row],[Date_Received]])</f>
        <v>45530</v>
      </c>
      <c r="L843" s="43">
        <f>IF(GroDB3[[#This Row],[Column1]]="No",GroDB3[[#This Row],[Date_Received]],GroDB3[[#This Row],[Last_Order_Date]])</f>
        <v>45487</v>
      </c>
      <c r="M843" s="43">
        <v>45478</v>
      </c>
      <c r="N843" s="3">
        <v>45</v>
      </c>
      <c r="O843" s="3">
        <v>56</v>
      </c>
      <c r="P843" s="3">
        <v>64</v>
      </c>
      <c r="Q843" s="4">
        <v>7.5</v>
      </c>
      <c r="R843" s="3">
        <v>35</v>
      </c>
      <c r="S843" s="3">
        <v>82</v>
      </c>
      <c r="T843" s="7">
        <v>-0.42</v>
      </c>
    </row>
    <row r="844" spans="1:20" x14ac:dyDescent="0.35">
      <c r="A844" s="5" t="s">
        <v>554</v>
      </c>
      <c r="B844" s="3" t="s">
        <v>53</v>
      </c>
      <c r="C844" s="3" t="s">
        <v>1365</v>
      </c>
      <c r="D844" s="3" t="s">
        <v>3007</v>
      </c>
      <c r="E844" s="3" t="s">
        <v>21</v>
      </c>
      <c r="F844" s="3" t="s">
        <v>3008</v>
      </c>
      <c r="G844" s="3" t="s">
        <v>3009</v>
      </c>
      <c r="H844" s="43">
        <v>45487</v>
      </c>
      <c r="I844" s="43">
        <v>45369</v>
      </c>
      <c r="J844" s="47" t="str">
        <f>IF(GroDB3[[#This Row],[Last_Order_Date]]&lt;=GroDB3[[#This Row],[Date_Received]], "Yes", "No")</f>
        <v>Yes</v>
      </c>
      <c r="K844" s="43">
        <f>IF(GroDB3[[#This Row],[Column1]]="No",GroDB3[[#This Row],[Last_Order_Date]],GroDB3[[#This Row],[Date_Received]])</f>
        <v>45487</v>
      </c>
      <c r="L844" s="43">
        <f>IF(GroDB3[[#This Row],[Column1]]="No",GroDB3[[#This Row],[Date_Received]],GroDB3[[#This Row],[Last_Order_Date]])</f>
        <v>45369</v>
      </c>
      <c r="M844" s="43">
        <v>45448</v>
      </c>
      <c r="N844" s="3">
        <v>44</v>
      </c>
      <c r="O844" s="3">
        <v>67</v>
      </c>
      <c r="P844" s="3">
        <v>31</v>
      </c>
      <c r="Q844" s="4">
        <v>2.5</v>
      </c>
      <c r="R844" s="3">
        <v>44</v>
      </c>
      <c r="S844" s="3">
        <v>72</v>
      </c>
      <c r="T844" s="7">
        <v>-1.34</v>
      </c>
    </row>
    <row r="845" spans="1:20" x14ac:dyDescent="0.35">
      <c r="A845" s="5" t="s">
        <v>342</v>
      </c>
      <c r="B845" s="3" t="s">
        <v>18</v>
      </c>
      <c r="C845" s="3" t="s">
        <v>2652</v>
      </c>
      <c r="D845" s="3" t="s">
        <v>3010</v>
      </c>
      <c r="E845" s="3" t="s">
        <v>28</v>
      </c>
      <c r="F845" s="3" t="s">
        <v>3011</v>
      </c>
      <c r="G845" s="3" t="s">
        <v>3012</v>
      </c>
      <c r="H845" s="43">
        <v>45488</v>
      </c>
      <c r="I845" s="43">
        <v>45612</v>
      </c>
      <c r="J845" s="47" t="str">
        <f>IF(GroDB3[[#This Row],[Last_Order_Date]]&lt;=GroDB3[[#This Row],[Date_Received]], "Yes", "No")</f>
        <v>No</v>
      </c>
      <c r="K845" s="43">
        <f>IF(GroDB3[[#This Row],[Column1]]="No",GroDB3[[#This Row],[Last_Order_Date]],GroDB3[[#This Row],[Date_Received]])</f>
        <v>45612</v>
      </c>
      <c r="L845" s="43">
        <f>IF(GroDB3[[#This Row],[Column1]]="No",GroDB3[[#This Row],[Date_Received]],GroDB3[[#This Row],[Last_Order_Date]])</f>
        <v>45488</v>
      </c>
      <c r="M845" s="43">
        <v>45448</v>
      </c>
      <c r="N845" s="3">
        <v>62</v>
      </c>
      <c r="O845" s="3">
        <v>40</v>
      </c>
      <c r="P845" s="3">
        <v>86</v>
      </c>
      <c r="Q845" s="4">
        <v>6</v>
      </c>
      <c r="R845" s="3">
        <v>45</v>
      </c>
      <c r="S845" s="3">
        <v>86</v>
      </c>
      <c r="T845" s="7">
        <v>-0.64</v>
      </c>
    </row>
    <row r="846" spans="1:20" x14ac:dyDescent="0.35">
      <c r="A846" s="5" t="s">
        <v>736</v>
      </c>
      <c r="B846" s="3" t="s">
        <v>91</v>
      </c>
      <c r="C846" s="3" t="s">
        <v>2856</v>
      </c>
      <c r="D846" s="3" t="s">
        <v>3013</v>
      </c>
      <c r="E846" s="3" t="s">
        <v>28</v>
      </c>
      <c r="F846" s="3" t="s">
        <v>3014</v>
      </c>
      <c r="G846" s="3" t="s">
        <v>3015</v>
      </c>
      <c r="H846" s="43">
        <v>45489</v>
      </c>
      <c r="I846" s="43">
        <v>45525</v>
      </c>
      <c r="J846" s="47" t="str">
        <f>IF(GroDB3[[#This Row],[Last_Order_Date]]&lt;=GroDB3[[#This Row],[Date_Received]], "Yes", "No")</f>
        <v>No</v>
      </c>
      <c r="K846" s="43">
        <f>IF(GroDB3[[#This Row],[Column1]]="No",GroDB3[[#This Row],[Last_Order_Date]],GroDB3[[#This Row],[Date_Received]])</f>
        <v>45525</v>
      </c>
      <c r="L846" s="43">
        <f>IF(GroDB3[[#This Row],[Column1]]="No",GroDB3[[#This Row],[Date_Received]],GroDB3[[#This Row],[Last_Order_Date]])</f>
        <v>45489</v>
      </c>
      <c r="M846" s="43">
        <v>45695</v>
      </c>
      <c r="N846" s="3">
        <v>16</v>
      </c>
      <c r="O846" s="3">
        <v>9</v>
      </c>
      <c r="P846" s="3">
        <v>32</v>
      </c>
      <c r="Q846" s="4">
        <v>5</v>
      </c>
      <c r="R846" s="3">
        <v>50</v>
      </c>
      <c r="S846" s="3">
        <v>98</v>
      </c>
      <c r="T846" s="7">
        <v>-0.91</v>
      </c>
    </row>
    <row r="847" spans="1:20" x14ac:dyDescent="0.35">
      <c r="A847" s="5" t="s">
        <v>438</v>
      </c>
      <c r="B847" s="3" t="s">
        <v>18</v>
      </c>
      <c r="C847" s="3" t="s">
        <v>808</v>
      </c>
      <c r="D847" s="3" t="s">
        <v>3016</v>
      </c>
      <c r="E847" s="3" t="s">
        <v>21</v>
      </c>
      <c r="F847" s="3" t="s">
        <v>3017</v>
      </c>
      <c r="G847" s="3" t="s">
        <v>3018</v>
      </c>
      <c r="H847" s="43">
        <v>45489</v>
      </c>
      <c r="I847" s="43">
        <v>45486</v>
      </c>
      <c r="J847" s="47" t="str">
        <f>IF(GroDB3[[#This Row],[Last_Order_Date]]&lt;=GroDB3[[#This Row],[Date_Received]], "Yes", "No")</f>
        <v>Yes</v>
      </c>
      <c r="K847" s="43">
        <f>IF(GroDB3[[#This Row],[Column1]]="No",GroDB3[[#This Row],[Last_Order_Date]],GroDB3[[#This Row],[Date_Received]])</f>
        <v>45489</v>
      </c>
      <c r="L847" s="43">
        <f>IF(GroDB3[[#This Row],[Column1]]="No",GroDB3[[#This Row],[Date_Received]],GroDB3[[#This Row],[Last_Order_Date]])</f>
        <v>45486</v>
      </c>
      <c r="M847" s="43">
        <v>45514</v>
      </c>
      <c r="N847" s="3">
        <v>99</v>
      </c>
      <c r="O847" s="3">
        <v>8</v>
      </c>
      <c r="P847" s="3">
        <v>27</v>
      </c>
      <c r="Q847" s="4">
        <v>5</v>
      </c>
      <c r="R847" s="3">
        <v>41</v>
      </c>
      <c r="S847" s="3">
        <v>50</v>
      </c>
      <c r="T847" s="7">
        <v>-0.96</v>
      </c>
    </row>
    <row r="848" spans="1:20" x14ac:dyDescent="0.35">
      <c r="A848" s="5" t="s">
        <v>175</v>
      </c>
      <c r="B848" s="3" t="s">
        <v>53</v>
      </c>
      <c r="C848" s="3" t="s">
        <v>2455</v>
      </c>
      <c r="D848" s="3" t="s">
        <v>3019</v>
      </c>
      <c r="E848" s="3" t="s">
        <v>28</v>
      </c>
      <c r="F848" s="3" t="s">
        <v>3020</v>
      </c>
      <c r="G848" s="3" t="s">
        <v>3021</v>
      </c>
      <c r="H848" s="43">
        <v>45490</v>
      </c>
      <c r="I848" s="43">
        <v>45605</v>
      </c>
      <c r="J848" s="47" t="str">
        <f>IF(GroDB3[[#This Row],[Last_Order_Date]]&lt;=GroDB3[[#This Row],[Date_Received]], "Yes", "No")</f>
        <v>No</v>
      </c>
      <c r="K848" s="43">
        <f>IF(GroDB3[[#This Row],[Column1]]="No",GroDB3[[#This Row],[Last_Order_Date]],GroDB3[[#This Row],[Date_Received]])</f>
        <v>45605</v>
      </c>
      <c r="L848" s="43">
        <f>IF(GroDB3[[#This Row],[Column1]]="No",GroDB3[[#This Row],[Date_Received]],GroDB3[[#This Row],[Last_Order_Date]])</f>
        <v>45490</v>
      </c>
      <c r="M848" s="43">
        <v>45677</v>
      </c>
      <c r="N848" s="3">
        <v>71</v>
      </c>
      <c r="O848" s="3">
        <v>77</v>
      </c>
      <c r="P848" s="3">
        <v>30</v>
      </c>
      <c r="Q848" s="4">
        <v>1.5</v>
      </c>
      <c r="R848" s="3">
        <v>34</v>
      </c>
      <c r="S848" s="3">
        <v>57</v>
      </c>
      <c r="T848" s="7">
        <v>-0.22</v>
      </c>
    </row>
    <row r="849" spans="1:20" x14ac:dyDescent="0.35">
      <c r="A849" s="5" t="s">
        <v>180</v>
      </c>
      <c r="B849" s="3" t="s">
        <v>18</v>
      </c>
      <c r="C849" s="3" t="s">
        <v>2856</v>
      </c>
      <c r="D849" s="3" t="s">
        <v>3022</v>
      </c>
      <c r="E849" s="3" t="s">
        <v>28</v>
      </c>
      <c r="F849" s="3" t="s">
        <v>3023</v>
      </c>
      <c r="G849" s="3" t="s">
        <v>3024</v>
      </c>
      <c r="H849" s="43">
        <v>45491</v>
      </c>
      <c r="I849" s="43">
        <v>45673</v>
      </c>
      <c r="J849" s="47" t="str">
        <f>IF(GroDB3[[#This Row],[Last_Order_Date]]&lt;=GroDB3[[#This Row],[Date_Received]], "Yes", "No")</f>
        <v>No</v>
      </c>
      <c r="K849" s="43">
        <f>IF(GroDB3[[#This Row],[Column1]]="No",GroDB3[[#This Row],[Last_Order_Date]],GroDB3[[#This Row],[Date_Received]])</f>
        <v>45673</v>
      </c>
      <c r="L849" s="43">
        <f>IF(GroDB3[[#This Row],[Column1]]="No",GroDB3[[#This Row],[Date_Received]],GroDB3[[#This Row],[Last_Order_Date]])</f>
        <v>45491</v>
      </c>
      <c r="M849" s="43">
        <v>45467</v>
      </c>
      <c r="N849" s="3">
        <v>13</v>
      </c>
      <c r="O849" s="3">
        <v>60</v>
      </c>
      <c r="P849" s="3">
        <v>100</v>
      </c>
      <c r="Q849" s="4">
        <v>1.8</v>
      </c>
      <c r="R849" s="3">
        <v>44</v>
      </c>
      <c r="S849" s="3">
        <v>32</v>
      </c>
      <c r="T849" s="7">
        <v>-0.68</v>
      </c>
    </row>
    <row r="850" spans="1:20" x14ac:dyDescent="0.35">
      <c r="A850" s="5" t="s">
        <v>188</v>
      </c>
      <c r="B850" s="3" t="s">
        <v>32</v>
      </c>
      <c r="C850" s="3" t="s">
        <v>3025</v>
      </c>
      <c r="D850" s="3" t="s">
        <v>3026</v>
      </c>
      <c r="E850" s="3" t="s">
        <v>21</v>
      </c>
      <c r="F850" s="3" t="s">
        <v>3027</v>
      </c>
      <c r="G850" s="3" t="s">
        <v>3028</v>
      </c>
      <c r="H850" s="43">
        <v>45492</v>
      </c>
      <c r="I850" s="43">
        <v>45691</v>
      </c>
      <c r="J850" s="47" t="str">
        <f>IF(GroDB3[[#This Row],[Last_Order_Date]]&lt;=GroDB3[[#This Row],[Date_Received]], "Yes", "No")</f>
        <v>No</v>
      </c>
      <c r="K850" s="43">
        <f>IF(GroDB3[[#This Row],[Column1]]="No",GroDB3[[#This Row],[Last_Order_Date]],GroDB3[[#This Row],[Date_Received]])</f>
        <v>45691</v>
      </c>
      <c r="L850" s="43">
        <f>IF(GroDB3[[#This Row],[Column1]]="No",GroDB3[[#This Row],[Date_Received]],GroDB3[[#This Row],[Last_Order_Date]])</f>
        <v>45492</v>
      </c>
      <c r="M850" s="43">
        <v>45649</v>
      </c>
      <c r="N850" s="3">
        <v>43</v>
      </c>
      <c r="O850" s="3">
        <v>88</v>
      </c>
      <c r="P850" s="3">
        <v>33</v>
      </c>
      <c r="Q850" s="4">
        <v>1</v>
      </c>
      <c r="R850" s="3">
        <v>84</v>
      </c>
      <c r="S850" s="3">
        <v>75</v>
      </c>
      <c r="T850" s="7">
        <v>0.27</v>
      </c>
    </row>
    <row r="851" spans="1:20" x14ac:dyDescent="0.35">
      <c r="A851" s="5" t="s">
        <v>1117</v>
      </c>
      <c r="B851" s="3" t="s">
        <v>91</v>
      </c>
      <c r="C851" s="3" t="s">
        <v>199</v>
      </c>
      <c r="D851" s="3" t="s">
        <v>3029</v>
      </c>
      <c r="E851" s="3" t="s">
        <v>56</v>
      </c>
      <c r="F851" s="3" t="s">
        <v>3030</v>
      </c>
      <c r="G851" s="3" t="s">
        <v>3031</v>
      </c>
      <c r="H851" s="43">
        <v>45492</v>
      </c>
      <c r="I851" s="43">
        <v>45494</v>
      </c>
      <c r="J851" s="47" t="str">
        <f>IF(GroDB3[[#This Row],[Last_Order_Date]]&lt;=GroDB3[[#This Row],[Date_Received]], "Yes", "No")</f>
        <v>No</v>
      </c>
      <c r="K851" s="43">
        <f>IF(GroDB3[[#This Row],[Column1]]="No",GroDB3[[#This Row],[Last_Order_Date]],GroDB3[[#This Row],[Date_Received]])</f>
        <v>45494</v>
      </c>
      <c r="L851" s="43">
        <f>IF(GroDB3[[#This Row],[Column1]]="No",GroDB3[[#This Row],[Date_Received]],GroDB3[[#This Row],[Last_Order_Date]])</f>
        <v>45492</v>
      </c>
      <c r="M851" s="43">
        <v>45609</v>
      </c>
      <c r="N851" s="3">
        <v>22</v>
      </c>
      <c r="O851" s="3">
        <v>24</v>
      </c>
      <c r="P851" s="3">
        <v>94</v>
      </c>
      <c r="Q851" s="4">
        <v>6</v>
      </c>
      <c r="R851" s="3">
        <v>47</v>
      </c>
      <c r="S851" s="3">
        <v>71</v>
      </c>
      <c r="T851" s="7">
        <v>0.11</v>
      </c>
    </row>
    <row r="852" spans="1:20" x14ac:dyDescent="0.35">
      <c r="A852" s="5" t="s">
        <v>582</v>
      </c>
      <c r="B852" s="3" t="s">
        <v>32</v>
      </c>
      <c r="C852" s="3" t="s">
        <v>360</v>
      </c>
      <c r="D852" s="3" t="s">
        <v>3032</v>
      </c>
      <c r="E852" s="3" t="s">
        <v>21</v>
      </c>
      <c r="F852" s="3" t="s">
        <v>3033</v>
      </c>
      <c r="G852" s="3" t="s">
        <v>3034</v>
      </c>
      <c r="H852" s="43">
        <v>45492</v>
      </c>
      <c r="I852" s="43">
        <v>45527</v>
      </c>
      <c r="J852" s="47" t="str">
        <f>IF(GroDB3[[#This Row],[Last_Order_Date]]&lt;=GroDB3[[#This Row],[Date_Received]], "Yes", "No")</f>
        <v>No</v>
      </c>
      <c r="K852" s="43">
        <f>IF(GroDB3[[#This Row],[Column1]]="No",GroDB3[[#This Row],[Last_Order_Date]],GroDB3[[#This Row],[Date_Received]])</f>
        <v>45527</v>
      </c>
      <c r="L852" s="43">
        <f>IF(GroDB3[[#This Row],[Column1]]="No",GroDB3[[#This Row],[Date_Received]],GroDB3[[#This Row],[Last_Order_Date]])</f>
        <v>45492</v>
      </c>
      <c r="M852" s="43">
        <v>45427</v>
      </c>
      <c r="N852" s="3">
        <v>29</v>
      </c>
      <c r="O852" s="3">
        <v>33</v>
      </c>
      <c r="P852" s="3">
        <v>88</v>
      </c>
      <c r="Q852" s="4">
        <v>0.8</v>
      </c>
      <c r="R852" s="3">
        <v>50</v>
      </c>
      <c r="S852" s="3">
        <v>35</v>
      </c>
      <c r="T852" s="7">
        <v>-0.51</v>
      </c>
    </row>
    <row r="853" spans="1:20" x14ac:dyDescent="0.35">
      <c r="A853" s="5" t="s">
        <v>446</v>
      </c>
      <c r="B853" s="3" t="s">
        <v>53</v>
      </c>
      <c r="C853" s="3" t="s">
        <v>3035</v>
      </c>
      <c r="D853" s="3" t="s">
        <v>3036</v>
      </c>
      <c r="E853" s="3" t="s">
        <v>21</v>
      </c>
      <c r="F853" s="3" t="s">
        <v>3037</v>
      </c>
      <c r="G853" s="3" t="s">
        <v>3038</v>
      </c>
      <c r="H853" s="43">
        <v>45492</v>
      </c>
      <c r="I853" s="43">
        <v>45704</v>
      </c>
      <c r="J853" s="47" t="str">
        <f>IF(GroDB3[[#This Row],[Last_Order_Date]]&lt;=GroDB3[[#This Row],[Date_Received]], "Yes", "No")</f>
        <v>No</v>
      </c>
      <c r="K853" s="43">
        <f>IF(GroDB3[[#This Row],[Column1]]="No",GroDB3[[#This Row],[Last_Order_Date]],GroDB3[[#This Row],[Date_Received]])</f>
        <v>45704</v>
      </c>
      <c r="L853" s="43">
        <f>IF(GroDB3[[#This Row],[Column1]]="No",GroDB3[[#This Row],[Date_Received]],GroDB3[[#This Row],[Last_Order_Date]])</f>
        <v>45492</v>
      </c>
      <c r="M853" s="43">
        <v>45685</v>
      </c>
      <c r="N853" s="3">
        <v>79</v>
      </c>
      <c r="O853" s="3">
        <v>47</v>
      </c>
      <c r="P853" s="3">
        <v>51</v>
      </c>
      <c r="Q853" s="4">
        <v>9.5</v>
      </c>
      <c r="R853" s="3">
        <v>83</v>
      </c>
      <c r="S853" s="3">
        <v>69</v>
      </c>
      <c r="T853" s="7">
        <v>0.3</v>
      </c>
    </row>
    <row r="854" spans="1:20" x14ac:dyDescent="0.35">
      <c r="A854" s="5" t="s">
        <v>984</v>
      </c>
      <c r="B854" s="3" t="s">
        <v>18</v>
      </c>
      <c r="C854" s="3" t="s">
        <v>2677</v>
      </c>
      <c r="D854" s="3" t="s">
        <v>3039</v>
      </c>
      <c r="E854" s="3" t="s">
        <v>21</v>
      </c>
      <c r="F854" s="3" t="s">
        <v>3040</v>
      </c>
      <c r="G854" s="3" t="s">
        <v>3041</v>
      </c>
      <c r="H854" s="43">
        <v>45493</v>
      </c>
      <c r="I854" s="43">
        <v>45673</v>
      </c>
      <c r="J854" s="47" t="str">
        <f>IF(GroDB3[[#This Row],[Last_Order_Date]]&lt;=GroDB3[[#This Row],[Date_Received]], "Yes", "No")</f>
        <v>No</v>
      </c>
      <c r="K854" s="43">
        <f>IF(GroDB3[[#This Row],[Column1]]="No",GroDB3[[#This Row],[Last_Order_Date]],GroDB3[[#This Row],[Date_Received]])</f>
        <v>45673</v>
      </c>
      <c r="L854" s="43">
        <f>IF(GroDB3[[#This Row],[Column1]]="No",GroDB3[[#This Row],[Date_Received]],GroDB3[[#This Row],[Last_Order_Date]])</f>
        <v>45493</v>
      </c>
      <c r="M854" s="43">
        <v>45432</v>
      </c>
      <c r="N854" s="3">
        <v>95</v>
      </c>
      <c r="O854" s="3">
        <v>29</v>
      </c>
      <c r="P854" s="3">
        <v>28</v>
      </c>
      <c r="Q854" s="4">
        <v>4</v>
      </c>
      <c r="R854" s="3">
        <v>52</v>
      </c>
      <c r="S854" s="3">
        <v>46</v>
      </c>
      <c r="T854" s="7">
        <v>0.17</v>
      </c>
    </row>
    <row r="855" spans="1:20" x14ac:dyDescent="0.35">
      <c r="A855" s="5" t="s">
        <v>1085</v>
      </c>
      <c r="B855" s="3" t="s">
        <v>32</v>
      </c>
      <c r="C855" s="3" t="s">
        <v>388</v>
      </c>
      <c r="D855" s="3" t="s">
        <v>3042</v>
      </c>
      <c r="E855" s="3" t="s">
        <v>56</v>
      </c>
      <c r="F855" s="3" t="s">
        <v>3043</v>
      </c>
      <c r="G855" s="3" t="s">
        <v>3044</v>
      </c>
      <c r="H855" s="43">
        <v>45493</v>
      </c>
      <c r="I855" s="43">
        <v>45634</v>
      </c>
      <c r="J855" s="47" t="str">
        <f>IF(GroDB3[[#This Row],[Last_Order_Date]]&lt;=GroDB3[[#This Row],[Date_Received]], "Yes", "No")</f>
        <v>No</v>
      </c>
      <c r="K855" s="43">
        <f>IF(GroDB3[[#This Row],[Column1]]="No",GroDB3[[#This Row],[Last_Order_Date]],GroDB3[[#This Row],[Date_Received]])</f>
        <v>45634</v>
      </c>
      <c r="L855" s="43">
        <f>IF(GroDB3[[#This Row],[Column1]]="No",GroDB3[[#This Row],[Date_Received]],GroDB3[[#This Row],[Last_Order_Date]])</f>
        <v>45493</v>
      </c>
      <c r="M855" s="43">
        <v>45487</v>
      </c>
      <c r="N855" s="3">
        <v>70</v>
      </c>
      <c r="O855" s="3">
        <v>84</v>
      </c>
      <c r="P855" s="3">
        <v>72</v>
      </c>
      <c r="Q855" s="4">
        <v>8</v>
      </c>
      <c r="R855" s="3">
        <v>71</v>
      </c>
      <c r="S855" s="3">
        <v>20</v>
      </c>
      <c r="T855" s="7">
        <v>0.12</v>
      </c>
    </row>
    <row r="856" spans="1:20" x14ac:dyDescent="0.35">
      <c r="A856" s="5" t="s">
        <v>142</v>
      </c>
      <c r="B856" s="3" t="s">
        <v>18</v>
      </c>
      <c r="C856" s="3" t="s">
        <v>518</v>
      </c>
      <c r="D856" s="3" t="s">
        <v>3045</v>
      </c>
      <c r="E856" s="3" t="s">
        <v>28</v>
      </c>
      <c r="F856" s="3" t="s">
        <v>3046</v>
      </c>
      <c r="G856" s="3" t="s">
        <v>3047</v>
      </c>
      <c r="H856" s="43">
        <v>45493</v>
      </c>
      <c r="I856" s="43">
        <v>45671</v>
      </c>
      <c r="J856" s="47" t="str">
        <f>IF(GroDB3[[#This Row],[Last_Order_Date]]&lt;=GroDB3[[#This Row],[Date_Received]], "Yes", "No")</f>
        <v>No</v>
      </c>
      <c r="K856" s="43">
        <f>IF(GroDB3[[#This Row],[Column1]]="No",GroDB3[[#This Row],[Last_Order_Date]],GroDB3[[#This Row],[Date_Received]])</f>
        <v>45671</v>
      </c>
      <c r="L856" s="43">
        <f>IF(GroDB3[[#This Row],[Column1]]="No",GroDB3[[#This Row],[Date_Received]],GroDB3[[#This Row],[Last_Order_Date]])</f>
        <v>45493</v>
      </c>
      <c r="M856" s="43">
        <v>45569</v>
      </c>
      <c r="N856" s="3">
        <v>61</v>
      </c>
      <c r="O856" s="3">
        <v>100</v>
      </c>
      <c r="P856" s="3">
        <v>94</v>
      </c>
      <c r="Q856" s="4">
        <v>4</v>
      </c>
      <c r="R856" s="3">
        <v>76</v>
      </c>
      <c r="S856" s="3">
        <v>2</v>
      </c>
      <c r="T856" s="7">
        <v>0.72</v>
      </c>
    </row>
    <row r="857" spans="1:20" x14ac:dyDescent="0.35">
      <c r="A857" s="5" t="s">
        <v>303</v>
      </c>
      <c r="B857" s="3" t="s">
        <v>60</v>
      </c>
      <c r="C857" s="3" t="s">
        <v>166</v>
      </c>
      <c r="D857" s="3" t="s">
        <v>3048</v>
      </c>
      <c r="E857" s="3" t="s">
        <v>28</v>
      </c>
      <c r="F857" s="3" t="s">
        <v>3049</v>
      </c>
      <c r="G857" s="3" t="s">
        <v>3050</v>
      </c>
      <c r="H857" s="43">
        <v>45493</v>
      </c>
      <c r="I857" s="43">
        <v>45378</v>
      </c>
      <c r="J857" s="47" t="str">
        <f>IF(GroDB3[[#This Row],[Last_Order_Date]]&lt;=GroDB3[[#This Row],[Date_Received]], "Yes", "No")</f>
        <v>Yes</v>
      </c>
      <c r="K857" s="43">
        <f>IF(GroDB3[[#This Row],[Column1]]="No",GroDB3[[#This Row],[Last_Order_Date]],GroDB3[[#This Row],[Date_Received]])</f>
        <v>45493</v>
      </c>
      <c r="L857" s="43">
        <f>IF(GroDB3[[#This Row],[Column1]]="No",GroDB3[[#This Row],[Date_Received]],GroDB3[[#This Row],[Last_Order_Date]])</f>
        <v>45378</v>
      </c>
      <c r="M857" s="43">
        <v>45390</v>
      </c>
      <c r="N857" s="3">
        <v>11</v>
      </c>
      <c r="O857" s="3">
        <v>17</v>
      </c>
      <c r="P857" s="3">
        <v>59</v>
      </c>
      <c r="Q857" s="4">
        <v>6</v>
      </c>
      <c r="R857" s="3">
        <v>69</v>
      </c>
      <c r="S857" s="3">
        <v>100</v>
      </c>
      <c r="T857" s="7">
        <v>0.97</v>
      </c>
    </row>
    <row r="858" spans="1:20" x14ac:dyDescent="0.35">
      <c r="A858" s="5" t="s">
        <v>600</v>
      </c>
      <c r="B858" s="3" t="s">
        <v>32</v>
      </c>
      <c r="C858" s="3" t="s">
        <v>1207</v>
      </c>
      <c r="D858" s="3" t="s">
        <v>3051</v>
      </c>
      <c r="E858" s="3" t="s">
        <v>21</v>
      </c>
      <c r="F858" s="3" t="s">
        <v>3052</v>
      </c>
      <c r="G858" s="3" t="s">
        <v>3053</v>
      </c>
      <c r="H858" s="43">
        <v>45493</v>
      </c>
      <c r="I858" s="43">
        <v>45510</v>
      </c>
      <c r="J858" s="47" t="str">
        <f>IF(GroDB3[[#This Row],[Last_Order_Date]]&lt;=GroDB3[[#This Row],[Date_Received]], "Yes", "No")</f>
        <v>No</v>
      </c>
      <c r="K858" s="43">
        <f>IF(GroDB3[[#This Row],[Column1]]="No",GroDB3[[#This Row],[Last_Order_Date]],GroDB3[[#This Row],[Date_Received]])</f>
        <v>45510</v>
      </c>
      <c r="L858" s="43">
        <f>IF(GroDB3[[#This Row],[Column1]]="No",GroDB3[[#This Row],[Date_Received]],GroDB3[[#This Row],[Last_Order_Date]])</f>
        <v>45493</v>
      </c>
      <c r="M858" s="43">
        <v>45519</v>
      </c>
      <c r="N858" s="3">
        <v>39</v>
      </c>
      <c r="O858" s="3">
        <v>80</v>
      </c>
      <c r="P858" s="3">
        <v>68</v>
      </c>
      <c r="Q858" s="4">
        <v>2.5</v>
      </c>
      <c r="R858" s="3">
        <v>46</v>
      </c>
      <c r="S858" s="3">
        <v>54</v>
      </c>
      <c r="T858" s="7">
        <v>-0.45</v>
      </c>
    </row>
    <row r="859" spans="1:20" x14ac:dyDescent="0.35">
      <c r="A859" s="5" t="s">
        <v>17</v>
      </c>
      <c r="B859" s="3" t="s">
        <v>18</v>
      </c>
      <c r="C859" s="3" t="s">
        <v>112</v>
      </c>
      <c r="D859" s="3" t="s">
        <v>3054</v>
      </c>
      <c r="E859" s="3" t="s">
        <v>21</v>
      </c>
      <c r="F859" s="3" t="s">
        <v>3055</v>
      </c>
      <c r="G859" s="3" t="s">
        <v>3056</v>
      </c>
      <c r="H859" s="43">
        <v>45494</v>
      </c>
      <c r="I859" s="43">
        <v>45473</v>
      </c>
      <c r="J859" s="47" t="str">
        <f>IF(GroDB3[[#This Row],[Last_Order_Date]]&lt;=GroDB3[[#This Row],[Date_Received]], "Yes", "No")</f>
        <v>Yes</v>
      </c>
      <c r="K859" s="43">
        <f>IF(GroDB3[[#This Row],[Column1]]="No",GroDB3[[#This Row],[Last_Order_Date]],GroDB3[[#This Row],[Date_Received]])</f>
        <v>45494</v>
      </c>
      <c r="L859" s="43">
        <f>IF(GroDB3[[#This Row],[Column1]]="No",GroDB3[[#This Row],[Date_Received]],GroDB3[[#This Row],[Last_Order_Date]])</f>
        <v>45473</v>
      </c>
      <c r="M859" s="43">
        <v>45557</v>
      </c>
      <c r="N859" s="3">
        <v>50</v>
      </c>
      <c r="O859" s="3">
        <v>3</v>
      </c>
      <c r="P859" s="3">
        <v>88</v>
      </c>
      <c r="Q859" s="4">
        <v>4.5</v>
      </c>
      <c r="R859" s="3">
        <v>69</v>
      </c>
      <c r="S859" s="3">
        <v>73</v>
      </c>
      <c r="T859" s="7">
        <v>-0.17</v>
      </c>
    </row>
    <row r="860" spans="1:20" x14ac:dyDescent="0.35">
      <c r="A860" s="5" t="s">
        <v>587</v>
      </c>
      <c r="B860" s="3" t="s">
        <v>127</v>
      </c>
      <c r="C860" s="3" t="s">
        <v>2008</v>
      </c>
      <c r="D860" s="3" t="s">
        <v>3057</v>
      </c>
      <c r="E860" s="3" t="s">
        <v>56</v>
      </c>
      <c r="F860" s="3" t="s">
        <v>3058</v>
      </c>
      <c r="G860" s="3" t="s">
        <v>3059</v>
      </c>
      <c r="H860" s="43">
        <v>45494</v>
      </c>
      <c r="I860" s="43">
        <v>45530</v>
      </c>
      <c r="J860" s="47" t="str">
        <f>IF(GroDB3[[#This Row],[Last_Order_Date]]&lt;=GroDB3[[#This Row],[Date_Received]], "Yes", "No")</f>
        <v>No</v>
      </c>
      <c r="K860" s="43">
        <f>IF(GroDB3[[#This Row],[Column1]]="No",GroDB3[[#This Row],[Last_Order_Date]],GroDB3[[#This Row],[Date_Received]])</f>
        <v>45530</v>
      </c>
      <c r="L860" s="43">
        <f>IF(GroDB3[[#This Row],[Column1]]="No",GroDB3[[#This Row],[Date_Received]],GroDB3[[#This Row],[Last_Order_Date]])</f>
        <v>45494</v>
      </c>
      <c r="M860" s="43">
        <v>45629</v>
      </c>
      <c r="N860" s="3">
        <v>59</v>
      </c>
      <c r="O860" s="3">
        <v>17</v>
      </c>
      <c r="P860" s="3">
        <v>1</v>
      </c>
      <c r="Q860" s="4">
        <v>30</v>
      </c>
      <c r="R860" s="3">
        <v>69</v>
      </c>
      <c r="S860" s="3">
        <v>82</v>
      </c>
      <c r="T860" s="7">
        <v>-0.06</v>
      </c>
    </row>
    <row r="861" spans="1:20" x14ac:dyDescent="0.35">
      <c r="A861" s="5" t="s">
        <v>1069</v>
      </c>
      <c r="B861" s="3" t="s">
        <v>18</v>
      </c>
      <c r="C861" s="3" t="s">
        <v>2077</v>
      </c>
      <c r="D861" s="3" t="s">
        <v>3060</v>
      </c>
      <c r="E861" s="3" t="s">
        <v>28</v>
      </c>
      <c r="F861" s="3" t="s">
        <v>3061</v>
      </c>
      <c r="G861" s="3" t="s">
        <v>3062</v>
      </c>
      <c r="H861" s="43">
        <v>45494</v>
      </c>
      <c r="I861" s="43">
        <v>45697</v>
      </c>
      <c r="J861" s="47" t="str">
        <f>IF(GroDB3[[#This Row],[Last_Order_Date]]&lt;=GroDB3[[#This Row],[Date_Received]], "Yes", "No")</f>
        <v>No</v>
      </c>
      <c r="K861" s="43">
        <f>IF(GroDB3[[#This Row],[Column1]]="No",GroDB3[[#This Row],[Last_Order_Date]],GroDB3[[#This Row],[Date_Received]])</f>
        <v>45697</v>
      </c>
      <c r="L861" s="43">
        <f>IF(GroDB3[[#This Row],[Column1]]="No",GroDB3[[#This Row],[Date_Received]],GroDB3[[#This Row],[Last_Order_Date]])</f>
        <v>45494</v>
      </c>
      <c r="M861" s="43">
        <v>45696</v>
      </c>
      <c r="N861" s="3">
        <v>16</v>
      </c>
      <c r="O861" s="3">
        <v>23</v>
      </c>
      <c r="P861" s="3">
        <v>76</v>
      </c>
      <c r="Q861" s="4">
        <v>6.1</v>
      </c>
      <c r="R861" s="3">
        <v>50</v>
      </c>
      <c r="S861" s="3">
        <v>27</v>
      </c>
      <c r="T861" s="7">
        <v>-0.19</v>
      </c>
    </row>
    <row r="862" spans="1:20" x14ac:dyDescent="0.35">
      <c r="A862" s="5" t="s">
        <v>175</v>
      </c>
      <c r="B862" s="3" t="s">
        <v>53</v>
      </c>
      <c r="C862" s="3" t="s">
        <v>157</v>
      </c>
      <c r="D862" s="3" t="s">
        <v>3063</v>
      </c>
      <c r="E862" s="3" t="s">
        <v>56</v>
      </c>
      <c r="F862" s="3" t="s">
        <v>3064</v>
      </c>
      <c r="G862" s="3" t="s">
        <v>3065</v>
      </c>
      <c r="H862" s="43">
        <v>45495</v>
      </c>
      <c r="I862" s="43">
        <v>45350</v>
      </c>
      <c r="J862" s="47" t="str">
        <f>IF(GroDB3[[#This Row],[Last_Order_Date]]&lt;=GroDB3[[#This Row],[Date_Received]], "Yes", "No")</f>
        <v>Yes</v>
      </c>
      <c r="K862" s="43">
        <f>IF(GroDB3[[#This Row],[Column1]]="No",GroDB3[[#This Row],[Last_Order_Date]],GroDB3[[#This Row],[Date_Received]])</f>
        <v>45495</v>
      </c>
      <c r="L862" s="43">
        <f>IF(GroDB3[[#This Row],[Column1]]="No",GroDB3[[#This Row],[Date_Received]],GroDB3[[#This Row],[Last_Order_Date]])</f>
        <v>45350</v>
      </c>
      <c r="M862" s="43">
        <v>45583</v>
      </c>
      <c r="N862" s="3">
        <v>62</v>
      </c>
      <c r="O862" s="3">
        <v>79</v>
      </c>
      <c r="P862" s="3">
        <v>23</v>
      </c>
      <c r="Q862" s="4">
        <v>1.5</v>
      </c>
      <c r="R862" s="3">
        <v>32</v>
      </c>
      <c r="S862" s="3">
        <v>80</v>
      </c>
      <c r="T862" s="7">
        <v>0.46</v>
      </c>
    </row>
    <row r="863" spans="1:20" x14ac:dyDescent="0.35">
      <c r="A863" s="5" t="s">
        <v>674</v>
      </c>
      <c r="B863" s="3" t="s">
        <v>60</v>
      </c>
      <c r="C863" s="3" t="s">
        <v>1004</v>
      </c>
      <c r="D863" s="3" t="s">
        <v>3066</v>
      </c>
      <c r="E863" s="3" t="s">
        <v>28</v>
      </c>
      <c r="F863" s="3" t="s">
        <v>3067</v>
      </c>
      <c r="G863" s="3" t="s">
        <v>3068</v>
      </c>
      <c r="H863" s="43">
        <v>45495</v>
      </c>
      <c r="I863" s="43">
        <v>45687</v>
      </c>
      <c r="J863" s="47" t="str">
        <f>IF(GroDB3[[#This Row],[Last_Order_Date]]&lt;=GroDB3[[#This Row],[Date_Received]], "Yes", "No")</f>
        <v>No</v>
      </c>
      <c r="K863" s="43">
        <f>IF(GroDB3[[#This Row],[Column1]]="No",GroDB3[[#This Row],[Last_Order_Date]],GroDB3[[#This Row],[Date_Received]])</f>
        <v>45687</v>
      </c>
      <c r="L863" s="43">
        <f>IF(GroDB3[[#This Row],[Column1]]="No",GroDB3[[#This Row],[Date_Received]],GroDB3[[#This Row],[Last_Order_Date]])</f>
        <v>45495</v>
      </c>
      <c r="M863" s="43">
        <v>45458</v>
      </c>
      <c r="N863" s="3">
        <v>30</v>
      </c>
      <c r="O863" s="3">
        <v>81</v>
      </c>
      <c r="P863" s="3">
        <v>99</v>
      </c>
      <c r="Q863" s="4">
        <v>9</v>
      </c>
      <c r="R863" s="3">
        <v>99</v>
      </c>
      <c r="S863" s="3">
        <v>3</v>
      </c>
      <c r="T863" s="7">
        <v>-1.5</v>
      </c>
    </row>
    <row r="864" spans="1:20" x14ac:dyDescent="0.35">
      <c r="A864" s="5" t="s">
        <v>392</v>
      </c>
      <c r="B864" s="3" t="s">
        <v>18</v>
      </c>
      <c r="C864" s="3" t="s">
        <v>249</v>
      </c>
      <c r="D864" s="3" t="s">
        <v>3069</v>
      </c>
      <c r="E864" s="3" t="s">
        <v>28</v>
      </c>
      <c r="F864" s="3" t="s">
        <v>3070</v>
      </c>
      <c r="G864" s="3" t="s">
        <v>3071</v>
      </c>
      <c r="H864" s="43">
        <v>45495</v>
      </c>
      <c r="I864" s="43">
        <v>45709</v>
      </c>
      <c r="J864" s="47" t="str">
        <f>IF(GroDB3[[#This Row],[Last_Order_Date]]&lt;=GroDB3[[#This Row],[Date_Received]], "Yes", "No")</f>
        <v>No</v>
      </c>
      <c r="K864" s="43">
        <f>IF(GroDB3[[#This Row],[Column1]]="No",GroDB3[[#This Row],[Last_Order_Date]],GroDB3[[#This Row],[Date_Received]])</f>
        <v>45709</v>
      </c>
      <c r="L864" s="43">
        <f>IF(GroDB3[[#This Row],[Column1]]="No",GroDB3[[#This Row],[Date_Received]],GroDB3[[#This Row],[Last_Order_Date]])</f>
        <v>45495</v>
      </c>
      <c r="M864" s="43">
        <v>45686</v>
      </c>
      <c r="N864" s="3">
        <v>13</v>
      </c>
      <c r="O864" s="3">
        <v>61</v>
      </c>
      <c r="P864" s="3">
        <v>77</v>
      </c>
      <c r="Q864" s="4">
        <v>5.5</v>
      </c>
      <c r="R864" s="3">
        <v>42</v>
      </c>
      <c r="S864" s="3">
        <v>18</v>
      </c>
      <c r="T864" s="7">
        <v>0.97</v>
      </c>
    </row>
    <row r="865" spans="1:20" x14ac:dyDescent="0.35">
      <c r="A865" s="5" t="s">
        <v>574</v>
      </c>
      <c r="B865" s="3" t="s">
        <v>53</v>
      </c>
      <c r="C865" s="3" t="s">
        <v>281</v>
      </c>
      <c r="D865" s="3" t="s">
        <v>3072</v>
      </c>
      <c r="E865" s="3" t="s">
        <v>56</v>
      </c>
      <c r="F865" s="3" t="s">
        <v>3073</v>
      </c>
      <c r="G865" s="3" t="s">
        <v>3074</v>
      </c>
      <c r="H865" s="43">
        <v>45496</v>
      </c>
      <c r="I865" s="43">
        <v>45354</v>
      </c>
      <c r="J865" s="47" t="str">
        <f>IF(GroDB3[[#This Row],[Last_Order_Date]]&lt;=GroDB3[[#This Row],[Date_Received]], "Yes", "No")</f>
        <v>Yes</v>
      </c>
      <c r="K865" s="43">
        <f>IF(GroDB3[[#This Row],[Column1]]="No",GroDB3[[#This Row],[Last_Order_Date]],GroDB3[[#This Row],[Date_Received]])</f>
        <v>45496</v>
      </c>
      <c r="L865" s="43">
        <f>IF(GroDB3[[#This Row],[Column1]]="No",GroDB3[[#This Row],[Date_Received]],GroDB3[[#This Row],[Last_Order_Date]])</f>
        <v>45354</v>
      </c>
      <c r="M865" s="43">
        <v>45464</v>
      </c>
      <c r="N865" s="3">
        <v>14</v>
      </c>
      <c r="O865" s="3">
        <v>16</v>
      </c>
      <c r="P865" s="3">
        <v>93</v>
      </c>
      <c r="Q865" s="4">
        <v>2</v>
      </c>
      <c r="R865" s="3">
        <v>39</v>
      </c>
      <c r="S865" s="3">
        <v>30</v>
      </c>
      <c r="T865" s="7">
        <v>0.56999999999999995</v>
      </c>
    </row>
    <row r="866" spans="1:20" x14ac:dyDescent="0.35">
      <c r="A866" s="5" t="s">
        <v>333</v>
      </c>
      <c r="B866" s="3" t="s">
        <v>53</v>
      </c>
      <c r="C866" s="3" t="s">
        <v>628</v>
      </c>
      <c r="D866" s="3" t="s">
        <v>3075</v>
      </c>
      <c r="E866" s="3" t="s">
        <v>21</v>
      </c>
      <c r="F866" s="3" t="s">
        <v>3076</v>
      </c>
      <c r="G866" s="3" t="s">
        <v>3077</v>
      </c>
      <c r="H866" s="43">
        <v>45496</v>
      </c>
      <c r="I866" s="43">
        <v>45466</v>
      </c>
      <c r="J866" s="47" t="str">
        <f>IF(GroDB3[[#This Row],[Last_Order_Date]]&lt;=GroDB3[[#This Row],[Date_Received]], "Yes", "No")</f>
        <v>Yes</v>
      </c>
      <c r="K866" s="43">
        <f>IF(GroDB3[[#This Row],[Column1]]="No",GroDB3[[#This Row],[Last_Order_Date]],GroDB3[[#This Row],[Date_Received]])</f>
        <v>45496</v>
      </c>
      <c r="L866" s="43">
        <f>IF(GroDB3[[#This Row],[Column1]]="No",GroDB3[[#This Row],[Date_Received]],GroDB3[[#This Row],[Last_Order_Date]])</f>
        <v>45466</v>
      </c>
      <c r="M866" s="43">
        <v>45648</v>
      </c>
      <c r="N866" s="3">
        <v>46</v>
      </c>
      <c r="O866" s="3">
        <v>6</v>
      </c>
      <c r="P866" s="3">
        <v>64</v>
      </c>
      <c r="Q866" s="4">
        <v>10</v>
      </c>
      <c r="R866" s="3">
        <v>63</v>
      </c>
      <c r="S866" s="3">
        <v>29</v>
      </c>
      <c r="T866" s="7">
        <v>0.23</v>
      </c>
    </row>
    <row r="867" spans="1:20" x14ac:dyDescent="0.35">
      <c r="A867" s="5" t="s">
        <v>566</v>
      </c>
      <c r="B867" s="3" t="s">
        <v>127</v>
      </c>
      <c r="C867" s="3" t="s">
        <v>3078</v>
      </c>
      <c r="D867" s="3" t="s">
        <v>3079</v>
      </c>
      <c r="E867" s="3" t="s">
        <v>21</v>
      </c>
      <c r="F867" s="3" t="s">
        <v>3080</v>
      </c>
      <c r="G867" s="3" t="s">
        <v>3081</v>
      </c>
      <c r="H867" s="43">
        <v>45496</v>
      </c>
      <c r="I867" s="43">
        <v>45411</v>
      </c>
      <c r="J867" s="47" t="str">
        <f>IF(GroDB3[[#This Row],[Last_Order_Date]]&lt;=GroDB3[[#This Row],[Date_Received]], "Yes", "No")</f>
        <v>Yes</v>
      </c>
      <c r="K867" s="43">
        <f>IF(GroDB3[[#This Row],[Column1]]="No",GroDB3[[#This Row],[Last_Order_Date]],GroDB3[[#This Row],[Date_Received]])</f>
        <v>45496</v>
      </c>
      <c r="L867" s="43">
        <f>IF(GroDB3[[#This Row],[Column1]]="No",GroDB3[[#This Row],[Date_Received]],GroDB3[[#This Row],[Last_Order_Date]])</f>
        <v>45411</v>
      </c>
      <c r="M867" s="43">
        <v>45359</v>
      </c>
      <c r="N867" s="3">
        <v>62</v>
      </c>
      <c r="O867" s="3">
        <v>23</v>
      </c>
      <c r="P867" s="3">
        <v>25</v>
      </c>
      <c r="Q867" s="4">
        <v>15.5</v>
      </c>
      <c r="R867" s="3">
        <v>34</v>
      </c>
      <c r="S867" s="3">
        <v>68</v>
      </c>
      <c r="T867" s="7">
        <v>0.54</v>
      </c>
    </row>
    <row r="868" spans="1:20" x14ac:dyDescent="0.35">
      <c r="A868" s="5" t="s">
        <v>293</v>
      </c>
      <c r="B868" s="3" t="s">
        <v>18</v>
      </c>
      <c r="C868" s="3" t="s">
        <v>1050</v>
      </c>
      <c r="D868" s="3" t="s">
        <v>3082</v>
      </c>
      <c r="E868" s="3" t="s">
        <v>56</v>
      </c>
      <c r="F868" s="3" t="s">
        <v>3083</v>
      </c>
      <c r="G868" s="3" t="s">
        <v>3084</v>
      </c>
      <c r="H868" s="43">
        <v>45496</v>
      </c>
      <c r="I868" s="43">
        <v>45372</v>
      </c>
      <c r="J868" s="47" t="str">
        <f>IF(GroDB3[[#This Row],[Last_Order_Date]]&lt;=GroDB3[[#This Row],[Date_Received]], "Yes", "No")</f>
        <v>Yes</v>
      </c>
      <c r="K868" s="43">
        <f>IF(GroDB3[[#This Row],[Column1]]="No",GroDB3[[#This Row],[Last_Order_Date]],GroDB3[[#This Row],[Date_Received]])</f>
        <v>45496</v>
      </c>
      <c r="L868" s="43">
        <f>IF(GroDB3[[#This Row],[Column1]]="No",GroDB3[[#This Row],[Date_Received]],GroDB3[[#This Row],[Last_Order_Date]])</f>
        <v>45372</v>
      </c>
      <c r="M868" s="43">
        <v>45436</v>
      </c>
      <c r="N868" s="3">
        <v>16</v>
      </c>
      <c r="O868" s="3">
        <v>75</v>
      </c>
      <c r="P868" s="3">
        <v>42</v>
      </c>
      <c r="Q868" s="4">
        <v>2</v>
      </c>
      <c r="R868" s="3">
        <v>22</v>
      </c>
      <c r="S868" s="3">
        <v>46</v>
      </c>
      <c r="T868" s="7">
        <v>-1</v>
      </c>
    </row>
    <row r="869" spans="1:20" x14ac:dyDescent="0.35">
      <c r="A869" s="5" t="s">
        <v>368</v>
      </c>
      <c r="B869" s="3" t="s">
        <v>53</v>
      </c>
      <c r="C869" s="3" t="s">
        <v>747</v>
      </c>
      <c r="D869" s="3" t="s">
        <v>3085</v>
      </c>
      <c r="E869" s="3" t="s">
        <v>21</v>
      </c>
      <c r="F869" s="3" t="s">
        <v>3086</v>
      </c>
      <c r="G869" s="3" t="s">
        <v>3087</v>
      </c>
      <c r="H869" s="43">
        <v>45497</v>
      </c>
      <c r="I869" s="43">
        <v>45601</v>
      </c>
      <c r="J869" s="47" t="str">
        <f>IF(GroDB3[[#This Row],[Last_Order_Date]]&lt;=GroDB3[[#This Row],[Date_Received]], "Yes", "No")</f>
        <v>No</v>
      </c>
      <c r="K869" s="43">
        <f>IF(GroDB3[[#This Row],[Column1]]="No",GroDB3[[#This Row],[Last_Order_Date]],GroDB3[[#This Row],[Date_Received]])</f>
        <v>45601</v>
      </c>
      <c r="L869" s="43">
        <f>IF(GroDB3[[#This Row],[Column1]]="No",GroDB3[[#This Row],[Date_Received]],GroDB3[[#This Row],[Last_Order_Date]])</f>
        <v>45497</v>
      </c>
      <c r="M869" s="43">
        <v>45425</v>
      </c>
      <c r="N869" s="3">
        <v>54</v>
      </c>
      <c r="O869" s="3">
        <v>69</v>
      </c>
      <c r="P869" s="3">
        <v>68</v>
      </c>
      <c r="Q869" s="4">
        <v>1.75</v>
      </c>
      <c r="R869" s="3">
        <v>77</v>
      </c>
      <c r="S869" s="3">
        <v>56</v>
      </c>
      <c r="T869" s="7">
        <v>-1.0900000000000001</v>
      </c>
    </row>
    <row r="870" spans="1:20" x14ac:dyDescent="0.35">
      <c r="A870" s="5" t="s">
        <v>24</v>
      </c>
      <c r="B870" s="3" t="s">
        <v>25</v>
      </c>
      <c r="C870" s="3" t="s">
        <v>1164</v>
      </c>
      <c r="D870" s="3" t="s">
        <v>3088</v>
      </c>
      <c r="E870" s="3" t="s">
        <v>28</v>
      </c>
      <c r="F870" s="3" t="s">
        <v>3089</v>
      </c>
      <c r="G870" s="3" t="s">
        <v>3090</v>
      </c>
      <c r="H870" s="43">
        <v>45498</v>
      </c>
      <c r="I870" s="43">
        <v>45437</v>
      </c>
      <c r="J870" s="47" t="str">
        <f>IF(GroDB3[[#This Row],[Last_Order_Date]]&lt;=GroDB3[[#This Row],[Date_Received]], "Yes", "No")</f>
        <v>Yes</v>
      </c>
      <c r="K870" s="43">
        <f>IF(GroDB3[[#This Row],[Column1]]="No",GroDB3[[#This Row],[Last_Order_Date]],GroDB3[[#This Row],[Date_Received]])</f>
        <v>45498</v>
      </c>
      <c r="L870" s="43">
        <f>IF(GroDB3[[#This Row],[Column1]]="No",GroDB3[[#This Row],[Date_Received]],GroDB3[[#This Row],[Last_Order_Date]])</f>
        <v>45437</v>
      </c>
      <c r="M870" s="43">
        <v>45401</v>
      </c>
      <c r="N870" s="3">
        <v>57</v>
      </c>
      <c r="O870" s="3">
        <v>99</v>
      </c>
      <c r="P870" s="3">
        <v>23</v>
      </c>
      <c r="Q870" s="4">
        <v>2</v>
      </c>
      <c r="R870" s="3">
        <v>89</v>
      </c>
      <c r="S870" s="3">
        <v>21</v>
      </c>
      <c r="T870" s="7">
        <v>0.27</v>
      </c>
    </row>
    <row r="871" spans="1:20" x14ac:dyDescent="0.35">
      <c r="A871" s="5" t="s">
        <v>342</v>
      </c>
      <c r="B871" s="3" t="s">
        <v>18</v>
      </c>
      <c r="C871" s="3" t="s">
        <v>3091</v>
      </c>
      <c r="D871" s="3" t="s">
        <v>3092</v>
      </c>
      <c r="E871" s="3" t="s">
        <v>56</v>
      </c>
      <c r="F871" s="3" t="s">
        <v>3093</v>
      </c>
      <c r="G871" s="3" t="s">
        <v>3094</v>
      </c>
      <c r="H871" s="43">
        <v>45498</v>
      </c>
      <c r="I871" s="43">
        <v>45385</v>
      </c>
      <c r="J871" s="47" t="str">
        <f>IF(GroDB3[[#This Row],[Last_Order_Date]]&lt;=GroDB3[[#This Row],[Date_Received]], "Yes", "No")</f>
        <v>Yes</v>
      </c>
      <c r="K871" s="43">
        <f>IF(GroDB3[[#This Row],[Column1]]="No",GroDB3[[#This Row],[Last_Order_Date]],GroDB3[[#This Row],[Date_Received]])</f>
        <v>45498</v>
      </c>
      <c r="L871" s="43">
        <f>IF(GroDB3[[#This Row],[Column1]]="No",GroDB3[[#This Row],[Date_Received]],GroDB3[[#This Row],[Last_Order_Date]])</f>
        <v>45385</v>
      </c>
      <c r="M871" s="43">
        <v>45575</v>
      </c>
      <c r="N871" s="3">
        <v>17</v>
      </c>
      <c r="O871" s="3">
        <v>45</v>
      </c>
      <c r="P871" s="3">
        <v>44</v>
      </c>
      <c r="Q871" s="4">
        <v>6</v>
      </c>
      <c r="R871" s="3">
        <v>37</v>
      </c>
      <c r="S871" s="3">
        <v>16</v>
      </c>
      <c r="T871" s="7">
        <v>0.76</v>
      </c>
    </row>
    <row r="872" spans="1:20" x14ac:dyDescent="0.35">
      <c r="A872" s="5" t="s">
        <v>789</v>
      </c>
      <c r="B872" s="3" t="s">
        <v>18</v>
      </c>
      <c r="C872" s="3" t="s">
        <v>3095</v>
      </c>
      <c r="D872" s="3" t="s">
        <v>3096</v>
      </c>
      <c r="E872" s="3" t="s">
        <v>56</v>
      </c>
      <c r="F872" s="3" t="s">
        <v>3097</v>
      </c>
      <c r="G872" s="3" t="s">
        <v>3098</v>
      </c>
      <c r="H872" s="43">
        <v>45498</v>
      </c>
      <c r="I872" s="43">
        <v>45647</v>
      </c>
      <c r="J872" s="47" t="str">
        <f>IF(GroDB3[[#This Row],[Last_Order_Date]]&lt;=GroDB3[[#This Row],[Date_Received]], "Yes", "No")</f>
        <v>No</v>
      </c>
      <c r="K872" s="43">
        <f>IF(GroDB3[[#This Row],[Column1]]="No",GroDB3[[#This Row],[Last_Order_Date]],GroDB3[[#This Row],[Date_Received]])</f>
        <v>45647</v>
      </c>
      <c r="L872" s="43">
        <f>IF(GroDB3[[#This Row],[Column1]]="No",GroDB3[[#This Row],[Date_Received]],GroDB3[[#This Row],[Last_Order_Date]])</f>
        <v>45498</v>
      </c>
      <c r="M872" s="43">
        <v>45353</v>
      </c>
      <c r="N872" s="3">
        <v>99</v>
      </c>
      <c r="O872" s="3">
        <v>37</v>
      </c>
      <c r="P872" s="3">
        <v>74</v>
      </c>
      <c r="Q872" s="4">
        <v>2.1</v>
      </c>
      <c r="R872" s="3">
        <v>46</v>
      </c>
      <c r="S872" s="3">
        <v>46</v>
      </c>
      <c r="T872" s="7">
        <v>0.56999999999999995</v>
      </c>
    </row>
    <row r="873" spans="1:20" x14ac:dyDescent="0.35">
      <c r="A873" s="5" t="s">
        <v>984</v>
      </c>
      <c r="B873" s="3" t="s">
        <v>18</v>
      </c>
      <c r="C873" s="3" t="s">
        <v>1739</v>
      </c>
      <c r="D873" s="3" t="s">
        <v>3099</v>
      </c>
      <c r="E873" s="3" t="s">
        <v>21</v>
      </c>
      <c r="F873" s="3" t="s">
        <v>3100</v>
      </c>
      <c r="G873" s="3" t="s">
        <v>3101</v>
      </c>
      <c r="H873" s="43">
        <v>45499</v>
      </c>
      <c r="I873" s="43">
        <v>45694</v>
      </c>
      <c r="J873" s="47" t="str">
        <f>IF(GroDB3[[#This Row],[Last_Order_Date]]&lt;=GroDB3[[#This Row],[Date_Received]], "Yes", "No")</f>
        <v>No</v>
      </c>
      <c r="K873" s="43">
        <f>IF(GroDB3[[#This Row],[Column1]]="No",GroDB3[[#This Row],[Last_Order_Date]],GroDB3[[#This Row],[Date_Received]])</f>
        <v>45694</v>
      </c>
      <c r="L873" s="43">
        <f>IF(GroDB3[[#This Row],[Column1]]="No",GroDB3[[#This Row],[Date_Received]],GroDB3[[#This Row],[Last_Order_Date]])</f>
        <v>45499</v>
      </c>
      <c r="M873" s="43">
        <v>45452</v>
      </c>
      <c r="N873" s="3">
        <v>40</v>
      </c>
      <c r="O873" s="3">
        <v>8</v>
      </c>
      <c r="P873" s="3">
        <v>98</v>
      </c>
      <c r="Q873" s="4">
        <v>4</v>
      </c>
      <c r="R873" s="3">
        <v>86</v>
      </c>
      <c r="S873" s="3">
        <v>12</v>
      </c>
      <c r="T873" s="7">
        <v>0</v>
      </c>
    </row>
    <row r="874" spans="1:20" x14ac:dyDescent="0.35">
      <c r="A874" s="5" t="s">
        <v>272</v>
      </c>
      <c r="B874" s="3" t="s">
        <v>32</v>
      </c>
      <c r="C874" s="3" t="s">
        <v>2951</v>
      </c>
      <c r="D874" s="3" t="s">
        <v>3102</v>
      </c>
      <c r="E874" s="3" t="s">
        <v>21</v>
      </c>
      <c r="F874" s="3" t="s">
        <v>3103</v>
      </c>
      <c r="G874" s="3" t="s">
        <v>3104</v>
      </c>
      <c r="H874" s="43">
        <v>45499</v>
      </c>
      <c r="I874" s="43">
        <v>45691</v>
      </c>
      <c r="J874" s="47" t="str">
        <f>IF(GroDB3[[#This Row],[Last_Order_Date]]&lt;=GroDB3[[#This Row],[Date_Received]], "Yes", "No")</f>
        <v>No</v>
      </c>
      <c r="K874" s="43">
        <f>IF(GroDB3[[#This Row],[Column1]]="No",GroDB3[[#This Row],[Last_Order_Date]],GroDB3[[#This Row],[Date_Received]])</f>
        <v>45691</v>
      </c>
      <c r="L874" s="43">
        <f>IF(GroDB3[[#This Row],[Column1]]="No",GroDB3[[#This Row],[Date_Received]],GroDB3[[#This Row],[Last_Order_Date]])</f>
        <v>45499</v>
      </c>
      <c r="M874" s="43">
        <v>45500</v>
      </c>
      <c r="N874" s="3">
        <v>41</v>
      </c>
      <c r="O874" s="3">
        <v>61</v>
      </c>
      <c r="P874" s="3">
        <v>69</v>
      </c>
      <c r="Q874" s="4">
        <v>1</v>
      </c>
      <c r="R874" s="3">
        <v>30</v>
      </c>
      <c r="S874" s="3">
        <v>100</v>
      </c>
      <c r="T874" s="7">
        <v>0.86</v>
      </c>
    </row>
    <row r="875" spans="1:20" x14ac:dyDescent="0.35">
      <c r="A875" s="5" t="s">
        <v>165</v>
      </c>
      <c r="B875" s="3" t="s">
        <v>60</v>
      </c>
      <c r="C875" s="3" t="s">
        <v>3105</v>
      </c>
      <c r="D875" s="3" t="s">
        <v>3106</v>
      </c>
      <c r="E875" s="3" t="s">
        <v>21</v>
      </c>
      <c r="F875" s="3" t="s">
        <v>3107</v>
      </c>
      <c r="G875" s="3" t="s">
        <v>3108</v>
      </c>
      <c r="H875" s="43">
        <v>45499</v>
      </c>
      <c r="I875" s="43">
        <v>45486</v>
      </c>
      <c r="J875" s="47" t="str">
        <f>IF(GroDB3[[#This Row],[Last_Order_Date]]&lt;=GroDB3[[#This Row],[Date_Received]], "Yes", "No")</f>
        <v>Yes</v>
      </c>
      <c r="K875" s="43">
        <f>IF(GroDB3[[#This Row],[Column1]]="No",GroDB3[[#This Row],[Last_Order_Date]],GroDB3[[#This Row],[Date_Received]])</f>
        <v>45499</v>
      </c>
      <c r="L875" s="43">
        <f>IF(GroDB3[[#This Row],[Column1]]="No",GroDB3[[#This Row],[Date_Received]],GroDB3[[#This Row],[Last_Order_Date]])</f>
        <v>45486</v>
      </c>
      <c r="M875" s="43">
        <v>45496</v>
      </c>
      <c r="N875" s="3">
        <v>14</v>
      </c>
      <c r="O875" s="3">
        <v>52</v>
      </c>
      <c r="P875" s="3">
        <v>80</v>
      </c>
      <c r="Q875" s="4">
        <v>6.8</v>
      </c>
      <c r="R875" s="3">
        <v>64</v>
      </c>
      <c r="S875" s="3">
        <v>17</v>
      </c>
      <c r="T875" s="7">
        <v>-2.33</v>
      </c>
    </row>
    <row r="876" spans="1:20" x14ac:dyDescent="0.35">
      <c r="A876" s="5" t="s">
        <v>1257</v>
      </c>
      <c r="B876" s="3" t="s">
        <v>91</v>
      </c>
      <c r="C876" s="3" t="s">
        <v>3109</v>
      </c>
      <c r="D876" s="3" t="s">
        <v>3110</v>
      </c>
      <c r="E876" s="3" t="s">
        <v>28</v>
      </c>
      <c r="F876" s="3" t="s">
        <v>3111</v>
      </c>
      <c r="G876" s="3" t="s">
        <v>3112</v>
      </c>
      <c r="H876" s="43">
        <v>45500</v>
      </c>
      <c r="I876" s="43">
        <v>45504</v>
      </c>
      <c r="J876" s="47" t="str">
        <f>IF(GroDB3[[#This Row],[Last_Order_Date]]&lt;=GroDB3[[#This Row],[Date_Received]], "Yes", "No")</f>
        <v>No</v>
      </c>
      <c r="K876" s="43">
        <f>IF(GroDB3[[#This Row],[Column1]]="No",GroDB3[[#This Row],[Last_Order_Date]],GroDB3[[#This Row],[Date_Received]])</f>
        <v>45504</v>
      </c>
      <c r="L876" s="43">
        <f>IF(GroDB3[[#This Row],[Column1]]="No",GroDB3[[#This Row],[Date_Received]],GroDB3[[#This Row],[Last_Order_Date]])</f>
        <v>45500</v>
      </c>
      <c r="M876" s="43">
        <v>45355</v>
      </c>
      <c r="N876" s="3">
        <v>80</v>
      </c>
      <c r="O876" s="3">
        <v>61</v>
      </c>
      <c r="P876" s="3">
        <v>23</v>
      </c>
      <c r="Q876" s="4">
        <v>5.5</v>
      </c>
      <c r="R876" s="3">
        <v>63</v>
      </c>
      <c r="S876" s="3">
        <v>75</v>
      </c>
      <c r="T876" s="7">
        <v>0.73</v>
      </c>
    </row>
    <row r="877" spans="1:20" x14ac:dyDescent="0.35">
      <c r="A877" s="5" t="s">
        <v>126</v>
      </c>
      <c r="B877" s="3" t="s">
        <v>127</v>
      </c>
      <c r="C877" s="3" t="s">
        <v>1599</v>
      </c>
      <c r="D877" s="3" t="s">
        <v>3113</v>
      </c>
      <c r="E877" s="3" t="s">
        <v>28</v>
      </c>
      <c r="F877" s="3" t="s">
        <v>3114</v>
      </c>
      <c r="G877" s="3" t="s">
        <v>3115</v>
      </c>
      <c r="H877" s="43">
        <v>45500</v>
      </c>
      <c r="I877" s="43">
        <v>45567</v>
      </c>
      <c r="J877" s="47" t="str">
        <f>IF(GroDB3[[#This Row],[Last_Order_Date]]&lt;=GroDB3[[#This Row],[Date_Received]], "Yes", "No")</f>
        <v>No</v>
      </c>
      <c r="K877" s="43">
        <f>IF(GroDB3[[#This Row],[Column1]]="No",GroDB3[[#This Row],[Last_Order_Date]],GroDB3[[#This Row],[Date_Received]])</f>
        <v>45567</v>
      </c>
      <c r="L877" s="43">
        <f>IF(GroDB3[[#This Row],[Column1]]="No",GroDB3[[#This Row],[Date_Received]],GroDB3[[#This Row],[Last_Order_Date]])</f>
        <v>45500</v>
      </c>
      <c r="M877" s="43">
        <v>45371</v>
      </c>
      <c r="N877" s="3">
        <v>74</v>
      </c>
      <c r="O877" s="3">
        <v>10</v>
      </c>
      <c r="P877" s="3">
        <v>74</v>
      </c>
      <c r="Q877" s="4">
        <v>20</v>
      </c>
      <c r="R877" s="3">
        <v>100</v>
      </c>
      <c r="S877" s="3">
        <v>66</v>
      </c>
      <c r="T877" s="7">
        <v>-0.19</v>
      </c>
    </row>
    <row r="878" spans="1:20" x14ac:dyDescent="0.35">
      <c r="A878" s="5" t="s">
        <v>96</v>
      </c>
      <c r="B878" s="3" t="s">
        <v>18</v>
      </c>
      <c r="C878" s="3" t="s">
        <v>725</v>
      </c>
      <c r="D878" s="3" t="s">
        <v>3116</v>
      </c>
      <c r="E878" s="3" t="s">
        <v>56</v>
      </c>
      <c r="F878" s="3" t="s">
        <v>3117</v>
      </c>
      <c r="G878" s="3" t="s">
        <v>3118</v>
      </c>
      <c r="H878" s="43">
        <v>45500</v>
      </c>
      <c r="I878" s="43">
        <v>45567</v>
      </c>
      <c r="J878" s="47" t="str">
        <f>IF(GroDB3[[#This Row],[Last_Order_Date]]&lt;=GroDB3[[#This Row],[Date_Received]], "Yes", "No")</f>
        <v>No</v>
      </c>
      <c r="K878" s="43">
        <f>IF(GroDB3[[#This Row],[Column1]]="No",GroDB3[[#This Row],[Last_Order_Date]],GroDB3[[#This Row],[Date_Received]])</f>
        <v>45567</v>
      </c>
      <c r="L878" s="43">
        <f>IF(GroDB3[[#This Row],[Column1]]="No",GroDB3[[#This Row],[Date_Received]],GroDB3[[#This Row],[Last_Order_Date]])</f>
        <v>45500</v>
      </c>
      <c r="M878" s="43">
        <v>45648</v>
      </c>
      <c r="N878" s="3">
        <v>77</v>
      </c>
      <c r="O878" s="3">
        <v>54</v>
      </c>
      <c r="P878" s="3">
        <v>10</v>
      </c>
      <c r="Q878" s="4">
        <v>2.5</v>
      </c>
      <c r="R878" s="3">
        <v>64</v>
      </c>
      <c r="S878" s="3">
        <v>73</v>
      </c>
      <c r="T878" s="7">
        <v>0.34</v>
      </c>
    </row>
    <row r="879" spans="1:20" x14ac:dyDescent="0.35">
      <c r="A879" s="5" t="s">
        <v>132</v>
      </c>
      <c r="B879" s="3" t="s">
        <v>18</v>
      </c>
      <c r="C879" s="3" t="s">
        <v>226</v>
      </c>
      <c r="D879" s="3" t="s">
        <v>3119</v>
      </c>
      <c r="E879" s="3" t="s">
        <v>21</v>
      </c>
      <c r="F879" s="3" t="s">
        <v>3120</v>
      </c>
      <c r="G879" s="3" t="s">
        <v>3121</v>
      </c>
      <c r="H879" s="43">
        <v>45500</v>
      </c>
      <c r="I879" s="43">
        <v>45465</v>
      </c>
      <c r="J879" s="47" t="str">
        <f>IF(GroDB3[[#This Row],[Last_Order_Date]]&lt;=GroDB3[[#This Row],[Date_Received]], "Yes", "No")</f>
        <v>Yes</v>
      </c>
      <c r="K879" s="43">
        <f>IF(GroDB3[[#This Row],[Column1]]="No",GroDB3[[#This Row],[Last_Order_Date]],GroDB3[[#This Row],[Date_Received]])</f>
        <v>45500</v>
      </c>
      <c r="L879" s="43">
        <f>IF(GroDB3[[#This Row],[Column1]]="No",GroDB3[[#This Row],[Date_Received]],GroDB3[[#This Row],[Last_Order_Date]])</f>
        <v>45465</v>
      </c>
      <c r="M879" s="43">
        <v>45436</v>
      </c>
      <c r="N879" s="3">
        <v>44</v>
      </c>
      <c r="O879" s="3">
        <v>77</v>
      </c>
      <c r="P879" s="3">
        <v>45</v>
      </c>
      <c r="Q879" s="4">
        <v>2</v>
      </c>
      <c r="R879" s="3">
        <v>89</v>
      </c>
      <c r="S879" s="3">
        <v>64</v>
      </c>
      <c r="T879" s="7">
        <v>-0.14000000000000001</v>
      </c>
    </row>
    <row r="880" spans="1:20" x14ac:dyDescent="0.35">
      <c r="A880" s="5" t="s">
        <v>137</v>
      </c>
      <c r="B880" s="3" t="s">
        <v>18</v>
      </c>
      <c r="C880" s="3" t="s">
        <v>1398</v>
      </c>
      <c r="D880" s="3" t="s">
        <v>3122</v>
      </c>
      <c r="E880" s="3" t="s">
        <v>21</v>
      </c>
      <c r="F880" s="3" t="s">
        <v>3123</v>
      </c>
      <c r="G880" s="3" t="s">
        <v>3124</v>
      </c>
      <c r="H880" s="43">
        <v>45501</v>
      </c>
      <c r="I880" s="43">
        <v>45583</v>
      </c>
      <c r="J880" s="47" t="str">
        <f>IF(GroDB3[[#This Row],[Last_Order_Date]]&lt;=GroDB3[[#This Row],[Date_Received]], "Yes", "No")</f>
        <v>No</v>
      </c>
      <c r="K880" s="43">
        <f>IF(GroDB3[[#This Row],[Column1]]="No",GroDB3[[#This Row],[Last_Order_Date]],GroDB3[[#This Row],[Date_Received]])</f>
        <v>45583</v>
      </c>
      <c r="L880" s="43">
        <f>IF(GroDB3[[#This Row],[Column1]]="No",GroDB3[[#This Row],[Date_Received]],GroDB3[[#This Row],[Last_Order_Date]])</f>
        <v>45501</v>
      </c>
      <c r="M880" s="43">
        <v>45377</v>
      </c>
      <c r="N880" s="3">
        <v>92</v>
      </c>
      <c r="O880" s="3">
        <v>46</v>
      </c>
      <c r="P880" s="3">
        <v>13</v>
      </c>
      <c r="Q880" s="4">
        <v>5</v>
      </c>
      <c r="R880" s="3">
        <v>24</v>
      </c>
      <c r="S880" s="3">
        <v>75</v>
      </c>
      <c r="T880" s="7">
        <v>0.28000000000000003</v>
      </c>
    </row>
    <row r="881" spans="1:20" x14ac:dyDescent="0.35">
      <c r="A881" s="5" t="s">
        <v>1109</v>
      </c>
      <c r="B881" s="3" t="s">
        <v>18</v>
      </c>
      <c r="C881" s="3" t="s">
        <v>277</v>
      </c>
      <c r="D881" s="3" t="s">
        <v>3125</v>
      </c>
      <c r="E881" s="3" t="s">
        <v>21</v>
      </c>
      <c r="F881" s="3" t="s">
        <v>3126</v>
      </c>
      <c r="G881" s="3" t="s">
        <v>3127</v>
      </c>
      <c r="H881" s="43">
        <v>45501</v>
      </c>
      <c r="I881" s="43">
        <v>45494</v>
      </c>
      <c r="J881" s="47" t="str">
        <f>IF(GroDB3[[#This Row],[Last_Order_Date]]&lt;=GroDB3[[#This Row],[Date_Received]], "Yes", "No")</f>
        <v>Yes</v>
      </c>
      <c r="K881" s="43">
        <f>IF(GroDB3[[#This Row],[Column1]]="No",GroDB3[[#This Row],[Last_Order_Date]],GroDB3[[#This Row],[Date_Received]])</f>
        <v>45501</v>
      </c>
      <c r="L881" s="43">
        <f>IF(GroDB3[[#This Row],[Column1]]="No",GroDB3[[#This Row],[Date_Received]],GroDB3[[#This Row],[Last_Order_Date]])</f>
        <v>45494</v>
      </c>
      <c r="M881" s="43">
        <v>45690</v>
      </c>
      <c r="N881" s="3">
        <v>26</v>
      </c>
      <c r="O881" s="3">
        <v>18</v>
      </c>
      <c r="P881" s="3">
        <v>62</v>
      </c>
      <c r="Q881" s="4">
        <v>2.5</v>
      </c>
      <c r="R881" s="3">
        <v>57</v>
      </c>
      <c r="S881" s="3">
        <v>86</v>
      </c>
      <c r="T881" s="7">
        <v>-2.13</v>
      </c>
    </row>
    <row r="882" spans="1:20" x14ac:dyDescent="0.35">
      <c r="A882" s="5" t="s">
        <v>446</v>
      </c>
      <c r="B882" s="3" t="s">
        <v>53</v>
      </c>
      <c r="C882" s="3" t="s">
        <v>277</v>
      </c>
      <c r="D882" s="3" t="s">
        <v>3128</v>
      </c>
      <c r="E882" s="3" t="s">
        <v>28</v>
      </c>
      <c r="F882" s="3" t="s">
        <v>3129</v>
      </c>
      <c r="G882" s="3" t="s">
        <v>3130</v>
      </c>
      <c r="H882" s="43">
        <v>45501</v>
      </c>
      <c r="I882" s="43">
        <v>45427</v>
      </c>
      <c r="J882" s="47" t="str">
        <f>IF(GroDB3[[#This Row],[Last_Order_Date]]&lt;=GroDB3[[#This Row],[Date_Received]], "Yes", "No")</f>
        <v>Yes</v>
      </c>
      <c r="K882" s="43">
        <f>IF(GroDB3[[#This Row],[Column1]]="No",GroDB3[[#This Row],[Last_Order_Date]],GroDB3[[#This Row],[Date_Received]])</f>
        <v>45501</v>
      </c>
      <c r="L882" s="43">
        <f>IF(GroDB3[[#This Row],[Column1]]="No",GroDB3[[#This Row],[Date_Received]],GroDB3[[#This Row],[Last_Order_Date]])</f>
        <v>45427</v>
      </c>
      <c r="M882" s="43">
        <v>45476</v>
      </c>
      <c r="N882" s="3">
        <v>13</v>
      </c>
      <c r="O882" s="3">
        <v>88</v>
      </c>
      <c r="P882" s="3">
        <v>7</v>
      </c>
      <c r="Q882" s="4">
        <v>9.5</v>
      </c>
      <c r="R882" s="3">
        <v>24</v>
      </c>
      <c r="S882" s="3">
        <v>21</v>
      </c>
      <c r="T882" s="7">
        <v>-0.51</v>
      </c>
    </row>
    <row r="883" spans="1:20" x14ac:dyDescent="0.35">
      <c r="A883" s="5" t="s">
        <v>47</v>
      </c>
      <c r="B883" s="3" t="s">
        <v>18</v>
      </c>
      <c r="C883" s="3" t="s">
        <v>532</v>
      </c>
      <c r="D883" s="3" t="s">
        <v>3131</v>
      </c>
      <c r="E883" s="3" t="s">
        <v>56</v>
      </c>
      <c r="F883" s="3" t="s">
        <v>3132</v>
      </c>
      <c r="G883" s="3" t="s">
        <v>3133</v>
      </c>
      <c r="H883" s="43">
        <v>45501</v>
      </c>
      <c r="I883" s="43">
        <v>45409</v>
      </c>
      <c r="J883" s="47" t="str">
        <f>IF(GroDB3[[#This Row],[Last_Order_Date]]&lt;=GroDB3[[#This Row],[Date_Received]], "Yes", "No")</f>
        <v>Yes</v>
      </c>
      <c r="K883" s="43">
        <f>IF(GroDB3[[#This Row],[Column1]]="No",GroDB3[[#This Row],[Last_Order_Date]],GroDB3[[#This Row],[Date_Received]])</f>
        <v>45501</v>
      </c>
      <c r="L883" s="43">
        <f>IF(GroDB3[[#This Row],[Column1]]="No",GroDB3[[#This Row],[Date_Received]],GroDB3[[#This Row],[Last_Order_Date]])</f>
        <v>45409</v>
      </c>
      <c r="M883" s="43">
        <v>45365</v>
      </c>
      <c r="N883" s="3">
        <v>90</v>
      </c>
      <c r="O883" s="3">
        <v>92</v>
      </c>
      <c r="P883" s="3">
        <v>56</v>
      </c>
      <c r="Q883" s="4">
        <v>2.5</v>
      </c>
      <c r="R883" s="3">
        <v>71</v>
      </c>
      <c r="S883" s="3">
        <v>13</v>
      </c>
      <c r="T883" s="7">
        <v>0.13</v>
      </c>
    </row>
    <row r="884" spans="1:20" x14ac:dyDescent="0.35">
      <c r="A884" s="5" t="s">
        <v>211</v>
      </c>
      <c r="B884" s="3" t="s">
        <v>32</v>
      </c>
      <c r="C884" s="3" t="s">
        <v>1127</v>
      </c>
      <c r="D884" s="3" t="s">
        <v>3134</v>
      </c>
      <c r="E884" s="3" t="s">
        <v>56</v>
      </c>
      <c r="F884" s="3" t="s">
        <v>3135</v>
      </c>
      <c r="G884" s="3" t="s">
        <v>3136</v>
      </c>
      <c r="H884" s="43">
        <v>45501</v>
      </c>
      <c r="I884" s="43">
        <v>45542</v>
      </c>
      <c r="J884" s="47" t="str">
        <f>IF(GroDB3[[#This Row],[Last_Order_Date]]&lt;=GroDB3[[#This Row],[Date_Received]], "Yes", "No")</f>
        <v>No</v>
      </c>
      <c r="K884" s="43">
        <f>IF(GroDB3[[#This Row],[Column1]]="No",GroDB3[[#This Row],[Last_Order_Date]],GroDB3[[#This Row],[Date_Received]])</f>
        <v>45542</v>
      </c>
      <c r="L884" s="43">
        <f>IF(GroDB3[[#This Row],[Column1]]="No",GroDB3[[#This Row],[Date_Received]],GroDB3[[#This Row],[Last_Order_Date]])</f>
        <v>45501</v>
      </c>
      <c r="M884" s="43">
        <v>45530</v>
      </c>
      <c r="N884" s="3">
        <v>43</v>
      </c>
      <c r="O884" s="3">
        <v>73</v>
      </c>
      <c r="P884" s="3">
        <v>14</v>
      </c>
      <c r="Q884" s="4">
        <v>4</v>
      </c>
      <c r="R884" s="3">
        <v>59</v>
      </c>
      <c r="S884" s="3">
        <v>65</v>
      </c>
      <c r="T884" s="7">
        <v>0.82</v>
      </c>
    </row>
    <row r="885" spans="1:20" x14ac:dyDescent="0.35">
      <c r="A885" s="5" t="s">
        <v>984</v>
      </c>
      <c r="B885" s="3" t="s">
        <v>18</v>
      </c>
      <c r="C885" s="3" t="s">
        <v>813</v>
      </c>
      <c r="D885" s="3" t="s">
        <v>3137</v>
      </c>
      <c r="E885" s="3" t="s">
        <v>21</v>
      </c>
      <c r="F885" s="3" t="s">
        <v>3138</v>
      </c>
      <c r="G885" s="3" t="s">
        <v>3139</v>
      </c>
      <c r="H885" s="43">
        <v>45501</v>
      </c>
      <c r="I885" s="43">
        <v>45588</v>
      </c>
      <c r="J885" s="47" t="str">
        <f>IF(GroDB3[[#This Row],[Last_Order_Date]]&lt;=GroDB3[[#This Row],[Date_Received]], "Yes", "No")</f>
        <v>No</v>
      </c>
      <c r="K885" s="43">
        <f>IF(GroDB3[[#This Row],[Column1]]="No",GroDB3[[#This Row],[Last_Order_Date]],GroDB3[[#This Row],[Date_Received]])</f>
        <v>45588</v>
      </c>
      <c r="L885" s="43">
        <f>IF(GroDB3[[#This Row],[Column1]]="No",GroDB3[[#This Row],[Date_Received]],GroDB3[[#This Row],[Last_Order_Date]])</f>
        <v>45501</v>
      </c>
      <c r="M885" s="43">
        <v>45486</v>
      </c>
      <c r="N885" s="3">
        <v>85</v>
      </c>
      <c r="O885" s="3">
        <v>54</v>
      </c>
      <c r="P885" s="3">
        <v>18</v>
      </c>
      <c r="Q885" s="4">
        <v>4</v>
      </c>
      <c r="R885" s="3">
        <v>85</v>
      </c>
      <c r="S885" s="3">
        <v>44</v>
      </c>
      <c r="T885" s="7">
        <v>-0.1</v>
      </c>
    </row>
    <row r="886" spans="1:20" x14ac:dyDescent="0.35">
      <c r="A886" s="5" t="s">
        <v>106</v>
      </c>
      <c r="B886" s="3" t="s">
        <v>32</v>
      </c>
      <c r="C886" s="3" t="s">
        <v>1455</v>
      </c>
      <c r="D886" s="3" t="s">
        <v>3140</v>
      </c>
      <c r="E886" s="3" t="s">
        <v>21</v>
      </c>
      <c r="F886" s="3" t="s">
        <v>3141</v>
      </c>
      <c r="G886" s="3" t="s">
        <v>3142</v>
      </c>
      <c r="H886" s="43">
        <v>45502</v>
      </c>
      <c r="I886" s="43">
        <v>45393</v>
      </c>
      <c r="J886" s="47" t="str">
        <f>IF(GroDB3[[#This Row],[Last_Order_Date]]&lt;=GroDB3[[#This Row],[Date_Received]], "Yes", "No")</f>
        <v>Yes</v>
      </c>
      <c r="K886" s="43">
        <f>IF(GroDB3[[#This Row],[Column1]]="No",GroDB3[[#This Row],[Last_Order_Date]],GroDB3[[#This Row],[Date_Received]])</f>
        <v>45502</v>
      </c>
      <c r="L886" s="43">
        <f>IF(GroDB3[[#This Row],[Column1]]="No",GroDB3[[#This Row],[Date_Received]],GroDB3[[#This Row],[Last_Order_Date]])</f>
        <v>45393</v>
      </c>
      <c r="M886" s="43">
        <v>45560</v>
      </c>
      <c r="N886" s="3">
        <v>44</v>
      </c>
      <c r="O886" s="3">
        <v>84</v>
      </c>
      <c r="P886" s="3">
        <v>63</v>
      </c>
      <c r="Q886" s="4">
        <v>2.5</v>
      </c>
      <c r="R886" s="3">
        <v>51</v>
      </c>
      <c r="S886" s="3">
        <v>67</v>
      </c>
      <c r="T886" s="7">
        <v>0.48</v>
      </c>
    </row>
    <row r="887" spans="1:20" x14ac:dyDescent="0.35">
      <c r="A887" s="5" t="s">
        <v>101</v>
      </c>
      <c r="B887" s="3" t="s">
        <v>18</v>
      </c>
      <c r="C887" s="3" t="s">
        <v>54</v>
      </c>
      <c r="D887" s="3" t="s">
        <v>3143</v>
      </c>
      <c r="E887" s="3" t="s">
        <v>56</v>
      </c>
      <c r="F887" s="3" t="s">
        <v>3144</v>
      </c>
      <c r="G887" s="3" t="s">
        <v>3145</v>
      </c>
      <c r="H887" s="43">
        <v>45502</v>
      </c>
      <c r="I887" s="43">
        <v>45663</v>
      </c>
      <c r="J887" s="47" t="str">
        <f>IF(GroDB3[[#This Row],[Last_Order_Date]]&lt;=GroDB3[[#This Row],[Date_Received]], "Yes", "No")</f>
        <v>No</v>
      </c>
      <c r="K887" s="43">
        <f>IF(GroDB3[[#This Row],[Column1]]="No",GroDB3[[#This Row],[Last_Order_Date]],GroDB3[[#This Row],[Date_Received]])</f>
        <v>45663</v>
      </c>
      <c r="L887" s="43">
        <f>IF(GroDB3[[#This Row],[Column1]]="No",GroDB3[[#This Row],[Date_Received]],GroDB3[[#This Row],[Last_Order_Date]])</f>
        <v>45502</v>
      </c>
      <c r="M887" s="43">
        <v>45698</v>
      </c>
      <c r="N887" s="3">
        <v>26</v>
      </c>
      <c r="O887" s="3">
        <v>95</v>
      </c>
      <c r="P887" s="3">
        <v>36</v>
      </c>
      <c r="Q887" s="4">
        <v>4.5</v>
      </c>
      <c r="R887" s="3">
        <v>92</v>
      </c>
      <c r="S887" s="3">
        <v>14</v>
      </c>
      <c r="T887" s="7">
        <v>-0.31</v>
      </c>
    </row>
    <row r="888" spans="1:20" x14ac:dyDescent="0.35">
      <c r="A888" s="5" t="s">
        <v>96</v>
      </c>
      <c r="B888" s="3" t="s">
        <v>18</v>
      </c>
      <c r="C888" s="3" t="s">
        <v>1829</v>
      </c>
      <c r="D888" s="3" t="s">
        <v>3146</v>
      </c>
      <c r="E888" s="3" t="s">
        <v>21</v>
      </c>
      <c r="F888" s="3" t="s">
        <v>3147</v>
      </c>
      <c r="G888" s="3" t="s">
        <v>3148</v>
      </c>
      <c r="H888" s="43">
        <v>45502</v>
      </c>
      <c r="I888" s="43">
        <v>45692</v>
      </c>
      <c r="J888" s="47" t="str">
        <f>IF(GroDB3[[#This Row],[Last_Order_Date]]&lt;=GroDB3[[#This Row],[Date_Received]], "Yes", "No")</f>
        <v>No</v>
      </c>
      <c r="K888" s="43">
        <f>IF(GroDB3[[#This Row],[Column1]]="No",GroDB3[[#This Row],[Last_Order_Date]],GroDB3[[#This Row],[Date_Received]])</f>
        <v>45692</v>
      </c>
      <c r="L888" s="43">
        <f>IF(GroDB3[[#This Row],[Column1]]="No",GroDB3[[#This Row],[Date_Received]],GroDB3[[#This Row],[Last_Order_Date]])</f>
        <v>45502</v>
      </c>
      <c r="M888" s="43">
        <v>45677</v>
      </c>
      <c r="N888" s="3">
        <v>86</v>
      </c>
      <c r="O888" s="3">
        <v>66</v>
      </c>
      <c r="P888" s="3">
        <v>24</v>
      </c>
      <c r="Q888" s="4">
        <v>2.5</v>
      </c>
      <c r="R888" s="3">
        <v>30</v>
      </c>
      <c r="S888" s="3">
        <v>6</v>
      </c>
      <c r="T888" s="7">
        <v>0.85</v>
      </c>
    </row>
    <row r="889" spans="1:20" x14ac:dyDescent="0.35">
      <c r="A889" s="5" t="s">
        <v>90</v>
      </c>
      <c r="B889" s="3" t="s">
        <v>91</v>
      </c>
      <c r="C889" s="3" t="s">
        <v>670</v>
      </c>
      <c r="D889" s="3" t="s">
        <v>3149</v>
      </c>
      <c r="E889" s="3" t="s">
        <v>21</v>
      </c>
      <c r="F889" s="3" t="s">
        <v>3150</v>
      </c>
      <c r="G889" s="3" t="s">
        <v>3151</v>
      </c>
      <c r="H889" s="43">
        <v>45502</v>
      </c>
      <c r="I889" s="43">
        <v>45638</v>
      </c>
      <c r="J889" s="47" t="str">
        <f>IF(GroDB3[[#This Row],[Last_Order_Date]]&lt;=GroDB3[[#This Row],[Date_Received]], "Yes", "No")</f>
        <v>No</v>
      </c>
      <c r="K889" s="43">
        <f>IF(GroDB3[[#This Row],[Column1]]="No",GroDB3[[#This Row],[Last_Order_Date]],GroDB3[[#This Row],[Date_Received]])</f>
        <v>45638</v>
      </c>
      <c r="L889" s="43">
        <f>IF(GroDB3[[#This Row],[Column1]]="No",GroDB3[[#This Row],[Date_Received]],GroDB3[[#This Row],[Last_Order_Date]])</f>
        <v>45502</v>
      </c>
      <c r="M889" s="43">
        <v>45626</v>
      </c>
      <c r="N889" s="3">
        <v>40</v>
      </c>
      <c r="O889" s="3">
        <v>91</v>
      </c>
      <c r="P889" s="3">
        <v>24</v>
      </c>
      <c r="Q889" s="4">
        <v>4</v>
      </c>
      <c r="R889" s="3">
        <v>28</v>
      </c>
      <c r="S889" s="3">
        <v>47</v>
      </c>
      <c r="T889" s="7">
        <v>0.8</v>
      </c>
    </row>
    <row r="890" spans="1:20" x14ac:dyDescent="0.35">
      <c r="A890" s="5" t="s">
        <v>392</v>
      </c>
      <c r="B890" s="3" t="s">
        <v>18</v>
      </c>
      <c r="C890" s="3" t="s">
        <v>254</v>
      </c>
      <c r="D890" s="3" t="s">
        <v>3152</v>
      </c>
      <c r="E890" s="3" t="s">
        <v>28</v>
      </c>
      <c r="F890" s="3" t="s">
        <v>3153</v>
      </c>
      <c r="G890" s="3" t="s">
        <v>3154</v>
      </c>
      <c r="H890" s="43">
        <v>45503</v>
      </c>
      <c r="I890" s="43">
        <v>45432</v>
      </c>
      <c r="J890" s="47" t="str">
        <f>IF(GroDB3[[#This Row],[Last_Order_Date]]&lt;=GroDB3[[#This Row],[Date_Received]], "Yes", "No")</f>
        <v>Yes</v>
      </c>
      <c r="K890" s="43">
        <f>IF(GroDB3[[#This Row],[Column1]]="No",GroDB3[[#This Row],[Last_Order_Date]],GroDB3[[#This Row],[Date_Received]])</f>
        <v>45503</v>
      </c>
      <c r="L890" s="43">
        <f>IF(GroDB3[[#This Row],[Column1]]="No",GroDB3[[#This Row],[Date_Received]],GroDB3[[#This Row],[Last_Order_Date]])</f>
        <v>45432</v>
      </c>
      <c r="M890" s="43">
        <v>45494</v>
      </c>
      <c r="N890" s="3">
        <v>88</v>
      </c>
      <c r="O890" s="3">
        <v>99</v>
      </c>
      <c r="P890" s="3">
        <v>41</v>
      </c>
      <c r="Q890" s="4">
        <v>5.5</v>
      </c>
      <c r="R890" s="3">
        <v>93</v>
      </c>
      <c r="S890" s="3">
        <v>99</v>
      </c>
      <c r="T890" s="7">
        <v>-0.68</v>
      </c>
    </row>
    <row r="891" spans="1:20" x14ac:dyDescent="0.35">
      <c r="A891" s="5" t="s">
        <v>446</v>
      </c>
      <c r="B891" s="3" t="s">
        <v>53</v>
      </c>
      <c r="C891" s="3" t="s">
        <v>1271</v>
      </c>
      <c r="D891" s="3" t="s">
        <v>3155</v>
      </c>
      <c r="E891" s="3" t="s">
        <v>28</v>
      </c>
      <c r="F891" s="3" t="s">
        <v>3156</v>
      </c>
      <c r="G891" s="3" t="s">
        <v>3157</v>
      </c>
      <c r="H891" s="43">
        <v>45503</v>
      </c>
      <c r="I891" s="43">
        <v>45596</v>
      </c>
      <c r="J891" s="47" t="str">
        <f>IF(GroDB3[[#This Row],[Last_Order_Date]]&lt;=GroDB3[[#This Row],[Date_Received]], "Yes", "No")</f>
        <v>No</v>
      </c>
      <c r="K891" s="43">
        <f>IF(GroDB3[[#This Row],[Column1]]="No",GroDB3[[#This Row],[Last_Order_Date]],GroDB3[[#This Row],[Date_Received]])</f>
        <v>45596</v>
      </c>
      <c r="L891" s="43">
        <f>IF(GroDB3[[#This Row],[Column1]]="No",GroDB3[[#This Row],[Date_Received]],GroDB3[[#This Row],[Last_Order_Date]])</f>
        <v>45503</v>
      </c>
      <c r="M891" s="43">
        <v>45493</v>
      </c>
      <c r="N891" s="3">
        <v>37</v>
      </c>
      <c r="O891" s="3">
        <v>47</v>
      </c>
      <c r="P891" s="3">
        <v>34</v>
      </c>
      <c r="Q891" s="4">
        <v>9.5</v>
      </c>
      <c r="R891" s="3">
        <v>38</v>
      </c>
      <c r="S891" s="3">
        <v>89</v>
      </c>
      <c r="T891" s="7">
        <v>-0.06</v>
      </c>
    </row>
    <row r="892" spans="1:20" x14ac:dyDescent="0.35">
      <c r="A892" s="5" t="s">
        <v>258</v>
      </c>
      <c r="B892" s="3" t="s">
        <v>25</v>
      </c>
      <c r="C892" s="3" t="s">
        <v>1207</v>
      </c>
      <c r="D892" s="3" t="s">
        <v>3158</v>
      </c>
      <c r="E892" s="3" t="s">
        <v>56</v>
      </c>
      <c r="F892" s="3" t="s">
        <v>3159</v>
      </c>
      <c r="G892" s="3" t="s">
        <v>3160</v>
      </c>
      <c r="H892" s="43">
        <v>45503</v>
      </c>
      <c r="I892" s="43">
        <v>45545</v>
      </c>
      <c r="J892" s="47" t="str">
        <f>IF(GroDB3[[#This Row],[Last_Order_Date]]&lt;=GroDB3[[#This Row],[Date_Received]], "Yes", "No")</f>
        <v>No</v>
      </c>
      <c r="K892" s="43">
        <f>IF(GroDB3[[#This Row],[Column1]]="No",GroDB3[[#This Row],[Last_Order_Date]],GroDB3[[#This Row],[Date_Received]])</f>
        <v>45545</v>
      </c>
      <c r="L892" s="43">
        <f>IF(GroDB3[[#This Row],[Column1]]="No",GroDB3[[#This Row],[Date_Received]],GroDB3[[#This Row],[Last_Order_Date]])</f>
        <v>45503</v>
      </c>
      <c r="M892" s="43">
        <v>45351</v>
      </c>
      <c r="N892" s="3">
        <v>21</v>
      </c>
      <c r="O892" s="3">
        <v>25</v>
      </c>
      <c r="P892" s="3">
        <v>39</v>
      </c>
      <c r="Q892" s="4">
        <v>4</v>
      </c>
      <c r="R892" s="3">
        <v>79</v>
      </c>
      <c r="S892" s="3">
        <v>30</v>
      </c>
      <c r="T892" s="7">
        <v>-1.34</v>
      </c>
    </row>
    <row r="893" spans="1:20" x14ac:dyDescent="0.35">
      <c r="A893" s="5" t="s">
        <v>17</v>
      </c>
      <c r="B893" s="3" t="s">
        <v>18</v>
      </c>
      <c r="C893" s="3" t="s">
        <v>1175</v>
      </c>
      <c r="D893" s="3" t="s">
        <v>3161</v>
      </c>
      <c r="E893" s="3" t="s">
        <v>21</v>
      </c>
      <c r="F893" s="3" t="s">
        <v>3162</v>
      </c>
      <c r="G893" s="3" t="s">
        <v>3163</v>
      </c>
      <c r="H893" s="43">
        <v>45504</v>
      </c>
      <c r="I893" s="43">
        <v>45500</v>
      </c>
      <c r="J893" s="47" t="str">
        <f>IF(GroDB3[[#This Row],[Last_Order_Date]]&lt;=GroDB3[[#This Row],[Date_Received]], "Yes", "No")</f>
        <v>Yes</v>
      </c>
      <c r="K893" s="43">
        <f>IF(GroDB3[[#This Row],[Column1]]="No",GroDB3[[#This Row],[Last_Order_Date]],GroDB3[[#This Row],[Date_Received]])</f>
        <v>45504</v>
      </c>
      <c r="L893" s="43">
        <f>IF(GroDB3[[#This Row],[Column1]]="No",GroDB3[[#This Row],[Date_Received]],GroDB3[[#This Row],[Last_Order_Date]])</f>
        <v>45500</v>
      </c>
      <c r="M893" s="43">
        <v>45480</v>
      </c>
      <c r="N893" s="3">
        <v>70</v>
      </c>
      <c r="O893" s="3">
        <v>31</v>
      </c>
      <c r="P893" s="3">
        <v>55</v>
      </c>
      <c r="Q893" s="4">
        <v>4.5</v>
      </c>
      <c r="R893" s="3">
        <v>23</v>
      </c>
      <c r="S893" s="3">
        <v>80</v>
      </c>
      <c r="T893" s="7">
        <v>0.62</v>
      </c>
    </row>
    <row r="894" spans="1:20" x14ac:dyDescent="0.35">
      <c r="A894" s="5" t="s">
        <v>549</v>
      </c>
      <c r="B894" s="3" t="s">
        <v>32</v>
      </c>
      <c r="C894" s="3" t="s">
        <v>294</v>
      </c>
      <c r="D894" s="3" t="s">
        <v>3164</v>
      </c>
      <c r="E894" s="3" t="s">
        <v>28</v>
      </c>
      <c r="F894" s="3" t="s">
        <v>3165</v>
      </c>
      <c r="G894" s="3" t="s">
        <v>3166</v>
      </c>
      <c r="H894" s="43">
        <v>45504</v>
      </c>
      <c r="I894" s="43">
        <v>45687</v>
      </c>
      <c r="J894" s="47" t="str">
        <f>IF(GroDB3[[#This Row],[Last_Order_Date]]&lt;=GroDB3[[#This Row],[Date_Received]], "Yes", "No")</f>
        <v>No</v>
      </c>
      <c r="K894" s="43">
        <f>IF(GroDB3[[#This Row],[Column1]]="No",GroDB3[[#This Row],[Last_Order_Date]],GroDB3[[#This Row],[Date_Received]])</f>
        <v>45687</v>
      </c>
      <c r="L894" s="43">
        <f>IF(GroDB3[[#This Row],[Column1]]="No",GroDB3[[#This Row],[Date_Received]],GroDB3[[#This Row],[Last_Order_Date]])</f>
        <v>45504</v>
      </c>
      <c r="M894" s="43">
        <v>45654</v>
      </c>
      <c r="N894" s="3">
        <v>65</v>
      </c>
      <c r="O894" s="3">
        <v>94</v>
      </c>
      <c r="P894" s="3">
        <v>4</v>
      </c>
      <c r="Q894" s="4">
        <v>2.5</v>
      </c>
      <c r="R894" s="3">
        <v>66</v>
      </c>
      <c r="S894" s="3">
        <v>36</v>
      </c>
      <c r="T894" s="7">
        <v>-2.48</v>
      </c>
    </row>
    <row r="895" spans="1:20" x14ac:dyDescent="0.35">
      <c r="A895" s="5" t="s">
        <v>592</v>
      </c>
      <c r="B895" s="3" t="s">
        <v>25</v>
      </c>
      <c r="C895" s="3" t="s">
        <v>1282</v>
      </c>
      <c r="D895" s="3" t="s">
        <v>3167</v>
      </c>
      <c r="E895" s="3" t="s">
        <v>21</v>
      </c>
      <c r="F895" s="3" t="s">
        <v>3168</v>
      </c>
      <c r="G895" s="3" t="s">
        <v>3169</v>
      </c>
      <c r="H895" s="43">
        <v>45504</v>
      </c>
      <c r="I895" s="43">
        <v>45646</v>
      </c>
      <c r="J895" s="47" t="str">
        <f>IF(GroDB3[[#This Row],[Last_Order_Date]]&lt;=GroDB3[[#This Row],[Date_Received]], "Yes", "No")</f>
        <v>No</v>
      </c>
      <c r="K895" s="43">
        <f>IF(GroDB3[[#This Row],[Column1]]="No",GroDB3[[#This Row],[Last_Order_Date]],GroDB3[[#This Row],[Date_Received]])</f>
        <v>45646</v>
      </c>
      <c r="L895" s="43">
        <f>IF(GroDB3[[#This Row],[Column1]]="No",GroDB3[[#This Row],[Date_Received]],GroDB3[[#This Row],[Last_Order_Date]])</f>
        <v>45504</v>
      </c>
      <c r="M895" s="43">
        <v>45582</v>
      </c>
      <c r="N895" s="3">
        <v>89</v>
      </c>
      <c r="O895" s="3">
        <v>79</v>
      </c>
      <c r="P895" s="3">
        <v>66</v>
      </c>
      <c r="Q895" s="4">
        <v>5</v>
      </c>
      <c r="R895" s="3">
        <v>91</v>
      </c>
      <c r="S895" s="3">
        <v>31</v>
      </c>
      <c r="T895" s="7">
        <v>0.45</v>
      </c>
    </row>
    <row r="896" spans="1:20" x14ac:dyDescent="0.35">
      <c r="A896" s="5" t="s">
        <v>263</v>
      </c>
      <c r="B896" s="3" t="s">
        <v>25</v>
      </c>
      <c r="C896" s="3" t="s">
        <v>692</v>
      </c>
      <c r="D896" s="3" t="s">
        <v>3170</v>
      </c>
      <c r="E896" s="3" t="s">
        <v>21</v>
      </c>
      <c r="F896" s="3" t="s">
        <v>3171</v>
      </c>
      <c r="G896" s="3" t="s">
        <v>3172</v>
      </c>
      <c r="H896" s="43">
        <v>45517</v>
      </c>
      <c r="I896" s="43">
        <v>45471</v>
      </c>
      <c r="J896" s="47" t="str">
        <f>IF(GroDB3[[#This Row],[Last_Order_Date]]&lt;=GroDB3[[#This Row],[Date_Received]], "Yes", "No")</f>
        <v>Yes</v>
      </c>
      <c r="K896" s="43">
        <f>IF(GroDB3[[#This Row],[Column1]]="No",GroDB3[[#This Row],[Last_Order_Date]],GroDB3[[#This Row],[Date_Received]])</f>
        <v>45517</v>
      </c>
      <c r="L896" s="43">
        <f>IF(GroDB3[[#This Row],[Column1]]="No",GroDB3[[#This Row],[Date_Received]],GroDB3[[#This Row],[Last_Order_Date]])</f>
        <v>45471</v>
      </c>
      <c r="M896" s="43">
        <v>45356</v>
      </c>
      <c r="N896" s="3">
        <v>47</v>
      </c>
      <c r="O896" s="3">
        <v>48</v>
      </c>
      <c r="P896" s="3">
        <v>73</v>
      </c>
      <c r="Q896" s="4">
        <v>6</v>
      </c>
      <c r="R896" s="3">
        <v>42</v>
      </c>
      <c r="S896" s="3">
        <v>51</v>
      </c>
      <c r="T896" s="7">
        <v>0.66</v>
      </c>
    </row>
    <row r="897" spans="1:20" x14ac:dyDescent="0.35">
      <c r="A897" s="5" t="s">
        <v>276</v>
      </c>
      <c r="B897" s="3" t="s">
        <v>18</v>
      </c>
      <c r="C897" s="3" t="s">
        <v>2144</v>
      </c>
      <c r="D897" s="3" t="s">
        <v>3173</v>
      </c>
      <c r="E897" s="3" t="s">
        <v>21</v>
      </c>
      <c r="F897" s="3" t="s">
        <v>3174</v>
      </c>
      <c r="G897" s="3" t="s">
        <v>3175</v>
      </c>
      <c r="H897" s="43">
        <v>45517</v>
      </c>
      <c r="I897" s="43">
        <v>45691</v>
      </c>
      <c r="J897" s="47" t="str">
        <f>IF(GroDB3[[#This Row],[Last_Order_Date]]&lt;=GroDB3[[#This Row],[Date_Received]], "Yes", "No")</f>
        <v>No</v>
      </c>
      <c r="K897" s="43">
        <f>IF(GroDB3[[#This Row],[Column1]]="No",GroDB3[[#This Row],[Last_Order_Date]],GroDB3[[#This Row],[Date_Received]])</f>
        <v>45691</v>
      </c>
      <c r="L897" s="43">
        <f>IF(GroDB3[[#This Row],[Column1]]="No",GroDB3[[#This Row],[Date_Received]],GroDB3[[#This Row],[Last_Order_Date]])</f>
        <v>45517</v>
      </c>
      <c r="M897" s="43">
        <v>45487</v>
      </c>
      <c r="N897" s="3">
        <v>70</v>
      </c>
      <c r="O897" s="3">
        <v>30</v>
      </c>
      <c r="P897" s="3">
        <v>69</v>
      </c>
      <c r="Q897" s="4">
        <v>3.5</v>
      </c>
      <c r="R897" s="3">
        <v>44</v>
      </c>
      <c r="S897" s="3">
        <v>42</v>
      </c>
      <c r="T897" s="7">
        <v>-0.21</v>
      </c>
    </row>
    <row r="898" spans="1:20" x14ac:dyDescent="0.35">
      <c r="A898" s="5" t="s">
        <v>342</v>
      </c>
      <c r="B898" s="3" t="s">
        <v>18</v>
      </c>
      <c r="C898" s="3" t="s">
        <v>692</v>
      </c>
      <c r="D898" s="3" t="s">
        <v>3176</v>
      </c>
      <c r="E898" s="3" t="s">
        <v>28</v>
      </c>
      <c r="F898" s="3" t="s">
        <v>3177</v>
      </c>
      <c r="G898" s="3" t="s">
        <v>3178</v>
      </c>
      <c r="H898" s="43">
        <v>45517</v>
      </c>
      <c r="I898" s="43">
        <v>45639</v>
      </c>
      <c r="J898" s="47" t="str">
        <f>IF(GroDB3[[#This Row],[Last_Order_Date]]&lt;=GroDB3[[#This Row],[Date_Received]], "Yes", "No")</f>
        <v>No</v>
      </c>
      <c r="K898" s="43">
        <f>IF(GroDB3[[#This Row],[Column1]]="No",GroDB3[[#This Row],[Last_Order_Date]],GroDB3[[#This Row],[Date_Received]])</f>
        <v>45639</v>
      </c>
      <c r="L898" s="43">
        <f>IF(GroDB3[[#This Row],[Column1]]="No",GroDB3[[#This Row],[Date_Received]],GroDB3[[#This Row],[Last_Order_Date]])</f>
        <v>45517</v>
      </c>
      <c r="M898" s="43">
        <v>45349</v>
      </c>
      <c r="N898" s="3">
        <v>14</v>
      </c>
      <c r="O898" s="3">
        <v>66</v>
      </c>
      <c r="P898" s="3">
        <v>1</v>
      </c>
      <c r="Q898" s="4">
        <v>6</v>
      </c>
      <c r="R898" s="3">
        <v>86</v>
      </c>
      <c r="S898" s="3">
        <v>15</v>
      </c>
      <c r="T898" s="7">
        <v>0.05</v>
      </c>
    </row>
    <row r="899" spans="1:20" x14ac:dyDescent="0.35">
      <c r="A899" s="5" t="s">
        <v>416</v>
      </c>
      <c r="B899" s="3" t="s">
        <v>53</v>
      </c>
      <c r="C899" s="3" t="s">
        <v>2077</v>
      </c>
      <c r="D899" s="3" t="s">
        <v>3179</v>
      </c>
      <c r="E899" s="3" t="s">
        <v>21</v>
      </c>
      <c r="F899" s="3" t="s">
        <v>3180</v>
      </c>
      <c r="G899" s="3" t="s">
        <v>3181</v>
      </c>
      <c r="H899" s="43">
        <v>45518</v>
      </c>
      <c r="I899" s="43">
        <v>45692</v>
      </c>
      <c r="J899" s="47" t="str">
        <f>IF(GroDB3[[#This Row],[Last_Order_Date]]&lt;=GroDB3[[#This Row],[Date_Received]], "Yes", "No")</f>
        <v>No</v>
      </c>
      <c r="K899" s="43">
        <f>IF(GroDB3[[#This Row],[Column1]]="No",GroDB3[[#This Row],[Last_Order_Date]],GroDB3[[#This Row],[Date_Received]])</f>
        <v>45692</v>
      </c>
      <c r="L899" s="43">
        <f>IF(GroDB3[[#This Row],[Column1]]="No",GroDB3[[#This Row],[Date_Received]],GroDB3[[#This Row],[Last_Order_Date]])</f>
        <v>45518</v>
      </c>
      <c r="M899" s="43">
        <v>45602</v>
      </c>
      <c r="N899" s="3">
        <v>53</v>
      </c>
      <c r="O899" s="3">
        <v>86</v>
      </c>
      <c r="P899" s="3">
        <v>54</v>
      </c>
      <c r="Q899" s="4">
        <v>3</v>
      </c>
      <c r="R899" s="3">
        <v>44</v>
      </c>
      <c r="S899" s="3">
        <v>3</v>
      </c>
      <c r="T899" s="7">
        <v>0.83</v>
      </c>
    </row>
    <row r="900" spans="1:20" x14ac:dyDescent="0.35">
      <c r="A900" s="5" t="s">
        <v>342</v>
      </c>
      <c r="B900" s="3" t="s">
        <v>18</v>
      </c>
      <c r="C900" s="3" t="s">
        <v>2112</v>
      </c>
      <c r="D900" s="3" t="s">
        <v>3182</v>
      </c>
      <c r="E900" s="3" t="s">
        <v>56</v>
      </c>
      <c r="F900" s="3" t="s">
        <v>3183</v>
      </c>
      <c r="G900" s="3" t="s">
        <v>3184</v>
      </c>
      <c r="H900" s="43">
        <v>45518</v>
      </c>
      <c r="I900" s="43">
        <v>45458</v>
      </c>
      <c r="J900" s="47" t="str">
        <f>IF(GroDB3[[#This Row],[Last_Order_Date]]&lt;=GroDB3[[#This Row],[Date_Received]], "Yes", "No")</f>
        <v>Yes</v>
      </c>
      <c r="K900" s="43">
        <f>IF(GroDB3[[#This Row],[Column1]]="No",GroDB3[[#This Row],[Last_Order_Date]],GroDB3[[#This Row],[Date_Received]])</f>
        <v>45518</v>
      </c>
      <c r="L900" s="43">
        <f>IF(GroDB3[[#This Row],[Column1]]="No",GroDB3[[#This Row],[Date_Received]],GroDB3[[#This Row],[Last_Order_Date]])</f>
        <v>45458</v>
      </c>
      <c r="M900" s="43">
        <v>45578</v>
      </c>
      <c r="N900" s="3">
        <v>65</v>
      </c>
      <c r="O900" s="3">
        <v>69</v>
      </c>
      <c r="P900" s="3">
        <v>4</v>
      </c>
      <c r="Q900" s="4">
        <v>6</v>
      </c>
      <c r="R900" s="3">
        <v>80</v>
      </c>
      <c r="S900" s="3">
        <v>26</v>
      </c>
      <c r="T900" s="7">
        <v>0.93</v>
      </c>
    </row>
    <row r="901" spans="1:20" x14ac:dyDescent="0.35">
      <c r="A901" s="5" t="s">
        <v>146</v>
      </c>
      <c r="B901" s="3" t="s">
        <v>53</v>
      </c>
      <c r="C901" s="3" t="s">
        <v>43</v>
      </c>
      <c r="D901" s="3" t="s">
        <v>3185</v>
      </c>
      <c r="E901" s="3" t="s">
        <v>28</v>
      </c>
      <c r="F901" s="3" t="s">
        <v>3186</v>
      </c>
      <c r="G901" s="3" t="s">
        <v>3187</v>
      </c>
      <c r="H901" s="43">
        <v>45518</v>
      </c>
      <c r="I901" s="43">
        <v>45483</v>
      </c>
      <c r="J901" s="47" t="str">
        <f>IF(GroDB3[[#This Row],[Last_Order_Date]]&lt;=GroDB3[[#This Row],[Date_Received]], "Yes", "No")</f>
        <v>Yes</v>
      </c>
      <c r="K901" s="43">
        <f>IF(GroDB3[[#This Row],[Column1]]="No",GroDB3[[#This Row],[Last_Order_Date]],GroDB3[[#This Row],[Date_Received]])</f>
        <v>45518</v>
      </c>
      <c r="L901" s="43">
        <f>IF(GroDB3[[#This Row],[Column1]]="No",GroDB3[[#This Row],[Date_Received]],GroDB3[[#This Row],[Last_Order_Date]])</f>
        <v>45483</v>
      </c>
      <c r="M901" s="43">
        <v>45656</v>
      </c>
      <c r="N901" s="3">
        <v>98</v>
      </c>
      <c r="O901" s="3">
        <v>20</v>
      </c>
      <c r="P901" s="3">
        <v>81</v>
      </c>
      <c r="Q901" s="4">
        <v>4.75</v>
      </c>
      <c r="R901" s="3">
        <v>51</v>
      </c>
      <c r="S901" s="3">
        <v>23</v>
      </c>
      <c r="T901" s="7">
        <v>0.68</v>
      </c>
    </row>
    <row r="902" spans="1:20" x14ac:dyDescent="0.35">
      <c r="A902" s="5" t="s">
        <v>1138</v>
      </c>
      <c r="B902" s="3" t="s">
        <v>32</v>
      </c>
      <c r="C902" s="3" t="s">
        <v>832</v>
      </c>
      <c r="D902" s="3" t="s">
        <v>3188</v>
      </c>
      <c r="E902" s="3" t="s">
        <v>21</v>
      </c>
      <c r="F902" s="3" t="s">
        <v>3189</v>
      </c>
      <c r="G902" s="3" t="s">
        <v>3190</v>
      </c>
      <c r="H902" s="43">
        <v>45518</v>
      </c>
      <c r="I902" s="43">
        <v>45530</v>
      </c>
      <c r="J902" s="47" t="str">
        <f>IF(GroDB3[[#This Row],[Last_Order_Date]]&lt;=GroDB3[[#This Row],[Date_Received]], "Yes", "No")</f>
        <v>No</v>
      </c>
      <c r="K902" s="43">
        <f>IF(GroDB3[[#This Row],[Column1]]="No",GroDB3[[#This Row],[Last_Order_Date]],GroDB3[[#This Row],[Date_Received]])</f>
        <v>45530</v>
      </c>
      <c r="L902" s="43">
        <f>IF(GroDB3[[#This Row],[Column1]]="No",GroDB3[[#This Row],[Date_Received]],GroDB3[[#This Row],[Last_Order_Date]])</f>
        <v>45518</v>
      </c>
      <c r="M902" s="43">
        <v>45541</v>
      </c>
      <c r="N902" s="3">
        <v>83</v>
      </c>
      <c r="O902" s="3">
        <v>35</v>
      </c>
      <c r="P902" s="3">
        <v>43</v>
      </c>
      <c r="Q902" s="4">
        <v>0.2</v>
      </c>
      <c r="R902" s="3">
        <v>94</v>
      </c>
      <c r="S902" s="3">
        <v>68</v>
      </c>
      <c r="T902" s="7">
        <v>0.55000000000000004</v>
      </c>
    </row>
    <row r="903" spans="1:20" x14ac:dyDescent="0.35">
      <c r="A903" s="5" t="s">
        <v>438</v>
      </c>
      <c r="B903" s="3" t="s">
        <v>18</v>
      </c>
      <c r="C903" s="3" t="s">
        <v>405</v>
      </c>
      <c r="D903" s="3" t="s">
        <v>3191</v>
      </c>
      <c r="E903" s="3" t="s">
        <v>56</v>
      </c>
      <c r="F903" s="3" t="s">
        <v>3192</v>
      </c>
      <c r="G903" s="3" t="s">
        <v>3193</v>
      </c>
      <c r="H903" s="43">
        <v>45519</v>
      </c>
      <c r="I903" s="43">
        <v>45457</v>
      </c>
      <c r="J903" s="47" t="str">
        <f>IF(GroDB3[[#This Row],[Last_Order_Date]]&lt;=GroDB3[[#This Row],[Date_Received]], "Yes", "No")</f>
        <v>Yes</v>
      </c>
      <c r="K903" s="43">
        <f>IF(GroDB3[[#This Row],[Column1]]="No",GroDB3[[#This Row],[Last_Order_Date]],GroDB3[[#This Row],[Date_Received]])</f>
        <v>45519</v>
      </c>
      <c r="L903" s="43">
        <f>IF(GroDB3[[#This Row],[Column1]]="No",GroDB3[[#This Row],[Date_Received]],GroDB3[[#This Row],[Last_Order_Date]])</f>
        <v>45457</v>
      </c>
      <c r="M903" s="43">
        <v>45649</v>
      </c>
      <c r="N903" s="3">
        <v>89</v>
      </c>
      <c r="O903" s="3">
        <v>57</v>
      </c>
      <c r="P903" s="3">
        <v>92</v>
      </c>
      <c r="Q903" s="4">
        <v>5</v>
      </c>
      <c r="R903" s="3">
        <v>38</v>
      </c>
      <c r="S903" s="3">
        <v>16</v>
      </c>
      <c r="T903" s="7">
        <v>0.28000000000000003</v>
      </c>
    </row>
    <row r="904" spans="1:20" x14ac:dyDescent="0.35">
      <c r="A904" s="5" t="s">
        <v>106</v>
      </c>
      <c r="B904" s="3" t="s">
        <v>32</v>
      </c>
      <c r="C904" s="3" t="s">
        <v>3194</v>
      </c>
      <c r="D904" s="3" t="s">
        <v>3195</v>
      </c>
      <c r="E904" s="3" t="s">
        <v>56</v>
      </c>
      <c r="F904" s="3" t="s">
        <v>3196</v>
      </c>
      <c r="G904" s="3" t="s">
        <v>3197</v>
      </c>
      <c r="H904" s="43">
        <v>45519</v>
      </c>
      <c r="I904" s="43">
        <v>45361</v>
      </c>
      <c r="J904" s="47" t="str">
        <f>IF(GroDB3[[#This Row],[Last_Order_Date]]&lt;=GroDB3[[#This Row],[Date_Received]], "Yes", "No")</f>
        <v>Yes</v>
      </c>
      <c r="K904" s="43">
        <f>IF(GroDB3[[#This Row],[Column1]]="No",GroDB3[[#This Row],[Last_Order_Date]],GroDB3[[#This Row],[Date_Received]])</f>
        <v>45519</v>
      </c>
      <c r="L904" s="43">
        <f>IF(GroDB3[[#This Row],[Column1]]="No",GroDB3[[#This Row],[Date_Received]],GroDB3[[#This Row],[Last_Order_Date]])</f>
        <v>45361</v>
      </c>
      <c r="M904" s="43">
        <v>45572</v>
      </c>
      <c r="N904" s="3">
        <v>23</v>
      </c>
      <c r="O904" s="3">
        <v>21</v>
      </c>
      <c r="P904" s="3">
        <v>59</v>
      </c>
      <c r="Q904" s="4">
        <v>2.4</v>
      </c>
      <c r="R904" s="3">
        <v>81</v>
      </c>
      <c r="S904" s="3">
        <v>8</v>
      </c>
      <c r="T904" s="7">
        <v>0.57999999999999996</v>
      </c>
    </row>
    <row r="905" spans="1:20" x14ac:dyDescent="0.35">
      <c r="A905" s="5" t="s">
        <v>465</v>
      </c>
      <c r="B905" s="3" t="s">
        <v>32</v>
      </c>
      <c r="C905" s="3" t="s">
        <v>1303</v>
      </c>
      <c r="D905" s="3" t="s">
        <v>3198</v>
      </c>
      <c r="E905" s="3" t="s">
        <v>28</v>
      </c>
      <c r="F905" s="3" t="s">
        <v>3199</v>
      </c>
      <c r="G905" s="3" t="s">
        <v>3200</v>
      </c>
      <c r="H905" s="43">
        <v>45519</v>
      </c>
      <c r="I905" s="43">
        <v>45480</v>
      </c>
      <c r="J905" s="47" t="str">
        <f>IF(GroDB3[[#This Row],[Last_Order_Date]]&lt;=GroDB3[[#This Row],[Date_Received]], "Yes", "No")</f>
        <v>Yes</v>
      </c>
      <c r="K905" s="43">
        <f>IF(GroDB3[[#This Row],[Column1]]="No",GroDB3[[#This Row],[Last_Order_Date]],GroDB3[[#This Row],[Date_Received]])</f>
        <v>45519</v>
      </c>
      <c r="L905" s="43">
        <f>IF(GroDB3[[#This Row],[Column1]]="No",GroDB3[[#This Row],[Date_Received]],GroDB3[[#This Row],[Last_Order_Date]])</f>
        <v>45480</v>
      </c>
      <c r="M905" s="43">
        <v>45463</v>
      </c>
      <c r="N905" s="3">
        <v>39</v>
      </c>
      <c r="O905" s="3">
        <v>55</v>
      </c>
      <c r="P905" s="3">
        <v>39</v>
      </c>
      <c r="Q905" s="4">
        <v>3</v>
      </c>
      <c r="R905" s="3">
        <v>47</v>
      </c>
      <c r="S905" s="3">
        <v>59</v>
      </c>
      <c r="T905" s="7">
        <v>0.9</v>
      </c>
    </row>
    <row r="906" spans="1:20" x14ac:dyDescent="0.35">
      <c r="A906" s="5" t="s">
        <v>325</v>
      </c>
      <c r="B906" s="3" t="s">
        <v>53</v>
      </c>
      <c r="C906" s="3" t="s">
        <v>71</v>
      </c>
      <c r="D906" s="3" t="s">
        <v>3201</v>
      </c>
      <c r="E906" s="3" t="s">
        <v>21</v>
      </c>
      <c r="F906" s="3" t="s">
        <v>3202</v>
      </c>
      <c r="G906" s="3" t="s">
        <v>3203</v>
      </c>
      <c r="H906" s="43">
        <v>45520</v>
      </c>
      <c r="I906" s="43">
        <v>45472</v>
      </c>
      <c r="J906" s="47" t="str">
        <f>IF(GroDB3[[#This Row],[Last_Order_Date]]&lt;=GroDB3[[#This Row],[Date_Received]], "Yes", "No")</f>
        <v>Yes</v>
      </c>
      <c r="K906" s="43">
        <f>IF(GroDB3[[#This Row],[Column1]]="No",GroDB3[[#This Row],[Last_Order_Date]],GroDB3[[#This Row],[Date_Received]])</f>
        <v>45520</v>
      </c>
      <c r="L906" s="43">
        <f>IF(GroDB3[[#This Row],[Column1]]="No",GroDB3[[#This Row],[Date_Received]],GroDB3[[#This Row],[Last_Order_Date]])</f>
        <v>45472</v>
      </c>
      <c r="M906" s="43">
        <v>45554</v>
      </c>
      <c r="N906" s="3">
        <v>22</v>
      </c>
      <c r="O906" s="3">
        <v>72</v>
      </c>
      <c r="P906" s="3">
        <v>70</v>
      </c>
      <c r="Q906" s="4">
        <v>4.5</v>
      </c>
      <c r="R906" s="3">
        <v>32</v>
      </c>
      <c r="S906" s="3">
        <v>19</v>
      </c>
      <c r="T906" s="7">
        <v>-0.26</v>
      </c>
    </row>
    <row r="907" spans="1:20" x14ac:dyDescent="0.35">
      <c r="A907" s="5" t="s">
        <v>258</v>
      </c>
      <c r="B907" s="3" t="s">
        <v>25</v>
      </c>
      <c r="C907" s="3" t="s">
        <v>3204</v>
      </c>
      <c r="D907" s="3" t="s">
        <v>3205</v>
      </c>
      <c r="E907" s="3" t="s">
        <v>21</v>
      </c>
      <c r="F907" s="3" t="s">
        <v>3206</v>
      </c>
      <c r="G907" s="3" t="s">
        <v>3207</v>
      </c>
      <c r="H907" s="43">
        <v>45520</v>
      </c>
      <c r="I907" s="43">
        <v>45682</v>
      </c>
      <c r="J907" s="47" t="str">
        <f>IF(GroDB3[[#This Row],[Last_Order_Date]]&lt;=GroDB3[[#This Row],[Date_Received]], "Yes", "No")</f>
        <v>No</v>
      </c>
      <c r="K907" s="43">
        <f>IF(GroDB3[[#This Row],[Column1]]="No",GroDB3[[#This Row],[Last_Order_Date]],GroDB3[[#This Row],[Date_Received]])</f>
        <v>45682</v>
      </c>
      <c r="L907" s="43">
        <f>IF(GroDB3[[#This Row],[Column1]]="No",GroDB3[[#This Row],[Date_Received]],GroDB3[[#This Row],[Last_Order_Date]])</f>
        <v>45520</v>
      </c>
      <c r="M907" s="43">
        <v>45534</v>
      </c>
      <c r="N907" s="3">
        <v>79</v>
      </c>
      <c r="O907" s="3">
        <v>3</v>
      </c>
      <c r="P907" s="3">
        <v>36</v>
      </c>
      <c r="Q907" s="4">
        <v>4</v>
      </c>
      <c r="R907" s="3">
        <v>46</v>
      </c>
      <c r="S907" s="3">
        <v>29</v>
      </c>
      <c r="T907" s="7">
        <v>0.41</v>
      </c>
    </row>
    <row r="908" spans="1:20" x14ac:dyDescent="0.35">
      <c r="A908" s="5" t="s">
        <v>288</v>
      </c>
      <c r="B908" s="3" t="s">
        <v>60</v>
      </c>
      <c r="C908" s="3" t="s">
        <v>2303</v>
      </c>
      <c r="D908" s="3" t="s">
        <v>3208</v>
      </c>
      <c r="E908" s="3" t="s">
        <v>56</v>
      </c>
      <c r="F908" s="3" t="s">
        <v>3209</v>
      </c>
      <c r="G908" s="3" t="s">
        <v>3210</v>
      </c>
      <c r="H908" s="43">
        <v>45521</v>
      </c>
      <c r="I908" s="43">
        <v>45566</v>
      </c>
      <c r="J908" s="47" t="str">
        <f>IF(GroDB3[[#This Row],[Last_Order_Date]]&lt;=GroDB3[[#This Row],[Date_Received]], "Yes", "No")</f>
        <v>No</v>
      </c>
      <c r="K908" s="43">
        <f>IF(GroDB3[[#This Row],[Column1]]="No",GroDB3[[#This Row],[Last_Order_Date]],GroDB3[[#This Row],[Date_Received]])</f>
        <v>45566</v>
      </c>
      <c r="L908" s="43">
        <f>IF(GroDB3[[#This Row],[Column1]]="No",GroDB3[[#This Row],[Date_Received]],GroDB3[[#This Row],[Last_Order_Date]])</f>
        <v>45521</v>
      </c>
      <c r="M908" s="43">
        <v>45538</v>
      </c>
      <c r="N908" s="3">
        <v>49</v>
      </c>
      <c r="O908" s="3">
        <v>73</v>
      </c>
      <c r="P908" s="3">
        <v>48</v>
      </c>
      <c r="Q908" s="4">
        <v>12</v>
      </c>
      <c r="R908" s="3">
        <v>52</v>
      </c>
      <c r="S908" s="3">
        <v>62</v>
      </c>
      <c r="T908" s="7">
        <v>0.37</v>
      </c>
    </row>
    <row r="909" spans="1:20" x14ac:dyDescent="0.35">
      <c r="A909" s="5" t="s">
        <v>230</v>
      </c>
      <c r="B909" s="3" t="s">
        <v>25</v>
      </c>
      <c r="C909" s="3" t="s">
        <v>1704</v>
      </c>
      <c r="D909" s="3" t="s">
        <v>3211</v>
      </c>
      <c r="E909" s="3" t="s">
        <v>28</v>
      </c>
      <c r="F909" s="3" t="s">
        <v>3212</v>
      </c>
      <c r="G909" s="3" t="s">
        <v>3213</v>
      </c>
      <c r="H909" s="43">
        <v>45521</v>
      </c>
      <c r="I909" s="43">
        <v>45501</v>
      </c>
      <c r="J909" s="47" t="str">
        <f>IF(GroDB3[[#This Row],[Last_Order_Date]]&lt;=GroDB3[[#This Row],[Date_Received]], "Yes", "No")</f>
        <v>Yes</v>
      </c>
      <c r="K909" s="43">
        <f>IF(GroDB3[[#This Row],[Column1]]="No",GroDB3[[#This Row],[Last_Order_Date]],GroDB3[[#This Row],[Date_Received]])</f>
        <v>45521</v>
      </c>
      <c r="L909" s="43">
        <f>IF(GroDB3[[#This Row],[Column1]]="No",GroDB3[[#This Row],[Date_Received]],GroDB3[[#This Row],[Last_Order_Date]])</f>
        <v>45501</v>
      </c>
      <c r="M909" s="43">
        <v>45619</v>
      </c>
      <c r="N909" s="3">
        <v>35</v>
      </c>
      <c r="O909" s="3">
        <v>41</v>
      </c>
      <c r="P909" s="3">
        <v>84</v>
      </c>
      <c r="Q909" s="4">
        <v>1.8</v>
      </c>
      <c r="R909" s="3">
        <v>62</v>
      </c>
      <c r="S909" s="3">
        <v>14</v>
      </c>
      <c r="T909" s="7">
        <v>-0.19</v>
      </c>
    </row>
    <row r="910" spans="1:20" x14ac:dyDescent="0.35">
      <c r="A910" s="5" t="s">
        <v>574</v>
      </c>
      <c r="B910" s="3" t="s">
        <v>53</v>
      </c>
      <c r="C910" s="3" t="s">
        <v>1505</v>
      </c>
      <c r="D910" s="3" t="s">
        <v>3214</v>
      </c>
      <c r="E910" s="3" t="s">
        <v>56</v>
      </c>
      <c r="F910" s="3" t="s">
        <v>3215</v>
      </c>
      <c r="G910" s="3" t="s">
        <v>3216</v>
      </c>
      <c r="H910" s="43">
        <v>45521</v>
      </c>
      <c r="I910" s="43">
        <v>45416</v>
      </c>
      <c r="J910" s="47" t="str">
        <f>IF(GroDB3[[#This Row],[Last_Order_Date]]&lt;=GroDB3[[#This Row],[Date_Received]], "Yes", "No")</f>
        <v>Yes</v>
      </c>
      <c r="K910" s="43">
        <f>IF(GroDB3[[#This Row],[Column1]]="No",GroDB3[[#This Row],[Last_Order_Date]],GroDB3[[#This Row],[Date_Received]])</f>
        <v>45521</v>
      </c>
      <c r="L910" s="43">
        <f>IF(GroDB3[[#This Row],[Column1]]="No",GroDB3[[#This Row],[Date_Received]],GroDB3[[#This Row],[Last_Order_Date]])</f>
        <v>45416</v>
      </c>
      <c r="M910" s="43">
        <v>45435</v>
      </c>
      <c r="N910" s="3">
        <v>27</v>
      </c>
      <c r="O910" s="3">
        <v>64</v>
      </c>
      <c r="P910" s="3">
        <v>78</v>
      </c>
      <c r="Q910" s="4">
        <v>2</v>
      </c>
      <c r="R910" s="3">
        <v>57</v>
      </c>
      <c r="S910" s="3">
        <v>4</v>
      </c>
      <c r="T910" s="7">
        <v>0.77</v>
      </c>
    </row>
    <row r="911" spans="1:20" x14ac:dyDescent="0.35">
      <c r="A911" s="5" t="s">
        <v>627</v>
      </c>
      <c r="B911" s="3" t="s">
        <v>53</v>
      </c>
      <c r="C911" s="3" t="s">
        <v>312</v>
      </c>
      <c r="D911" s="3" t="s">
        <v>3217</v>
      </c>
      <c r="E911" s="3" t="s">
        <v>21</v>
      </c>
      <c r="F911" s="3" t="s">
        <v>3218</v>
      </c>
      <c r="G911" s="3" t="s">
        <v>3219</v>
      </c>
      <c r="H911" s="43">
        <v>45521</v>
      </c>
      <c r="I911" s="43">
        <v>45372</v>
      </c>
      <c r="J911" s="47" t="str">
        <f>IF(GroDB3[[#This Row],[Last_Order_Date]]&lt;=GroDB3[[#This Row],[Date_Received]], "Yes", "No")</f>
        <v>Yes</v>
      </c>
      <c r="K911" s="43">
        <f>IF(GroDB3[[#This Row],[Column1]]="No",GroDB3[[#This Row],[Last_Order_Date]],GroDB3[[#This Row],[Date_Received]])</f>
        <v>45521</v>
      </c>
      <c r="L911" s="43">
        <f>IF(GroDB3[[#This Row],[Column1]]="No",GroDB3[[#This Row],[Date_Received]],GroDB3[[#This Row],[Last_Order_Date]])</f>
        <v>45372</v>
      </c>
      <c r="M911" s="43">
        <v>45360</v>
      </c>
      <c r="N911" s="3">
        <v>63</v>
      </c>
      <c r="O911" s="3">
        <v>4</v>
      </c>
      <c r="P911" s="3">
        <v>46</v>
      </c>
      <c r="Q911" s="4">
        <v>2.5</v>
      </c>
      <c r="R911" s="3">
        <v>40</v>
      </c>
      <c r="S911" s="3">
        <v>69</v>
      </c>
      <c r="T911" s="7">
        <v>0.93</v>
      </c>
    </row>
    <row r="912" spans="1:20" x14ac:dyDescent="0.35">
      <c r="A912" s="5" t="s">
        <v>101</v>
      </c>
      <c r="B912" s="3" t="s">
        <v>18</v>
      </c>
      <c r="C912" s="3" t="s">
        <v>1540</v>
      </c>
      <c r="D912" s="3" t="s">
        <v>3220</v>
      </c>
      <c r="E912" s="3" t="s">
        <v>21</v>
      </c>
      <c r="F912" s="3" t="s">
        <v>3221</v>
      </c>
      <c r="G912" s="3" t="s">
        <v>3222</v>
      </c>
      <c r="H912" s="43">
        <v>45522</v>
      </c>
      <c r="I912" s="43">
        <v>45615</v>
      </c>
      <c r="J912" s="47" t="str">
        <f>IF(GroDB3[[#This Row],[Last_Order_Date]]&lt;=GroDB3[[#This Row],[Date_Received]], "Yes", "No")</f>
        <v>No</v>
      </c>
      <c r="K912" s="43">
        <f>IF(GroDB3[[#This Row],[Column1]]="No",GroDB3[[#This Row],[Last_Order_Date]],GroDB3[[#This Row],[Date_Received]])</f>
        <v>45615</v>
      </c>
      <c r="L912" s="43">
        <f>IF(GroDB3[[#This Row],[Column1]]="No",GroDB3[[#This Row],[Date_Received]],GroDB3[[#This Row],[Last_Order_Date]])</f>
        <v>45522</v>
      </c>
      <c r="M912" s="43">
        <v>45646</v>
      </c>
      <c r="N912" s="3">
        <v>77</v>
      </c>
      <c r="O912" s="3">
        <v>20</v>
      </c>
      <c r="P912" s="3">
        <v>5</v>
      </c>
      <c r="Q912" s="4">
        <v>4.5</v>
      </c>
      <c r="R912" s="3">
        <v>61</v>
      </c>
      <c r="S912" s="3">
        <v>62</v>
      </c>
      <c r="T912" s="7">
        <v>-0.73</v>
      </c>
    </row>
    <row r="913" spans="1:20" x14ac:dyDescent="0.35">
      <c r="A913" s="5" t="s">
        <v>175</v>
      </c>
      <c r="B913" s="3" t="s">
        <v>53</v>
      </c>
      <c r="C913" s="3" t="s">
        <v>1282</v>
      </c>
      <c r="D913" s="3" t="s">
        <v>3223</v>
      </c>
      <c r="E913" s="3" t="s">
        <v>21</v>
      </c>
      <c r="F913" s="3" t="s">
        <v>3224</v>
      </c>
      <c r="G913" s="3" t="s">
        <v>3225</v>
      </c>
      <c r="H913" s="43">
        <v>45522</v>
      </c>
      <c r="I913" s="43">
        <v>45618</v>
      </c>
      <c r="J913" s="47" t="str">
        <f>IF(GroDB3[[#This Row],[Last_Order_Date]]&lt;=GroDB3[[#This Row],[Date_Received]], "Yes", "No")</f>
        <v>No</v>
      </c>
      <c r="K913" s="43">
        <f>IF(GroDB3[[#This Row],[Column1]]="No",GroDB3[[#This Row],[Last_Order_Date]],GroDB3[[#This Row],[Date_Received]])</f>
        <v>45618</v>
      </c>
      <c r="L913" s="43">
        <f>IF(GroDB3[[#This Row],[Column1]]="No",GroDB3[[#This Row],[Date_Received]],GroDB3[[#This Row],[Last_Order_Date]])</f>
        <v>45522</v>
      </c>
      <c r="M913" s="43">
        <v>45428</v>
      </c>
      <c r="N913" s="3">
        <v>14</v>
      </c>
      <c r="O913" s="3">
        <v>74</v>
      </c>
      <c r="P913" s="3">
        <v>71</v>
      </c>
      <c r="Q913" s="4">
        <v>1.5</v>
      </c>
      <c r="R913" s="3">
        <v>37</v>
      </c>
      <c r="S913" s="3">
        <v>22</v>
      </c>
      <c r="T913" s="7">
        <v>-0.02</v>
      </c>
    </row>
    <row r="914" spans="1:20" x14ac:dyDescent="0.35">
      <c r="A914" s="5" t="s">
        <v>1081</v>
      </c>
      <c r="B914" s="3" t="s">
        <v>127</v>
      </c>
      <c r="C914" s="3" t="s">
        <v>2815</v>
      </c>
      <c r="D914" s="3" t="s">
        <v>3226</v>
      </c>
      <c r="E914" s="3" t="s">
        <v>56</v>
      </c>
      <c r="F914" s="3" t="s">
        <v>3227</v>
      </c>
      <c r="G914" s="3" t="s">
        <v>3228</v>
      </c>
      <c r="H914" s="43">
        <v>45522</v>
      </c>
      <c r="I914" s="43">
        <v>45700</v>
      </c>
      <c r="J914" s="47" t="str">
        <f>IF(GroDB3[[#This Row],[Last_Order_Date]]&lt;=GroDB3[[#This Row],[Date_Received]], "Yes", "No")</f>
        <v>No</v>
      </c>
      <c r="K914" s="43">
        <f>IF(GroDB3[[#This Row],[Column1]]="No",GroDB3[[#This Row],[Last_Order_Date]],GroDB3[[#This Row],[Date_Received]])</f>
        <v>45700</v>
      </c>
      <c r="L914" s="43">
        <f>IF(GroDB3[[#This Row],[Column1]]="No",GroDB3[[#This Row],[Date_Received]],GroDB3[[#This Row],[Last_Order_Date]])</f>
        <v>45522</v>
      </c>
      <c r="M914" s="43">
        <v>45411</v>
      </c>
      <c r="N914" s="3">
        <v>63</v>
      </c>
      <c r="O914" s="3">
        <v>92</v>
      </c>
      <c r="P914" s="3">
        <v>26</v>
      </c>
      <c r="Q914" s="4">
        <v>8</v>
      </c>
      <c r="R914" s="3">
        <v>93</v>
      </c>
      <c r="S914" s="3">
        <v>99</v>
      </c>
      <c r="T914" s="7">
        <v>0.41</v>
      </c>
    </row>
    <row r="915" spans="1:20" x14ac:dyDescent="0.35">
      <c r="A915" s="5" t="s">
        <v>329</v>
      </c>
      <c r="B915" s="3" t="s">
        <v>53</v>
      </c>
      <c r="C915" s="3" t="s">
        <v>478</v>
      </c>
      <c r="D915" s="3" t="s">
        <v>3229</v>
      </c>
      <c r="E915" s="3" t="s">
        <v>28</v>
      </c>
      <c r="F915" s="3" t="s">
        <v>3230</v>
      </c>
      <c r="G915" s="3" t="s">
        <v>3231</v>
      </c>
      <c r="H915" s="43">
        <v>45522</v>
      </c>
      <c r="I915" s="43">
        <v>45385</v>
      </c>
      <c r="J915" s="47" t="str">
        <f>IF(GroDB3[[#This Row],[Last_Order_Date]]&lt;=GroDB3[[#This Row],[Date_Received]], "Yes", "No")</f>
        <v>Yes</v>
      </c>
      <c r="K915" s="43">
        <f>IF(GroDB3[[#This Row],[Column1]]="No",GroDB3[[#This Row],[Last_Order_Date]],GroDB3[[#This Row],[Date_Received]])</f>
        <v>45522</v>
      </c>
      <c r="L915" s="43">
        <f>IF(GroDB3[[#This Row],[Column1]]="No",GroDB3[[#This Row],[Date_Received]],GroDB3[[#This Row],[Last_Order_Date]])</f>
        <v>45385</v>
      </c>
      <c r="M915" s="43">
        <v>45599</v>
      </c>
      <c r="N915" s="3">
        <v>85</v>
      </c>
      <c r="O915" s="3">
        <v>4</v>
      </c>
      <c r="P915" s="3">
        <v>75</v>
      </c>
      <c r="Q915" s="4">
        <v>6.5</v>
      </c>
      <c r="R915" s="3">
        <v>95</v>
      </c>
      <c r="S915" s="3">
        <v>70</v>
      </c>
      <c r="T915" s="7">
        <v>-0.06</v>
      </c>
    </row>
    <row r="916" spans="1:20" x14ac:dyDescent="0.35">
      <c r="A916" s="5" t="s">
        <v>165</v>
      </c>
      <c r="B916" s="3" t="s">
        <v>60</v>
      </c>
      <c r="C916" s="3" t="s">
        <v>922</v>
      </c>
      <c r="D916" s="3" t="s">
        <v>3232</v>
      </c>
      <c r="E916" s="3" t="s">
        <v>56</v>
      </c>
      <c r="F916" s="3" t="s">
        <v>3233</v>
      </c>
      <c r="G916" s="3" t="s">
        <v>3234</v>
      </c>
      <c r="H916" s="43">
        <v>45522</v>
      </c>
      <c r="I916" s="43">
        <v>45606</v>
      </c>
      <c r="J916" s="47" t="str">
        <f>IF(GroDB3[[#This Row],[Last_Order_Date]]&lt;=GroDB3[[#This Row],[Date_Received]], "Yes", "No")</f>
        <v>No</v>
      </c>
      <c r="K916" s="43">
        <f>IF(GroDB3[[#This Row],[Column1]]="No",GroDB3[[#This Row],[Last_Order_Date]],GroDB3[[#This Row],[Date_Received]])</f>
        <v>45606</v>
      </c>
      <c r="L916" s="43">
        <f>IF(GroDB3[[#This Row],[Column1]]="No",GroDB3[[#This Row],[Date_Received]],GroDB3[[#This Row],[Last_Order_Date]])</f>
        <v>45522</v>
      </c>
      <c r="M916" s="43">
        <v>45366</v>
      </c>
      <c r="N916" s="3">
        <v>59</v>
      </c>
      <c r="O916" s="3">
        <v>59</v>
      </c>
      <c r="P916" s="3">
        <v>10</v>
      </c>
      <c r="Q916" s="4">
        <v>7</v>
      </c>
      <c r="R916" s="3">
        <v>57</v>
      </c>
      <c r="S916" s="3">
        <v>50</v>
      </c>
      <c r="T916" s="7">
        <v>0.26</v>
      </c>
    </row>
    <row r="917" spans="1:20" x14ac:dyDescent="0.35">
      <c r="A917" s="5" t="s">
        <v>674</v>
      </c>
      <c r="B917" s="3" t="s">
        <v>60</v>
      </c>
      <c r="C917" s="3" t="s">
        <v>1613</v>
      </c>
      <c r="D917" s="3" t="s">
        <v>3235</v>
      </c>
      <c r="E917" s="3" t="s">
        <v>21</v>
      </c>
      <c r="F917" s="3" t="s">
        <v>3236</v>
      </c>
      <c r="G917" s="3" t="s">
        <v>3237</v>
      </c>
      <c r="H917" s="43">
        <v>45522</v>
      </c>
      <c r="I917" s="43">
        <v>45441</v>
      </c>
      <c r="J917" s="47" t="str">
        <f>IF(GroDB3[[#This Row],[Last_Order_Date]]&lt;=GroDB3[[#This Row],[Date_Received]], "Yes", "No")</f>
        <v>Yes</v>
      </c>
      <c r="K917" s="43">
        <f>IF(GroDB3[[#This Row],[Column1]]="No",GroDB3[[#This Row],[Last_Order_Date]],GroDB3[[#This Row],[Date_Received]])</f>
        <v>45522</v>
      </c>
      <c r="L917" s="43">
        <f>IF(GroDB3[[#This Row],[Column1]]="No",GroDB3[[#This Row],[Date_Received]],GroDB3[[#This Row],[Last_Order_Date]])</f>
        <v>45441</v>
      </c>
      <c r="M917" s="43">
        <v>45667</v>
      </c>
      <c r="N917" s="3">
        <v>79</v>
      </c>
      <c r="O917" s="3">
        <v>53</v>
      </c>
      <c r="P917" s="3">
        <v>12</v>
      </c>
      <c r="Q917" s="4">
        <v>9</v>
      </c>
      <c r="R917" s="3">
        <v>45</v>
      </c>
      <c r="S917" s="3">
        <v>95</v>
      </c>
      <c r="T917" s="7">
        <v>0.12</v>
      </c>
    </row>
    <row r="918" spans="1:20" x14ac:dyDescent="0.35">
      <c r="A918" s="5" t="s">
        <v>31</v>
      </c>
      <c r="B918" s="3" t="s">
        <v>32</v>
      </c>
      <c r="C918" s="3" t="s">
        <v>2925</v>
      </c>
      <c r="D918" s="3" t="s">
        <v>3238</v>
      </c>
      <c r="E918" s="3" t="s">
        <v>28</v>
      </c>
      <c r="F918" s="3" t="s">
        <v>3239</v>
      </c>
      <c r="G918" s="3" t="s">
        <v>3240</v>
      </c>
      <c r="H918" s="43">
        <v>45522</v>
      </c>
      <c r="I918" s="43">
        <v>45577</v>
      </c>
      <c r="J918" s="47" t="str">
        <f>IF(GroDB3[[#This Row],[Last_Order_Date]]&lt;=GroDB3[[#This Row],[Date_Received]], "Yes", "No")</f>
        <v>No</v>
      </c>
      <c r="K918" s="43">
        <f>IF(GroDB3[[#This Row],[Column1]]="No",GroDB3[[#This Row],[Last_Order_Date]],GroDB3[[#This Row],[Date_Received]])</f>
        <v>45577</v>
      </c>
      <c r="L918" s="43">
        <f>IF(GroDB3[[#This Row],[Column1]]="No",GroDB3[[#This Row],[Date_Received]],GroDB3[[#This Row],[Last_Order_Date]])</f>
        <v>45522</v>
      </c>
      <c r="M918" s="43">
        <v>45388</v>
      </c>
      <c r="N918" s="3">
        <v>80</v>
      </c>
      <c r="O918" s="3">
        <v>100</v>
      </c>
      <c r="P918" s="3">
        <v>48</v>
      </c>
      <c r="Q918" s="4">
        <v>12</v>
      </c>
      <c r="R918" s="3">
        <v>100</v>
      </c>
      <c r="S918" s="3">
        <v>28</v>
      </c>
      <c r="T918" s="7">
        <v>-1.1100000000000001</v>
      </c>
    </row>
    <row r="919" spans="1:20" x14ac:dyDescent="0.35">
      <c r="A919" s="5" t="s">
        <v>132</v>
      </c>
      <c r="B919" s="3" t="s">
        <v>18</v>
      </c>
      <c r="C919" s="3" t="s">
        <v>2925</v>
      </c>
      <c r="D919" s="3" t="s">
        <v>3241</v>
      </c>
      <c r="E919" s="3" t="s">
        <v>28</v>
      </c>
      <c r="F919" s="3" t="s">
        <v>3242</v>
      </c>
      <c r="G919" s="3" t="s">
        <v>3243</v>
      </c>
      <c r="H919" s="43">
        <v>45523</v>
      </c>
      <c r="I919" s="43">
        <v>45566</v>
      </c>
      <c r="J919" s="47" t="str">
        <f>IF(GroDB3[[#This Row],[Last_Order_Date]]&lt;=GroDB3[[#This Row],[Date_Received]], "Yes", "No")</f>
        <v>No</v>
      </c>
      <c r="K919" s="43">
        <f>IF(GroDB3[[#This Row],[Column1]]="No",GroDB3[[#This Row],[Last_Order_Date]],GroDB3[[#This Row],[Date_Received]])</f>
        <v>45566</v>
      </c>
      <c r="L919" s="43">
        <f>IF(GroDB3[[#This Row],[Column1]]="No",GroDB3[[#This Row],[Date_Received]],GroDB3[[#This Row],[Last_Order_Date]])</f>
        <v>45523</v>
      </c>
      <c r="M919" s="43">
        <v>45698</v>
      </c>
      <c r="N919" s="3">
        <v>100</v>
      </c>
      <c r="O919" s="3">
        <v>3</v>
      </c>
      <c r="P919" s="3">
        <v>32</v>
      </c>
      <c r="Q919" s="4">
        <v>2</v>
      </c>
      <c r="R919" s="3">
        <v>98</v>
      </c>
      <c r="S919" s="3">
        <v>91</v>
      </c>
      <c r="T919" s="7">
        <v>0.72</v>
      </c>
    </row>
    <row r="920" spans="1:20" x14ac:dyDescent="0.35">
      <c r="A920" s="5" t="s">
        <v>253</v>
      </c>
      <c r="B920" s="3" t="s">
        <v>18</v>
      </c>
      <c r="C920" s="3" t="s">
        <v>1058</v>
      </c>
      <c r="D920" s="3" t="s">
        <v>3244</v>
      </c>
      <c r="E920" s="3" t="s">
        <v>28</v>
      </c>
      <c r="F920" s="3" t="s">
        <v>3245</v>
      </c>
      <c r="G920" s="3" t="s">
        <v>3246</v>
      </c>
      <c r="H920" s="43">
        <v>45523</v>
      </c>
      <c r="I920" s="43">
        <v>45502</v>
      </c>
      <c r="J920" s="47" t="str">
        <f>IF(GroDB3[[#This Row],[Last_Order_Date]]&lt;=GroDB3[[#This Row],[Date_Received]], "Yes", "No")</f>
        <v>Yes</v>
      </c>
      <c r="K920" s="43">
        <f>IF(GroDB3[[#This Row],[Column1]]="No",GroDB3[[#This Row],[Last_Order_Date]],GroDB3[[#This Row],[Date_Received]])</f>
        <v>45523</v>
      </c>
      <c r="L920" s="43">
        <f>IF(GroDB3[[#This Row],[Column1]]="No",GroDB3[[#This Row],[Date_Received]],GroDB3[[#This Row],[Last_Order_Date]])</f>
        <v>45502</v>
      </c>
      <c r="M920" s="43">
        <v>45353</v>
      </c>
      <c r="N920" s="3">
        <v>90</v>
      </c>
      <c r="O920" s="3">
        <v>30</v>
      </c>
      <c r="P920" s="3">
        <v>42</v>
      </c>
      <c r="Q920" s="4">
        <v>5</v>
      </c>
      <c r="R920" s="3">
        <v>76</v>
      </c>
      <c r="S920" s="3">
        <v>69</v>
      </c>
      <c r="T920" s="7">
        <v>7.0000000000000007E-2</v>
      </c>
    </row>
    <row r="921" spans="1:20" x14ac:dyDescent="0.35">
      <c r="A921" s="5" t="s">
        <v>1350</v>
      </c>
      <c r="B921" s="3" t="s">
        <v>32</v>
      </c>
      <c r="C921" s="3" t="s">
        <v>347</v>
      </c>
      <c r="D921" s="3" t="s">
        <v>3247</v>
      </c>
      <c r="E921" s="3" t="s">
        <v>56</v>
      </c>
      <c r="F921" s="3" t="s">
        <v>3248</v>
      </c>
      <c r="G921" s="3" t="s">
        <v>3249</v>
      </c>
      <c r="H921" s="43">
        <v>45524</v>
      </c>
      <c r="I921" s="43">
        <v>45473</v>
      </c>
      <c r="J921" s="47" t="str">
        <f>IF(GroDB3[[#This Row],[Last_Order_Date]]&lt;=GroDB3[[#This Row],[Date_Received]], "Yes", "No")</f>
        <v>Yes</v>
      </c>
      <c r="K921" s="43">
        <f>IF(GroDB3[[#This Row],[Column1]]="No",GroDB3[[#This Row],[Last_Order_Date]],GroDB3[[#This Row],[Date_Received]])</f>
        <v>45524</v>
      </c>
      <c r="L921" s="43">
        <f>IF(GroDB3[[#This Row],[Column1]]="No",GroDB3[[#This Row],[Date_Received]],GroDB3[[#This Row],[Last_Order_Date]])</f>
        <v>45473</v>
      </c>
      <c r="M921" s="43">
        <v>45455</v>
      </c>
      <c r="N921" s="3">
        <v>85</v>
      </c>
      <c r="O921" s="3">
        <v>28</v>
      </c>
      <c r="P921" s="3">
        <v>21</v>
      </c>
      <c r="Q921" s="4">
        <v>3</v>
      </c>
      <c r="R921" s="3">
        <v>45</v>
      </c>
      <c r="S921" s="3">
        <v>89</v>
      </c>
      <c r="T921" s="7">
        <v>0.09</v>
      </c>
    </row>
    <row r="922" spans="1:20" x14ac:dyDescent="0.35">
      <c r="A922" s="5" t="s">
        <v>175</v>
      </c>
      <c r="B922" s="3" t="s">
        <v>53</v>
      </c>
      <c r="C922" s="3" t="s">
        <v>2504</v>
      </c>
      <c r="D922" s="3" t="s">
        <v>3250</v>
      </c>
      <c r="E922" s="3" t="s">
        <v>56</v>
      </c>
      <c r="F922" s="3" t="s">
        <v>3251</v>
      </c>
      <c r="G922" s="3" t="s">
        <v>3252</v>
      </c>
      <c r="H922" s="43">
        <v>45524</v>
      </c>
      <c r="I922" s="43">
        <v>45402</v>
      </c>
      <c r="J922" s="47" t="str">
        <f>IF(GroDB3[[#This Row],[Last_Order_Date]]&lt;=GroDB3[[#This Row],[Date_Received]], "Yes", "No")</f>
        <v>Yes</v>
      </c>
      <c r="K922" s="43">
        <f>IF(GroDB3[[#This Row],[Column1]]="No",GroDB3[[#This Row],[Last_Order_Date]],GroDB3[[#This Row],[Date_Received]])</f>
        <v>45524</v>
      </c>
      <c r="L922" s="43">
        <f>IF(GroDB3[[#This Row],[Column1]]="No",GroDB3[[#This Row],[Date_Received]],GroDB3[[#This Row],[Last_Order_Date]])</f>
        <v>45402</v>
      </c>
      <c r="M922" s="43">
        <v>45634</v>
      </c>
      <c r="N922" s="3">
        <v>63</v>
      </c>
      <c r="O922" s="3">
        <v>43</v>
      </c>
      <c r="P922" s="3">
        <v>8</v>
      </c>
      <c r="Q922" s="4">
        <v>1.5</v>
      </c>
      <c r="R922" s="3">
        <v>55</v>
      </c>
      <c r="S922" s="3">
        <v>72</v>
      </c>
      <c r="T922" s="7">
        <v>-0.98</v>
      </c>
    </row>
    <row r="923" spans="1:20" x14ac:dyDescent="0.35">
      <c r="A923" s="5" t="s">
        <v>549</v>
      </c>
      <c r="B923" s="3" t="s">
        <v>32</v>
      </c>
      <c r="C923" s="3" t="s">
        <v>3253</v>
      </c>
      <c r="D923" s="3" t="s">
        <v>3254</v>
      </c>
      <c r="E923" s="3" t="s">
        <v>21</v>
      </c>
      <c r="F923" s="3" t="s">
        <v>3255</v>
      </c>
      <c r="G923" s="3" t="s">
        <v>3256</v>
      </c>
      <c r="H923" s="43">
        <v>45525</v>
      </c>
      <c r="I923" s="43">
        <v>45691</v>
      </c>
      <c r="J923" s="47" t="str">
        <f>IF(GroDB3[[#This Row],[Last_Order_Date]]&lt;=GroDB3[[#This Row],[Date_Received]], "Yes", "No")</f>
        <v>No</v>
      </c>
      <c r="K923" s="43">
        <f>IF(GroDB3[[#This Row],[Column1]]="No",GroDB3[[#This Row],[Last_Order_Date]],GroDB3[[#This Row],[Date_Received]])</f>
        <v>45691</v>
      </c>
      <c r="L923" s="43">
        <f>IF(GroDB3[[#This Row],[Column1]]="No",GroDB3[[#This Row],[Date_Received]],GroDB3[[#This Row],[Last_Order_Date]])</f>
        <v>45525</v>
      </c>
      <c r="M923" s="43">
        <v>45606</v>
      </c>
      <c r="N923" s="3">
        <v>97</v>
      </c>
      <c r="O923" s="3">
        <v>26</v>
      </c>
      <c r="P923" s="3">
        <v>15</v>
      </c>
      <c r="Q923" s="4">
        <v>2.5</v>
      </c>
      <c r="R923" s="3">
        <v>33</v>
      </c>
      <c r="S923" s="3">
        <v>58</v>
      </c>
      <c r="T923" s="7">
        <v>-0.31</v>
      </c>
    </row>
    <row r="924" spans="1:20" x14ac:dyDescent="0.35">
      <c r="A924" s="5" t="s">
        <v>1179</v>
      </c>
      <c r="B924" s="3" t="s">
        <v>91</v>
      </c>
      <c r="C924" s="3" t="s">
        <v>721</v>
      </c>
      <c r="D924" s="3" t="s">
        <v>3257</v>
      </c>
      <c r="E924" s="3" t="s">
        <v>28</v>
      </c>
      <c r="F924" s="3" t="s">
        <v>3258</v>
      </c>
      <c r="G924" s="3" t="s">
        <v>3259</v>
      </c>
      <c r="H924" s="43">
        <v>45526</v>
      </c>
      <c r="I924" s="43">
        <v>45538</v>
      </c>
      <c r="J924" s="47" t="str">
        <f>IF(GroDB3[[#This Row],[Last_Order_Date]]&lt;=GroDB3[[#This Row],[Date_Received]], "Yes", "No")</f>
        <v>No</v>
      </c>
      <c r="K924" s="43">
        <f>IF(GroDB3[[#This Row],[Column1]]="No",GroDB3[[#This Row],[Last_Order_Date]],GroDB3[[#This Row],[Date_Received]])</f>
        <v>45538</v>
      </c>
      <c r="L924" s="43">
        <f>IF(GroDB3[[#This Row],[Column1]]="No",GroDB3[[#This Row],[Date_Received]],GroDB3[[#This Row],[Last_Order_Date]])</f>
        <v>45526</v>
      </c>
      <c r="M924" s="43">
        <v>45677</v>
      </c>
      <c r="N924" s="3">
        <v>56</v>
      </c>
      <c r="O924" s="3">
        <v>62</v>
      </c>
      <c r="P924" s="3">
        <v>64</v>
      </c>
      <c r="Q924" s="4">
        <v>2.5</v>
      </c>
      <c r="R924" s="3">
        <v>56</v>
      </c>
      <c r="S924" s="3">
        <v>73</v>
      </c>
      <c r="T924" s="7">
        <v>-0.76</v>
      </c>
    </row>
    <row r="925" spans="1:20" x14ac:dyDescent="0.35">
      <c r="A925" s="5" t="s">
        <v>288</v>
      </c>
      <c r="B925" s="3" t="s">
        <v>60</v>
      </c>
      <c r="C925" s="3" t="s">
        <v>1365</v>
      </c>
      <c r="D925" s="3" t="s">
        <v>3260</v>
      </c>
      <c r="E925" s="3" t="s">
        <v>21</v>
      </c>
      <c r="F925" s="3" t="s">
        <v>3261</v>
      </c>
      <c r="G925" s="3" t="s">
        <v>3262</v>
      </c>
      <c r="H925" s="43">
        <v>45526</v>
      </c>
      <c r="I925" s="43">
        <v>45451</v>
      </c>
      <c r="J925" s="47" t="str">
        <f>IF(GroDB3[[#This Row],[Last_Order_Date]]&lt;=GroDB3[[#This Row],[Date_Received]], "Yes", "No")</f>
        <v>Yes</v>
      </c>
      <c r="K925" s="43">
        <f>IF(GroDB3[[#This Row],[Column1]]="No",GroDB3[[#This Row],[Last_Order_Date]],GroDB3[[#This Row],[Date_Received]])</f>
        <v>45526</v>
      </c>
      <c r="L925" s="43">
        <f>IF(GroDB3[[#This Row],[Column1]]="No",GroDB3[[#This Row],[Date_Received]],GroDB3[[#This Row],[Last_Order_Date]])</f>
        <v>45451</v>
      </c>
      <c r="M925" s="43">
        <v>45457</v>
      </c>
      <c r="N925" s="3">
        <v>19</v>
      </c>
      <c r="O925" s="3">
        <v>94</v>
      </c>
      <c r="P925" s="3">
        <v>17</v>
      </c>
      <c r="Q925" s="4">
        <v>11.5</v>
      </c>
      <c r="R925" s="3">
        <v>96</v>
      </c>
      <c r="S925" s="3">
        <v>74</v>
      </c>
      <c r="T925" s="7">
        <v>-0.3</v>
      </c>
    </row>
    <row r="926" spans="1:20" x14ac:dyDescent="0.35">
      <c r="A926" s="5" t="s">
        <v>239</v>
      </c>
      <c r="B926" s="3" t="s">
        <v>25</v>
      </c>
      <c r="C926" s="3" t="s">
        <v>882</v>
      </c>
      <c r="D926" s="3" t="s">
        <v>3263</v>
      </c>
      <c r="E926" s="3" t="s">
        <v>21</v>
      </c>
      <c r="F926" s="3" t="s">
        <v>3264</v>
      </c>
      <c r="G926" s="3" t="s">
        <v>3265</v>
      </c>
      <c r="H926" s="43">
        <v>45526</v>
      </c>
      <c r="I926" s="43">
        <v>45669</v>
      </c>
      <c r="J926" s="47" t="str">
        <f>IF(GroDB3[[#This Row],[Last_Order_Date]]&lt;=GroDB3[[#This Row],[Date_Received]], "Yes", "No")</f>
        <v>No</v>
      </c>
      <c r="K926" s="43">
        <f>IF(GroDB3[[#This Row],[Column1]]="No",GroDB3[[#This Row],[Last_Order_Date]],GroDB3[[#This Row],[Date_Received]])</f>
        <v>45669</v>
      </c>
      <c r="L926" s="43">
        <f>IF(GroDB3[[#This Row],[Column1]]="No",GroDB3[[#This Row],[Date_Received]],GroDB3[[#This Row],[Last_Order_Date]])</f>
        <v>45526</v>
      </c>
      <c r="M926" s="43">
        <v>45673</v>
      </c>
      <c r="N926" s="3">
        <v>15</v>
      </c>
      <c r="O926" s="3">
        <v>34</v>
      </c>
      <c r="P926" s="3">
        <v>57</v>
      </c>
      <c r="Q926" s="4">
        <v>6.5</v>
      </c>
      <c r="R926" s="3">
        <v>49</v>
      </c>
      <c r="S926" s="3">
        <v>96</v>
      </c>
      <c r="T926" s="7">
        <v>0.23</v>
      </c>
    </row>
    <row r="927" spans="1:20" x14ac:dyDescent="0.35">
      <c r="A927" s="5" t="s">
        <v>276</v>
      </c>
      <c r="B927" s="3" t="s">
        <v>18</v>
      </c>
      <c r="C927" s="3" t="s">
        <v>3266</v>
      </c>
      <c r="D927" s="3" t="s">
        <v>3267</v>
      </c>
      <c r="E927" s="3" t="s">
        <v>28</v>
      </c>
      <c r="F927" s="3" t="s">
        <v>3268</v>
      </c>
      <c r="G927" s="3" t="s">
        <v>3269</v>
      </c>
      <c r="H927" s="43">
        <v>45527</v>
      </c>
      <c r="I927" s="43">
        <v>45578</v>
      </c>
      <c r="J927" s="47" t="str">
        <f>IF(GroDB3[[#This Row],[Last_Order_Date]]&lt;=GroDB3[[#This Row],[Date_Received]], "Yes", "No")</f>
        <v>No</v>
      </c>
      <c r="K927" s="43">
        <f>IF(GroDB3[[#This Row],[Column1]]="No",GroDB3[[#This Row],[Last_Order_Date]],GroDB3[[#This Row],[Date_Received]])</f>
        <v>45578</v>
      </c>
      <c r="L927" s="43">
        <f>IF(GroDB3[[#This Row],[Column1]]="No",GroDB3[[#This Row],[Date_Received]],GroDB3[[#This Row],[Last_Order_Date]])</f>
        <v>45527</v>
      </c>
      <c r="M927" s="43">
        <v>45563</v>
      </c>
      <c r="N927" s="3">
        <v>18</v>
      </c>
      <c r="O927" s="3">
        <v>52</v>
      </c>
      <c r="P927" s="3">
        <v>22</v>
      </c>
      <c r="Q927" s="4">
        <v>3.5</v>
      </c>
      <c r="R927" s="3">
        <v>42</v>
      </c>
      <c r="S927" s="3">
        <v>32</v>
      </c>
      <c r="T927" s="7">
        <v>-0.96</v>
      </c>
    </row>
    <row r="928" spans="1:20" x14ac:dyDescent="0.35">
      <c r="A928" s="5" t="s">
        <v>1081</v>
      </c>
      <c r="B928" s="3" t="s">
        <v>127</v>
      </c>
      <c r="C928" s="3" t="s">
        <v>3025</v>
      </c>
      <c r="D928" s="3" t="s">
        <v>3270</v>
      </c>
      <c r="E928" s="3" t="s">
        <v>21</v>
      </c>
      <c r="F928" s="3" t="s">
        <v>3271</v>
      </c>
      <c r="G928" s="3" t="s">
        <v>3272</v>
      </c>
      <c r="H928" s="43">
        <v>45527</v>
      </c>
      <c r="I928" s="43">
        <v>45609</v>
      </c>
      <c r="J928" s="47" t="str">
        <f>IF(GroDB3[[#This Row],[Last_Order_Date]]&lt;=GroDB3[[#This Row],[Date_Received]], "Yes", "No")</f>
        <v>No</v>
      </c>
      <c r="K928" s="43">
        <f>IF(GroDB3[[#This Row],[Column1]]="No",GroDB3[[#This Row],[Last_Order_Date]],GroDB3[[#This Row],[Date_Received]])</f>
        <v>45609</v>
      </c>
      <c r="L928" s="43">
        <f>IF(GroDB3[[#This Row],[Column1]]="No",GroDB3[[#This Row],[Date_Received]],GroDB3[[#This Row],[Last_Order_Date]])</f>
        <v>45527</v>
      </c>
      <c r="M928" s="43">
        <v>45599</v>
      </c>
      <c r="N928" s="3">
        <v>88</v>
      </c>
      <c r="O928" s="3">
        <v>50</v>
      </c>
      <c r="P928" s="3">
        <v>88</v>
      </c>
      <c r="Q928" s="4">
        <v>8</v>
      </c>
      <c r="R928" s="3">
        <v>78</v>
      </c>
      <c r="S928" s="3">
        <v>28</v>
      </c>
      <c r="T928" s="7">
        <v>0.24</v>
      </c>
    </row>
    <row r="929" spans="1:20" x14ac:dyDescent="0.35">
      <c r="A929" s="5" t="s">
        <v>554</v>
      </c>
      <c r="B929" s="3" t="s">
        <v>53</v>
      </c>
      <c r="C929" s="3" t="s">
        <v>1398</v>
      </c>
      <c r="D929" s="3" t="s">
        <v>3273</v>
      </c>
      <c r="E929" s="3" t="s">
        <v>21</v>
      </c>
      <c r="F929" s="3" t="s">
        <v>3274</v>
      </c>
      <c r="G929" s="3" t="s">
        <v>3275</v>
      </c>
      <c r="H929" s="43">
        <v>45527</v>
      </c>
      <c r="I929" s="43">
        <v>45552</v>
      </c>
      <c r="J929" s="47" t="str">
        <f>IF(GroDB3[[#This Row],[Last_Order_Date]]&lt;=GroDB3[[#This Row],[Date_Received]], "Yes", "No")</f>
        <v>No</v>
      </c>
      <c r="K929" s="43">
        <f>IF(GroDB3[[#This Row],[Column1]]="No",GroDB3[[#This Row],[Last_Order_Date]],GroDB3[[#This Row],[Date_Received]])</f>
        <v>45552</v>
      </c>
      <c r="L929" s="43">
        <f>IF(GroDB3[[#This Row],[Column1]]="No",GroDB3[[#This Row],[Date_Received]],GroDB3[[#This Row],[Last_Order_Date]])</f>
        <v>45527</v>
      </c>
      <c r="M929" s="43">
        <v>45680</v>
      </c>
      <c r="N929" s="3">
        <v>44</v>
      </c>
      <c r="O929" s="3">
        <v>48</v>
      </c>
      <c r="P929" s="3">
        <v>77</v>
      </c>
      <c r="Q929" s="4">
        <v>2.5</v>
      </c>
      <c r="R929" s="3">
        <v>67</v>
      </c>
      <c r="S929" s="3">
        <v>79</v>
      </c>
      <c r="T929" s="7">
        <v>0.64</v>
      </c>
    </row>
    <row r="930" spans="1:20" x14ac:dyDescent="0.35">
      <c r="A930" s="5" t="s">
        <v>1081</v>
      </c>
      <c r="B930" s="3" t="s">
        <v>127</v>
      </c>
      <c r="C930" s="3" t="s">
        <v>1617</v>
      </c>
      <c r="D930" s="3" t="s">
        <v>3276</v>
      </c>
      <c r="E930" s="3" t="s">
        <v>56</v>
      </c>
      <c r="F930" s="3" t="s">
        <v>3277</v>
      </c>
      <c r="G930" s="3" t="s">
        <v>3278</v>
      </c>
      <c r="H930" s="43">
        <v>45528</v>
      </c>
      <c r="I930" s="43">
        <v>45565</v>
      </c>
      <c r="J930" s="47" t="str">
        <f>IF(GroDB3[[#This Row],[Last_Order_Date]]&lt;=GroDB3[[#This Row],[Date_Received]], "Yes", "No")</f>
        <v>No</v>
      </c>
      <c r="K930" s="43">
        <f>IF(GroDB3[[#This Row],[Column1]]="No",GroDB3[[#This Row],[Last_Order_Date]],GroDB3[[#This Row],[Date_Received]])</f>
        <v>45565</v>
      </c>
      <c r="L930" s="43">
        <f>IF(GroDB3[[#This Row],[Column1]]="No",GroDB3[[#This Row],[Date_Received]],GroDB3[[#This Row],[Last_Order_Date]])</f>
        <v>45528</v>
      </c>
      <c r="M930" s="43">
        <v>45398</v>
      </c>
      <c r="N930" s="3">
        <v>80</v>
      </c>
      <c r="O930" s="3">
        <v>54</v>
      </c>
      <c r="P930" s="3">
        <v>21</v>
      </c>
      <c r="Q930" s="4">
        <v>8.5</v>
      </c>
      <c r="R930" s="3">
        <v>81</v>
      </c>
      <c r="S930" s="3">
        <v>37</v>
      </c>
      <c r="T930" s="7">
        <v>-0.18</v>
      </c>
    </row>
    <row r="931" spans="1:20" x14ac:dyDescent="0.35">
      <c r="A931" s="5" t="s">
        <v>333</v>
      </c>
      <c r="B931" s="3" t="s">
        <v>53</v>
      </c>
      <c r="C931" s="3" t="s">
        <v>952</v>
      </c>
      <c r="D931" s="3" t="s">
        <v>3279</v>
      </c>
      <c r="E931" s="3" t="s">
        <v>56</v>
      </c>
      <c r="F931" s="3" t="s">
        <v>3280</v>
      </c>
      <c r="G931" s="3" t="s">
        <v>3281</v>
      </c>
      <c r="H931" s="43">
        <v>45528</v>
      </c>
      <c r="I931" s="43">
        <v>45613</v>
      </c>
      <c r="J931" s="47" t="str">
        <f>IF(GroDB3[[#This Row],[Last_Order_Date]]&lt;=GroDB3[[#This Row],[Date_Received]], "Yes", "No")</f>
        <v>No</v>
      </c>
      <c r="K931" s="43">
        <f>IF(GroDB3[[#This Row],[Column1]]="No",GroDB3[[#This Row],[Last_Order_Date]],GroDB3[[#This Row],[Date_Received]])</f>
        <v>45613</v>
      </c>
      <c r="L931" s="43">
        <f>IF(GroDB3[[#This Row],[Column1]]="No",GroDB3[[#This Row],[Date_Received]],GroDB3[[#This Row],[Last_Order_Date]])</f>
        <v>45528</v>
      </c>
      <c r="M931" s="43">
        <v>45372</v>
      </c>
      <c r="N931" s="3">
        <v>58</v>
      </c>
      <c r="O931" s="3">
        <v>24</v>
      </c>
      <c r="P931" s="3">
        <v>25</v>
      </c>
      <c r="Q931" s="4">
        <v>10</v>
      </c>
      <c r="R931" s="3">
        <v>75</v>
      </c>
      <c r="S931" s="3">
        <v>26</v>
      </c>
      <c r="T931" s="7">
        <v>0.54</v>
      </c>
    </row>
    <row r="932" spans="1:20" x14ac:dyDescent="0.35">
      <c r="A932" s="5" t="s">
        <v>175</v>
      </c>
      <c r="B932" s="3" t="s">
        <v>53</v>
      </c>
      <c r="C932" s="3" t="s">
        <v>729</v>
      </c>
      <c r="D932" s="3" t="s">
        <v>3282</v>
      </c>
      <c r="E932" s="3" t="s">
        <v>21</v>
      </c>
      <c r="F932" s="3" t="s">
        <v>3283</v>
      </c>
      <c r="G932" s="3" t="s">
        <v>3284</v>
      </c>
      <c r="H932" s="43">
        <v>45529</v>
      </c>
      <c r="I932" s="43">
        <v>45705</v>
      </c>
      <c r="J932" s="47" t="str">
        <f>IF(GroDB3[[#This Row],[Last_Order_Date]]&lt;=GroDB3[[#This Row],[Date_Received]], "Yes", "No")</f>
        <v>No</v>
      </c>
      <c r="K932" s="43">
        <f>IF(GroDB3[[#This Row],[Column1]]="No",GroDB3[[#This Row],[Last_Order_Date]],GroDB3[[#This Row],[Date_Received]])</f>
        <v>45705</v>
      </c>
      <c r="L932" s="43">
        <f>IF(GroDB3[[#This Row],[Column1]]="No",GroDB3[[#This Row],[Date_Received]],GroDB3[[#This Row],[Last_Order_Date]])</f>
        <v>45529</v>
      </c>
      <c r="M932" s="43">
        <v>45595</v>
      </c>
      <c r="N932" s="3">
        <v>57</v>
      </c>
      <c r="O932" s="3">
        <v>63</v>
      </c>
      <c r="P932" s="3">
        <v>41</v>
      </c>
      <c r="Q932" s="4">
        <v>1.5</v>
      </c>
      <c r="R932" s="3">
        <v>53</v>
      </c>
      <c r="S932" s="3">
        <v>94</v>
      </c>
      <c r="T932" s="7">
        <v>0.65</v>
      </c>
    </row>
    <row r="933" spans="1:20" x14ac:dyDescent="0.35">
      <c r="A933" s="5" t="s">
        <v>303</v>
      </c>
      <c r="B933" s="3" t="s">
        <v>60</v>
      </c>
      <c r="C933" s="3" t="s">
        <v>1175</v>
      </c>
      <c r="D933" s="3" t="s">
        <v>3285</v>
      </c>
      <c r="E933" s="3" t="s">
        <v>56</v>
      </c>
      <c r="F933" s="3" t="s">
        <v>3286</v>
      </c>
      <c r="G933" s="3" t="s">
        <v>3287</v>
      </c>
      <c r="H933" s="43">
        <v>45529</v>
      </c>
      <c r="I933" s="43">
        <v>45501</v>
      </c>
      <c r="J933" s="47" t="str">
        <f>IF(GroDB3[[#This Row],[Last_Order_Date]]&lt;=GroDB3[[#This Row],[Date_Received]], "Yes", "No")</f>
        <v>Yes</v>
      </c>
      <c r="K933" s="43">
        <f>IF(GroDB3[[#This Row],[Column1]]="No",GroDB3[[#This Row],[Last_Order_Date]],GroDB3[[#This Row],[Date_Received]])</f>
        <v>45529</v>
      </c>
      <c r="L933" s="43">
        <f>IF(GroDB3[[#This Row],[Column1]]="No",GroDB3[[#This Row],[Date_Received]],GroDB3[[#This Row],[Last_Order_Date]])</f>
        <v>45501</v>
      </c>
      <c r="M933" s="43">
        <v>45688</v>
      </c>
      <c r="N933" s="3">
        <v>30</v>
      </c>
      <c r="O933" s="3">
        <v>55</v>
      </c>
      <c r="P933" s="3">
        <v>4</v>
      </c>
      <c r="Q933" s="4">
        <v>6</v>
      </c>
      <c r="R933" s="3">
        <v>56</v>
      </c>
      <c r="S933" s="3">
        <v>31</v>
      </c>
      <c r="T933" s="7">
        <v>-0.77</v>
      </c>
    </row>
    <row r="934" spans="1:20" x14ac:dyDescent="0.35">
      <c r="A934" s="5" t="s">
        <v>446</v>
      </c>
      <c r="B934" s="3" t="s">
        <v>53</v>
      </c>
      <c r="C934" s="3" t="s">
        <v>1402</v>
      </c>
      <c r="D934" s="3" t="s">
        <v>3288</v>
      </c>
      <c r="E934" s="3" t="s">
        <v>56</v>
      </c>
      <c r="F934" s="3" t="s">
        <v>3289</v>
      </c>
      <c r="G934" s="3" t="s">
        <v>3290</v>
      </c>
      <c r="H934" s="43">
        <v>45529</v>
      </c>
      <c r="I934" s="43">
        <v>45679</v>
      </c>
      <c r="J934" s="47" t="str">
        <f>IF(GroDB3[[#This Row],[Last_Order_Date]]&lt;=GroDB3[[#This Row],[Date_Received]], "Yes", "No")</f>
        <v>No</v>
      </c>
      <c r="K934" s="43">
        <f>IF(GroDB3[[#This Row],[Column1]]="No",GroDB3[[#This Row],[Last_Order_Date]],GroDB3[[#This Row],[Date_Received]])</f>
        <v>45679</v>
      </c>
      <c r="L934" s="43">
        <f>IF(GroDB3[[#This Row],[Column1]]="No",GroDB3[[#This Row],[Date_Received]],GroDB3[[#This Row],[Last_Order_Date]])</f>
        <v>45529</v>
      </c>
      <c r="M934" s="43">
        <v>45462</v>
      </c>
      <c r="N934" s="3">
        <v>74</v>
      </c>
      <c r="O934" s="3">
        <v>22</v>
      </c>
      <c r="P934" s="3">
        <v>91</v>
      </c>
      <c r="Q934" s="4">
        <v>9.5</v>
      </c>
      <c r="R934" s="3">
        <v>24</v>
      </c>
      <c r="S934" s="3">
        <v>12</v>
      </c>
      <c r="T934" s="7">
        <v>0.45</v>
      </c>
    </row>
    <row r="935" spans="1:20" x14ac:dyDescent="0.35">
      <c r="A935" s="5" t="s">
        <v>1085</v>
      </c>
      <c r="B935" s="3" t="s">
        <v>32</v>
      </c>
      <c r="C935" s="3" t="s">
        <v>926</v>
      </c>
      <c r="D935" s="3" t="s">
        <v>3291</v>
      </c>
      <c r="E935" s="3" t="s">
        <v>56</v>
      </c>
      <c r="F935" s="3" t="s">
        <v>3292</v>
      </c>
      <c r="G935" s="3" t="s">
        <v>3293</v>
      </c>
      <c r="H935" s="43">
        <v>45530</v>
      </c>
      <c r="I935" s="43">
        <v>45616</v>
      </c>
      <c r="J935" s="47" t="str">
        <f>IF(GroDB3[[#This Row],[Last_Order_Date]]&lt;=GroDB3[[#This Row],[Date_Received]], "Yes", "No")</f>
        <v>No</v>
      </c>
      <c r="K935" s="43">
        <f>IF(GroDB3[[#This Row],[Column1]]="No",GroDB3[[#This Row],[Last_Order_Date]],GroDB3[[#This Row],[Date_Received]])</f>
        <v>45616</v>
      </c>
      <c r="L935" s="43">
        <f>IF(GroDB3[[#This Row],[Column1]]="No",GroDB3[[#This Row],[Date_Received]],GroDB3[[#This Row],[Last_Order_Date]])</f>
        <v>45530</v>
      </c>
      <c r="M935" s="43">
        <v>45574</v>
      </c>
      <c r="N935" s="3">
        <v>80</v>
      </c>
      <c r="O935" s="3">
        <v>9</v>
      </c>
      <c r="P935" s="3">
        <v>29</v>
      </c>
      <c r="Q935" s="4">
        <v>8.1</v>
      </c>
      <c r="R935" s="3">
        <v>54</v>
      </c>
      <c r="S935" s="3">
        <v>62</v>
      </c>
      <c r="T935" s="7">
        <v>0.5</v>
      </c>
    </row>
    <row r="936" spans="1:20" x14ac:dyDescent="0.35">
      <c r="A936" s="5" t="s">
        <v>180</v>
      </c>
      <c r="B936" s="3" t="s">
        <v>18</v>
      </c>
      <c r="C936" s="3" t="s">
        <v>1346</v>
      </c>
      <c r="D936" s="3" t="s">
        <v>3294</v>
      </c>
      <c r="E936" s="3" t="s">
        <v>56</v>
      </c>
      <c r="F936" s="3" t="s">
        <v>3295</v>
      </c>
      <c r="G936" s="3" t="s">
        <v>3296</v>
      </c>
      <c r="H936" s="43">
        <v>45530</v>
      </c>
      <c r="I936" s="43">
        <v>45572</v>
      </c>
      <c r="J936" s="47" t="str">
        <f>IF(GroDB3[[#This Row],[Last_Order_Date]]&lt;=GroDB3[[#This Row],[Date_Received]], "Yes", "No")</f>
        <v>No</v>
      </c>
      <c r="K936" s="43">
        <f>IF(GroDB3[[#This Row],[Column1]]="No",GroDB3[[#This Row],[Last_Order_Date]],GroDB3[[#This Row],[Date_Received]])</f>
        <v>45572</v>
      </c>
      <c r="L936" s="43">
        <f>IF(GroDB3[[#This Row],[Column1]]="No",GroDB3[[#This Row],[Date_Received]],GroDB3[[#This Row],[Last_Order_Date]])</f>
        <v>45530</v>
      </c>
      <c r="M936" s="43">
        <v>45630</v>
      </c>
      <c r="N936" s="3">
        <v>31</v>
      </c>
      <c r="O936" s="3">
        <v>98</v>
      </c>
      <c r="P936" s="3">
        <v>72</v>
      </c>
      <c r="Q936" s="4">
        <v>1.8</v>
      </c>
      <c r="R936" s="3">
        <v>91</v>
      </c>
      <c r="S936" s="3">
        <v>29</v>
      </c>
      <c r="T936" s="7">
        <v>-0.15</v>
      </c>
    </row>
    <row r="937" spans="1:20" x14ac:dyDescent="0.35">
      <c r="A937" s="5" t="s">
        <v>1069</v>
      </c>
      <c r="B937" s="3" t="s">
        <v>18</v>
      </c>
      <c r="C937" s="3" t="s">
        <v>608</v>
      </c>
      <c r="D937" s="3" t="s">
        <v>3297</v>
      </c>
      <c r="E937" s="3" t="s">
        <v>21</v>
      </c>
      <c r="F937" s="3" t="s">
        <v>3298</v>
      </c>
      <c r="G937" s="3" t="s">
        <v>3299</v>
      </c>
      <c r="H937" s="43">
        <v>45530</v>
      </c>
      <c r="I937" s="43">
        <v>45633</v>
      </c>
      <c r="J937" s="47" t="str">
        <f>IF(GroDB3[[#This Row],[Last_Order_Date]]&lt;=GroDB3[[#This Row],[Date_Received]], "Yes", "No")</f>
        <v>No</v>
      </c>
      <c r="K937" s="43">
        <f>IF(GroDB3[[#This Row],[Column1]]="No",GroDB3[[#This Row],[Last_Order_Date]],GroDB3[[#This Row],[Date_Received]])</f>
        <v>45633</v>
      </c>
      <c r="L937" s="43">
        <f>IF(GroDB3[[#This Row],[Column1]]="No",GroDB3[[#This Row],[Date_Received]],GroDB3[[#This Row],[Last_Order_Date]])</f>
        <v>45530</v>
      </c>
      <c r="M937" s="43">
        <v>45433</v>
      </c>
      <c r="N937" s="3">
        <v>31</v>
      </c>
      <c r="O937" s="3">
        <v>89</v>
      </c>
      <c r="P937" s="3">
        <v>7</v>
      </c>
      <c r="Q937" s="4">
        <v>5.9</v>
      </c>
      <c r="R937" s="3">
        <v>46</v>
      </c>
      <c r="S937" s="3">
        <v>54</v>
      </c>
      <c r="T937" s="7">
        <v>0.68</v>
      </c>
    </row>
    <row r="938" spans="1:20" x14ac:dyDescent="0.35">
      <c r="A938" s="5" t="s">
        <v>446</v>
      </c>
      <c r="B938" s="3" t="s">
        <v>53</v>
      </c>
      <c r="C938" s="3" t="s">
        <v>19</v>
      </c>
      <c r="D938" s="3" t="s">
        <v>3300</v>
      </c>
      <c r="E938" s="3" t="s">
        <v>28</v>
      </c>
      <c r="F938" s="3" t="s">
        <v>3301</v>
      </c>
      <c r="G938" s="3" t="s">
        <v>3302</v>
      </c>
      <c r="H938" s="43">
        <v>45530</v>
      </c>
      <c r="I938" s="43">
        <v>45565</v>
      </c>
      <c r="J938" s="47" t="str">
        <f>IF(GroDB3[[#This Row],[Last_Order_Date]]&lt;=GroDB3[[#This Row],[Date_Received]], "Yes", "No")</f>
        <v>No</v>
      </c>
      <c r="K938" s="43">
        <f>IF(GroDB3[[#This Row],[Column1]]="No",GroDB3[[#This Row],[Last_Order_Date]],GroDB3[[#This Row],[Date_Received]])</f>
        <v>45565</v>
      </c>
      <c r="L938" s="43">
        <f>IF(GroDB3[[#This Row],[Column1]]="No",GroDB3[[#This Row],[Date_Received]],GroDB3[[#This Row],[Last_Order_Date]])</f>
        <v>45530</v>
      </c>
      <c r="M938" s="43">
        <v>45591</v>
      </c>
      <c r="N938" s="3">
        <v>75</v>
      </c>
      <c r="O938" s="3">
        <v>46</v>
      </c>
      <c r="P938" s="3">
        <v>75</v>
      </c>
      <c r="Q938" s="4">
        <v>9.5</v>
      </c>
      <c r="R938" s="3">
        <v>43</v>
      </c>
      <c r="S938" s="3">
        <v>77</v>
      </c>
      <c r="T938" s="7">
        <v>-0.17</v>
      </c>
    </row>
    <row r="939" spans="1:20" x14ac:dyDescent="0.35">
      <c r="A939" s="5" t="s">
        <v>132</v>
      </c>
      <c r="B939" s="3" t="s">
        <v>18</v>
      </c>
      <c r="C939" s="3" t="s">
        <v>912</v>
      </c>
      <c r="D939" s="3" t="s">
        <v>3303</v>
      </c>
      <c r="E939" s="3" t="s">
        <v>28</v>
      </c>
      <c r="F939" s="3" t="s">
        <v>3304</v>
      </c>
      <c r="G939" s="3" t="s">
        <v>3305</v>
      </c>
      <c r="H939" s="43">
        <v>45531</v>
      </c>
      <c r="I939" s="43">
        <v>45700</v>
      </c>
      <c r="J939" s="47" t="str">
        <f>IF(GroDB3[[#This Row],[Last_Order_Date]]&lt;=GroDB3[[#This Row],[Date_Received]], "Yes", "No")</f>
        <v>No</v>
      </c>
      <c r="K939" s="43">
        <f>IF(GroDB3[[#This Row],[Column1]]="No",GroDB3[[#This Row],[Last_Order_Date]],GroDB3[[#This Row],[Date_Received]])</f>
        <v>45700</v>
      </c>
      <c r="L939" s="43">
        <f>IF(GroDB3[[#This Row],[Column1]]="No",GroDB3[[#This Row],[Date_Received]],GroDB3[[#This Row],[Last_Order_Date]])</f>
        <v>45531</v>
      </c>
      <c r="M939" s="43">
        <v>45420</v>
      </c>
      <c r="N939" s="3">
        <v>65</v>
      </c>
      <c r="O939" s="3">
        <v>10</v>
      </c>
      <c r="P939" s="3">
        <v>81</v>
      </c>
      <c r="Q939" s="4">
        <v>2</v>
      </c>
      <c r="R939" s="3">
        <v>71</v>
      </c>
      <c r="S939" s="3">
        <v>61</v>
      </c>
      <c r="T939" s="7">
        <v>-0.79</v>
      </c>
    </row>
    <row r="940" spans="1:20" x14ac:dyDescent="0.35">
      <c r="A940" s="5" t="s">
        <v>96</v>
      </c>
      <c r="B940" s="3" t="s">
        <v>18</v>
      </c>
      <c r="C940" s="3" t="s">
        <v>381</v>
      </c>
      <c r="D940" s="3" t="s">
        <v>3306</v>
      </c>
      <c r="E940" s="3" t="s">
        <v>21</v>
      </c>
      <c r="F940" s="3" t="s">
        <v>3307</v>
      </c>
      <c r="G940" s="3" t="s">
        <v>3308</v>
      </c>
      <c r="H940" s="43">
        <v>45531</v>
      </c>
      <c r="I940" s="43">
        <v>45463</v>
      </c>
      <c r="J940" s="47" t="str">
        <f>IF(GroDB3[[#This Row],[Last_Order_Date]]&lt;=GroDB3[[#This Row],[Date_Received]], "Yes", "No")</f>
        <v>Yes</v>
      </c>
      <c r="K940" s="43">
        <f>IF(GroDB3[[#This Row],[Column1]]="No",GroDB3[[#This Row],[Last_Order_Date]],GroDB3[[#This Row],[Date_Received]])</f>
        <v>45531</v>
      </c>
      <c r="L940" s="43">
        <f>IF(GroDB3[[#This Row],[Column1]]="No",GroDB3[[#This Row],[Date_Received]],GroDB3[[#This Row],[Last_Order_Date]])</f>
        <v>45463</v>
      </c>
      <c r="M940" s="43">
        <v>45593</v>
      </c>
      <c r="N940" s="3">
        <v>33</v>
      </c>
      <c r="O940" s="3">
        <v>89</v>
      </c>
      <c r="P940" s="3">
        <v>15</v>
      </c>
      <c r="Q940" s="4">
        <v>2.5</v>
      </c>
      <c r="R940" s="3">
        <v>90</v>
      </c>
      <c r="S940" s="3">
        <v>52</v>
      </c>
      <c r="T940" s="7">
        <v>0.14000000000000001</v>
      </c>
    </row>
    <row r="941" spans="1:20" x14ac:dyDescent="0.35">
      <c r="A941" s="5" t="s">
        <v>70</v>
      </c>
      <c r="B941" s="3" t="s">
        <v>32</v>
      </c>
      <c r="C941" s="3" t="s">
        <v>3309</v>
      </c>
      <c r="D941" s="3" t="s">
        <v>3310</v>
      </c>
      <c r="E941" s="3" t="s">
        <v>28</v>
      </c>
      <c r="F941" s="3" t="s">
        <v>3311</v>
      </c>
      <c r="G941" s="3" t="s">
        <v>3312</v>
      </c>
      <c r="H941" s="43">
        <v>45531</v>
      </c>
      <c r="I941" s="43">
        <v>45415</v>
      </c>
      <c r="J941" s="47" t="str">
        <f>IF(GroDB3[[#This Row],[Last_Order_Date]]&lt;=GroDB3[[#This Row],[Date_Received]], "Yes", "No")</f>
        <v>Yes</v>
      </c>
      <c r="K941" s="43">
        <f>IF(GroDB3[[#This Row],[Column1]]="No",GroDB3[[#This Row],[Last_Order_Date]],GroDB3[[#This Row],[Date_Received]])</f>
        <v>45531</v>
      </c>
      <c r="L941" s="43">
        <f>IF(GroDB3[[#This Row],[Column1]]="No",GroDB3[[#This Row],[Date_Received]],GroDB3[[#This Row],[Last_Order_Date]])</f>
        <v>45415</v>
      </c>
      <c r="M941" s="43">
        <v>45399</v>
      </c>
      <c r="N941" s="3">
        <v>80</v>
      </c>
      <c r="O941" s="3">
        <v>69</v>
      </c>
      <c r="P941" s="3">
        <v>71</v>
      </c>
      <c r="Q941" s="4">
        <v>1.75</v>
      </c>
      <c r="R941" s="3">
        <v>41</v>
      </c>
      <c r="S941" s="3">
        <v>43</v>
      </c>
      <c r="T941" s="7">
        <v>0.42</v>
      </c>
    </row>
    <row r="942" spans="1:20" x14ac:dyDescent="0.35">
      <c r="A942" s="5" t="s">
        <v>106</v>
      </c>
      <c r="B942" s="3" t="s">
        <v>32</v>
      </c>
      <c r="C942" s="3" t="s">
        <v>299</v>
      </c>
      <c r="D942" s="3" t="s">
        <v>3313</v>
      </c>
      <c r="E942" s="3" t="s">
        <v>21</v>
      </c>
      <c r="F942" s="3" t="s">
        <v>3314</v>
      </c>
      <c r="G942" s="3" t="s">
        <v>3315</v>
      </c>
      <c r="H942" s="43">
        <v>45531</v>
      </c>
      <c r="I942" s="43">
        <v>45567</v>
      </c>
      <c r="J942" s="47" t="str">
        <f>IF(GroDB3[[#This Row],[Last_Order_Date]]&lt;=GroDB3[[#This Row],[Date_Received]], "Yes", "No")</f>
        <v>No</v>
      </c>
      <c r="K942" s="43">
        <f>IF(GroDB3[[#This Row],[Column1]]="No",GroDB3[[#This Row],[Last_Order_Date]],GroDB3[[#This Row],[Date_Received]])</f>
        <v>45567</v>
      </c>
      <c r="L942" s="43">
        <f>IF(GroDB3[[#This Row],[Column1]]="No",GroDB3[[#This Row],[Date_Received]],GroDB3[[#This Row],[Last_Order_Date]])</f>
        <v>45531</v>
      </c>
      <c r="M942" s="43">
        <v>45395</v>
      </c>
      <c r="N942" s="3">
        <v>92</v>
      </c>
      <c r="O942" s="3">
        <v>1</v>
      </c>
      <c r="P942" s="3">
        <v>23</v>
      </c>
      <c r="Q942" s="4">
        <v>2.5</v>
      </c>
      <c r="R942" s="3">
        <v>78</v>
      </c>
      <c r="S942" s="3">
        <v>36</v>
      </c>
      <c r="T942" s="7">
        <v>-0.05</v>
      </c>
    </row>
    <row r="943" spans="1:20" x14ac:dyDescent="0.35">
      <c r="A943" s="5" t="s">
        <v>717</v>
      </c>
      <c r="B943" s="3" t="s">
        <v>53</v>
      </c>
      <c r="C943" s="3" t="s">
        <v>1184</v>
      </c>
      <c r="D943" s="3" t="s">
        <v>3316</v>
      </c>
      <c r="E943" s="3" t="s">
        <v>21</v>
      </c>
      <c r="F943" s="3" t="s">
        <v>3317</v>
      </c>
      <c r="G943" s="3" t="s">
        <v>3318</v>
      </c>
      <c r="H943" s="43">
        <v>45531</v>
      </c>
      <c r="I943" s="43">
        <v>45376</v>
      </c>
      <c r="J943" s="47" t="str">
        <f>IF(GroDB3[[#This Row],[Last_Order_Date]]&lt;=GroDB3[[#This Row],[Date_Received]], "Yes", "No")</f>
        <v>Yes</v>
      </c>
      <c r="K943" s="43">
        <f>IF(GroDB3[[#This Row],[Column1]]="No",GroDB3[[#This Row],[Last_Order_Date]],GroDB3[[#This Row],[Date_Received]])</f>
        <v>45531</v>
      </c>
      <c r="L943" s="43">
        <f>IF(GroDB3[[#This Row],[Column1]]="No",GroDB3[[#This Row],[Date_Received]],GroDB3[[#This Row],[Last_Order_Date]])</f>
        <v>45376</v>
      </c>
      <c r="M943" s="43">
        <v>45365</v>
      </c>
      <c r="N943" s="3">
        <v>71</v>
      </c>
      <c r="O943" s="3">
        <v>60</v>
      </c>
      <c r="P943" s="3">
        <v>62</v>
      </c>
      <c r="Q943" s="4">
        <v>4.5</v>
      </c>
      <c r="R943" s="3">
        <v>60</v>
      </c>
      <c r="S943" s="3">
        <v>63</v>
      </c>
      <c r="T943" s="7">
        <v>0.54</v>
      </c>
    </row>
    <row r="944" spans="1:20" x14ac:dyDescent="0.35">
      <c r="A944" s="5" t="s">
        <v>198</v>
      </c>
      <c r="B944" s="3" t="s">
        <v>53</v>
      </c>
      <c r="C944" s="3" t="s">
        <v>1926</v>
      </c>
      <c r="D944" s="3" t="s">
        <v>3319</v>
      </c>
      <c r="E944" s="3" t="s">
        <v>28</v>
      </c>
      <c r="F944" s="3" t="s">
        <v>3320</v>
      </c>
      <c r="G944" s="3" t="s">
        <v>3321</v>
      </c>
      <c r="H944" s="43">
        <v>45532</v>
      </c>
      <c r="I944" s="43">
        <v>45623</v>
      </c>
      <c r="J944" s="47" t="str">
        <f>IF(GroDB3[[#This Row],[Last_Order_Date]]&lt;=GroDB3[[#This Row],[Date_Received]], "Yes", "No")</f>
        <v>No</v>
      </c>
      <c r="K944" s="43">
        <f>IF(GroDB3[[#This Row],[Column1]]="No",GroDB3[[#This Row],[Last_Order_Date]],GroDB3[[#This Row],[Date_Received]])</f>
        <v>45623</v>
      </c>
      <c r="L944" s="43">
        <f>IF(GroDB3[[#This Row],[Column1]]="No",GroDB3[[#This Row],[Date_Received]],GroDB3[[#This Row],[Last_Order_Date]])</f>
        <v>45532</v>
      </c>
      <c r="M944" s="43">
        <v>45712</v>
      </c>
      <c r="N944" s="3">
        <v>52</v>
      </c>
      <c r="O944" s="3">
        <v>81</v>
      </c>
      <c r="P944" s="3">
        <v>53</v>
      </c>
      <c r="Q944" s="4">
        <v>2</v>
      </c>
      <c r="R944" s="3">
        <v>95</v>
      </c>
      <c r="S944" s="3">
        <v>88</v>
      </c>
      <c r="T944" s="7">
        <v>-0.05</v>
      </c>
    </row>
    <row r="945" spans="1:20" x14ac:dyDescent="0.35">
      <c r="A945" s="5" t="s">
        <v>1445</v>
      </c>
      <c r="B945" s="3" t="s">
        <v>18</v>
      </c>
      <c r="C945" s="3" t="s">
        <v>1564</v>
      </c>
      <c r="D945" s="3" t="s">
        <v>3322</v>
      </c>
      <c r="E945" s="3" t="s">
        <v>21</v>
      </c>
      <c r="F945" s="3" t="s">
        <v>3323</v>
      </c>
      <c r="G945" s="3" t="s">
        <v>3324</v>
      </c>
      <c r="H945" s="43">
        <v>45532</v>
      </c>
      <c r="I945" s="43">
        <v>45454</v>
      </c>
      <c r="J945" s="47" t="str">
        <f>IF(GroDB3[[#This Row],[Last_Order_Date]]&lt;=GroDB3[[#This Row],[Date_Received]], "Yes", "No")</f>
        <v>Yes</v>
      </c>
      <c r="K945" s="43">
        <f>IF(GroDB3[[#This Row],[Column1]]="No",GroDB3[[#This Row],[Last_Order_Date]],GroDB3[[#This Row],[Date_Received]])</f>
        <v>45532</v>
      </c>
      <c r="L945" s="43">
        <f>IF(GroDB3[[#This Row],[Column1]]="No",GroDB3[[#This Row],[Date_Received]],GroDB3[[#This Row],[Last_Order_Date]])</f>
        <v>45454</v>
      </c>
      <c r="M945" s="43">
        <v>45439</v>
      </c>
      <c r="N945" s="3">
        <v>40</v>
      </c>
      <c r="O945" s="3">
        <v>61</v>
      </c>
      <c r="P945" s="3">
        <v>47</v>
      </c>
      <c r="Q945" s="4">
        <v>10</v>
      </c>
      <c r="R945" s="3">
        <v>76</v>
      </c>
      <c r="S945" s="3">
        <v>10</v>
      </c>
      <c r="T945" s="7">
        <v>7.0000000000000007E-2</v>
      </c>
    </row>
    <row r="946" spans="1:20" x14ac:dyDescent="0.35">
      <c r="A946" s="5" t="s">
        <v>258</v>
      </c>
      <c r="B946" s="3" t="s">
        <v>25</v>
      </c>
      <c r="C946" s="3" t="s">
        <v>996</v>
      </c>
      <c r="D946" s="3" t="s">
        <v>3325</v>
      </c>
      <c r="E946" s="3" t="s">
        <v>56</v>
      </c>
      <c r="F946" s="3" t="s">
        <v>3326</v>
      </c>
      <c r="G946" s="3" t="s">
        <v>3327</v>
      </c>
      <c r="H946" s="43">
        <v>45533</v>
      </c>
      <c r="I946" s="43">
        <v>45673</v>
      </c>
      <c r="J946" s="47" t="str">
        <f>IF(GroDB3[[#This Row],[Last_Order_Date]]&lt;=GroDB3[[#This Row],[Date_Received]], "Yes", "No")</f>
        <v>No</v>
      </c>
      <c r="K946" s="43">
        <f>IF(GroDB3[[#This Row],[Column1]]="No",GroDB3[[#This Row],[Last_Order_Date]],GroDB3[[#This Row],[Date_Received]])</f>
        <v>45673</v>
      </c>
      <c r="L946" s="43">
        <f>IF(GroDB3[[#This Row],[Column1]]="No",GroDB3[[#This Row],[Date_Received]],GroDB3[[#This Row],[Last_Order_Date]])</f>
        <v>45533</v>
      </c>
      <c r="M946" s="43">
        <v>45458</v>
      </c>
      <c r="N946" s="3">
        <v>60</v>
      </c>
      <c r="O946" s="3">
        <v>88</v>
      </c>
      <c r="P946" s="3">
        <v>65</v>
      </c>
      <c r="Q946" s="4">
        <v>4</v>
      </c>
      <c r="R946" s="3">
        <v>94</v>
      </c>
      <c r="S946" s="3">
        <v>15</v>
      </c>
      <c r="T946" s="7">
        <v>0.87</v>
      </c>
    </row>
    <row r="947" spans="1:20" x14ac:dyDescent="0.35">
      <c r="A947" s="5" t="s">
        <v>1624</v>
      </c>
      <c r="B947" s="3" t="s">
        <v>60</v>
      </c>
      <c r="C947" s="3" t="s">
        <v>1479</v>
      </c>
      <c r="D947" s="3" t="s">
        <v>3328</v>
      </c>
      <c r="E947" s="3" t="s">
        <v>28</v>
      </c>
      <c r="F947" s="3" t="s">
        <v>3329</v>
      </c>
      <c r="G947" s="3" t="s">
        <v>3330</v>
      </c>
      <c r="H947" s="43">
        <v>45533</v>
      </c>
      <c r="I947" s="43">
        <v>45628</v>
      </c>
      <c r="J947" s="47" t="str">
        <f>IF(GroDB3[[#This Row],[Last_Order_Date]]&lt;=GroDB3[[#This Row],[Date_Received]], "Yes", "No")</f>
        <v>No</v>
      </c>
      <c r="K947" s="43">
        <f>IF(GroDB3[[#This Row],[Column1]]="No",GroDB3[[#This Row],[Last_Order_Date]],GroDB3[[#This Row],[Date_Received]])</f>
        <v>45628</v>
      </c>
      <c r="L947" s="43">
        <f>IF(GroDB3[[#This Row],[Column1]]="No",GroDB3[[#This Row],[Date_Received]],GroDB3[[#This Row],[Last_Order_Date]])</f>
        <v>45533</v>
      </c>
      <c r="M947" s="43">
        <v>45539</v>
      </c>
      <c r="N947" s="3">
        <v>71</v>
      </c>
      <c r="O947" s="3">
        <v>7</v>
      </c>
      <c r="P947" s="3">
        <v>6</v>
      </c>
      <c r="Q947" s="4">
        <v>7.5</v>
      </c>
      <c r="R947" s="3">
        <v>52</v>
      </c>
      <c r="S947" s="3">
        <v>68</v>
      </c>
      <c r="T947" s="7">
        <v>0.84</v>
      </c>
    </row>
    <row r="948" spans="1:20" x14ac:dyDescent="0.35">
      <c r="A948" s="5" t="s">
        <v>276</v>
      </c>
      <c r="B948" s="3" t="s">
        <v>18</v>
      </c>
      <c r="C948" s="3" t="s">
        <v>1184</v>
      </c>
      <c r="D948" s="3" t="s">
        <v>3331</v>
      </c>
      <c r="E948" s="3" t="s">
        <v>21</v>
      </c>
      <c r="F948" s="3" t="s">
        <v>3332</v>
      </c>
      <c r="G948" s="3" t="s">
        <v>3333</v>
      </c>
      <c r="H948" s="43">
        <v>45534</v>
      </c>
      <c r="I948" s="43">
        <v>45582</v>
      </c>
      <c r="J948" s="47" t="str">
        <f>IF(GroDB3[[#This Row],[Last_Order_Date]]&lt;=GroDB3[[#This Row],[Date_Received]], "Yes", "No")</f>
        <v>No</v>
      </c>
      <c r="K948" s="43">
        <f>IF(GroDB3[[#This Row],[Column1]]="No",GroDB3[[#This Row],[Last_Order_Date]],GroDB3[[#This Row],[Date_Received]])</f>
        <v>45582</v>
      </c>
      <c r="L948" s="43">
        <f>IF(GroDB3[[#This Row],[Column1]]="No",GroDB3[[#This Row],[Date_Received]],GroDB3[[#This Row],[Last_Order_Date]])</f>
        <v>45534</v>
      </c>
      <c r="M948" s="43">
        <v>45356</v>
      </c>
      <c r="N948" s="3">
        <v>44</v>
      </c>
      <c r="O948" s="3">
        <v>80</v>
      </c>
      <c r="P948" s="3">
        <v>84</v>
      </c>
      <c r="Q948" s="4">
        <v>3.4</v>
      </c>
      <c r="R948" s="3">
        <v>96</v>
      </c>
      <c r="S948" s="3">
        <v>68</v>
      </c>
      <c r="T948" s="7">
        <v>-0.31</v>
      </c>
    </row>
    <row r="949" spans="1:20" x14ac:dyDescent="0.35">
      <c r="A949" s="5" t="s">
        <v>325</v>
      </c>
      <c r="B949" s="3" t="s">
        <v>53</v>
      </c>
      <c r="C949" s="3" t="s">
        <v>782</v>
      </c>
      <c r="D949" s="3" t="s">
        <v>3334</v>
      </c>
      <c r="E949" s="3" t="s">
        <v>56</v>
      </c>
      <c r="F949" s="3" t="s">
        <v>3335</v>
      </c>
      <c r="G949" s="3" t="s">
        <v>3336</v>
      </c>
      <c r="H949" s="43">
        <v>45534</v>
      </c>
      <c r="I949" s="43">
        <v>45472</v>
      </c>
      <c r="J949" s="47" t="str">
        <f>IF(GroDB3[[#This Row],[Last_Order_Date]]&lt;=GroDB3[[#This Row],[Date_Received]], "Yes", "No")</f>
        <v>Yes</v>
      </c>
      <c r="K949" s="43">
        <f>IF(GroDB3[[#This Row],[Column1]]="No",GroDB3[[#This Row],[Last_Order_Date]],GroDB3[[#This Row],[Date_Received]])</f>
        <v>45534</v>
      </c>
      <c r="L949" s="43">
        <f>IF(GroDB3[[#This Row],[Column1]]="No",GroDB3[[#This Row],[Date_Received]],GroDB3[[#This Row],[Last_Order_Date]])</f>
        <v>45472</v>
      </c>
      <c r="M949" s="43">
        <v>45361</v>
      </c>
      <c r="N949" s="3">
        <v>19</v>
      </c>
      <c r="O949" s="3">
        <v>17</v>
      </c>
      <c r="P949" s="3">
        <v>14</v>
      </c>
      <c r="Q949" s="4">
        <v>4.3</v>
      </c>
      <c r="R949" s="3">
        <v>58</v>
      </c>
      <c r="S949" s="3">
        <v>23</v>
      </c>
      <c r="T949" s="7">
        <v>0.28999999999999998</v>
      </c>
    </row>
    <row r="950" spans="1:20" x14ac:dyDescent="0.35">
      <c r="A950" s="5" t="s">
        <v>717</v>
      </c>
      <c r="B950" s="3" t="s">
        <v>53</v>
      </c>
      <c r="C950" s="3" t="s">
        <v>226</v>
      </c>
      <c r="D950" s="3" t="s">
        <v>3337</v>
      </c>
      <c r="E950" s="3" t="s">
        <v>56</v>
      </c>
      <c r="F950" s="3" t="s">
        <v>3338</v>
      </c>
      <c r="G950" s="3" t="s">
        <v>3339</v>
      </c>
      <c r="H950" s="43">
        <v>45534</v>
      </c>
      <c r="I950" s="43">
        <v>45451</v>
      </c>
      <c r="J950" s="47" t="str">
        <f>IF(GroDB3[[#This Row],[Last_Order_Date]]&lt;=GroDB3[[#This Row],[Date_Received]], "Yes", "No")</f>
        <v>Yes</v>
      </c>
      <c r="K950" s="43">
        <f>IF(GroDB3[[#This Row],[Column1]]="No",GroDB3[[#This Row],[Last_Order_Date]],GroDB3[[#This Row],[Date_Received]])</f>
        <v>45534</v>
      </c>
      <c r="L950" s="43">
        <f>IF(GroDB3[[#This Row],[Column1]]="No",GroDB3[[#This Row],[Date_Received]],GroDB3[[#This Row],[Last_Order_Date]])</f>
        <v>45451</v>
      </c>
      <c r="M950" s="43">
        <v>45448</v>
      </c>
      <c r="N950" s="3">
        <v>11</v>
      </c>
      <c r="O950" s="3">
        <v>87</v>
      </c>
      <c r="P950" s="3">
        <v>64</v>
      </c>
      <c r="Q950" s="4">
        <v>4.5</v>
      </c>
      <c r="R950" s="3">
        <v>29</v>
      </c>
      <c r="S950" s="3">
        <v>6</v>
      </c>
      <c r="T950" s="7">
        <v>0.6</v>
      </c>
    </row>
    <row r="951" spans="1:20" x14ac:dyDescent="0.35">
      <c r="A951" s="5" t="s">
        <v>342</v>
      </c>
      <c r="B951" s="3" t="s">
        <v>18</v>
      </c>
      <c r="C951" s="3" t="s">
        <v>259</v>
      </c>
      <c r="D951" s="3" t="s">
        <v>3340</v>
      </c>
      <c r="E951" s="3" t="s">
        <v>56</v>
      </c>
      <c r="F951" s="3" t="s">
        <v>3341</v>
      </c>
      <c r="G951" s="3" t="s">
        <v>3342</v>
      </c>
      <c r="H951" s="43">
        <v>45534</v>
      </c>
      <c r="I951" s="43">
        <v>45531</v>
      </c>
      <c r="J951" s="47" t="str">
        <f>IF(GroDB3[[#This Row],[Last_Order_Date]]&lt;=GroDB3[[#This Row],[Date_Received]], "Yes", "No")</f>
        <v>Yes</v>
      </c>
      <c r="K951" s="43">
        <f>IF(GroDB3[[#This Row],[Column1]]="No",GroDB3[[#This Row],[Last_Order_Date]],GroDB3[[#This Row],[Date_Received]])</f>
        <v>45534</v>
      </c>
      <c r="L951" s="43">
        <f>IF(GroDB3[[#This Row],[Column1]]="No",GroDB3[[#This Row],[Date_Received]],GroDB3[[#This Row],[Last_Order_Date]])</f>
        <v>45531</v>
      </c>
      <c r="M951" s="43">
        <v>45591</v>
      </c>
      <c r="N951" s="3">
        <v>22</v>
      </c>
      <c r="O951" s="3">
        <v>35</v>
      </c>
      <c r="P951" s="3">
        <v>55</v>
      </c>
      <c r="Q951" s="4">
        <v>6</v>
      </c>
      <c r="R951" s="3">
        <v>41</v>
      </c>
      <c r="S951" s="3">
        <v>27</v>
      </c>
      <c r="T951" s="7">
        <v>0.79</v>
      </c>
    </row>
    <row r="952" spans="1:20" x14ac:dyDescent="0.35">
      <c r="A952" s="5" t="s">
        <v>85</v>
      </c>
      <c r="B952" s="3" t="s">
        <v>18</v>
      </c>
      <c r="C952" s="3" t="s">
        <v>181</v>
      </c>
      <c r="D952" s="3" t="s">
        <v>3343</v>
      </c>
      <c r="E952" s="3" t="s">
        <v>21</v>
      </c>
      <c r="F952" s="3" t="s">
        <v>3344</v>
      </c>
      <c r="G952" s="3" t="s">
        <v>3345</v>
      </c>
      <c r="H952" s="43">
        <v>45535</v>
      </c>
      <c r="I952" s="43">
        <v>45701</v>
      </c>
      <c r="J952" s="47" t="str">
        <f>IF(GroDB3[[#This Row],[Last_Order_Date]]&lt;=GroDB3[[#This Row],[Date_Received]], "Yes", "No")</f>
        <v>No</v>
      </c>
      <c r="K952" s="43">
        <f>IF(GroDB3[[#This Row],[Column1]]="No",GroDB3[[#This Row],[Last_Order_Date]],GroDB3[[#This Row],[Date_Received]])</f>
        <v>45701</v>
      </c>
      <c r="L952" s="43">
        <f>IF(GroDB3[[#This Row],[Column1]]="No",GroDB3[[#This Row],[Date_Received]],GroDB3[[#This Row],[Last_Order_Date]])</f>
        <v>45535</v>
      </c>
      <c r="M952" s="43">
        <v>45410</v>
      </c>
      <c r="N952" s="3">
        <v>15</v>
      </c>
      <c r="O952" s="3">
        <v>44</v>
      </c>
      <c r="P952" s="3">
        <v>88</v>
      </c>
      <c r="Q952" s="4">
        <v>3</v>
      </c>
      <c r="R952" s="3">
        <v>56</v>
      </c>
      <c r="S952" s="3">
        <v>12</v>
      </c>
      <c r="T952" s="7">
        <v>0.34</v>
      </c>
    </row>
    <row r="953" spans="1:20" x14ac:dyDescent="0.35">
      <c r="A953" s="5" t="s">
        <v>342</v>
      </c>
      <c r="B953" s="3" t="s">
        <v>18</v>
      </c>
      <c r="C953" s="3" t="s">
        <v>1595</v>
      </c>
      <c r="D953" s="3" t="s">
        <v>3346</v>
      </c>
      <c r="E953" s="3" t="s">
        <v>56</v>
      </c>
      <c r="F953" s="3" t="s">
        <v>3347</v>
      </c>
      <c r="G953" s="3" t="s">
        <v>3348</v>
      </c>
      <c r="H953" s="43">
        <v>45535</v>
      </c>
      <c r="I953" s="43">
        <v>45519</v>
      </c>
      <c r="J953" s="47" t="str">
        <f>IF(GroDB3[[#This Row],[Last_Order_Date]]&lt;=GroDB3[[#This Row],[Date_Received]], "Yes", "No")</f>
        <v>Yes</v>
      </c>
      <c r="K953" s="43">
        <f>IF(GroDB3[[#This Row],[Column1]]="No",GroDB3[[#This Row],[Last_Order_Date]],GroDB3[[#This Row],[Date_Received]])</f>
        <v>45535</v>
      </c>
      <c r="L953" s="43">
        <f>IF(GroDB3[[#This Row],[Column1]]="No",GroDB3[[#This Row],[Date_Received]],GroDB3[[#This Row],[Last_Order_Date]])</f>
        <v>45519</v>
      </c>
      <c r="M953" s="43">
        <v>45520</v>
      </c>
      <c r="N953" s="3">
        <v>52</v>
      </c>
      <c r="O953" s="3">
        <v>8</v>
      </c>
      <c r="P953" s="3">
        <v>37</v>
      </c>
      <c r="Q953" s="4">
        <v>6</v>
      </c>
      <c r="R953" s="3">
        <v>38</v>
      </c>
      <c r="S953" s="3">
        <v>81</v>
      </c>
      <c r="T953" s="7">
        <v>0.79</v>
      </c>
    </row>
    <row r="954" spans="1:20" x14ac:dyDescent="0.35">
      <c r="A954" s="5" t="s">
        <v>65</v>
      </c>
      <c r="B954" s="3" t="s">
        <v>32</v>
      </c>
      <c r="C954" s="3" t="s">
        <v>886</v>
      </c>
      <c r="D954" s="3" t="s">
        <v>3349</v>
      </c>
      <c r="E954" s="3" t="s">
        <v>28</v>
      </c>
      <c r="F954" s="3" t="s">
        <v>3350</v>
      </c>
      <c r="G954" s="3" t="s">
        <v>3351</v>
      </c>
      <c r="H954" s="43">
        <v>45548</v>
      </c>
      <c r="I954" s="43">
        <v>45663</v>
      </c>
      <c r="J954" s="47" t="str">
        <f>IF(GroDB3[[#This Row],[Last_Order_Date]]&lt;=GroDB3[[#This Row],[Date_Received]], "Yes", "No")</f>
        <v>No</v>
      </c>
      <c r="K954" s="43">
        <f>IF(GroDB3[[#This Row],[Column1]]="No",GroDB3[[#This Row],[Last_Order_Date]],GroDB3[[#This Row],[Date_Received]])</f>
        <v>45663</v>
      </c>
      <c r="L954" s="43">
        <f>IF(GroDB3[[#This Row],[Column1]]="No",GroDB3[[#This Row],[Date_Received]],GroDB3[[#This Row],[Last_Order_Date]])</f>
        <v>45548</v>
      </c>
      <c r="M954" s="43">
        <v>45652</v>
      </c>
      <c r="N954" s="3">
        <v>100</v>
      </c>
      <c r="O954" s="3">
        <v>31</v>
      </c>
      <c r="P954" s="3">
        <v>43</v>
      </c>
      <c r="Q954" s="4">
        <v>9</v>
      </c>
      <c r="R954" s="3">
        <v>88</v>
      </c>
      <c r="S954" s="3">
        <v>52</v>
      </c>
      <c r="T954" s="7">
        <v>-1.1299999999999999</v>
      </c>
    </row>
    <row r="955" spans="1:20" x14ac:dyDescent="0.35">
      <c r="A955" s="5" t="s">
        <v>188</v>
      </c>
      <c r="B955" s="3" t="s">
        <v>32</v>
      </c>
      <c r="C955" s="3" t="s">
        <v>3105</v>
      </c>
      <c r="D955" s="3" t="s">
        <v>3352</v>
      </c>
      <c r="E955" s="3" t="s">
        <v>56</v>
      </c>
      <c r="F955" s="3" t="s">
        <v>3353</v>
      </c>
      <c r="G955" s="3" t="s">
        <v>3354</v>
      </c>
      <c r="H955" s="43">
        <v>45548</v>
      </c>
      <c r="I955" s="43">
        <v>45452</v>
      </c>
      <c r="J955" s="47" t="str">
        <f>IF(GroDB3[[#This Row],[Last_Order_Date]]&lt;=GroDB3[[#This Row],[Date_Received]], "Yes", "No")</f>
        <v>Yes</v>
      </c>
      <c r="K955" s="43">
        <f>IF(GroDB3[[#This Row],[Column1]]="No",GroDB3[[#This Row],[Last_Order_Date]],GroDB3[[#This Row],[Date_Received]])</f>
        <v>45548</v>
      </c>
      <c r="L955" s="43">
        <f>IF(GroDB3[[#This Row],[Column1]]="No",GroDB3[[#This Row],[Date_Received]],GroDB3[[#This Row],[Last_Order_Date]])</f>
        <v>45452</v>
      </c>
      <c r="M955" s="43">
        <v>45605</v>
      </c>
      <c r="N955" s="3">
        <v>18</v>
      </c>
      <c r="O955" s="3">
        <v>64</v>
      </c>
      <c r="P955" s="3">
        <v>86</v>
      </c>
      <c r="Q955" s="4">
        <v>1</v>
      </c>
      <c r="R955" s="3">
        <v>73</v>
      </c>
      <c r="S955" s="3">
        <v>38</v>
      </c>
      <c r="T955" s="7">
        <v>0.41</v>
      </c>
    </row>
    <row r="956" spans="1:20" x14ac:dyDescent="0.35">
      <c r="A956" s="5" t="s">
        <v>397</v>
      </c>
      <c r="B956" s="3" t="s">
        <v>25</v>
      </c>
      <c r="C956" s="3" t="s">
        <v>376</v>
      </c>
      <c r="D956" s="3" t="s">
        <v>3355</v>
      </c>
      <c r="E956" s="3" t="s">
        <v>56</v>
      </c>
      <c r="F956" s="3" t="s">
        <v>3356</v>
      </c>
      <c r="G956" s="3" t="s">
        <v>3357</v>
      </c>
      <c r="H956" s="43">
        <v>45548</v>
      </c>
      <c r="I956" s="43">
        <v>45707</v>
      </c>
      <c r="J956" s="47" t="str">
        <f>IF(GroDB3[[#This Row],[Last_Order_Date]]&lt;=GroDB3[[#This Row],[Date_Received]], "Yes", "No")</f>
        <v>No</v>
      </c>
      <c r="K956" s="43">
        <f>IF(GroDB3[[#This Row],[Column1]]="No",GroDB3[[#This Row],[Last_Order_Date]],GroDB3[[#This Row],[Date_Received]])</f>
        <v>45707</v>
      </c>
      <c r="L956" s="43">
        <f>IF(GroDB3[[#This Row],[Column1]]="No",GroDB3[[#This Row],[Date_Received]],GroDB3[[#This Row],[Last_Order_Date]])</f>
        <v>45548</v>
      </c>
      <c r="M956" s="43">
        <v>45365</v>
      </c>
      <c r="N956" s="3">
        <v>39</v>
      </c>
      <c r="O956" s="3">
        <v>13</v>
      </c>
      <c r="P956" s="3">
        <v>13</v>
      </c>
      <c r="Q956" s="4">
        <v>2.5</v>
      </c>
      <c r="R956" s="3">
        <v>84</v>
      </c>
      <c r="S956" s="3">
        <v>93</v>
      </c>
      <c r="T956" s="7">
        <v>0.48</v>
      </c>
    </row>
    <row r="957" spans="1:20" x14ac:dyDescent="0.35">
      <c r="A957" s="5" t="s">
        <v>508</v>
      </c>
      <c r="B957" s="3" t="s">
        <v>127</v>
      </c>
      <c r="C957" s="3" t="s">
        <v>3358</v>
      </c>
      <c r="D957" s="3" t="s">
        <v>3359</v>
      </c>
      <c r="E957" s="3" t="s">
        <v>56</v>
      </c>
      <c r="F957" s="3" t="s">
        <v>3360</v>
      </c>
      <c r="G957" s="3" t="s">
        <v>3361</v>
      </c>
      <c r="H957" s="43">
        <v>45550</v>
      </c>
      <c r="I957" s="43">
        <v>45558</v>
      </c>
      <c r="J957" s="47" t="str">
        <f>IF(GroDB3[[#This Row],[Last_Order_Date]]&lt;=GroDB3[[#This Row],[Date_Received]], "Yes", "No")</f>
        <v>No</v>
      </c>
      <c r="K957" s="43">
        <f>IF(GroDB3[[#This Row],[Column1]]="No",GroDB3[[#This Row],[Last_Order_Date]],GroDB3[[#This Row],[Date_Received]])</f>
        <v>45558</v>
      </c>
      <c r="L957" s="43">
        <f>IF(GroDB3[[#This Row],[Column1]]="No",GroDB3[[#This Row],[Date_Received]],GroDB3[[#This Row],[Last_Order_Date]])</f>
        <v>45550</v>
      </c>
      <c r="M957" s="43">
        <v>45670</v>
      </c>
      <c r="N957" s="3">
        <v>46</v>
      </c>
      <c r="O957" s="3">
        <v>27</v>
      </c>
      <c r="P957" s="3">
        <v>76</v>
      </c>
      <c r="Q957" s="4">
        <v>5</v>
      </c>
      <c r="R957" s="3">
        <v>64</v>
      </c>
      <c r="S957" s="3">
        <v>96</v>
      </c>
      <c r="T957" s="7">
        <v>-0.11</v>
      </c>
    </row>
    <row r="958" spans="1:20" x14ac:dyDescent="0.35">
      <c r="A958" s="5" t="s">
        <v>1202</v>
      </c>
      <c r="B958" s="3" t="s">
        <v>18</v>
      </c>
      <c r="C958" s="3" t="s">
        <v>972</v>
      </c>
      <c r="D958" s="3" t="s">
        <v>3362</v>
      </c>
      <c r="E958" s="3" t="s">
        <v>21</v>
      </c>
      <c r="F958" s="3" t="s">
        <v>3363</v>
      </c>
      <c r="G958" s="3" t="s">
        <v>3364</v>
      </c>
      <c r="H958" s="43">
        <v>45550</v>
      </c>
      <c r="I958" s="43">
        <v>45589</v>
      </c>
      <c r="J958" s="47" t="str">
        <f>IF(GroDB3[[#This Row],[Last_Order_Date]]&lt;=GroDB3[[#This Row],[Date_Received]], "Yes", "No")</f>
        <v>No</v>
      </c>
      <c r="K958" s="43">
        <f>IF(GroDB3[[#This Row],[Column1]]="No",GroDB3[[#This Row],[Last_Order_Date]],GroDB3[[#This Row],[Date_Received]])</f>
        <v>45589</v>
      </c>
      <c r="L958" s="43">
        <f>IF(GroDB3[[#This Row],[Column1]]="No",GroDB3[[#This Row],[Date_Received]],GroDB3[[#This Row],[Last_Order_Date]])</f>
        <v>45550</v>
      </c>
      <c r="M958" s="43">
        <v>45653</v>
      </c>
      <c r="N958" s="3">
        <v>71</v>
      </c>
      <c r="O958" s="3">
        <v>4</v>
      </c>
      <c r="P958" s="3">
        <v>37</v>
      </c>
      <c r="Q958" s="4">
        <v>3</v>
      </c>
      <c r="R958" s="3">
        <v>81</v>
      </c>
      <c r="S958" s="3">
        <v>25</v>
      </c>
      <c r="T958" s="7">
        <v>-0.5</v>
      </c>
    </row>
    <row r="959" spans="1:20" x14ac:dyDescent="0.35">
      <c r="A959" s="5" t="s">
        <v>121</v>
      </c>
      <c r="B959" s="3" t="s">
        <v>53</v>
      </c>
      <c r="C959" s="3" t="s">
        <v>588</v>
      </c>
      <c r="D959" s="3" t="s">
        <v>3365</v>
      </c>
      <c r="E959" s="3" t="s">
        <v>28</v>
      </c>
      <c r="F959" s="3" t="s">
        <v>3366</v>
      </c>
      <c r="G959" s="3" t="s">
        <v>3367</v>
      </c>
      <c r="H959" s="43">
        <v>45550</v>
      </c>
      <c r="I959" s="43">
        <v>45402</v>
      </c>
      <c r="J959" s="47" t="str">
        <f>IF(GroDB3[[#This Row],[Last_Order_Date]]&lt;=GroDB3[[#This Row],[Date_Received]], "Yes", "No")</f>
        <v>Yes</v>
      </c>
      <c r="K959" s="43">
        <f>IF(GroDB3[[#This Row],[Column1]]="No",GroDB3[[#This Row],[Last_Order_Date]],GroDB3[[#This Row],[Date_Received]])</f>
        <v>45550</v>
      </c>
      <c r="L959" s="43">
        <f>IF(GroDB3[[#This Row],[Column1]]="No",GroDB3[[#This Row],[Date_Received]],GroDB3[[#This Row],[Last_Order_Date]])</f>
        <v>45402</v>
      </c>
      <c r="M959" s="43">
        <v>45449</v>
      </c>
      <c r="N959" s="3">
        <v>41</v>
      </c>
      <c r="O959" s="3">
        <v>76</v>
      </c>
      <c r="P959" s="3">
        <v>47</v>
      </c>
      <c r="Q959" s="4">
        <v>2.65</v>
      </c>
      <c r="R959" s="3">
        <v>50</v>
      </c>
      <c r="S959" s="3">
        <v>50</v>
      </c>
      <c r="T959" s="7">
        <v>0.69</v>
      </c>
    </row>
    <row r="960" spans="1:20" x14ac:dyDescent="0.35">
      <c r="A960" s="5" t="s">
        <v>220</v>
      </c>
      <c r="B960" s="3" t="s">
        <v>127</v>
      </c>
      <c r="C960" s="3" t="s">
        <v>3109</v>
      </c>
      <c r="D960" s="3" t="s">
        <v>3368</v>
      </c>
      <c r="E960" s="3" t="s">
        <v>56</v>
      </c>
      <c r="F960" s="3" t="s">
        <v>3369</v>
      </c>
      <c r="G960" s="3" t="s">
        <v>3370</v>
      </c>
      <c r="H960" s="43">
        <v>45550</v>
      </c>
      <c r="I960" s="43">
        <v>45678</v>
      </c>
      <c r="J960" s="47" t="str">
        <f>IF(GroDB3[[#This Row],[Last_Order_Date]]&lt;=GroDB3[[#This Row],[Date_Received]], "Yes", "No")</f>
        <v>No</v>
      </c>
      <c r="K960" s="43">
        <f>IF(GroDB3[[#This Row],[Column1]]="No",GroDB3[[#This Row],[Last_Order_Date]],GroDB3[[#This Row],[Date_Received]])</f>
        <v>45678</v>
      </c>
      <c r="L960" s="43">
        <f>IF(GroDB3[[#This Row],[Column1]]="No",GroDB3[[#This Row],[Date_Received]],GroDB3[[#This Row],[Last_Order_Date]])</f>
        <v>45550</v>
      </c>
      <c r="M960" s="43">
        <v>45587</v>
      </c>
      <c r="N960" s="3">
        <v>59</v>
      </c>
      <c r="O960" s="3">
        <v>31</v>
      </c>
      <c r="P960" s="3">
        <v>3</v>
      </c>
      <c r="Q960" s="4">
        <v>10</v>
      </c>
      <c r="R960" s="3">
        <v>48</v>
      </c>
      <c r="S960" s="3">
        <v>51</v>
      </c>
      <c r="T960" s="7">
        <v>0</v>
      </c>
    </row>
    <row r="961" spans="1:20" x14ac:dyDescent="0.35">
      <c r="A961" s="5" t="s">
        <v>980</v>
      </c>
      <c r="B961" s="3" t="s">
        <v>60</v>
      </c>
      <c r="C961" s="3" t="s">
        <v>3371</v>
      </c>
      <c r="D961" s="3" t="s">
        <v>3372</v>
      </c>
      <c r="E961" s="3" t="s">
        <v>56</v>
      </c>
      <c r="F961" s="3" t="s">
        <v>3373</v>
      </c>
      <c r="G961" s="3" t="s">
        <v>3374</v>
      </c>
      <c r="H961" s="43">
        <v>45550</v>
      </c>
      <c r="I961" s="43">
        <v>45451</v>
      </c>
      <c r="J961" s="47" t="str">
        <f>IF(GroDB3[[#This Row],[Last_Order_Date]]&lt;=GroDB3[[#This Row],[Date_Received]], "Yes", "No")</f>
        <v>Yes</v>
      </c>
      <c r="K961" s="43">
        <f>IF(GroDB3[[#This Row],[Column1]]="No",GroDB3[[#This Row],[Last_Order_Date]],GroDB3[[#This Row],[Date_Received]])</f>
        <v>45550</v>
      </c>
      <c r="L961" s="43">
        <f>IF(GroDB3[[#This Row],[Column1]]="No",GroDB3[[#This Row],[Date_Received]],GroDB3[[#This Row],[Last_Order_Date]])</f>
        <v>45451</v>
      </c>
      <c r="M961" s="43">
        <v>45625</v>
      </c>
      <c r="N961" s="3">
        <v>73</v>
      </c>
      <c r="O961" s="3">
        <v>12</v>
      </c>
      <c r="P961" s="3">
        <v>28</v>
      </c>
      <c r="Q961" s="4">
        <v>15</v>
      </c>
      <c r="R961" s="3">
        <v>89</v>
      </c>
      <c r="S961" s="3">
        <v>92</v>
      </c>
      <c r="T961" s="7">
        <v>-0.06</v>
      </c>
    </row>
    <row r="962" spans="1:20" x14ac:dyDescent="0.35">
      <c r="A962" s="5" t="s">
        <v>980</v>
      </c>
      <c r="B962" s="3" t="s">
        <v>60</v>
      </c>
      <c r="C962" s="3" t="s">
        <v>1595</v>
      </c>
      <c r="D962" s="3" t="s">
        <v>3375</v>
      </c>
      <c r="E962" s="3" t="s">
        <v>56</v>
      </c>
      <c r="F962" s="3" t="s">
        <v>3376</v>
      </c>
      <c r="G962" s="3" t="s">
        <v>3377</v>
      </c>
      <c r="H962" s="43">
        <v>45551</v>
      </c>
      <c r="I962" s="43">
        <v>45347</v>
      </c>
      <c r="J962" s="47" t="str">
        <f>IF(GroDB3[[#This Row],[Last_Order_Date]]&lt;=GroDB3[[#This Row],[Date_Received]], "Yes", "No")</f>
        <v>Yes</v>
      </c>
      <c r="K962" s="43">
        <f>IF(GroDB3[[#This Row],[Column1]]="No",GroDB3[[#This Row],[Last_Order_Date]],GroDB3[[#This Row],[Date_Received]])</f>
        <v>45551</v>
      </c>
      <c r="L962" s="43">
        <f>IF(GroDB3[[#This Row],[Column1]]="No",GroDB3[[#This Row],[Date_Received]],GroDB3[[#This Row],[Last_Order_Date]])</f>
        <v>45347</v>
      </c>
      <c r="M962" s="43">
        <v>45518</v>
      </c>
      <c r="N962" s="3">
        <v>49</v>
      </c>
      <c r="O962" s="3">
        <v>48</v>
      </c>
      <c r="P962" s="3">
        <v>62</v>
      </c>
      <c r="Q962" s="4">
        <v>15</v>
      </c>
      <c r="R962" s="3">
        <v>96</v>
      </c>
      <c r="S962" s="3">
        <v>37</v>
      </c>
      <c r="T962" s="7">
        <v>-0.03</v>
      </c>
    </row>
    <row r="963" spans="1:20" x14ac:dyDescent="0.35">
      <c r="A963" s="5" t="s">
        <v>355</v>
      </c>
      <c r="B963" s="3" t="s">
        <v>18</v>
      </c>
      <c r="C963" s="3" t="s">
        <v>2639</v>
      </c>
      <c r="D963" s="3" t="s">
        <v>3378</v>
      </c>
      <c r="E963" s="3" t="s">
        <v>28</v>
      </c>
      <c r="F963" s="3" t="s">
        <v>3379</v>
      </c>
      <c r="G963" s="3" t="s">
        <v>3380</v>
      </c>
      <c r="H963" s="43">
        <v>45551</v>
      </c>
      <c r="I963" s="43">
        <v>45601</v>
      </c>
      <c r="J963" s="47" t="str">
        <f>IF(GroDB3[[#This Row],[Last_Order_Date]]&lt;=GroDB3[[#This Row],[Date_Received]], "Yes", "No")</f>
        <v>No</v>
      </c>
      <c r="K963" s="43">
        <f>IF(GroDB3[[#This Row],[Column1]]="No",GroDB3[[#This Row],[Last_Order_Date]],GroDB3[[#This Row],[Date_Received]])</f>
        <v>45601</v>
      </c>
      <c r="L963" s="43">
        <f>IF(GroDB3[[#This Row],[Column1]]="No",GroDB3[[#This Row],[Date_Received]],GroDB3[[#This Row],[Last_Order_Date]])</f>
        <v>45551</v>
      </c>
      <c r="M963" s="43">
        <v>45589</v>
      </c>
      <c r="N963" s="3">
        <v>83</v>
      </c>
      <c r="O963" s="3">
        <v>61</v>
      </c>
      <c r="P963" s="3">
        <v>4</v>
      </c>
      <c r="Q963" s="4">
        <v>1</v>
      </c>
      <c r="R963" s="3">
        <v>35</v>
      </c>
      <c r="S963" s="3">
        <v>7</v>
      </c>
      <c r="T963" s="7">
        <v>0.61</v>
      </c>
    </row>
    <row r="964" spans="1:20" x14ac:dyDescent="0.35">
      <c r="A964" s="5" t="s">
        <v>433</v>
      </c>
      <c r="B964" s="3" t="s">
        <v>18</v>
      </c>
      <c r="C964" s="3" t="s">
        <v>166</v>
      </c>
      <c r="D964" s="3" t="s">
        <v>3381</v>
      </c>
      <c r="E964" s="3" t="s">
        <v>56</v>
      </c>
      <c r="F964" s="3" t="s">
        <v>3382</v>
      </c>
      <c r="G964" s="3" t="s">
        <v>3383</v>
      </c>
      <c r="H964" s="43">
        <v>45552</v>
      </c>
      <c r="I964" s="43">
        <v>45531</v>
      </c>
      <c r="J964" s="47" t="str">
        <f>IF(GroDB3[[#This Row],[Last_Order_Date]]&lt;=GroDB3[[#This Row],[Date_Received]], "Yes", "No")</f>
        <v>Yes</v>
      </c>
      <c r="K964" s="43">
        <f>IF(GroDB3[[#This Row],[Column1]]="No",GroDB3[[#This Row],[Last_Order_Date]],GroDB3[[#This Row],[Date_Received]])</f>
        <v>45552</v>
      </c>
      <c r="L964" s="43">
        <f>IF(GroDB3[[#This Row],[Column1]]="No",GroDB3[[#This Row],[Date_Received]],GroDB3[[#This Row],[Last_Order_Date]])</f>
        <v>45531</v>
      </c>
      <c r="M964" s="43">
        <v>45690</v>
      </c>
      <c r="N964" s="3">
        <v>56</v>
      </c>
      <c r="O964" s="3">
        <v>12</v>
      </c>
      <c r="P964" s="3">
        <v>59</v>
      </c>
      <c r="Q964" s="4">
        <v>98.43</v>
      </c>
      <c r="R964" s="3">
        <v>35</v>
      </c>
      <c r="S964" s="3">
        <v>16</v>
      </c>
      <c r="T964" s="7">
        <v>0.8</v>
      </c>
    </row>
    <row r="965" spans="1:20" x14ac:dyDescent="0.35">
      <c r="A965" s="5" t="s">
        <v>817</v>
      </c>
      <c r="B965" s="3" t="s">
        <v>18</v>
      </c>
      <c r="C965" s="3" t="s">
        <v>3384</v>
      </c>
      <c r="D965" s="3" t="s">
        <v>3385</v>
      </c>
      <c r="E965" s="3" t="s">
        <v>56</v>
      </c>
      <c r="F965" s="3" t="s">
        <v>3386</v>
      </c>
      <c r="G965" s="3" t="s">
        <v>3387</v>
      </c>
      <c r="H965" s="43">
        <v>45553</v>
      </c>
      <c r="I965" s="43">
        <v>45424</v>
      </c>
      <c r="J965" s="47" t="str">
        <f>IF(GroDB3[[#This Row],[Last_Order_Date]]&lt;=GroDB3[[#This Row],[Date_Received]], "Yes", "No")</f>
        <v>Yes</v>
      </c>
      <c r="K965" s="43">
        <f>IF(GroDB3[[#This Row],[Column1]]="No",GroDB3[[#This Row],[Last_Order_Date]],GroDB3[[#This Row],[Date_Received]])</f>
        <v>45553</v>
      </c>
      <c r="L965" s="43">
        <f>IF(GroDB3[[#This Row],[Column1]]="No",GroDB3[[#This Row],[Date_Received]],GroDB3[[#This Row],[Last_Order_Date]])</f>
        <v>45424</v>
      </c>
      <c r="M965" s="43">
        <v>45473</v>
      </c>
      <c r="N965" s="3">
        <v>48</v>
      </c>
      <c r="O965" s="3">
        <v>72</v>
      </c>
      <c r="P965" s="3">
        <v>55</v>
      </c>
      <c r="Q965" s="4">
        <v>3</v>
      </c>
      <c r="R965" s="3">
        <v>51</v>
      </c>
      <c r="S965" s="3">
        <v>41</v>
      </c>
      <c r="T965" s="7">
        <v>0.54</v>
      </c>
    </row>
    <row r="966" spans="1:20" x14ac:dyDescent="0.35">
      <c r="A966" s="5" t="s">
        <v>627</v>
      </c>
      <c r="B966" s="3" t="s">
        <v>53</v>
      </c>
      <c r="C966" s="3" t="s">
        <v>1505</v>
      </c>
      <c r="D966" s="3" t="s">
        <v>3388</v>
      </c>
      <c r="E966" s="3" t="s">
        <v>56</v>
      </c>
      <c r="F966" s="3" t="s">
        <v>3389</v>
      </c>
      <c r="G966" s="3" t="s">
        <v>3390</v>
      </c>
      <c r="H966" s="43">
        <v>45553</v>
      </c>
      <c r="I966" s="43">
        <v>45542</v>
      </c>
      <c r="J966" s="47" t="str">
        <f>IF(GroDB3[[#This Row],[Last_Order_Date]]&lt;=GroDB3[[#This Row],[Date_Received]], "Yes", "No")</f>
        <v>Yes</v>
      </c>
      <c r="K966" s="43">
        <f>IF(GroDB3[[#This Row],[Column1]]="No",GroDB3[[#This Row],[Last_Order_Date]],GroDB3[[#This Row],[Date_Received]])</f>
        <v>45553</v>
      </c>
      <c r="L966" s="43">
        <f>IF(GroDB3[[#This Row],[Column1]]="No",GroDB3[[#This Row],[Date_Received]],GroDB3[[#This Row],[Last_Order_Date]])</f>
        <v>45542</v>
      </c>
      <c r="M966" s="43">
        <v>45444</v>
      </c>
      <c r="N966" s="3">
        <v>66</v>
      </c>
      <c r="O966" s="3">
        <v>19</v>
      </c>
      <c r="P966" s="3">
        <v>20</v>
      </c>
      <c r="Q966" s="4">
        <v>2.4</v>
      </c>
      <c r="R966" s="3">
        <v>30</v>
      </c>
      <c r="S966" s="3">
        <v>49</v>
      </c>
      <c r="T966" s="7">
        <v>0.2</v>
      </c>
    </row>
    <row r="967" spans="1:20" x14ac:dyDescent="0.35">
      <c r="A967" s="5" t="s">
        <v>198</v>
      </c>
      <c r="B967" s="3" t="s">
        <v>53</v>
      </c>
      <c r="C967" s="3" t="s">
        <v>1609</v>
      </c>
      <c r="D967" s="3" t="s">
        <v>3391</v>
      </c>
      <c r="E967" s="3" t="s">
        <v>56</v>
      </c>
      <c r="F967" s="3" t="s">
        <v>3392</v>
      </c>
      <c r="G967" s="3" t="s">
        <v>3393</v>
      </c>
      <c r="H967" s="43">
        <v>45554</v>
      </c>
      <c r="I967" s="43">
        <v>45684</v>
      </c>
      <c r="J967" s="47" t="str">
        <f>IF(GroDB3[[#This Row],[Last_Order_Date]]&lt;=GroDB3[[#This Row],[Date_Received]], "Yes", "No")</f>
        <v>No</v>
      </c>
      <c r="K967" s="43">
        <f>IF(GroDB3[[#This Row],[Column1]]="No",GroDB3[[#This Row],[Last_Order_Date]],GroDB3[[#This Row],[Date_Received]])</f>
        <v>45684</v>
      </c>
      <c r="L967" s="43">
        <f>IF(GroDB3[[#This Row],[Column1]]="No",GroDB3[[#This Row],[Date_Received]],GroDB3[[#This Row],[Last_Order_Date]])</f>
        <v>45554</v>
      </c>
      <c r="M967" s="43">
        <v>45560</v>
      </c>
      <c r="N967" s="3">
        <v>42</v>
      </c>
      <c r="O967" s="3">
        <v>3</v>
      </c>
      <c r="P967" s="3">
        <v>21</v>
      </c>
      <c r="Q967" s="4">
        <v>2</v>
      </c>
      <c r="R967" s="3">
        <v>35</v>
      </c>
      <c r="S967" s="3">
        <v>22</v>
      </c>
      <c r="T967" s="7">
        <v>-0.63</v>
      </c>
    </row>
    <row r="968" spans="1:20" x14ac:dyDescent="0.35">
      <c r="A968" s="5" t="s">
        <v>329</v>
      </c>
      <c r="B968" s="3" t="s">
        <v>53</v>
      </c>
      <c r="C968" s="3" t="s">
        <v>2542</v>
      </c>
      <c r="D968" s="3" t="s">
        <v>3394</v>
      </c>
      <c r="E968" s="3" t="s">
        <v>28</v>
      </c>
      <c r="F968" s="3" t="s">
        <v>3395</v>
      </c>
      <c r="G968" s="3" t="s">
        <v>3396</v>
      </c>
      <c r="H968" s="43">
        <v>45554</v>
      </c>
      <c r="I968" s="43">
        <v>45596</v>
      </c>
      <c r="J968" s="47" t="str">
        <f>IF(GroDB3[[#This Row],[Last_Order_Date]]&lt;=GroDB3[[#This Row],[Date_Received]], "Yes", "No")</f>
        <v>No</v>
      </c>
      <c r="K968" s="43">
        <f>IF(GroDB3[[#This Row],[Column1]]="No",GroDB3[[#This Row],[Last_Order_Date]],GroDB3[[#This Row],[Date_Received]])</f>
        <v>45596</v>
      </c>
      <c r="L968" s="43">
        <f>IF(GroDB3[[#This Row],[Column1]]="No",GroDB3[[#This Row],[Date_Received]],GroDB3[[#This Row],[Last_Order_Date]])</f>
        <v>45554</v>
      </c>
      <c r="M968" s="43">
        <v>45364</v>
      </c>
      <c r="N968" s="3">
        <v>49</v>
      </c>
      <c r="O968" s="3">
        <v>3</v>
      </c>
      <c r="P968" s="3">
        <v>7</v>
      </c>
      <c r="Q968" s="4">
        <v>6.25</v>
      </c>
      <c r="R968" s="3">
        <v>75</v>
      </c>
      <c r="S968" s="3">
        <v>46</v>
      </c>
      <c r="T968" s="7">
        <v>0.37</v>
      </c>
    </row>
    <row r="969" spans="1:20" x14ac:dyDescent="0.35">
      <c r="A969" s="5" t="s">
        <v>165</v>
      </c>
      <c r="B969" s="3" t="s">
        <v>60</v>
      </c>
      <c r="C969" s="3" t="s">
        <v>152</v>
      </c>
      <c r="D969" s="3" t="s">
        <v>3397</v>
      </c>
      <c r="E969" s="3" t="s">
        <v>21</v>
      </c>
      <c r="F969" s="3" t="s">
        <v>3398</v>
      </c>
      <c r="G969" s="3" t="s">
        <v>3399</v>
      </c>
      <c r="H969" s="43">
        <v>45554</v>
      </c>
      <c r="I969" s="43">
        <v>45450</v>
      </c>
      <c r="J969" s="47" t="str">
        <f>IF(GroDB3[[#This Row],[Last_Order_Date]]&lt;=GroDB3[[#This Row],[Date_Received]], "Yes", "No")</f>
        <v>Yes</v>
      </c>
      <c r="K969" s="43">
        <f>IF(GroDB3[[#This Row],[Column1]]="No",GroDB3[[#This Row],[Last_Order_Date]],GroDB3[[#This Row],[Date_Received]])</f>
        <v>45554</v>
      </c>
      <c r="L969" s="43">
        <f>IF(GroDB3[[#This Row],[Column1]]="No",GroDB3[[#This Row],[Date_Received]],GroDB3[[#This Row],[Last_Order_Date]])</f>
        <v>45450</v>
      </c>
      <c r="M969" s="43">
        <v>45460</v>
      </c>
      <c r="N969" s="3">
        <v>46</v>
      </c>
      <c r="O969" s="3">
        <v>80</v>
      </c>
      <c r="P969" s="3">
        <v>88</v>
      </c>
      <c r="Q969" s="4">
        <v>7</v>
      </c>
      <c r="R969" s="3">
        <v>62</v>
      </c>
      <c r="S969" s="3">
        <v>22</v>
      </c>
      <c r="T969" s="7">
        <v>0.39</v>
      </c>
    </row>
    <row r="970" spans="1:20" x14ac:dyDescent="0.35">
      <c r="A970" s="5" t="s">
        <v>170</v>
      </c>
      <c r="B970" s="3" t="s">
        <v>53</v>
      </c>
      <c r="C970" s="3" t="s">
        <v>128</v>
      </c>
      <c r="D970" s="3" t="s">
        <v>3400</v>
      </c>
      <c r="E970" s="3" t="s">
        <v>21</v>
      </c>
      <c r="F970" s="3" t="s">
        <v>3401</v>
      </c>
      <c r="G970" s="3" t="s">
        <v>3402</v>
      </c>
      <c r="H970" s="43">
        <v>45556</v>
      </c>
      <c r="I970" s="43">
        <v>45589</v>
      </c>
      <c r="J970" s="47" t="str">
        <f>IF(GroDB3[[#This Row],[Last_Order_Date]]&lt;=GroDB3[[#This Row],[Date_Received]], "Yes", "No")</f>
        <v>No</v>
      </c>
      <c r="K970" s="43">
        <f>IF(GroDB3[[#This Row],[Column1]]="No",GroDB3[[#This Row],[Last_Order_Date]],GroDB3[[#This Row],[Date_Received]])</f>
        <v>45589</v>
      </c>
      <c r="L970" s="43">
        <f>IF(GroDB3[[#This Row],[Column1]]="No",GroDB3[[#This Row],[Date_Received]],GroDB3[[#This Row],[Last_Order_Date]])</f>
        <v>45556</v>
      </c>
      <c r="M970" s="43">
        <v>45703</v>
      </c>
      <c r="N970" s="3">
        <v>20</v>
      </c>
      <c r="O970" s="3">
        <v>34</v>
      </c>
      <c r="P970" s="3">
        <v>74</v>
      </c>
      <c r="Q970" s="4">
        <v>4.5</v>
      </c>
      <c r="R970" s="3">
        <v>50</v>
      </c>
      <c r="S970" s="3">
        <v>83</v>
      </c>
      <c r="T970" s="7">
        <v>0.65</v>
      </c>
    </row>
    <row r="971" spans="1:20" x14ac:dyDescent="0.35">
      <c r="A971" s="5" t="s">
        <v>298</v>
      </c>
      <c r="B971" s="3" t="s">
        <v>32</v>
      </c>
      <c r="C971" s="3" t="s">
        <v>138</v>
      </c>
      <c r="D971" s="3" t="s">
        <v>3403</v>
      </c>
      <c r="E971" s="3" t="s">
        <v>21</v>
      </c>
      <c r="F971" s="3" t="s">
        <v>3404</v>
      </c>
      <c r="G971" s="3" t="s">
        <v>3405</v>
      </c>
      <c r="H971" s="43">
        <v>45556</v>
      </c>
      <c r="I971" s="43">
        <v>45458</v>
      </c>
      <c r="J971" s="47" t="str">
        <f>IF(GroDB3[[#This Row],[Last_Order_Date]]&lt;=GroDB3[[#This Row],[Date_Received]], "Yes", "No")</f>
        <v>Yes</v>
      </c>
      <c r="K971" s="43">
        <f>IF(GroDB3[[#This Row],[Column1]]="No",GroDB3[[#This Row],[Last_Order_Date]],GroDB3[[#This Row],[Date_Received]])</f>
        <v>45556</v>
      </c>
      <c r="L971" s="43">
        <f>IF(GroDB3[[#This Row],[Column1]]="No",GroDB3[[#This Row],[Date_Received]],GroDB3[[#This Row],[Last_Order_Date]])</f>
        <v>45458</v>
      </c>
      <c r="M971" s="43">
        <v>45550</v>
      </c>
      <c r="N971" s="3">
        <v>29</v>
      </c>
      <c r="O971" s="3">
        <v>32</v>
      </c>
      <c r="P971" s="3">
        <v>26</v>
      </c>
      <c r="Q971" s="4">
        <v>2.5</v>
      </c>
      <c r="R971" s="3">
        <v>64</v>
      </c>
      <c r="S971" s="3">
        <v>85</v>
      </c>
      <c r="T971" s="7">
        <v>-0.66</v>
      </c>
    </row>
    <row r="972" spans="1:20" x14ac:dyDescent="0.35">
      <c r="A972" s="5" t="s">
        <v>298</v>
      </c>
      <c r="B972" s="3" t="s">
        <v>32</v>
      </c>
      <c r="C972" s="3" t="s">
        <v>3406</v>
      </c>
      <c r="D972" s="3" t="s">
        <v>3407</v>
      </c>
      <c r="E972" s="3" t="s">
        <v>21</v>
      </c>
      <c r="F972" s="3" t="s">
        <v>3408</v>
      </c>
      <c r="G972" s="3" t="s">
        <v>3409</v>
      </c>
      <c r="H972" s="43">
        <v>45556</v>
      </c>
      <c r="I972" s="43">
        <v>45443</v>
      </c>
      <c r="J972" s="47" t="str">
        <f>IF(GroDB3[[#This Row],[Last_Order_Date]]&lt;=GroDB3[[#This Row],[Date_Received]], "Yes", "No")</f>
        <v>Yes</v>
      </c>
      <c r="K972" s="43">
        <f>IF(GroDB3[[#This Row],[Column1]]="No",GroDB3[[#This Row],[Last_Order_Date]],GroDB3[[#This Row],[Date_Received]])</f>
        <v>45556</v>
      </c>
      <c r="L972" s="43">
        <f>IF(GroDB3[[#This Row],[Column1]]="No",GroDB3[[#This Row],[Date_Received]],GroDB3[[#This Row],[Last_Order_Date]])</f>
        <v>45443</v>
      </c>
      <c r="M972" s="43">
        <v>45634</v>
      </c>
      <c r="N972" s="3">
        <v>62</v>
      </c>
      <c r="O972" s="3">
        <v>91</v>
      </c>
      <c r="P972" s="3">
        <v>14</v>
      </c>
      <c r="Q972" s="4">
        <v>2.5</v>
      </c>
      <c r="R972" s="3">
        <v>41</v>
      </c>
      <c r="S972" s="3">
        <v>77</v>
      </c>
      <c r="T972" s="7">
        <v>-0.33</v>
      </c>
    </row>
    <row r="973" spans="1:20" x14ac:dyDescent="0.35">
      <c r="A973" s="5" t="s">
        <v>165</v>
      </c>
      <c r="B973" s="3" t="s">
        <v>60</v>
      </c>
      <c r="C973" s="3" t="s">
        <v>3253</v>
      </c>
      <c r="D973" s="3" t="s">
        <v>3410</v>
      </c>
      <c r="E973" s="3" t="s">
        <v>28</v>
      </c>
      <c r="F973" s="3" t="s">
        <v>3411</v>
      </c>
      <c r="G973" s="3" t="s">
        <v>3412</v>
      </c>
      <c r="H973" s="43">
        <v>45556</v>
      </c>
      <c r="I973" s="43">
        <v>45651</v>
      </c>
      <c r="J973" s="47" t="str">
        <f>IF(GroDB3[[#This Row],[Last_Order_Date]]&lt;=GroDB3[[#This Row],[Date_Received]], "Yes", "No")</f>
        <v>No</v>
      </c>
      <c r="K973" s="43">
        <f>IF(GroDB3[[#This Row],[Column1]]="No",GroDB3[[#This Row],[Last_Order_Date]],GroDB3[[#This Row],[Date_Received]])</f>
        <v>45651</v>
      </c>
      <c r="L973" s="43">
        <f>IF(GroDB3[[#This Row],[Column1]]="No",GroDB3[[#This Row],[Date_Received]],GroDB3[[#This Row],[Last_Order_Date]])</f>
        <v>45556</v>
      </c>
      <c r="M973" s="43">
        <v>45430</v>
      </c>
      <c r="N973" s="3">
        <v>100</v>
      </c>
      <c r="O973" s="3">
        <v>61</v>
      </c>
      <c r="P973" s="3">
        <v>21</v>
      </c>
      <c r="Q973" s="4">
        <v>7</v>
      </c>
      <c r="R973" s="3">
        <v>85</v>
      </c>
      <c r="S973" s="3">
        <v>79</v>
      </c>
      <c r="T973" s="7">
        <v>-0.88</v>
      </c>
    </row>
    <row r="974" spans="1:20" x14ac:dyDescent="0.35">
      <c r="A974" s="5" t="s">
        <v>627</v>
      </c>
      <c r="B974" s="3" t="s">
        <v>53</v>
      </c>
      <c r="C974" s="3" t="s">
        <v>1008</v>
      </c>
      <c r="D974" s="3" t="s">
        <v>3413</v>
      </c>
      <c r="E974" s="3" t="s">
        <v>21</v>
      </c>
      <c r="F974" s="3" t="s">
        <v>3414</v>
      </c>
      <c r="G974" s="3" t="s">
        <v>3415</v>
      </c>
      <c r="H974" s="43">
        <v>45557</v>
      </c>
      <c r="I974" s="43">
        <v>45424</v>
      </c>
      <c r="J974" s="47" t="str">
        <f>IF(GroDB3[[#This Row],[Last_Order_Date]]&lt;=GroDB3[[#This Row],[Date_Received]], "Yes", "No")</f>
        <v>Yes</v>
      </c>
      <c r="K974" s="43">
        <f>IF(GroDB3[[#This Row],[Column1]]="No",GroDB3[[#This Row],[Last_Order_Date]],GroDB3[[#This Row],[Date_Received]])</f>
        <v>45557</v>
      </c>
      <c r="L974" s="43">
        <f>IF(GroDB3[[#This Row],[Column1]]="No",GroDB3[[#This Row],[Date_Received]],GroDB3[[#This Row],[Last_Order_Date]])</f>
        <v>45424</v>
      </c>
      <c r="M974" s="43">
        <v>45482</v>
      </c>
      <c r="N974" s="3">
        <v>28</v>
      </c>
      <c r="O974" s="3">
        <v>24</v>
      </c>
      <c r="P974" s="3">
        <v>97</v>
      </c>
      <c r="Q974" s="4">
        <v>2.5</v>
      </c>
      <c r="R974" s="3">
        <v>82</v>
      </c>
      <c r="S974" s="3">
        <v>5</v>
      </c>
      <c r="T974" s="7">
        <v>7.0000000000000007E-2</v>
      </c>
    </row>
    <row r="975" spans="1:20" x14ac:dyDescent="0.35">
      <c r="A975" s="5" t="s">
        <v>531</v>
      </c>
      <c r="B975" s="3" t="s">
        <v>53</v>
      </c>
      <c r="C975" s="3" t="s">
        <v>171</v>
      </c>
      <c r="D975" s="3" t="s">
        <v>3416</v>
      </c>
      <c r="E975" s="3" t="s">
        <v>56</v>
      </c>
      <c r="F975" s="3" t="s">
        <v>3417</v>
      </c>
      <c r="G975" s="3" t="s">
        <v>3418</v>
      </c>
      <c r="H975" s="43">
        <v>45558</v>
      </c>
      <c r="I975" s="43">
        <v>45483</v>
      </c>
      <c r="J975" s="47" t="str">
        <f>IF(GroDB3[[#This Row],[Last_Order_Date]]&lt;=GroDB3[[#This Row],[Date_Received]], "Yes", "No")</f>
        <v>Yes</v>
      </c>
      <c r="K975" s="43">
        <f>IF(GroDB3[[#This Row],[Column1]]="No",GroDB3[[#This Row],[Last_Order_Date]],GroDB3[[#This Row],[Date_Received]])</f>
        <v>45558</v>
      </c>
      <c r="L975" s="43">
        <f>IF(GroDB3[[#This Row],[Column1]]="No",GroDB3[[#This Row],[Date_Received]],GroDB3[[#This Row],[Last_Order_Date]])</f>
        <v>45483</v>
      </c>
      <c r="M975" s="43">
        <v>45381</v>
      </c>
      <c r="N975" s="3">
        <v>26</v>
      </c>
      <c r="O975" s="3">
        <v>82</v>
      </c>
      <c r="P975" s="3">
        <v>19</v>
      </c>
      <c r="Q975" s="4">
        <v>1.5</v>
      </c>
      <c r="R975" s="3">
        <v>76</v>
      </c>
      <c r="S975" s="3">
        <v>88</v>
      </c>
      <c r="T975" s="7">
        <v>0.94</v>
      </c>
    </row>
    <row r="976" spans="1:20" x14ac:dyDescent="0.35">
      <c r="A976" s="5" t="s">
        <v>37</v>
      </c>
      <c r="B976" s="3" t="s">
        <v>18</v>
      </c>
      <c r="C976" s="3" t="s">
        <v>388</v>
      </c>
      <c r="D976" s="3" t="s">
        <v>3419</v>
      </c>
      <c r="E976" s="3" t="s">
        <v>21</v>
      </c>
      <c r="F976" s="3" t="s">
        <v>3420</v>
      </c>
      <c r="G976" s="3" t="s">
        <v>3421</v>
      </c>
      <c r="H976" s="43">
        <v>45558</v>
      </c>
      <c r="I976" s="43">
        <v>45617</v>
      </c>
      <c r="J976" s="47" t="str">
        <f>IF(GroDB3[[#This Row],[Last_Order_Date]]&lt;=GroDB3[[#This Row],[Date_Received]], "Yes", "No")</f>
        <v>No</v>
      </c>
      <c r="K976" s="43">
        <f>IF(GroDB3[[#This Row],[Column1]]="No",GroDB3[[#This Row],[Last_Order_Date]],GroDB3[[#This Row],[Date_Received]])</f>
        <v>45617</v>
      </c>
      <c r="L976" s="43">
        <f>IF(GroDB3[[#This Row],[Column1]]="No",GroDB3[[#This Row],[Date_Received]],GroDB3[[#This Row],[Last_Order_Date]])</f>
        <v>45558</v>
      </c>
      <c r="M976" s="43">
        <v>45391</v>
      </c>
      <c r="N976" s="3">
        <v>67</v>
      </c>
      <c r="O976" s="3">
        <v>68</v>
      </c>
      <c r="P976" s="3">
        <v>50</v>
      </c>
      <c r="Q976" s="4">
        <v>1.5</v>
      </c>
      <c r="R976" s="3">
        <v>67</v>
      </c>
      <c r="S976" s="3">
        <v>82</v>
      </c>
      <c r="T976" s="7">
        <v>-0.16</v>
      </c>
    </row>
    <row r="977" spans="1:20" x14ac:dyDescent="0.35">
      <c r="A977" s="5" t="s">
        <v>1445</v>
      </c>
      <c r="B977" s="3" t="s">
        <v>18</v>
      </c>
      <c r="C977" s="3" t="s">
        <v>692</v>
      </c>
      <c r="D977" s="3" t="s">
        <v>3422</v>
      </c>
      <c r="E977" s="3" t="s">
        <v>56</v>
      </c>
      <c r="F977" s="3" t="s">
        <v>3423</v>
      </c>
      <c r="G977" s="3" t="s">
        <v>3424</v>
      </c>
      <c r="H977" s="43">
        <v>45558</v>
      </c>
      <c r="I977" s="43">
        <v>45539</v>
      </c>
      <c r="J977" s="47" t="str">
        <f>IF(GroDB3[[#This Row],[Last_Order_Date]]&lt;=GroDB3[[#This Row],[Date_Received]], "Yes", "No")</f>
        <v>Yes</v>
      </c>
      <c r="K977" s="43">
        <f>IF(GroDB3[[#This Row],[Column1]]="No",GroDB3[[#This Row],[Last_Order_Date]],GroDB3[[#This Row],[Date_Received]])</f>
        <v>45558</v>
      </c>
      <c r="L977" s="43">
        <f>IF(GroDB3[[#This Row],[Column1]]="No",GroDB3[[#This Row],[Date_Received]],GroDB3[[#This Row],[Last_Order_Date]])</f>
        <v>45539</v>
      </c>
      <c r="M977" s="43">
        <v>45646</v>
      </c>
      <c r="N977" s="3">
        <v>53</v>
      </c>
      <c r="O977" s="3">
        <v>98</v>
      </c>
      <c r="P977" s="3">
        <v>25</v>
      </c>
      <c r="Q977" s="4">
        <v>10</v>
      </c>
      <c r="R977" s="3">
        <v>55</v>
      </c>
      <c r="S977" s="3">
        <v>51</v>
      </c>
      <c r="T977" s="7">
        <v>-0.22</v>
      </c>
    </row>
    <row r="978" spans="1:20" x14ac:dyDescent="0.35">
      <c r="A978" s="5" t="s">
        <v>258</v>
      </c>
      <c r="B978" s="3" t="s">
        <v>25</v>
      </c>
      <c r="C978" s="3" t="s">
        <v>1127</v>
      </c>
      <c r="D978" s="3" t="s">
        <v>3425</v>
      </c>
      <c r="E978" s="3" t="s">
        <v>21</v>
      </c>
      <c r="F978" s="3" t="s">
        <v>3426</v>
      </c>
      <c r="G978" s="3" t="s">
        <v>3427</v>
      </c>
      <c r="H978" s="43">
        <v>45558</v>
      </c>
      <c r="I978" s="43">
        <v>45626</v>
      </c>
      <c r="J978" s="47" t="str">
        <f>IF(GroDB3[[#This Row],[Last_Order_Date]]&lt;=GroDB3[[#This Row],[Date_Received]], "Yes", "No")</f>
        <v>No</v>
      </c>
      <c r="K978" s="43">
        <f>IF(GroDB3[[#This Row],[Column1]]="No",GroDB3[[#This Row],[Last_Order_Date]],GroDB3[[#This Row],[Date_Received]])</f>
        <v>45626</v>
      </c>
      <c r="L978" s="43">
        <f>IF(GroDB3[[#This Row],[Column1]]="No",GroDB3[[#This Row],[Date_Received]],GroDB3[[#This Row],[Last_Order_Date]])</f>
        <v>45558</v>
      </c>
      <c r="M978" s="43">
        <v>45623</v>
      </c>
      <c r="N978" s="3">
        <v>49</v>
      </c>
      <c r="O978" s="3">
        <v>17</v>
      </c>
      <c r="P978" s="3">
        <v>54</v>
      </c>
      <c r="Q978" s="4">
        <v>4</v>
      </c>
      <c r="R978" s="3">
        <v>45</v>
      </c>
      <c r="S978" s="3">
        <v>96</v>
      </c>
      <c r="T978" s="7">
        <v>7.0000000000000007E-2</v>
      </c>
    </row>
    <row r="979" spans="1:20" x14ac:dyDescent="0.35">
      <c r="A979" s="5" t="s">
        <v>70</v>
      </c>
      <c r="B979" s="3" t="s">
        <v>32</v>
      </c>
      <c r="C979" s="3" t="s">
        <v>221</v>
      </c>
      <c r="D979" s="3" t="s">
        <v>3428</v>
      </c>
      <c r="E979" s="3" t="s">
        <v>28</v>
      </c>
      <c r="F979" s="3" t="s">
        <v>3429</v>
      </c>
      <c r="G979" s="3" t="s">
        <v>3430</v>
      </c>
      <c r="H979" s="43">
        <v>45558</v>
      </c>
      <c r="I979" s="43">
        <v>45474</v>
      </c>
      <c r="J979" s="47" t="str">
        <f>IF(GroDB3[[#This Row],[Last_Order_Date]]&lt;=GroDB3[[#This Row],[Date_Received]], "Yes", "No")</f>
        <v>Yes</v>
      </c>
      <c r="K979" s="43">
        <f>IF(GroDB3[[#This Row],[Column1]]="No",GroDB3[[#This Row],[Last_Order_Date]],GroDB3[[#This Row],[Date_Received]])</f>
        <v>45558</v>
      </c>
      <c r="L979" s="43">
        <f>IF(GroDB3[[#This Row],[Column1]]="No",GroDB3[[#This Row],[Date_Received]],GroDB3[[#This Row],[Last_Order_Date]])</f>
        <v>45474</v>
      </c>
      <c r="M979" s="43">
        <v>45435</v>
      </c>
      <c r="N979" s="3">
        <v>63</v>
      </c>
      <c r="O979" s="3">
        <v>12</v>
      </c>
      <c r="P979" s="3">
        <v>82</v>
      </c>
      <c r="Q979" s="4">
        <v>1.7</v>
      </c>
      <c r="R979" s="3">
        <v>56</v>
      </c>
      <c r="S979" s="3">
        <v>31</v>
      </c>
      <c r="T979" s="7">
        <v>-1.1299999999999999</v>
      </c>
    </row>
    <row r="980" spans="1:20" x14ac:dyDescent="0.35">
      <c r="A980" s="5" t="s">
        <v>984</v>
      </c>
      <c r="B980" s="3" t="s">
        <v>18</v>
      </c>
      <c r="C980" s="3" t="s">
        <v>1465</v>
      </c>
      <c r="D980" s="3" t="s">
        <v>3431</v>
      </c>
      <c r="E980" s="3" t="s">
        <v>21</v>
      </c>
      <c r="F980" s="3" t="s">
        <v>3432</v>
      </c>
      <c r="G980" s="3" t="s">
        <v>3433</v>
      </c>
      <c r="H980" s="43">
        <v>45559</v>
      </c>
      <c r="I980" s="43">
        <v>45672</v>
      </c>
      <c r="J980" s="47" t="str">
        <f>IF(GroDB3[[#This Row],[Last_Order_Date]]&lt;=GroDB3[[#This Row],[Date_Received]], "Yes", "No")</f>
        <v>No</v>
      </c>
      <c r="K980" s="43">
        <f>IF(GroDB3[[#This Row],[Column1]]="No",GroDB3[[#This Row],[Last_Order_Date]],GroDB3[[#This Row],[Date_Received]])</f>
        <v>45672</v>
      </c>
      <c r="L980" s="43">
        <f>IF(GroDB3[[#This Row],[Column1]]="No",GroDB3[[#This Row],[Date_Received]],GroDB3[[#This Row],[Last_Order_Date]])</f>
        <v>45559</v>
      </c>
      <c r="M980" s="43">
        <v>45423</v>
      </c>
      <c r="N980" s="3">
        <v>73</v>
      </c>
      <c r="O980" s="3">
        <v>87</v>
      </c>
      <c r="P980" s="3">
        <v>46</v>
      </c>
      <c r="Q980" s="4">
        <v>4</v>
      </c>
      <c r="R980" s="3">
        <v>47</v>
      </c>
      <c r="S980" s="3">
        <v>67</v>
      </c>
      <c r="T980" s="7">
        <v>0.45</v>
      </c>
    </row>
    <row r="981" spans="1:20" x14ac:dyDescent="0.35">
      <c r="A981" s="5" t="s">
        <v>420</v>
      </c>
      <c r="B981" s="3" t="s">
        <v>60</v>
      </c>
      <c r="C981" s="3" t="s">
        <v>555</v>
      </c>
      <c r="D981" s="3" t="s">
        <v>3434</v>
      </c>
      <c r="E981" s="3" t="s">
        <v>21</v>
      </c>
      <c r="F981" s="3" t="s">
        <v>3435</v>
      </c>
      <c r="G981" s="3" t="s">
        <v>3436</v>
      </c>
      <c r="H981" s="43">
        <v>45559</v>
      </c>
      <c r="I981" s="43">
        <v>45479</v>
      </c>
      <c r="J981" s="47" t="str">
        <f>IF(GroDB3[[#This Row],[Last_Order_Date]]&lt;=GroDB3[[#This Row],[Date_Received]], "Yes", "No")</f>
        <v>Yes</v>
      </c>
      <c r="K981" s="43">
        <f>IF(GroDB3[[#This Row],[Column1]]="No",GroDB3[[#This Row],[Last_Order_Date]],GroDB3[[#This Row],[Date_Received]])</f>
        <v>45559</v>
      </c>
      <c r="L981" s="43">
        <f>IF(GroDB3[[#This Row],[Column1]]="No",GroDB3[[#This Row],[Date_Received]],GroDB3[[#This Row],[Last_Order_Date]])</f>
        <v>45479</v>
      </c>
      <c r="M981" s="43">
        <v>45580</v>
      </c>
      <c r="N981" s="3">
        <v>89</v>
      </c>
      <c r="O981" s="3">
        <v>95</v>
      </c>
      <c r="P981" s="3">
        <v>41</v>
      </c>
      <c r="Q981" s="4">
        <v>18</v>
      </c>
      <c r="R981" s="3">
        <v>76</v>
      </c>
      <c r="S981" s="3">
        <v>96</v>
      </c>
      <c r="T981" s="7">
        <v>-0.43</v>
      </c>
    </row>
    <row r="982" spans="1:20" x14ac:dyDescent="0.35">
      <c r="A982" s="5" t="s">
        <v>1069</v>
      </c>
      <c r="B982" s="3" t="s">
        <v>18</v>
      </c>
      <c r="C982" s="3" t="s">
        <v>112</v>
      </c>
      <c r="D982" s="3" t="s">
        <v>3437</v>
      </c>
      <c r="E982" s="3" t="s">
        <v>21</v>
      </c>
      <c r="F982" s="3" t="s">
        <v>3438</v>
      </c>
      <c r="G982" s="3" t="s">
        <v>3439</v>
      </c>
      <c r="H982" s="43">
        <v>45560</v>
      </c>
      <c r="I982" s="43">
        <v>45624</v>
      </c>
      <c r="J982" s="47" t="str">
        <f>IF(GroDB3[[#This Row],[Last_Order_Date]]&lt;=GroDB3[[#This Row],[Date_Received]], "Yes", "No")</f>
        <v>No</v>
      </c>
      <c r="K982" s="43">
        <f>IF(GroDB3[[#This Row],[Column1]]="No",GroDB3[[#This Row],[Last_Order_Date]],GroDB3[[#This Row],[Date_Received]])</f>
        <v>45624</v>
      </c>
      <c r="L982" s="43">
        <f>IF(GroDB3[[#This Row],[Column1]]="No",GroDB3[[#This Row],[Date_Received]],GroDB3[[#This Row],[Last_Order_Date]])</f>
        <v>45560</v>
      </c>
      <c r="M982" s="43">
        <v>45455</v>
      </c>
      <c r="N982" s="3">
        <v>26</v>
      </c>
      <c r="O982" s="3">
        <v>97</v>
      </c>
      <c r="P982" s="3">
        <v>12</v>
      </c>
      <c r="Q982" s="4">
        <v>6</v>
      </c>
      <c r="R982" s="3">
        <v>94</v>
      </c>
      <c r="S982" s="3">
        <v>58</v>
      </c>
      <c r="T982" s="7">
        <v>-0.26</v>
      </c>
    </row>
    <row r="983" spans="1:20" x14ac:dyDescent="0.35">
      <c r="A983" s="5" t="s">
        <v>80</v>
      </c>
      <c r="B983" s="3" t="s">
        <v>25</v>
      </c>
      <c r="C983" s="3" t="s">
        <v>316</v>
      </c>
      <c r="D983" s="3" t="s">
        <v>3440</v>
      </c>
      <c r="E983" s="3" t="s">
        <v>21</v>
      </c>
      <c r="F983" s="3" t="s">
        <v>3441</v>
      </c>
      <c r="G983" s="3" t="s">
        <v>3442</v>
      </c>
      <c r="H983" s="43">
        <v>45561</v>
      </c>
      <c r="I983" s="43">
        <v>45424</v>
      </c>
      <c r="J983" s="47" t="str">
        <f>IF(GroDB3[[#This Row],[Last_Order_Date]]&lt;=GroDB3[[#This Row],[Date_Received]], "Yes", "No")</f>
        <v>Yes</v>
      </c>
      <c r="K983" s="43">
        <f>IF(GroDB3[[#This Row],[Column1]]="No",GroDB3[[#This Row],[Last_Order_Date]],GroDB3[[#This Row],[Date_Received]])</f>
        <v>45561</v>
      </c>
      <c r="L983" s="43">
        <f>IF(GroDB3[[#This Row],[Column1]]="No",GroDB3[[#This Row],[Date_Received]],GroDB3[[#This Row],[Last_Order_Date]])</f>
        <v>45424</v>
      </c>
      <c r="M983" s="43">
        <v>45447</v>
      </c>
      <c r="N983" s="3">
        <v>50</v>
      </c>
      <c r="O983" s="3">
        <v>36</v>
      </c>
      <c r="P983" s="3">
        <v>81</v>
      </c>
      <c r="Q983" s="4">
        <v>10</v>
      </c>
      <c r="R983" s="3">
        <v>27</v>
      </c>
      <c r="S983" s="3">
        <v>6</v>
      </c>
      <c r="T983" s="7">
        <v>0.38</v>
      </c>
    </row>
    <row r="984" spans="1:20" x14ac:dyDescent="0.35">
      <c r="A984" s="5" t="s">
        <v>674</v>
      </c>
      <c r="B984" s="3" t="s">
        <v>60</v>
      </c>
      <c r="C984" s="3" t="s">
        <v>2001</v>
      </c>
      <c r="D984" s="3" t="s">
        <v>3443</v>
      </c>
      <c r="E984" s="3" t="s">
        <v>56</v>
      </c>
      <c r="F984" s="3" t="s">
        <v>3444</v>
      </c>
      <c r="G984" s="3" t="s">
        <v>3445</v>
      </c>
      <c r="H984" s="43">
        <v>45561</v>
      </c>
      <c r="I984" s="43">
        <v>45497</v>
      </c>
      <c r="J984" s="47" t="str">
        <f>IF(GroDB3[[#This Row],[Last_Order_Date]]&lt;=GroDB3[[#This Row],[Date_Received]], "Yes", "No")</f>
        <v>Yes</v>
      </c>
      <c r="K984" s="43">
        <f>IF(GroDB3[[#This Row],[Column1]]="No",GroDB3[[#This Row],[Last_Order_Date]],GroDB3[[#This Row],[Date_Received]])</f>
        <v>45561</v>
      </c>
      <c r="L984" s="43">
        <f>IF(GroDB3[[#This Row],[Column1]]="No",GroDB3[[#This Row],[Date_Received]],GroDB3[[#This Row],[Last_Order_Date]])</f>
        <v>45497</v>
      </c>
      <c r="M984" s="43">
        <v>45359</v>
      </c>
      <c r="N984" s="3">
        <v>43</v>
      </c>
      <c r="O984" s="3">
        <v>7</v>
      </c>
      <c r="P984" s="3">
        <v>63</v>
      </c>
      <c r="Q984" s="4">
        <v>9</v>
      </c>
      <c r="R984" s="3">
        <v>66</v>
      </c>
      <c r="S984" s="3">
        <v>71</v>
      </c>
      <c r="T984" s="7">
        <v>0.78</v>
      </c>
    </row>
    <row r="985" spans="1:20" x14ac:dyDescent="0.35">
      <c r="A985" s="5" t="s">
        <v>248</v>
      </c>
      <c r="B985" s="3" t="s">
        <v>32</v>
      </c>
      <c r="C985" s="3" t="s">
        <v>38</v>
      </c>
      <c r="D985" s="3" t="s">
        <v>3446</v>
      </c>
      <c r="E985" s="3" t="s">
        <v>56</v>
      </c>
      <c r="F985" s="3" t="s">
        <v>3447</v>
      </c>
      <c r="G985" s="3" t="s">
        <v>3448</v>
      </c>
      <c r="H985" s="43">
        <v>45562</v>
      </c>
      <c r="I985" s="43">
        <v>45533</v>
      </c>
      <c r="J985" s="47" t="str">
        <f>IF(GroDB3[[#This Row],[Last_Order_Date]]&lt;=GroDB3[[#This Row],[Date_Received]], "Yes", "No")</f>
        <v>Yes</v>
      </c>
      <c r="K985" s="43">
        <f>IF(GroDB3[[#This Row],[Column1]]="No",GroDB3[[#This Row],[Last_Order_Date]],GroDB3[[#This Row],[Date_Received]])</f>
        <v>45562</v>
      </c>
      <c r="L985" s="43">
        <f>IF(GroDB3[[#This Row],[Column1]]="No",GroDB3[[#This Row],[Date_Received]],GroDB3[[#This Row],[Last_Order_Date]])</f>
        <v>45533</v>
      </c>
      <c r="M985" s="43">
        <v>45694</v>
      </c>
      <c r="N985" s="3">
        <v>97</v>
      </c>
      <c r="O985" s="3">
        <v>57</v>
      </c>
      <c r="P985" s="3">
        <v>84</v>
      </c>
      <c r="Q985" s="4">
        <v>7</v>
      </c>
      <c r="R985" s="3">
        <v>95</v>
      </c>
      <c r="S985" s="3">
        <v>28</v>
      </c>
      <c r="T985" s="7">
        <v>-0.08</v>
      </c>
    </row>
    <row r="986" spans="1:20" x14ac:dyDescent="0.35">
      <c r="A986" s="5" t="s">
        <v>288</v>
      </c>
      <c r="B986" s="3" t="s">
        <v>60</v>
      </c>
      <c r="C986" s="3" t="s">
        <v>1261</v>
      </c>
      <c r="D986" s="3" t="s">
        <v>3449</v>
      </c>
      <c r="E986" s="3" t="s">
        <v>56</v>
      </c>
      <c r="F986" s="3" t="s">
        <v>3450</v>
      </c>
      <c r="G986" s="3" t="s">
        <v>3451</v>
      </c>
      <c r="H986" s="43">
        <v>45562</v>
      </c>
      <c r="I986" s="43">
        <v>45492</v>
      </c>
      <c r="J986" s="47" t="str">
        <f>IF(GroDB3[[#This Row],[Last_Order_Date]]&lt;=GroDB3[[#This Row],[Date_Received]], "Yes", "No")</f>
        <v>Yes</v>
      </c>
      <c r="K986" s="43">
        <f>IF(GroDB3[[#This Row],[Column1]]="No",GroDB3[[#This Row],[Last_Order_Date]],GroDB3[[#This Row],[Date_Received]])</f>
        <v>45562</v>
      </c>
      <c r="L986" s="43">
        <f>IF(GroDB3[[#This Row],[Column1]]="No",GroDB3[[#This Row],[Date_Received]],GroDB3[[#This Row],[Last_Order_Date]])</f>
        <v>45492</v>
      </c>
      <c r="M986" s="43">
        <v>45470</v>
      </c>
      <c r="N986" s="3">
        <v>98</v>
      </c>
      <c r="O986" s="3">
        <v>65</v>
      </c>
      <c r="P986" s="3">
        <v>76</v>
      </c>
      <c r="Q986" s="4">
        <v>12</v>
      </c>
      <c r="R986" s="3">
        <v>62</v>
      </c>
      <c r="S986" s="3">
        <v>47</v>
      </c>
      <c r="T986" s="7">
        <v>0.71</v>
      </c>
    </row>
    <row r="987" spans="1:20" x14ac:dyDescent="0.35">
      <c r="A987" s="5" t="s">
        <v>31</v>
      </c>
      <c r="B987" s="3" t="s">
        <v>32</v>
      </c>
      <c r="C987" s="3" t="s">
        <v>3452</v>
      </c>
      <c r="D987" s="3" t="s">
        <v>3453</v>
      </c>
      <c r="E987" s="3" t="s">
        <v>28</v>
      </c>
      <c r="F987" s="3" t="s">
        <v>3454</v>
      </c>
      <c r="G987" s="3" t="s">
        <v>3455</v>
      </c>
      <c r="H987" s="43">
        <v>45562</v>
      </c>
      <c r="I987" s="43">
        <v>45569</v>
      </c>
      <c r="J987" s="47" t="str">
        <f>IF(GroDB3[[#This Row],[Last_Order_Date]]&lt;=GroDB3[[#This Row],[Date_Received]], "Yes", "No")</f>
        <v>No</v>
      </c>
      <c r="K987" s="43">
        <f>IF(GroDB3[[#This Row],[Column1]]="No",GroDB3[[#This Row],[Last_Order_Date]],GroDB3[[#This Row],[Date_Received]])</f>
        <v>45569</v>
      </c>
      <c r="L987" s="43">
        <f>IF(GroDB3[[#This Row],[Column1]]="No",GroDB3[[#This Row],[Date_Received]],GroDB3[[#This Row],[Last_Order_Date]])</f>
        <v>45562</v>
      </c>
      <c r="M987" s="43">
        <v>45501</v>
      </c>
      <c r="N987" s="3">
        <v>52</v>
      </c>
      <c r="O987" s="3">
        <v>56</v>
      </c>
      <c r="P987" s="3">
        <v>34</v>
      </c>
      <c r="Q987" s="4">
        <v>12</v>
      </c>
      <c r="R987" s="3">
        <v>31</v>
      </c>
      <c r="S987" s="3">
        <v>69</v>
      </c>
      <c r="T987" s="7">
        <v>0.24</v>
      </c>
    </row>
    <row r="988" spans="1:20" x14ac:dyDescent="0.35">
      <c r="A988" s="5" t="s">
        <v>2626</v>
      </c>
      <c r="B988" s="3" t="s">
        <v>53</v>
      </c>
      <c r="C988" s="3" t="s">
        <v>922</v>
      </c>
      <c r="D988" s="3" t="s">
        <v>3456</v>
      </c>
      <c r="E988" s="3" t="s">
        <v>56</v>
      </c>
      <c r="F988" s="3" t="s">
        <v>3457</v>
      </c>
      <c r="G988" s="3" t="s">
        <v>3458</v>
      </c>
      <c r="H988" s="43">
        <v>45564</v>
      </c>
      <c r="I988" s="43">
        <v>45469</v>
      </c>
      <c r="J988" s="47" t="str">
        <f>IF(GroDB3[[#This Row],[Last_Order_Date]]&lt;=GroDB3[[#This Row],[Date_Received]], "Yes", "No")</f>
        <v>Yes</v>
      </c>
      <c r="K988" s="43">
        <f>IF(GroDB3[[#This Row],[Column1]]="No",GroDB3[[#This Row],[Last_Order_Date]],GroDB3[[#This Row],[Date_Received]])</f>
        <v>45564</v>
      </c>
      <c r="L988" s="43">
        <f>IF(GroDB3[[#This Row],[Column1]]="No",GroDB3[[#This Row],[Date_Received]],GroDB3[[#This Row],[Last_Order_Date]])</f>
        <v>45469</v>
      </c>
      <c r="M988" s="43">
        <v>45613</v>
      </c>
      <c r="N988" s="3">
        <v>72</v>
      </c>
      <c r="O988" s="3">
        <v>72</v>
      </c>
      <c r="P988" s="3">
        <v>68</v>
      </c>
      <c r="Q988" s="4">
        <v>1.5</v>
      </c>
      <c r="R988" s="3">
        <v>39</v>
      </c>
      <c r="S988" s="3">
        <v>78</v>
      </c>
      <c r="T988" s="7">
        <v>-1.23</v>
      </c>
    </row>
    <row r="989" spans="1:20" x14ac:dyDescent="0.35">
      <c r="A989" s="5" t="s">
        <v>355</v>
      </c>
      <c r="B989" s="3" t="s">
        <v>18</v>
      </c>
      <c r="C989" s="3" t="s">
        <v>451</v>
      </c>
      <c r="D989" s="3" t="s">
        <v>3459</v>
      </c>
      <c r="E989" s="3" t="s">
        <v>21</v>
      </c>
      <c r="F989" s="3" t="s">
        <v>3460</v>
      </c>
      <c r="G989" s="3" t="s">
        <v>3461</v>
      </c>
      <c r="H989" s="43">
        <v>45564</v>
      </c>
      <c r="I989" s="43">
        <v>45460</v>
      </c>
      <c r="J989" s="47" t="str">
        <f>IF(GroDB3[[#This Row],[Last_Order_Date]]&lt;=GroDB3[[#This Row],[Date_Received]], "Yes", "No")</f>
        <v>Yes</v>
      </c>
      <c r="K989" s="43">
        <f>IF(GroDB3[[#This Row],[Column1]]="No",GroDB3[[#This Row],[Last_Order_Date]],GroDB3[[#This Row],[Date_Received]])</f>
        <v>45564</v>
      </c>
      <c r="L989" s="43">
        <f>IF(GroDB3[[#This Row],[Column1]]="No",GroDB3[[#This Row],[Date_Received]],GroDB3[[#This Row],[Last_Order_Date]])</f>
        <v>45460</v>
      </c>
      <c r="M989" s="43">
        <v>45475</v>
      </c>
      <c r="N989" s="3">
        <v>24</v>
      </c>
      <c r="O989" s="3">
        <v>32</v>
      </c>
      <c r="P989" s="3">
        <v>17</v>
      </c>
      <c r="Q989" s="4">
        <v>1</v>
      </c>
      <c r="R989" s="3">
        <v>55</v>
      </c>
      <c r="S989" s="3">
        <v>72</v>
      </c>
      <c r="T989" s="7">
        <v>-1</v>
      </c>
    </row>
    <row r="990" spans="1:20" x14ac:dyDescent="0.35">
      <c r="A990" s="5" t="s">
        <v>789</v>
      </c>
      <c r="B990" s="3" t="s">
        <v>18</v>
      </c>
      <c r="C990" s="3" t="s">
        <v>2856</v>
      </c>
      <c r="D990" s="3" t="s">
        <v>3462</v>
      </c>
      <c r="E990" s="3" t="s">
        <v>21</v>
      </c>
      <c r="F990" s="3" t="s">
        <v>3463</v>
      </c>
      <c r="G990" s="3" t="s">
        <v>3464</v>
      </c>
      <c r="H990" s="43">
        <v>45565</v>
      </c>
      <c r="I990" s="43">
        <v>45702</v>
      </c>
      <c r="J990" s="47" t="str">
        <f>IF(GroDB3[[#This Row],[Last_Order_Date]]&lt;=GroDB3[[#This Row],[Date_Received]], "Yes", "No")</f>
        <v>No</v>
      </c>
      <c r="K990" s="43">
        <f>IF(GroDB3[[#This Row],[Column1]]="No",GroDB3[[#This Row],[Last_Order_Date]],GroDB3[[#This Row],[Date_Received]])</f>
        <v>45702</v>
      </c>
      <c r="L990" s="43">
        <f>IF(GroDB3[[#This Row],[Column1]]="No",GroDB3[[#This Row],[Date_Received]],GroDB3[[#This Row],[Last_Order_Date]])</f>
        <v>45565</v>
      </c>
      <c r="M990" s="43">
        <v>45407</v>
      </c>
      <c r="N990" s="3">
        <v>81</v>
      </c>
      <c r="O990" s="3">
        <v>99</v>
      </c>
      <c r="P990" s="3">
        <v>28</v>
      </c>
      <c r="Q990" s="4">
        <v>2</v>
      </c>
      <c r="R990" s="3">
        <v>20</v>
      </c>
      <c r="S990" s="3">
        <v>85</v>
      </c>
      <c r="T990" s="7">
        <v>-0.31</v>
      </c>
    </row>
    <row r="991" spans="1:20" x14ac:dyDescent="0.35">
      <c r="A991" s="8" t="s">
        <v>1069</v>
      </c>
      <c r="B991" s="9" t="s">
        <v>18</v>
      </c>
      <c r="C991" s="9" t="s">
        <v>54</v>
      </c>
      <c r="D991" s="9" t="s">
        <v>3465</v>
      </c>
      <c r="E991" s="9" t="s">
        <v>21</v>
      </c>
      <c r="F991" s="9" t="s">
        <v>3466</v>
      </c>
      <c r="G991" s="9" t="s">
        <v>3467</v>
      </c>
      <c r="H991" s="44">
        <v>45565</v>
      </c>
      <c r="I991" s="44">
        <v>45463</v>
      </c>
      <c r="J991" s="48" t="str">
        <f>IF(GroDB3[[#This Row],[Last_Order_Date]]&lt;=GroDB3[[#This Row],[Date_Received]], "Yes", "No")</f>
        <v>Yes</v>
      </c>
      <c r="K991" s="44">
        <f>IF(GroDB3[[#This Row],[Column1]]="No",GroDB3[[#This Row],[Last_Order_Date]],GroDB3[[#This Row],[Date_Received]])</f>
        <v>45565</v>
      </c>
      <c r="L991" s="44">
        <f>IF(GroDB3[[#This Row],[Column1]]="No",GroDB3[[#This Row],[Date_Received]],GroDB3[[#This Row],[Last_Order_Date]])</f>
        <v>45463</v>
      </c>
      <c r="M991" s="44">
        <v>45464</v>
      </c>
      <c r="N991" s="9">
        <v>94</v>
      </c>
      <c r="O991" s="9">
        <v>77</v>
      </c>
      <c r="P991" s="9">
        <v>89</v>
      </c>
      <c r="Q991" s="11">
        <v>6</v>
      </c>
      <c r="R991" s="9">
        <v>40</v>
      </c>
      <c r="S991" s="9">
        <v>84</v>
      </c>
      <c r="T991" s="12">
        <v>-3.25</v>
      </c>
    </row>
    <row r="992" spans="1:20" x14ac:dyDescent="0.35">
      <c r="A992" s="8"/>
      <c r="B992" s="9"/>
      <c r="C992" s="9"/>
      <c r="D992" s="9"/>
      <c r="E992" s="9"/>
      <c r="F992" s="9"/>
      <c r="G992" s="9"/>
      <c r="H992" s="10"/>
      <c r="I992" s="10"/>
      <c r="J992" s="49"/>
      <c r="K992" s="10"/>
      <c r="L992" s="10"/>
      <c r="M992" s="10"/>
      <c r="N992" s="9"/>
      <c r="O992" s="9"/>
      <c r="P992" s="9"/>
      <c r="Q992" s="11"/>
      <c r="R992" s="9"/>
      <c r="S992" s="9"/>
      <c r="T992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8612-D601-4957-8C7F-486439D98FC4}">
  <dimension ref="A1:AB993"/>
  <sheetViews>
    <sheetView topLeftCell="N1" workbookViewId="0">
      <selection activeCell="Q9" sqref="Q9"/>
    </sheetView>
  </sheetViews>
  <sheetFormatPr defaultRowHeight="14.5" x14ac:dyDescent="0.35"/>
  <cols>
    <col min="1" max="1" width="17.81640625" bestFit="1" customWidth="1"/>
    <col min="2" max="2" width="16.81640625" bestFit="1" customWidth="1"/>
    <col min="3" max="3" width="15.54296875" customWidth="1"/>
    <col min="4" max="4" width="28" bestFit="1" customWidth="1"/>
    <col min="5" max="5" width="15.54296875" customWidth="1"/>
    <col min="6" max="6" width="14.54296875" customWidth="1"/>
    <col min="7" max="7" width="15.26953125" customWidth="1"/>
    <col min="8" max="8" width="15.1796875" hidden="1" customWidth="1"/>
    <col min="9" max="9" width="17.08984375" hidden="1" customWidth="1"/>
    <col min="10" max="10" width="16.36328125" style="19" hidden="1" customWidth="1"/>
    <col min="11" max="12" width="16.36328125" customWidth="1"/>
    <col min="13" max="13" width="12.08984375" customWidth="1"/>
    <col min="14" max="14" width="15.7265625" customWidth="1"/>
    <col min="15" max="15" width="14.36328125" customWidth="1"/>
    <col min="16" max="16" width="14.7265625" customWidth="1"/>
    <col min="17" max="17" width="17.90625" customWidth="1"/>
    <col min="18" max="18" width="11.453125" customWidth="1"/>
    <col min="19" max="19" width="14.453125" customWidth="1"/>
    <col min="20" max="20" width="11.36328125" customWidth="1"/>
    <col min="21" max="23" width="12.26953125" customWidth="1"/>
    <col min="24" max="24" width="14.6328125" customWidth="1"/>
    <col min="25" max="25" width="13.6328125" style="22" customWidth="1"/>
    <col min="26" max="26" width="12" customWidth="1"/>
    <col min="27" max="27" width="13.453125" customWidth="1"/>
    <col min="28" max="28" width="11.6328125" customWidth="1"/>
  </cols>
  <sheetData>
    <row r="1" spans="1:28" x14ac:dyDescent="0.35">
      <c r="A1">
        <f>SUBTOTAL(3,GroDB[Product_Name])</f>
        <v>990</v>
      </c>
      <c r="Q1" s="23">
        <f>SUBTOTAL(9,GroDB[Stock_Quantity])</f>
        <v>55053</v>
      </c>
      <c r="R1" s="23">
        <f>SUBTOTAL(9,GroDB[Reorder_Level])</f>
        <v>50703</v>
      </c>
      <c r="S1" s="23">
        <f>SUBTOTAL(9,GroDB[Reorder_Quantity])</f>
        <v>51394</v>
      </c>
      <c r="T1" s="23">
        <f>SUBTOTAL(1,GroDB[Unit_Price])</f>
        <v>5.9241919191919212</v>
      </c>
      <c r="U1" s="23">
        <f>SUBTOTAL(9,GroDB[Sales_Volume])</f>
        <v>58336</v>
      </c>
      <c r="V1" s="23"/>
      <c r="W1" s="23"/>
      <c r="X1" s="23">
        <f>SUBTOTAL(1,GroDB[Inventory_Turnover_Rate])</f>
        <v>50.150505050505053</v>
      </c>
      <c r="Y1" s="23"/>
      <c r="Z1" s="23">
        <f>SUBTOTAL(9,GroDB[ADU])</f>
        <v>344269.34000000014</v>
      </c>
    </row>
    <row r="2" spans="1:28" s="19" customFormat="1" x14ac:dyDescent="0.35">
      <c r="A2" s="16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3491</v>
      </c>
      <c r="K2" s="17" t="s">
        <v>3500</v>
      </c>
      <c r="L2" s="17" t="s">
        <v>3501</v>
      </c>
      <c r="M2" s="64" t="s">
        <v>3502</v>
      </c>
      <c r="N2" s="17" t="s">
        <v>9</v>
      </c>
      <c r="O2" s="17" t="s">
        <v>3552</v>
      </c>
      <c r="P2" s="64" t="s">
        <v>3492</v>
      </c>
      <c r="Q2" s="17" t="s">
        <v>10</v>
      </c>
      <c r="R2" s="17" t="s">
        <v>11</v>
      </c>
      <c r="S2" s="17" t="s">
        <v>12</v>
      </c>
      <c r="T2" s="17" t="s">
        <v>13</v>
      </c>
      <c r="U2" s="17" t="s">
        <v>14</v>
      </c>
      <c r="V2" s="64" t="s">
        <v>3506</v>
      </c>
      <c r="W2" s="64" t="s">
        <v>3505</v>
      </c>
      <c r="X2" s="17" t="s">
        <v>15</v>
      </c>
      <c r="Y2" s="18" t="s">
        <v>16</v>
      </c>
      <c r="Z2" s="64" t="s">
        <v>3472</v>
      </c>
      <c r="AA2" s="65" t="s">
        <v>3473</v>
      </c>
      <c r="AB2" s="17" t="s">
        <v>3553</v>
      </c>
    </row>
    <row r="3" spans="1:28" x14ac:dyDescent="0.35">
      <c r="A3" s="5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43">
        <v>45352</v>
      </c>
      <c r="I3" s="43">
        <v>45663</v>
      </c>
      <c r="J3" s="47" t="str">
        <f>IF(GroDB[[#This Row],[Last_Order_Date]]&lt;=GroDB[[#This Row],[Date_Received]], "Yes", "No")</f>
        <v>No</v>
      </c>
      <c r="K3" s="43">
        <f>IF(GroDB[[#This Row],[Column1]]="No",GroDB[[#This Row],[Last_Order_Date]],GroDB[[#This Row],[Date_Received]])</f>
        <v>45663</v>
      </c>
      <c r="L3" s="43">
        <f>IF(GroDB[[#This Row],[Column1]]="No",GroDB[[#This Row],[Date_Received]],GroDB[[#This Row],[Last_Order_Date]])</f>
        <v>45352</v>
      </c>
      <c r="M3" s="45">
        <f>GroDB[[#This Row],[Date_Received1]]-GroDB[[#This Row],[Procurement_Date]]</f>
        <v>311</v>
      </c>
      <c r="N3" s="43">
        <v>45688</v>
      </c>
      <c r="O3" s="91">
        <f>GroDB[[#This Row],[Expiration_Date]]-GroDB[[#This Row],[Date_Received1]]</f>
        <v>25</v>
      </c>
      <c r="P3" s="4">
        <v>3.6799999999999997</v>
      </c>
      <c r="Q3" s="3">
        <v>46</v>
      </c>
      <c r="R3" s="3">
        <v>64</v>
      </c>
      <c r="S3" s="3">
        <v>17</v>
      </c>
      <c r="T3" s="4">
        <v>4.5999999999999996</v>
      </c>
      <c r="U3" s="3">
        <v>96</v>
      </c>
      <c r="V3" s="51">
        <f>IF(GroDB[[#This Row],[LeadTime]]=0,GroDB[[#This Row],[Sales_Volume]],GroDB[[#This Row],[Sales_Volume]]/GroDB[[#This Row],[LeadTime]])</f>
        <v>0.3086816720257235</v>
      </c>
      <c r="W3" s="51">
        <f>_xlfn.STDEV.S(GroDB[Daily Sales])</f>
        <v>5.1999899792654221</v>
      </c>
      <c r="X3" s="3">
        <v>55</v>
      </c>
      <c r="Y3" s="6">
        <v>1.9599999999999999E-2</v>
      </c>
      <c r="Z3" s="15">
        <f>GroDB[[#This Row],[Unit_Price]]*GroDB[[#This Row],[Sales_Volume]]</f>
        <v>441.59999999999997</v>
      </c>
      <c r="AA3" s="22">
        <f>GroDB[[#This Row],[ADU]]/GroDB[[#Totals],[ADU]]</f>
        <v>1.28271660787452E-3</v>
      </c>
      <c r="AB3" s="1">
        <f>GroDB[[#This Row],[Sales_Volume]]*GroDB[[#This Row],[Ordering Cost]]</f>
        <v>353.28</v>
      </c>
    </row>
    <row r="4" spans="1:28" x14ac:dyDescent="0.35">
      <c r="A4" s="5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43">
        <v>45383</v>
      </c>
      <c r="I4" s="43">
        <v>45431</v>
      </c>
      <c r="J4" s="47" t="str">
        <f>IF(GroDB[[#This Row],[Last_Order_Date]]&lt;=GroDB[[#This Row],[Date_Received]], "Yes", "No")</f>
        <v>No</v>
      </c>
      <c r="K4" s="43">
        <f>IF(GroDB[[#This Row],[Column1]]="No",GroDB[[#This Row],[Last_Order_Date]],GroDB[[#This Row],[Date_Received]])</f>
        <v>45431</v>
      </c>
      <c r="L4" s="43">
        <f>IF(GroDB[[#This Row],[Column1]]="No",GroDB[[#This Row],[Date_Received]],GroDB[[#This Row],[Last_Order_Date]])</f>
        <v>45383</v>
      </c>
      <c r="M4" s="45">
        <f>GroDB[[#This Row],[Date_Received1]]-GroDB[[#This Row],[Procurement_Date]]</f>
        <v>48</v>
      </c>
      <c r="N4" s="43">
        <v>45454</v>
      </c>
      <c r="O4" s="91">
        <f>GroDB[[#This Row],[Expiration_Date]]-GroDB[[#This Row],[Date_Received1]]</f>
        <v>23</v>
      </c>
      <c r="P4" s="4">
        <v>1.6</v>
      </c>
      <c r="Q4" s="3">
        <v>51</v>
      </c>
      <c r="R4" s="3">
        <v>87</v>
      </c>
      <c r="S4" s="3">
        <v>86</v>
      </c>
      <c r="T4" s="4">
        <v>2</v>
      </c>
      <c r="U4" s="3">
        <v>24</v>
      </c>
      <c r="V4" s="51">
        <f>IF(GroDB[[#This Row],[LeadTime]]=0,GroDB[[#This Row],[Sales_Volume]],GroDB[[#This Row],[Sales_Volume]]/GroDB[[#This Row],[LeadTime]])</f>
        <v>0.5</v>
      </c>
      <c r="W4" s="51">
        <f>_xlfn.STDEV.S(GroDB[Daily Sales])</f>
        <v>5.1999899792654221</v>
      </c>
      <c r="X4" s="3">
        <v>83</v>
      </c>
      <c r="Y4" s="6">
        <v>9.1000000000000004E-3</v>
      </c>
      <c r="Z4" s="4">
        <f>GroDB[[#This Row],[Unit_Price]]*GroDB[[#This Row],[Sales_Volume]]</f>
        <v>48</v>
      </c>
      <c r="AA4" s="22">
        <f>GroDB[[#This Row],[ADU]]/GroDB[[#Totals],[ADU]]</f>
        <v>1.3942571824723045E-4</v>
      </c>
      <c r="AB4" s="1">
        <f>GroDB[[#This Row],[Sales_Volume]]*GroDB[[#This Row],[Ordering Cost]]</f>
        <v>38.400000000000006</v>
      </c>
    </row>
    <row r="5" spans="1:28" x14ac:dyDescent="0.35">
      <c r="A5" s="5" t="s">
        <v>31</v>
      </c>
      <c r="B5" s="3" t="s">
        <v>32</v>
      </c>
      <c r="C5" s="3" t="s">
        <v>33</v>
      </c>
      <c r="D5" s="3" t="s">
        <v>34</v>
      </c>
      <c r="E5" s="3" t="s">
        <v>21</v>
      </c>
      <c r="F5" s="3" t="s">
        <v>35</v>
      </c>
      <c r="G5" s="3" t="s">
        <v>36</v>
      </c>
      <c r="H5" s="43">
        <v>45383</v>
      </c>
      <c r="I5" s="43">
        <v>45647</v>
      </c>
      <c r="J5" s="47" t="str">
        <f>IF(GroDB[[#This Row],[Last_Order_Date]]&lt;=GroDB[[#This Row],[Date_Received]], "Yes", "No")</f>
        <v>No</v>
      </c>
      <c r="K5" s="43">
        <f>IF(GroDB[[#This Row],[Column1]]="No",GroDB[[#This Row],[Last_Order_Date]],GroDB[[#This Row],[Date_Received]])</f>
        <v>45647</v>
      </c>
      <c r="L5" s="43">
        <f>IF(GroDB[[#This Row],[Column1]]="No",GroDB[[#This Row],[Date_Received]],GroDB[[#This Row],[Last_Order_Date]])</f>
        <v>45383</v>
      </c>
      <c r="M5" s="45">
        <f>GroDB[[#This Row],[Date_Received1]]-GroDB[[#This Row],[Procurement_Date]]</f>
        <v>264</v>
      </c>
      <c r="N5" s="43">
        <v>45390</v>
      </c>
      <c r="O5" s="91">
        <f>GroDB[[#This Row],[Expiration_Date]]-GroDB[[#This Row],[Date_Received1]]</f>
        <v>-257</v>
      </c>
      <c r="P5" s="4">
        <v>9.6000000000000014</v>
      </c>
      <c r="Q5" s="3">
        <v>38</v>
      </c>
      <c r="R5" s="3">
        <v>67</v>
      </c>
      <c r="S5" s="3">
        <v>66</v>
      </c>
      <c r="T5" s="4">
        <v>12</v>
      </c>
      <c r="U5" s="3">
        <v>35</v>
      </c>
      <c r="V5" s="51">
        <f>IF(GroDB[[#This Row],[LeadTime]]=0,GroDB[[#This Row],[Sales_Volume]],GroDB[[#This Row],[Sales_Volume]]/GroDB[[#This Row],[LeadTime]])</f>
        <v>0.13257575757575757</v>
      </c>
      <c r="W5" s="51">
        <f>_xlfn.STDEV.S(GroDB[Daily Sales])</f>
        <v>5.1999899792654221</v>
      </c>
      <c r="X5" s="3">
        <v>24</v>
      </c>
      <c r="Y5" s="6">
        <v>1.3599999999999999E-2</v>
      </c>
      <c r="Z5" s="4">
        <f>GroDB[[#This Row],[Unit_Price]]*GroDB[[#This Row],[Sales_Volume]]</f>
        <v>420</v>
      </c>
      <c r="AA5" s="22">
        <f>GroDB[[#This Row],[ADU]]/GroDB[[#Totals],[ADU]]</f>
        <v>1.2199750346632663E-3</v>
      </c>
      <c r="AB5" s="1">
        <f>GroDB[[#This Row],[Sales_Volume]]*GroDB[[#This Row],[Ordering Cost]]</f>
        <v>336.00000000000006</v>
      </c>
    </row>
    <row r="6" spans="1:28" x14ac:dyDescent="0.35">
      <c r="A6" s="5" t="s">
        <v>37</v>
      </c>
      <c r="B6" s="3" t="s">
        <v>18</v>
      </c>
      <c r="C6" s="3" t="s">
        <v>38</v>
      </c>
      <c r="D6" s="3" t="s">
        <v>39</v>
      </c>
      <c r="E6" s="3" t="s">
        <v>21</v>
      </c>
      <c r="F6" s="3" t="s">
        <v>40</v>
      </c>
      <c r="G6" s="3" t="s">
        <v>41</v>
      </c>
      <c r="H6" s="43">
        <v>45413</v>
      </c>
      <c r="I6" s="43">
        <v>45638</v>
      </c>
      <c r="J6" s="47" t="str">
        <f>IF(GroDB[[#This Row],[Last_Order_Date]]&lt;=GroDB[[#This Row],[Date_Received]], "Yes", "No")</f>
        <v>No</v>
      </c>
      <c r="K6" s="43">
        <f>IF(GroDB[[#This Row],[Column1]]="No",GroDB[[#This Row],[Last_Order_Date]],GroDB[[#This Row],[Date_Received]])</f>
        <v>45638</v>
      </c>
      <c r="L6" s="43">
        <f>IF(GroDB[[#This Row],[Column1]]="No",GroDB[[#This Row],[Date_Received]],GroDB[[#This Row],[Last_Order_Date]])</f>
        <v>45413</v>
      </c>
      <c r="M6" s="45">
        <f>GroDB[[#This Row],[Date_Received1]]-GroDB[[#This Row],[Procurement_Date]]</f>
        <v>225</v>
      </c>
      <c r="N6" s="43">
        <v>45561</v>
      </c>
      <c r="O6" s="91">
        <f>GroDB[[#This Row],[Expiration_Date]]-GroDB[[#This Row],[Date_Received1]]</f>
        <v>-77</v>
      </c>
      <c r="P6" s="4">
        <v>1.2000000000000002</v>
      </c>
      <c r="Q6" s="3">
        <v>51</v>
      </c>
      <c r="R6" s="3">
        <v>60</v>
      </c>
      <c r="S6" s="3">
        <v>98</v>
      </c>
      <c r="T6" s="4">
        <v>1.5</v>
      </c>
      <c r="U6" s="3">
        <v>44</v>
      </c>
      <c r="V6" s="51">
        <f>IF(GroDB[[#This Row],[LeadTime]]=0,GroDB[[#This Row],[Sales_Volume]],GroDB[[#This Row],[Sales_Volume]]/GroDB[[#This Row],[LeadTime]])</f>
        <v>0.19555555555555557</v>
      </c>
      <c r="W6" s="51">
        <f>_xlfn.STDEV.S(GroDB[Daily Sales])</f>
        <v>5.1999899792654221</v>
      </c>
      <c r="X6" s="3">
        <v>95</v>
      </c>
      <c r="Y6" s="6">
        <v>1.3599999999999999E-2</v>
      </c>
      <c r="Z6" s="4">
        <f>GroDB[[#This Row],[Unit_Price]]*GroDB[[#This Row],[Sales_Volume]]</f>
        <v>66</v>
      </c>
      <c r="AA6" s="22">
        <f>GroDB[[#This Row],[ADU]]/GroDB[[#Totals],[ADU]]</f>
        <v>1.9171036258994184E-4</v>
      </c>
      <c r="AB6" s="1">
        <f>GroDB[[#This Row],[Sales_Volume]]*GroDB[[#This Row],[Ordering Cost]]</f>
        <v>52.800000000000011</v>
      </c>
    </row>
    <row r="7" spans="1:28" x14ac:dyDescent="0.35">
      <c r="A7" s="5" t="s">
        <v>42</v>
      </c>
      <c r="B7" s="3" t="s">
        <v>18</v>
      </c>
      <c r="C7" s="3" t="s">
        <v>43</v>
      </c>
      <c r="D7" s="3" t="s">
        <v>44</v>
      </c>
      <c r="E7" s="3" t="s">
        <v>21</v>
      </c>
      <c r="F7" s="3" t="s">
        <v>45</v>
      </c>
      <c r="G7" s="3" t="s">
        <v>46</v>
      </c>
      <c r="H7" s="43">
        <v>45413</v>
      </c>
      <c r="I7" s="43">
        <v>45501</v>
      </c>
      <c r="J7" s="47" t="str">
        <f>IF(GroDB[[#This Row],[Last_Order_Date]]&lt;=GroDB[[#This Row],[Date_Received]], "Yes", "No")</f>
        <v>No</v>
      </c>
      <c r="K7" s="43">
        <f>IF(GroDB[[#This Row],[Column1]]="No",GroDB[[#This Row],[Last_Order_Date]],GroDB[[#This Row],[Date_Received]])</f>
        <v>45501</v>
      </c>
      <c r="L7" s="43">
        <f>IF(GroDB[[#This Row],[Column1]]="No",GroDB[[#This Row],[Date_Received]],GroDB[[#This Row],[Last_Order_Date]])</f>
        <v>45413</v>
      </c>
      <c r="M7" s="45">
        <f>GroDB[[#This Row],[Date_Received1]]-GroDB[[#This Row],[Procurement_Date]]</f>
        <v>88</v>
      </c>
      <c r="N7" s="43">
        <v>45432</v>
      </c>
      <c r="O7" s="91">
        <f>GroDB[[#This Row],[Expiration_Date]]-GroDB[[#This Row],[Date_Received1]]</f>
        <v>-69</v>
      </c>
      <c r="P7" s="4">
        <v>5.6000000000000005</v>
      </c>
      <c r="Q7" s="3">
        <v>27</v>
      </c>
      <c r="R7" s="3">
        <v>22</v>
      </c>
      <c r="S7" s="3">
        <v>89</v>
      </c>
      <c r="T7" s="4">
        <v>7</v>
      </c>
      <c r="U7" s="3">
        <v>91</v>
      </c>
      <c r="V7" s="51">
        <f>IF(GroDB[[#This Row],[LeadTime]]=0,GroDB[[#This Row],[Sales_Volume]],GroDB[[#This Row],[Sales_Volume]]/GroDB[[#This Row],[LeadTime]])</f>
        <v>1.0340909090909092</v>
      </c>
      <c r="W7" s="51">
        <f>_xlfn.STDEV.S(GroDB[Daily Sales])</f>
        <v>5.1999899792654221</v>
      </c>
      <c r="X7" s="3">
        <v>77</v>
      </c>
      <c r="Y7" s="6">
        <v>2.1700000000000001E-2</v>
      </c>
      <c r="Z7" s="4">
        <f>GroDB[[#This Row],[Unit_Price]]*GroDB[[#This Row],[Sales_Volume]]</f>
        <v>637</v>
      </c>
      <c r="AA7" s="22">
        <f>GroDB[[#This Row],[ADU]]/GroDB[[#Totals],[ADU]]</f>
        <v>1.8502954692392872E-3</v>
      </c>
      <c r="AB7" s="1">
        <f>GroDB[[#This Row],[Sales_Volume]]*GroDB[[#This Row],[Ordering Cost]]</f>
        <v>509.6</v>
      </c>
    </row>
    <row r="8" spans="1:28" x14ac:dyDescent="0.35">
      <c r="A8" s="5" t="s">
        <v>47</v>
      </c>
      <c r="B8" s="3" t="s">
        <v>18</v>
      </c>
      <c r="C8" s="3" t="s">
        <v>48</v>
      </c>
      <c r="D8" s="3" t="s">
        <v>49</v>
      </c>
      <c r="E8" s="3" t="s">
        <v>28</v>
      </c>
      <c r="F8" s="3" t="s">
        <v>50</v>
      </c>
      <c r="G8" s="3" t="s">
        <v>51</v>
      </c>
      <c r="H8" s="43">
        <v>45413</v>
      </c>
      <c r="I8" s="43">
        <v>45511</v>
      </c>
      <c r="J8" s="47" t="str">
        <f>IF(GroDB[[#This Row],[Last_Order_Date]]&lt;=GroDB[[#This Row],[Date_Received]], "Yes", "No")</f>
        <v>No</v>
      </c>
      <c r="K8" s="43">
        <f>IF(GroDB[[#This Row],[Column1]]="No",GroDB[[#This Row],[Last_Order_Date]],GroDB[[#This Row],[Date_Received]])</f>
        <v>45511</v>
      </c>
      <c r="L8" s="43">
        <f>IF(GroDB[[#This Row],[Column1]]="No",GroDB[[#This Row],[Date_Received]],GroDB[[#This Row],[Last_Order_Date]])</f>
        <v>45413</v>
      </c>
      <c r="M8" s="45">
        <f>GroDB[[#This Row],[Date_Received1]]-GroDB[[#This Row],[Procurement_Date]]</f>
        <v>98</v>
      </c>
      <c r="N8" s="43">
        <v>45510</v>
      </c>
      <c r="O8" s="91">
        <f>GroDB[[#This Row],[Expiration_Date]]-GroDB[[#This Row],[Date_Received1]]</f>
        <v>-1</v>
      </c>
      <c r="P8" s="4">
        <v>1.92</v>
      </c>
      <c r="Q8" s="3">
        <v>91</v>
      </c>
      <c r="R8" s="3">
        <v>6</v>
      </c>
      <c r="S8" s="3">
        <v>37</v>
      </c>
      <c r="T8" s="4">
        <v>2.4</v>
      </c>
      <c r="U8" s="3">
        <v>38</v>
      </c>
      <c r="V8" s="51">
        <f>IF(GroDB[[#This Row],[LeadTime]]=0,GroDB[[#This Row],[Sales_Volume]],GroDB[[#This Row],[Sales_Volume]]/GroDB[[#This Row],[LeadTime]])</f>
        <v>0.38775510204081631</v>
      </c>
      <c r="W8" s="51">
        <f>_xlfn.STDEV.S(GroDB[Daily Sales])</f>
        <v>5.1999899792654221</v>
      </c>
      <c r="X8" s="3">
        <v>70</v>
      </c>
      <c r="Y8" s="6">
        <v>2.5600000000000001E-2</v>
      </c>
      <c r="Z8" s="4">
        <f>GroDB[[#This Row],[Unit_Price]]*GroDB[[#This Row],[Sales_Volume]]</f>
        <v>91.2</v>
      </c>
      <c r="AA8" s="22">
        <f>GroDB[[#This Row],[ADU]]/GroDB[[#Totals],[ADU]]</f>
        <v>2.6490886466973783E-4</v>
      </c>
      <c r="AB8" s="1">
        <f>GroDB[[#This Row],[Sales_Volume]]*GroDB[[#This Row],[Ordering Cost]]</f>
        <v>72.959999999999994</v>
      </c>
    </row>
    <row r="9" spans="1:28" x14ac:dyDescent="0.35">
      <c r="A9" s="5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43">
        <v>45413</v>
      </c>
      <c r="I9" s="43">
        <v>45686</v>
      </c>
      <c r="J9" s="47" t="str">
        <f>IF(GroDB[[#This Row],[Last_Order_Date]]&lt;=GroDB[[#This Row],[Date_Received]], "Yes", "No")</f>
        <v>No</v>
      </c>
      <c r="K9" s="43">
        <f>IF(GroDB[[#This Row],[Column1]]="No",GroDB[[#This Row],[Last_Order_Date]],GroDB[[#This Row],[Date_Received]])</f>
        <v>45686</v>
      </c>
      <c r="L9" s="43">
        <f>IF(GroDB[[#This Row],[Column1]]="No",GroDB[[#This Row],[Date_Received]],GroDB[[#This Row],[Last_Order_Date]])</f>
        <v>45413</v>
      </c>
      <c r="M9" s="45">
        <f>GroDB[[#This Row],[Date_Received1]]-GroDB[[#This Row],[Procurement_Date]]</f>
        <v>273</v>
      </c>
      <c r="N9" s="43">
        <v>45381</v>
      </c>
      <c r="O9" s="91">
        <f>GroDB[[#This Row],[Expiration_Date]]-GroDB[[#This Row],[Date_Received1]]</f>
        <v>-305</v>
      </c>
      <c r="P9" s="4">
        <v>4</v>
      </c>
      <c r="Q9" s="3">
        <v>17</v>
      </c>
      <c r="R9" s="3">
        <v>85</v>
      </c>
      <c r="S9" s="3">
        <v>74</v>
      </c>
      <c r="T9" s="4">
        <v>5</v>
      </c>
      <c r="U9" s="3">
        <v>76</v>
      </c>
      <c r="V9" s="51">
        <f>IF(GroDB[[#This Row],[LeadTime]]=0,GroDB[[#This Row],[Sales_Volume]],GroDB[[#This Row],[Sales_Volume]]/GroDB[[#This Row],[LeadTime]])</f>
        <v>0.2783882783882784</v>
      </c>
      <c r="W9" s="51">
        <f>_xlfn.STDEV.S(GroDB[Daily Sales])</f>
        <v>5.1999899792654221</v>
      </c>
      <c r="X9" s="3">
        <v>89</v>
      </c>
      <c r="Y9" s="6">
        <v>2.3400000000000001E-2</v>
      </c>
      <c r="Z9" s="4">
        <f>GroDB[[#This Row],[Unit_Price]]*GroDB[[#This Row],[Sales_Volume]]</f>
        <v>380</v>
      </c>
      <c r="AA9" s="22">
        <f>GroDB[[#This Row],[ADU]]/GroDB[[#Totals],[ADU]]</f>
        <v>1.1037869361239076E-3</v>
      </c>
      <c r="AB9" s="1">
        <f>GroDB[[#This Row],[Sales_Volume]]*GroDB[[#This Row],[Ordering Cost]]</f>
        <v>304</v>
      </c>
    </row>
    <row r="10" spans="1:28" x14ac:dyDescent="0.35">
      <c r="A10" s="5" t="s">
        <v>59</v>
      </c>
      <c r="B10" s="3" t="s">
        <v>60</v>
      </c>
      <c r="C10" s="3" t="s">
        <v>61</v>
      </c>
      <c r="D10" s="3" t="s">
        <v>62</v>
      </c>
      <c r="E10" s="3" t="s">
        <v>21</v>
      </c>
      <c r="F10" s="3" t="s">
        <v>63</v>
      </c>
      <c r="G10" s="3" t="s">
        <v>64</v>
      </c>
      <c r="H10" s="43">
        <v>45444</v>
      </c>
      <c r="I10" s="43">
        <v>45711</v>
      </c>
      <c r="J10" s="47" t="str">
        <f>IF(GroDB[[#This Row],[Last_Order_Date]]&lt;=GroDB[[#This Row],[Date_Received]], "Yes", "No")</f>
        <v>No</v>
      </c>
      <c r="K10" s="43">
        <f>IF(GroDB[[#This Row],[Column1]]="No",GroDB[[#This Row],[Last_Order_Date]],GroDB[[#This Row],[Date_Received]])</f>
        <v>45711</v>
      </c>
      <c r="L10" s="43">
        <f>IF(GroDB[[#This Row],[Column1]]="No",GroDB[[#This Row],[Date_Received]],GroDB[[#This Row],[Last_Order_Date]])</f>
        <v>45444</v>
      </c>
      <c r="M10" s="45">
        <f>GroDB[[#This Row],[Date_Received1]]-GroDB[[#This Row],[Procurement_Date]]</f>
        <v>267</v>
      </c>
      <c r="N10" s="43">
        <v>45526</v>
      </c>
      <c r="O10" s="91">
        <f>GroDB[[#This Row],[Expiration_Date]]-GroDB[[#This Row],[Date_Received1]]</f>
        <v>-185</v>
      </c>
      <c r="P10" s="4">
        <v>8</v>
      </c>
      <c r="Q10" s="3">
        <v>81</v>
      </c>
      <c r="R10" s="3">
        <v>22</v>
      </c>
      <c r="S10" s="3">
        <v>20</v>
      </c>
      <c r="T10" s="4">
        <v>10</v>
      </c>
      <c r="U10" s="3">
        <v>95</v>
      </c>
      <c r="V10" s="51">
        <f>IF(GroDB[[#This Row],[LeadTime]]=0,GroDB[[#This Row],[Sales_Volume]],GroDB[[#This Row],[Sales_Volume]]/GroDB[[#This Row],[LeadTime]])</f>
        <v>0.35580524344569286</v>
      </c>
      <c r="W10" s="51">
        <f>_xlfn.STDEV.S(GroDB[Daily Sales])</f>
        <v>5.1999899792654221</v>
      </c>
      <c r="X10" s="3">
        <v>77</v>
      </c>
      <c r="Y10" s="6">
        <v>2.1299999999999999E-2</v>
      </c>
      <c r="Z10" s="4">
        <f>GroDB[[#This Row],[Unit_Price]]*GroDB[[#This Row],[Sales_Volume]]</f>
        <v>950</v>
      </c>
      <c r="AA10" s="22">
        <f>GroDB[[#This Row],[ADU]]/GroDB[[#Totals],[ADU]]</f>
        <v>2.7594673403097689E-3</v>
      </c>
      <c r="AB10" s="1">
        <f>GroDB[[#This Row],[Sales_Volume]]*GroDB[[#This Row],[Ordering Cost]]</f>
        <v>760</v>
      </c>
    </row>
    <row r="11" spans="1:28" x14ac:dyDescent="0.35">
      <c r="A11" s="5" t="s">
        <v>65</v>
      </c>
      <c r="B11" s="3" t="s">
        <v>32</v>
      </c>
      <c r="C11" s="3" t="s">
        <v>66</v>
      </c>
      <c r="D11" s="3" t="s">
        <v>67</v>
      </c>
      <c r="E11" s="3" t="s">
        <v>56</v>
      </c>
      <c r="F11" s="3" t="s">
        <v>68</v>
      </c>
      <c r="G11" s="3" t="s">
        <v>69</v>
      </c>
      <c r="H11" s="43">
        <v>45444</v>
      </c>
      <c r="I11" s="43">
        <v>45446</v>
      </c>
      <c r="J11" s="47" t="str">
        <f>IF(GroDB[[#This Row],[Last_Order_Date]]&lt;=GroDB[[#This Row],[Date_Received]], "Yes", "No")</f>
        <v>No</v>
      </c>
      <c r="K11" s="43">
        <f>IF(GroDB[[#This Row],[Column1]]="No",GroDB[[#This Row],[Last_Order_Date]],GroDB[[#This Row],[Date_Received]])</f>
        <v>45446</v>
      </c>
      <c r="L11" s="43">
        <f>IF(GroDB[[#This Row],[Column1]]="No",GroDB[[#This Row],[Date_Received]],GroDB[[#This Row],[Last_Order_Date]])</f>
        <v>45444</v>
      </c>
      <c r="M11" s="45">
        <f>GroDB[[#This Row],[Date_Received1]]-GroDB[[#This Row],[Procurement_Date]]</f>
        <v>2</v>
      </c>
      <c r="N11" s="43">
        <v>45358</v>
      </c>
      <c r="O11" s="91">
        <f>GroDB[[#This Row],[Expiration_Date]]-GroDB[[#This Row],[Date_Received1]]</f>
        <v>-88</v>
      </c>
      <c r="P11" s="4">
        <v>7.2</v>
      </c>
      <c r="Q11" s="3">
        <v>78</v>
      </c>
      <c r="R11" s="3">
        <v>24</v>
      </c>
      <c r="S11" s="3">
        <v>31</v>
      </c>
      <c r="T11" s="4">
        <v>9</v>
      </c>
      <c r="U11" s="3">
        <v>60</v>
      </c>
      <c r="V11" s="51">
        <f>IF(GroDB[[#This Row],[LeadTime]]=0,GroDB[[#This Row],[Sales_Volume]],GroDB[[#This Row],[Sales_Volume]]/GroDB[[#This Row],[LeadTime]])</f>
        <v>30</v>
      </c>
      <c r="W11" s="51">
        <f>_xlfn.STDEV.S(GroDB[Daily Sales])</f>
        <v>5.1999899792654221</v>
      </c>
      <c r="X11" s="3">
        <v>41</v>
      </c>
      <c r="Y11" s="6">
        <v>2.7400000000000001E-2</v>
      </c>
      <c r="Z11" s="4">
        <f>GroDB[[#This Row],[Unit_Price]]*GroDB[[#This Row],[Sales_Volume]]</f>
        <v>540</v>
      </c>
      <c r="AA11" s="22">
        <f>GroDB[[#This Row],[ADU]]/GroDB[[#Totals],[ADU]]</f>
        <v>1.5685393302813425E-3</v>
      </c>
      <c r="AB11" s="1">
        <f>GroDB[[#This Row],[Sales_Volume]]*GroDB[[#This Row],[Ordering Cost]]</f>
        <v>432</v>
      </c>
    </row>
    <row r="12" spans="1:28" x14ac:dyDescent="0.35">
      <c r="A12" s="5" t="s">
        <v>70</v>
      </c>
      <c r="B12" s="3" t="s">
        <v>32</v>
      </c>
      <c r="C12" s="3" t="s">
        <v>71</v>
      </c>
      <c r="D12" s="3" t="s">
        <v>72</v>
      </c>
      <c r="E12" s="3" t="s">
        <v>28</v>
      </c>
      <c r="F12" s="3" t="s">
        <v>73</v>
      </c>
      <c r="G12" s="3" t="s">
        <v>74</v>
      </c>
      <c r="H12" s="43">
        <v>45444</v>
      </c>
      <c r="I12" s="43">
        <v>45605</v>
      </c>
      <c r="J12" s="47" t="str">
        <f>IF(GroDB[[#This Row],[Last_Order_Date]]&lt;=GroDB[[#This Row],[Date_Received]], "Yes", "No")</f>
        <v>No</v>
      </c>
      <c r="K12" s="43">
        <f>IF(GroDB[[#This Row],[Column1]]="No",GroDB[[#This Row],[Last_Order_Date]],GroDB[[#This Row],[Date_Received]])</f>
        <v>45605</v>
      </c>
      <c r="L12" s="43">
        <f>IF(GroDB[[#This Row],[Column1]]="No",GroDB[[#This Row],[Date_Received]],GroDB[[#This Row],[Last_Order_Date]])</f>
        <v>45444</v>
      </c>
      <c r="M12" s="45">
        <f>GroDB[[#This Row],[Date_Received1]]-GroDB[[#This Row],[Procurement_Date]]</f>
        <v>161</v>
      </c>
      <c r="N12" s="43">
        <v>45590</v>
      </c>
      <c r="O12" s="91">
        <f>GroDB[[#This Row],[Expiration_Date]]-GroDB[[#This Row],[Date_Received1]]</f>
        <v>-15</v>
      </c>
      <c r="P12" s="4">
        <v>1.36</v>
      </c>
      <c r="Q12" s="3">
        <v>55</v>
      </c>
      <c r="R12" s="3">
        <v>50</v>
      </c>
      <c r="S12" s="3">
        <v>56</v>
      </c>
      <c r="T12" s="4">
        <v>1.7</v>
      </c>
      <c r="U12" s="3">
        <v>62</v>
      </c>
      <c r="V12" s="51">
        <f>IF(GroDB[[#This Row],[LeadTime]]=0,GroDB[[#This Row],[Sales_Volume]],GroDB[[#This Row],[Sales_Volume]]/GroDB[[#This Row],[LeadTime]])</f>
        <v>0.38509316770186336</v>
      </c>
      <c r="W12" s="51">
        <f>_xlfn.STDEV.S(GroDB[Daily Sales])</f>
        <v>5.1999899792654221</v>
      </c>
      <c r="X12" s="3">
        <v>26</v>
      </c>
      <c r="Y12" s="6">
        <v>2.5600000000000001E-2</v>
      </c>
      <c r="Z12" s="4">
        <f>GroDB[[#This Row],[Unit_Price]]*GroDB[[#This Row],[Sales_Volume]]</f>
        <v>105.39999999999999</v>
      </c>
      <c r="AA12" s="22">
        <f>GroDB[[#This Row],[ADU]]/GroDB[[#Totals],[ADU]]</f>
        <v>3.0615563965121016E-4</v>
      </c>
      <c r="AB12" s="1">
        <f>GroDB[[#This Row],[Sales_Volume]]*GroDB[[#This Row],[Ordering Cost]]</f>
        <v>84.320000000000007</v>
      </c>
    </row>
    <row r="13" spans="1:28" x14ac:dyDescent="0.35">
      <c r="A13" s="5" t="s">
        <v>75</v>
      </c>
      <c r="B13" s="3" t="s">
        <v>32</v>
      </c>
      <c r="C13" s="3" t="s">
        <v>76</v>
      </c>
      <c r="D13" s="3" t="s">
        <v>77</v>
      </c>
      <c r="E13" s="3" t="s">
        <v>56</v>
      </c>
      <c r="F13" s="3" t="s">
        <v>78</v>
      </c>
      <c r="G13" s="3" t="s">
        <v>79</v>
      </c>
      <c r="H13" s="43">
        <v>45444</v>
      </c>
      <c r="I13" s="43">
        <v>45445</v>
      </c>
      <c r="J13" s="47" t="str">
        <f>IF(GroDB[[#This Row],[Last_Order_Date]]&lt;=GroDB[[#This Row],[Date_Received]], "Yes", "No")</f>
        <v>No</v>
      </c>
      <c r="K13" s="43">
        <f>IF(GroDB[[#This Row],[Column1]]="No",GroDB[[#This Row],[Last_Order_Date]],GroDB[[#This Row],[Date_Received]])</f>
        <v>45445</v>
      </c>
      <c r="L13" s="43">
        <f>IF(GroDB[[#This Row],[Column1]]="No",GroDB[[#This Row],[Date_Received]],GroDB[[#This Row],[Last_Order_Date]])</f>
        <v>45444</v>
      </c>
      <c r="M13" s="45">
        <f>GroDB[[#This Row],[Date_Received1]]-GroDB[[#This Row],[Procurement_Date]]</f>
        <v>1</v>
      </c>
      <c r="N13" s="43">
        <v>45570</v>
      </c>
      <c r="O13" s="91">
        <f>GroDB[[#This Row],[Expiration_Date]]-GroDB[[#This Row],[Date_Received1]]</f>
        <v>125</v>
      </c>
      <c r="P13" s="4">
        <v>7.2</v>
      </c>
      <c r="Q13" s="3">
        <v>60</v>
      </c>
      <c r="R13" s="3">
        <v>9</v>
      </c>
      <c r="S13" s="3">
        <v>89</v>
      </c>
      <c r="T13" s="4">
        <v>9</v>
      </c>
      <c r="U13" s="3">
        <v>95</v>
      </c>
      <c r="V13" s="51">
        <f>IF(GroDB[[#This Row],[LeadTime]]=0,GroDB[[#This Row],[Sales_Volume]],GroDB[[#This Row],[Sales_Volume]]/GroDB[[#This Row],[LeadTime]])</f>
        <v>95</v>
      </c>
      <c r="W13" s="51">
        <f>_xlfn.STDEV.S(GroDB[Daily Sales])</f>
        <v>5.1999899792654221</v>
      </c>
      <c r="X13" s="3">
        <v>63</v>
      </c>
      <c r="Y13" s="6">
        <v>2.8299999999999999E-2</v>
      </c>
      <c r="Z13" s="4">
        <f>GroDB[[#This Row],[Unit_Price]]*GroDB[[#This Row],[Sales_Volume]]</f>
        <v>855</v>
      </c>
      <c r="AA13" s="22">
        <f>GroDB[[#This Row],[ADU]]/GroDB[[#Totals],[ADU]]</f>
        <v>2.4835206062787923E-3</v>
      </c>
      <c r="AB13" s="1">
        <f>GroDB[[#This Row],[Sales_Volume]]*GroDB[[#This Row],[Ordering Cost]]</f>
        <v>684</v>
      </c>
    </row>
    <row r="14" spans="1:28" x14ac:dyDescent="0.35">
      <c r="A14" s="5" t="s">
        <v>80</v>
      </c>
      <c r="B14" s="3" t="s">
        <v>25</v>
      </c>
      <c r="C14" s="3" t="s">
        <v>81</v>
      </c>
      <c r="D14" s="3" t="s">
        <v>82</v>
      </c>
      <c r="E14" s="3" t="s">
        <v>28</v>
      </c>
      <c r="F14" s="3" t="s">
        <v>83</v>
      </c>
      <c r="G14" s="3" t="s">
        <v>84</v>
      </c>
      <c r="H14" s="43">
        <v>45474</v>
      </c>
      <c r="I14" s="43">
        <v>45388</v>
      </c>
      <c r="J14" s="47" t="str">
        <f>IF(GroDB[[#This Row],[Last_Order_Date]]&lt;=GroDB[[#This Row],[Date_Received]], "Yes", "No")</f>
        <v>Yes</v>
      </c>
      <c r="K14" s="43">
        <f>IF(GroDB[[#This Row],[Column1]]="No",GroDB[[#This Row],[Last_Order_Date]],GroDB[[#This Row],[Date_Received]])</f>
        <v>45474</v>
      </c>
      <c r="L14" s="43">
        <f>IF(GroDB[[#This Row],[Column1]]="No",GroDB[[#This Row],[Date_Received]],GroDB[[#This Row],[Last_Order_Date]])</f>
        <v>45388</v>
      </c>
      <c r="M14" s="45">
        <f>GroDB[[#This Row],[Date_Received1]]-GroDB[[#This Row],[Procurement_Date]]</f>
        <v>86</v>
      </c>
      <c r="N14" s="43">
        <v>45571</v>
      </c>
      <c r="O14" s="91">
        <f>GroDB[[#This Row],[Expiration_Date]]-GroDB[[#This Row],[Date_Received1]]</f>
        <v>97</v>
      </c>
      <c r="P14" s="4">
        <v>8</v>
      </c>
      <c r="Q14" s="3">
        <v>53</v>
      </c>
      <c r="R14" s="3">
        <v>89</v>
      </c>
      <c r="S14" s="3">
        <v>100</v>
      </c>
      <c r="T14" s="4">
        <v>10</v>
      </c>
      <c r="U14" s="3">
        <v>22</v>
      </c>
      <c r="V14" s="51">
        <f>IF(GroDB[[#This Row],[LeadTime]]=0,GroDB[[#This Row],[Sales_Volume]],GroDB[[#This Row],[Sales_Volume]]/GroDB[[#This Row],[LeadTime]])</f>
        <v>0.2558139534883721</v>
      </c>
      <c r="W14" s="51">
        <f>_xlfn.STDEV.S(GroDB[Daily Sales])</f>
        <v>5.1999899792654221</v>
      </c>
      <c r="X14" s="3">
        <v>83</v>
      </c>
      <c r="Y14" s="6">
        <v>2.7900000000000001E-2</v>
      </c>
      <c r="Z14" s="4">
        <f>GroDB[[#This Row],[Unit_Price]]*GroDB[[#This Row],[Sales_Volume]]</f>
        <v>220</v>
      </c>
      <c r="AA14" s="22">
        <f>GroDB[[#This Row],[ADU]]/GroDB[[#Totals],[ADU]]</f>
        <v>6.3903454196647281E-4</v>
      </c>
      <c r="AB14" s="1">
        <f>GroDB[[#This Row],[Sales_Volume]]*GroDB[[#This Row],[Ordering Cost]]</f>
        <v>176</v>
      </c>
    </row>
    <row r="15" spans="1:28" x14ac:dyDescent="0.35">
      <c r="A15" s="5" t="s">
        <v>85</v>
      </c>
      <c r="B15" s="3" t="s">
        <v>18</v>
      </c>
      <c r="C15" s="3" t="s">
        <v>86</v>
      </c>
      <c r="D15" s="3" t="s">
        <v>87</v>
      </c>
      <c r="E15" s="3" t="s">
        <v>28</v>
      </c>
      <c r="F15" s="3" t="s">
        <v>88</v>
      </c>
      <c r="G15" s="3" t="s">
        <v>89</v>
      </c>
      <c r="H15" s="43">
        <v>45505</v>
      </c>
      <c r="I15" s="43">
        <v>45478</v>
      </c>
      <c r="J15" s="47" t="str">
        <f>IF(GroDB[[#This Row],[Last_Order_Date]]&lt;=GroDB[[#This Row],[Date_Received]], "Yes", "No")</f>
        <v>Yes</v>
      </c>
      <c r="K15" s="43">
        <f>IF(GroDB[[#This Row],[Column1]]="No",GroDB[[#This Row],[Last_Order_Date]],GroDB[[#This Row],[Date_Received]])</f>
        <v>45505</v>
      </c>
      <c r="L15" s="43">
        <f>IF(GroDB[[#This Row],[Column1]]="No",GroDB[[#This Row],[Date_Received]],GroDB[[#This Row],[Last_Order_Date]])</f>
        <v>45478</v>
      </c>
      <c r="M15" s="45">
        <f>GroDB[[#This Row],[Date_Received1]]-GroDB[[#This Row],[Procurement_Date]]</f>
        <v>27</v>
      </c>
      <c r="N15" s="43">
        <v>45645</v>
      </c>
      <c r="O15" s="91">
        <f>GroDB[[#This Row],[Expiration_Date]]-GroDB[[#This Row],[Date_Received1]]</f>
        <v>140</v>
      </c>
      <c r="P15" s="4">
        <v>2.3199999999999998</v>
      </c>
      <c r="Q15" s="3">
        <v>94</v>
      </c>
      <c r="R15" s="3">
        <v>58</v>
      </c>
      <c r="S15" s="3">
        <v>17</v>
      </c>
      <c r="T15" s="4">
        <v>2.9</v>
      </c>
      <c r="U15" s="3">
        <v>57</v>
      </c>
      <c r="V15" s="51">
        <f>IF(GroDB[[#This Row],[LeadTime]]=0,GroDB[[#This Row],[Sales_Volume]],GroDB[[#This Row],[Sales_Volume]]/GroDB[[#This Row],[LeadTime]])</f>
        <v>2.1111111111111112</v>
      </c>
      <c r="W15" s="51">
        <f>_xlfn.STDEV.S(GroDB[Daily Sales])</f>
        <v>5.1999899792654221</v>
      </c>
      <c r="X15" s="3">
        <v>74</v>
      </c>
      <c r="Y15" s="6">
        <v>2.3599999999999999E-2</v>
      </c>
      <c r="Z15" s="4">
        <f>GroDB[[#This Row],[Unit_Price]]*GroDB[[#This Row],[Sales_Volume]]</f>
        <v>165.29999999999998</v>
      </c>
      <c r="AA15" s="22">
        <f>GroDB[[#This Row],[ADU]]/GroDB[[#Totals],[ADU]]</f>
        <v>4.8014731721389978E-4</v>
      </c>
      <c r="AB15" s="1">
        <f>GroDB[[#This Row],[Sales_Volume]]*GroDB[[#This Row],[Ordering Cost]]</f>
        <v>132.23999999999998</v>
      </c>
    </row>
    <row r="16" spans="1:28" x14ac:dyDescent="0.35">
      <c r="A16" s="5" t="s">
        <v>90</v>
      </c>
      <c r="B16" s="3" t="s">
        <v>91</v>
      </c>
      <c r="C16" s="3" t="s">
        <v>92</v>
      </c>
      <c r="D16" s="3" t="s">
        <v>93</v>
      </c>
      <c r="E16" s="3" t="s">
        <v>28</v>
      </c>
      <c r="F16" s="3" t="s">
        <v>94</v>
      </c>
      <c r="G16" s="3" t="s">
        <v>95</v>
      </c>
      <c r="H16" s="43">
        <v>45536</v>
      </c>
      <c r="I16" s="43">
        <v>45368</v>
      </c>
      <c r="J16" s="47" t="str">
        <f>IF(GroDB[[#This Row],[Last_Order_Date]]&lt;=GroDB[[#This Row],[Date_Received]], "Yes", "No")</f>
        <v>Yes</v>
      </c>
      <c r="K16" s="43">
        <f>IF(GroDB[[#This Row],[Column1]]="No",GroDB[[#This Row],[Last_Order_Date]],GroDB[[#This Row],[Date_Received]])</f>
        <v>45536</v>
      </c>
      <c r="L16" s="43">
        <f>IF(GroDB[[#This Row],[Column1]]="No",GroDB[[#This Row],[Date_Received]],GroDB[[#This Row],[Last_Order_Date]])</f>
        <v>45368</v>
      </c>
      <c r="M16" s="45">
        <f>GroDB[[#This Row],[Date_Received1]]-GroDB[[#This Row],[Procurement_Date]]</f>
        <v>168</v>
      </c>
      <c r="N16" s="43">
        <v>45504</v>
      </c>
      <c r="O16" s="91">
        <f>GroDB[[#This Row],[Expiration_Date]]-GroDB[[#This Row],[Date_Received1]]</f>
        <v>-32</v>
      </c>
      <c r="P16" s="4">
        <v>3.2</v>
      </c>
      <c r="Q16" s="3">
        <v>77</v>
      </c>
      <c r="R16" s="3">
        <v>79</v>
      </c>
      <c r="S16" s="3">
        <v>65</v>
      </c>
      <c r="T16" s="4">
        <v>4</v>
      </c>
      <c r="U16" s="3">
        <v>62</v>
      </c>
      <c r="V16" s="51">
        <f>IF(GroDB[[#This Row],[LeadTime]]=0,GroDB[[#This Row],[Sales_Volume]],GroDB[[#This Row],[Sales_Volume]]/GroDB[[#This Row],[LeadTime]])</f>
        <v>0.36904761904761907</v>
      </c>
      <c r="W16" s="51">
        <f>_xlfn.STDEV.S(GroDB[Daily Sales])</f>
        <v>5.1999899792654221</v>
      </c>
      <c r="X16" s="3">
        <v>75</v>
      </c>
      <c r="Y16" s="6">
        <v>2.69E-2</v>
      </c>
      <c r="Z16" s="4">
        <f>GroDB[[#This Row],[Unit_Price]]*GroDB[[#This Row],[Sales_Volume]]</f>
        <v>248</v>
      </c>
      <c r="AA16" s="22">
        <f>GroDB[[#This Row],[ADU]]/GroDB[[#Totals],[ADU]]</f>
        <v>7.2036621094402392E-4</v>
      </c>
      <c r="AB16" s="1">
        <f>GroDB[[#This Row],[Sales_Volume]]*GroDB[[#This Row],[Ordering Cost]]</f>
        <v>198.4</v>
      </c>
    </row>
    <row r="17" spans="1:28" x14ac:dyDescent="0.35">
      <c r="A17" s="5" t="s">
        <v>96</v>
      </c>
      <c r="B17" s="3" t="s">
        <v>18</v>
      </c>
      <c r="C17" s="3" t="s">
        <v>97</v>
      </c>
      <c r="D17" s="3" t="s">
        <v>98</v>
      </c>
      <c r="E17" s="3" t="s">
        <v>56</v>
      </c>
      <c r="F17" s="3" t="s">
        <v>99</v>
      </c>
      <c r="G17" s="3" t="s">
        <v>100</v>
      </c>
      <c r="H17" s="43">
        <v>45536</v>
      </c>
      <c r="I17" s="43">
        <v>45392</v>
      </c>
      <c r="J17" s="47" t="str">
        <f>IF(GroDB[[#This Row],[Last_Order_Date]]&lt;=GroDB[[#This Row],[Date_Received]], "Yes", "No")</f>
        <v>Yes</v>
      </c>
      <c r="K17" s="43">
        <f>IF(GroDB[[#This Row],[Column1]]="No",GroDB[[#This Row],[Last_Order_Date]],GroDB[[#This Row],[Date_Received]])</f>
        <v>45536</v>
      </c>
      <c r="L17" s="43">
        <f>IF(GroDB[[#This Row],[Column1]]="No",GroDB[[#This Row],[Date_Received]],GroDB[[#This Row],[Last_Order_Date]])</f>
        <v>45392</v>
      </c>
      <c r="M17" s="45">
        <f>GroDB[[#This Row],[Date_Received1]]-GroDB[[#This Row],[Procurement_Date]]</f>
        <v>144</v>
      </c>
      <c r="N17" s="43">
        <v>45653</v>
      </c>
      <c r="O17" s="91">
        <f>GroDB[[#This Row],[Expiration_Date]]-GroDB[[#This Row],[Date_Received1]]</f>
        <v>117</v>
      </c>
      <c r="P17" s="4">
        <v>2</v>
      </c>
      <c r="Q17" s="3">
        <v>34</v>
      </c>
      <c r="R17" s="3">
        <v>92</v>
      </c>
      <c r="S17" s="3">
        <v>26</v>
      </c>
      <c r="T17" s="4">
        <v>2.5</v>
      </c>
      <c r="U17" s="3">
        <v>28</v>
      </c>
      <c r="V17" s="51">
        <f>IF(GroDB[[#This Row],[LeadTime]]=0,GroDB[[#This Row],[Sales_Volume]],GroDB[[#This Row],[Sales_Volume]]/GroDB[[#This Row],[LeadTime]])</f>
        <v>0.19444444444444445</v>
      </c>
      <c r="W17" s="51">
        <f>_xlfn.STDEV.S(GroDB[Daily Sales])</f>
        <v>5.1999899792654221</v>
      </c>
      <c r="X17" s="3">
        <v>71</v>
      </c>
      <c r="Y17" s="6">
        <v>2.6100000000000002E-2</v>
      </c>
      <c r="Z17" s="4">
        <f>GroDB[[#This Row],[Unit_Price]]*GroDB[[#This Row],[Sales_Volume]]</f>
        <v>70</v>
      </c>
      <c r="AA17" s="22">
        <f>GroDB[[#This Row],[ADU]]/GroDB[[#Totals],[ADU]]</f>
        <v>2.0332917244387773E-4</v>
      </c>
      <c r="AB17" s="1">
        <f>GroDB[[#This Row],[Sales_Volume]]*GroDB[[#This Row],[Ordering Cost]]</f>
        <v>56</v>
      </c>
    </row>
    <row r="18" spans="1:28" x14ac:dyDescent="0.35">
      <c r="A18" s="5" t="s">
        <v>101</v>
      </c>
      <c r="B18" s="3" t="s">
        <v>18</v>
      </c>
      <c r="C18" s="3" t="s">
        <v>102</v>
      </c>
      <c r="D18" s="3" t="s">
        <v>103</v>
      </c>
      <c r="E18" s="3" t="s">
        <v>21</v>
      </c>
      <c r="F18" s="3" t="s">
        <v>104</v>
      </c>
      <c r="G18" s="3" t="s">
        <v>105</v>
      </c>
      <c r="H18" s="43">
        <v>45536</v>
      </c>
      <c r="I18" s="43">
        <v>45353</v>
      </c>
      <c r="J18" s="47" t="str">
        <f>IF(GroDB[[#This Row],[Last_Order_Date]]&lt;=GroDB[[#This Row],[Date_Received]], "Yes", "No")</f>
        <v>Yes</v>
      </c>
      <c r="K18" s="43">
        <f>IF(GroDB[[#This Row],[Column1]]="No",GroDB[[#This Row],[Last_Order_Date]],GroDB[[#This Row],[Date_Received]])</f>
        <v>45536</v>
      </c>
      <c r="L18" s="43">
        <f>IF(GroDB[[#This Row],[Column1]]="No",GroDB[[#This Row],[Date_Received]],GroDB[[#This Row],[Last_Order_Date]])</f>
        <v>45353</v>
      </c>
      <c r="M18" s="45">
        <f>GroDB[[#This Row],[Date_Received1]]-GroDB[[#This Row],[Procurement_Date]]</f>
        <v>183</v>
      </c>
      <c r="N18" s="43">
        <v>45381</v>
      </c>
      <c r="O18" s="91">
        <f>GroDB[[#This Row],[Expiration_Date]]-GroDB[[#This Row],[Date_Received1]]</f>
        <v>-155</v>
      </c>
      <c r="P18" s="4">
        <v>3.6</v>
      </c>
      <c r="Q18" s="3">
        <v>79</v>
      </c>
      <c r="R18" s="3">
        <v>37</v>
      </c>
      <c r="S18" s="3">
        <v>98</v>
      </c>
      <c r="T18" s="4">
        <v>4.5</v>
      </c>
      <c r="U18" s="3">
        <v>33</v>
      </c>
      <c r="V18" s="51">
        <f>IF(GroDB[[#This Row],[LeadTime]]=0,GroDB[[#This Row],[Sales_Volume]],GroDB[[#This Row],[Sales_Volume]]/GroDB[[#This Row],[LeadTime]])</f>
        <v>0.18032786885245902</v>
      </c>
      <c r="W18" s="51">
        <f>_xlfn.STDEV.S(GroDB[Daily Sales])</f>
        <v>5.1999899792654221</v>
      </c>
      <c r="X18" s="3">
        <v>20</v>
      </c>
      <c r="Y18" s="6">
        <v>2.5399999999999999E-2</v>
      </c>
      <c r="Z18" s="4">
        <f>GroDB[[#This Row],[Unit_Price]]*GroDB[[#This Row],[Sales_Volume]]</f>
        <v>148.5</v>
      </c>
      <c r="AA18" s="22">
        <f>GroDB[[#This Row],[ADU]]/GroDB[[#Totals],[ADU]]</f>
        <v>4.3134831582736916E-4</v>
      </c>
      <c r="AB18" s="1">
        <f>GroDB[[#This Row],[Sales_Volume]]*GroDB[[#This Row],[Ordering Cost]]</f>
        <v>118.8</v>
      </c>
    </row>
    <row r="19" spans="1:28" x14ac:dyDescent="0.35">
      <c r="A19" s="5" t="s">
        <v>106</v>
      </c>
      <c r="B19" s="3" t="s">
        <v>32</v>
      </c>
      <c r="C19" s="3" t="s">
        <v>107</v>
      </c>
      <c r="D19" s="3" t="s">
        <v>108</v>
      </c>
      <c r="E19" s="3" t="s">
        <v>28</v>
      </c>
      <c r="F19" s="3" t="s">
        <v>109</v>
      </c>
      <c r="G19" s="3" t="s">
        <v>110</v>
      </c>
      <c r="H19" s="43">
        <v>45566</v>
      </c>
      <c r="I19" s="43">
        <v>45521</v>
      </c>
      <c r="J19" s="47" t="str">
        <f>IF(GroDB[[#This Row],[Last_Order_Date]]&lt;=GroDB[[#This Row],[Date_Received]], "Yes", "No")</f>
        <v>Yes</v>
      </c>
      <c r="K19" s="43">
        <f>IF(GroDB[[#This Row],[Column1]]="No",GroDB[[#This Row],[Last_Order_Date]],GroDB[[#This Row],[Date_Received]])</f>
        <v>45566</v>
      </c>
      <c r="L19" s="43">
        <f>IF(GroDB[[#This Row],[Column1]]="No",GroDB[[#This Row],[Date_Received]],GroDB[[#This Row],[Last_Order_Date]])</f>
        <v>45521</v>
      </c>
      <c r="M19" s="45">
        <f>GroDB[[#This Row],[Date_Received1]]-GroDB[[#This Row],[Procurement_Date]]</f>
        <v>45</v>
      </c>
      <c r="N19" s="43">
        <v>45438</v>
      </c>
      <c r="O19" s="91">
        <f>GroDB[[#This Row],[Expiration_Date]]-GroDB[[#This Row],[Date_Received1]]</f>
        <v>-128</v>
      </c>
      <c r="P19" s="4">
        <v>2</v>
      </c>
      <c r="Q19" s="3">
        <v>76</v>
      </c>
      <c r="R19" s="3">
        <v>54</v>
      </c>
      <c r="S19" s="3">
        <v>76</v>
      </c>
      <c r="T19" s="4">
        <v>2.5</v>
      </c>
      <c r="U19" s="3">
        <v>69</v>
      </c>
      <c r="V19" s="51">
        <f>IF(GroDB[[#This Row],[LeadTime]]=0,GroDB[[#This Row],[Sales_Volume]],GroDB[[#This Row],[Sales_Volume]]/GroDB[[#This Row],[LeadTime]])</f>
        <v>1.5333333333333334</v>
      </c>
      <c r="W19" s="51">
        <f>_xlfn.STDEV.S(GroDB[Daily Sales])</f>
        <v>5.1999899792654221</v>
      </c>
      <c r="X19" s="3">
        <v>27</v>
      </c>
      <c r="Y19" s="6">
        <v>2.58E-2</v>
      </c>
      <c r="Z19" s="4">
        <f>GroDB[[#This Row],[Unit_Price]]*GroDB[[#This Row],[Sales_Volume]]</f>
        <v>172.5</v>
      </c>
      <c r="AA19" s="22">
        <f>GroDB[[#This Row],[ADU]]/GroDB[[#Totals],[ADU]]</f>
        <v>5.0106117495098438E-4</v>
      </c>
      <c r="AB19" s="1">
        <f>GroDB[[#This Row],[Sales_Volume]]*GroDB[[#This Row],[Ordering Cost]]</f>
        <v>138</v>
      </c>
    </row>
    <row r="20" spans="1:28" x14ac:dyDescent="0.35">
      <c r="A20" s="5" t="s">
        <v>111</v>
      </c>
      <c r="B20" s="3" t="s">
        <v>32</v>
      </c>
      <c r="C20" s="3" t="s">
        <v>112</v>
      </c>
      <c r="D20" s="3" t="s">
        <v>113</v>
      </c>
      <c r="E20" s="3" t="s">
        <v>56</v>
      </c>
      <c r="F20" s="3" t="s">
        <v>114</v>
      </c>
      <c r="G20" s="3" t="s">
        <v>115</v>
      </c>
      <c r="H20" s="43">
        <v>45566</v>
      </c>
      <c r="I20" s="43">
        <v>45476</v>
      </c>
      <c r="J20" s="47" t="str">
        <f>IF(GroDB[[#This Row],[Last_Order_Date]]&lt;=GroDB[[#This Row],[Date_Received]], "Yes", "No")</f>
        <v>Yes</v>
      </c>
      <c r="K20" s="43">
        <f>IF(GroDB[[#This Row],[Column1]]="No",GroDB[[#This Row],[Last_Order_Date]],GroDB[[#This Row],[Date_Received]])</f>
        <v>45566</v>
      </c>
      <c r="L20" s="43">
        <f>IF(GroDB[[#This Row],[Column1]]="No",GroDB[[#This Row],[Date_Received]],GroDB[[#This Row],[Last_Order_Date]])</f>
        <v>45476</v>
      </c>
      <c r="M20" s="45">
        <f>GroDB[[#This Row],[Date_Received1]]-GroDB[[#This Row],[Procurement_Date]]</f>
        <v>90</v>
      </c>
      <c r="N20" s="43">
        <v>45504</v>
      </c>
      <c r="O20" s="91">
        <f>GroDB[[#This Row],[Expiration_Date]]-GroDB[[#This Row],[Date_Received1]]</f>
        <v>-62</v>
      </c>
      <c r="P20" s="4">
        <v>4.9600000000000009</v>
      </c>
      <c r="Q20" s="3">
        <v>50</v>
      </c>
      <c r="R20" s="3">
        <v>46</v>
      </c>
      <c r="S20" s="3">
        <v>38</v>
      </c>
      <c r="T20" s="4">
        <v>6.2</v>
      </c>
      <c r="U20" s="3">
        <v>88</v>
      </c>
      <c r="V20" s="51">
        <f>IF(GroDB[[#This Row],[LeadTime]]=0,GroDB[[#This Row],[Sales_Volume]],GroDB[[#This Row],[Sales_Volume]]/GroDB[[#This Row],[LeadTime]])</f>
        <v>0.97777777777777775</v>
      </c>
      <c r="W20" s="51">
        <f>_xlfn.STDEV.S(GroDB[Daily Sales])</f>
        <v>5.1999899792654221</v>
      </c>
      <c r="X20" s="3">
        <v>70</v>
      </c>
      <c r="Y20" s="6">
        <v>2.3199999999999998E-2</v>
      </c>
      <c r="Z20" s="4">
        <f>GroDB[[#This Row],[Unit_Price]]*GroDB[[#This Row],[Sales_Volume]]</f>
        <v>545.6</v>
      </c>
      <c r="AA20" s="22">
        <f>GroDB[[#This Row],[ADU]]/GroDB[[#Totals],[ADU]]</f>
        <v>1.5848056640768526E-3</v>
      </c>
      <c r="AB20" s="1">
        <f>GroDB[[#This Row],[Sales_Volume]]*GroDB[[#This Row],[Ordering Cost]]</f>
        <v>436.48000000000008</v>
      </c>
    </row>
    <row r="21" spans="1:28" x14ac:dyDescent="0.35">
      <c r="A21" s="5" t="s">
        <v>116</v>
      </c>
      <c r="B21" s="3" t="s">
        <v>18</v>
      </c>
      <c r="C21" s="3" t="s">
        <v>117</v>
      </c>
      <c r="D21" s="3" t="s">
        <v>118</v>
      </c>
      <c r="E21" s="3" t="s">
        <v>28</v>
      </c>
      <c r="F21" s="3" t="s">
        <v>119</v>
      </c>
      <c r="G21" s="3" t="s">
        <v>120</v>
      </c>
      <c r="H21" s="43">
        <v>45566</v>
      </c>
      <c r="I21" s="43">
        <v>45627</v>
      </c>
      <c r="J21" s="47" t="str">
        <f>IF(GroDB[[#This Row],[Last_Order_Date]]&lt;=GroDB[[#This Row],[Date_Received]], "Yes", "No")</f>
        <v>No</v>
      </c>
      <c r="K21" s="43">
        <f>IF(GroDB[[#This Row],[Column1]]="No",GroDB[[#This Row],[Last_Order_Date]],GroDB[[#This Row],[Date_Received]])</f>
        <v>45627</v>
      </c>
      <c r="L21" s="43">
        <f>IF(GroDB[[#This Row],[Column1]]="No",GroDB[[#This Row],[Date_Received]],GroDB[[#This Row],[Last_Order_Date]])</f>
        <v>45566</v>
      </c>
      <c r="M21" s="45">
        <f>GroDB[[#This Row],[Date_Received1]]-GroDB[[#This Row],[Procurement_Date]]</f>
        <v>61</v>
      </c>
      <c r="N21" s="43">
        <v>45542</v>
      </c>
      <c r="O21" s="91">
        <f>GroDB[[#This Row],[Expiration_Date]]-GroDB[[#This Row],[Date_Received1]]</f>
        <v>-85</v>
      </c>
      <c r="P21" s="4">
        <v>2.4000000000000004</v>
      </c>
      <c r="Q21" s="3">
        <v>25</v>
      </c>
      <c r="R21" s="3">
        <v>62</v>
      </c>
      <c r="S21" s="3">
        <v>11</v>
      </c>
      <c r="T21" s="4">
        <v>3</v>
      </c>
      <c r="U21" s="3">
        <v>57</v>
      </c>
      <c r="V21" s="51">
        <f>IF(GroDB[[#This Row],[LeadTime]]=0,GroDB[[#This Row],[Sales_Volume]],GroDB[[#This Row],[Sales_Volume]]/GroDB[[#This Row],[LeadTime]])</f>
        <v>0.93442622950819676</v>
      </c>
      <c r="W21" s="51">
        <f>_xlfn.STDEV.S(GroDB[Daily Sales])</f>
        <v>5.1999899792654221</v>
      </c>
      <c r="X21" s="3">
        <v>98</v>
      </c>
      <c r="Y21" s="6">
        <v>2.6700000000000002E-2</v>
      </c>
      <c r="Z21" s="4">
        <f>GroDB[[#This Row],[Unit_Price]]*GroDB[[#This Row],[Sales_Volume]]</f>
        <v>171</v>
      </c>
      <c r="AA21" s="22">
        <f>GroDB[[#This Row],[ADU]]/GroDB[[#Totals],[ADU]]</f>
        <v>4.9670412125575841E-4</v>
      </c>
      <c r="AB21" s="1">
        <f>GroDB[[#This Row],[Sales_Volume]]*GroDB[[#This Row],[Ordering Cost]]</f>
        <v>136.80000000000001</v>
      </c>
    </row>
    <row r="22" spans="1:28" x14ac:dyDescent="0.35">
      <c r="A22" s="5" t="s">
        <v>121</v>
      </c>
      <c r="B22" s="3" t="s">
        <v>53</v>
      </c>
      <c r="C22" s="3" t="s">
        <v>122</v>
      </c>
      <c r="D22" s="3" t="s">
        <v>123</v>
      </c>
      <c r="E22" s="3" t="s">
        <v>28</v>
      </c>
      <c r="F22" s="3" t="s">
        <v>124</v>
      </c>
      <c r="G22" s="3" t="s">
        <v>125</v>
      </c>
      <c r="H22" s="43">
        <v>45566</v>
      </c>
      <c r="I22" s="43">
        <v>45499</v>
      </c>
      <c r="J22" s="47" t="str">
        <f>IF(GroDB[[#This Row],[Last_Order_Date]]&lt;=GroDB[[#This Row],[Date_Received]], "Yes", "No")</f>
        <v>Yes</v>
      </c>
      <c r="K22" s="43">
        <f>IF(GroDB[[#This Row],[Column1]]="No",GroDB[[#This Row],[Last_Order_Date]],GroDB[[#This Row],[Date_Received]])</f>
        <v>45566</v>
      </c>
      <c r="L22" s="43">
        <f>IF(GroDB[[#This Row],[Column1]]="No",GroDB[[#This Row],[Date_Received]],GroDB[[#This Row],[Last_Order_Date]])</f>
        <v>45499</v>
      </c>
      <c r="M22" s="45">
        <f>GroDB[[#This Row],[Date_Received1]]-GroDB[[#This Row],[Procurement_Date]]</f>
        <v>67</v>
      </c>
      <c r="N22" s="43">
        <v>45550</v>
      </c>
      <c r="O22" s="91">
        <f>GroDB[[#This Row],[Expiration_Date]]-GroDB[[#This Row],[Date_Received1]]</f>
        <v>-16</v>
      </c>
      <c r="P22" s="4">
        <v>2.16</v>
      </c>
      <c r="Q22" s="3">
        <v>38</v>
      </c>
      <c r="R22" s="3">
        <v>43</v>
      </c>
      <c r="S22" s="3">
        <v>28</v>
      </c>
      <c r="T22" s="4">
        <v>2.7</v>
      </c>
      <c r="U22" s="3">
        <v>34</v>
      </c>
      <c r="V22" s="51">
        <f>IF(GroDB[[#This Row],[LeadTime]]=0,GroDB[[#This Row],[Sales_Volume]],GroDB[[#This Row],[Sales_Volume]]/GroDB[[#This Row],[LeadTime]])</f>
        <v>0.5074626865671642</v>
      </c>
      <c r="W22" s="51">
        <f>_xlfn.STDEV.S(GroDB[Daily Sales])</f>
        <v>5.1999899792654221</v>
      </c>
      <c r="X22" s="3">
        <v>54</v>
      </c>
      <c r="Y22" s="6">
        <v>2.6100000000000002E-2</v>
      </c>
      <c r="Z22" s="4">
        <f>GroDB[[#This Row],[Unit_Price]]*GroDB[[#This Row],[Sales_Volume]]</f>
        <v>91.800000000000011</v>
      </c>
      <c r="AA22" s="22">
        <f>GroDB[[#This Row],[ADU]]/GroDB[[#Totals],[ADU]]</f>
        <v>2.6665168614782824E-4</v>
      </c>
      <c r="AB22" s="1">
        <f>GroDB[[#This Row],[Sales_Volume]]*GroDB[[#This Row],[Ordering Cost]]</f>
        <v>73.44</v>
      </c>
    </row>
    <row r="23" spans="1:28" x14ac:dyDescent="0.35">
      <c r="A23" s="5" t="s">
        <v>126</v>
      </c>
      <c r="B23" s="3" t="s">
        <v>127</v>
      </c>
      <c r="C23" s="3" t="s">
        <v>128</v>
      </c>
      <c r="D23" s="3" t="s">
        <v>129</v>
      </c>
      <c r="E23" s="3" t="s">
        <v>21</v>
      </c>
      <c r="F23" s="3" t="s">
        <v>130</v>
      </c>
      <c r="G23" s="3" t="s">
        <v>131</v>
      </c>
      <c r="H23" s="43">
        <v>45597</v>
      </c>
      <c r="I23" s="43">
        <v>45441</v>
      </c>
      <c r="J23" s="47" t="str">
        <f>IF(GroDB[[#This Row],[Last_Order_Date]]&lt;=GroDB[[#This Row],[Date_Received]], "Yes", "No")</f>
        <v>Yes</v>
      </c>
      <c r="K23" s="43">
        <f>IF(GroDB[[#This Row],[Column1]]="No",GroDB[[#This Row],[Last_Order_Date]],GroDB[[#This Row],[Date_Received]])</f>
        <v>45597</v>
      </c>
      <c r="L23" s="43">
        <f>IF(GroDB[[#This Row],[Column1]]="No",GroDB[[#This Row],[Date_Received]],GroDB[[#This Row],[Last_Order_Date]])</f>
        <v>45441</v>
      </c>
      <c r="M23" s="45">
        <f>GroDB[[#This Row],[Date_Received1]]-GroDB[[#This Row],[Procurement_Date]]</f>
        <v>156</v>
      </c>
      <c r="N23" s="43">
        <v>45420</v>
      </c>
      <c r="O23" s="91">
        <f>GroDB[[#This Row],[Expiration_Date]]-GroDB[[#This Row],[Date_Received1]]</f>
        <v>-177</v>
      </c>
      <c r="P23" s="4">
        <v>16</v>
      </c>
      <c r="Q23" s="3">
        <v>45</v>
      </c>
      <c r="R23" s="3">
        <v>77</v>
      </c>
      <c r="S23" s="3">
        <v>2</v>
      </c>
      <c r="T23" s="4">
        <v>20</v>
      </c>
      <c r="U23" s="3">
        <v>85</v>
      </c>
      <c r="V23" s="51">
        <f>IF(GroDB[[#This Row],[LeadTime]]=0,GroDB[[#This Row],[Sales_Volume]],GroDB[[#This Row],[Sales_Volume]]/GroDB[[#This Row],[LeadTime]])</f>
        <v>0.54487179487179482</v>
      </c>
      <c r="W23" s="51">
        <f>_xlfn.STDEV.S(GroDB[Daily Sales])</f>
        <v>5.1999899792654221</v>
      </c>
      <c r="X23" s="3">
        <v>1</v>
      </c>
      <c r="Y23" s="6">
        <v>2.5499999999999998E-2</v>
      </c>
      <c r="Z23" s="4">
        <f>GroDB[[#This Row],[Unit_Price]]*GroDB[[#This Row],[Sales_Volume]]</f>
        <v>1700</v>
      </c>
      <c r="AA23" s="22">
        <f>GroDB[[#This Row],[ADU]]/GroDB[[#Totals],[ADU]]</f>
        <v>4.9379941879227444E-3</v>
      </c>
      <c r="AB23" s="1">
        <f>GroDB[[#This Row],[Sales_Volume]]*GroDB[[#This Row],[Ordering Cost]]</f>
        <v>1360</v>
      </c>
    </row>
    <row r="24" spans="1:28" x14ac:dyDescent="0.35">
      <c r="A24" s="5" t="s">
        <v>132</v>
      </c>
      <c r="B24" s="3" t="s">
        <v>18</v>
      </c>
      <c r="C24" s="3" t="s">
        <v>133</v>
      </c>
      <c r="D24" s="3" t="s">
        <v>134</v>
      </c>
      <c r="E24" s="3" t="s">
        <v>56</v>
      </c>
      <c r="F24" s="3" t="s">
        <v>135</v>
      </c>
      <c r="G24" s="3" t="s">
        <v>136</v>
      </c>
      <c r="H24" s="43">
        <v>45627</v>
      </c>
      <c r="I24" s="43">
        <v>45649</v>
      </c>
      <c r="J24" s="47" t="str">
        <f>IF(GroDB[[#This Row],[Last_Order_Date]]&lt;=GroDB[[#This Row],[Date_Received]], "Yes", "No")</f>
        <v>No</v>
      </c>
      <c r="K24" s="43">
        <f>IF(GroDB[[#This Row],[Column1]]="No",GroDB[[#This Row],[Last_Order_Date]],GroDB[[#This Row],[Date_Received]])</f>
        <v>45649</v>
      </c>
      <c r="L24" s="43">
        <f>IF(GroDB[[#This Row],[Column1]]="No",GroDB[[#This Row],[Date_Received]],GroDB[[#This Row],[Last_Order_Date]])</f>
        <v>45627</v>
      </c>
      <c r="M24" s="45">
        <f>GroDB[[#This Row],[Date_Received1]]-GroDB[[#This Row],[Procurement_Date]]</f>
        <v>22</v>
      </c>
      <c r="N24" s="43">
        <v>45614</v>
      </c>
      <c r="O24" s="91">
        <f>GroDB[[#This Row],[Expiration_Date]]-GroDB[[#This Row],[Date_Received1]]</f>
        <v>-35</v>
      </c>
      <c r="P24" s="4">
        <v>1.6</v>
      </c>
      <c r="Q24" s="3">
        <v>49</v>
      </c>
      <c r="R24" s="3">
        <v>1</v>
      </c>
      <c r="S24" s="3">
        <v>28</v>
      </c>
      <c r="T24" s="4">
        <v>2</v>
      </c>
      <c r="U24" s="3">
        <v>97</v>
      </c>
      <c r="V24" s="51">
        <f>IF(GroDB[[#This Row],[LeadTime]]=0,GroDB[[#This Row],[Sales_Volume]],GroDB[[#This Row],[Sales_Volume]]/GroDB[[#This Row],[LeadTime]])</f>
        <v>4.4090909090909092</v>
      </c>
      <c r="W24" s="51">
        <f>_xlfn.STDEV.S(GroDB[Daily Sales])</f>
        <v>5.1999899792654221</v>
      </c>
      <c r="X24" s="3">
        <v>95</v>
      </c>
      <c r="Y24" s="6">
        <v>2.5600000000000001E-2</v>
      </c>
      <c r="Z24" s="4">
        <f>GroDB[[#This Row],[Unit_Price]]*GroDB[[#This Row],[Sales_Volume]]</f>
        <v>194</v>
      </c>
      <c r="AA24" s="22">
        <f>GroDB[[#This Row],[ADU]]/GroDB[[#Totals],[ADU]]</f>
        <v>5.6351227791588969E-4</v>
      </c>
      <c r="AB24" s="1">
        <f>GroDB[[#This Row],[Sales_Volume]]*GroDB[[#This Row],[Ordering Cost]]</f>
        <v>155.20000000000002</v>
      </c>
    </row>
    <row r="25" spans="1:28" x14ac:dyDescent="0.35">
      <c r="A25" s="5" t="s">
        <v>137</v>
      </c>
      <c r="B25" s="3" t="s">
        <v>18</v>
      </c>
      <c r="C25" s="3" t="s">
        <v>138</v>
      </c>
      <c r="D25" s="3" t="s">
        <v>139</v>
      </c>
      <c r="E25" s="3" t="s">
        <v>28</v>
      </c>
      <c r="F25" s="3" t="s">
        <v>140</v>
      </c>
      <c r="G25" s="3" t="s">
        <v>141</v>
      </c>
      <c r="H25" s="43">
        <v>45353</v>
      </c>
      <c r="I25" s="43">
        <v>45481</v>
      </c>
      <c r="J25" s="47" t="str">
        <f>IF(GroDB[[#This Row],[Last_Order_Date]]&lt;=GroDB[[#This Row],[Date_Received]], "Yes", "No")</f>
        <v>No</v>
      </c>
      <c r="K25" s="43">
        <f>IF(GroDB[[#This Row],[Column1]]="No",GroDB[[#This Row],[Last_Order_Date]],GroDB[[#This Row],[Date_Received]])</f>
        <v>45481</v>
      </c>
      <c r="L25" s="43">
        <f>IF(GroDB[[#This Row],[Column1]]="No",GroDB[[#This Row],[Date_Received]],GroDB[[#This Row],[Last_Order_Date]])</f>
        <v>45353</v>
      </c>
      <c r="M25" s="45">
        <f>GroDB[[#This Row],[Date_Received1]]-GroDB[[#This Row],[Procurement_Date]]</f>
        <v>128</v>
      </c>
      <c r="N25" s="43">
        <v>45607</v>
      </c>
      <c r="O25" s="91">
        <f>GroDB[[#This Row],[Expiration_Date]]-GroDB[[#This Row],[Date_Received1]]</f>
        <v>126</v>
      </c>
      <c r="P25" s="4">
        <v>3.84</v>
      </c>
      <c r="Q25" s="3">
        <v>89</v>
      </c>
      <c r="R25" s="3">
        <v>92</v>
      </c>
      <c r="S25" s="3">
        <v>62</v>
      </c>
      <c r="T25" s="4">
        <v>4.8</v>
      </c>
      <c r="U25" s="3">
        <v>46</v>
      </c>
      <c r="V25" s="51">
        <f>IF(GroDB[[#This Row],[LeadTime]]=0,GroDB[[#This Row],[Sales_Volume]],GroDB[[#This Row],[Sales_Volume]]/GroDB[[#This Row],[LeadTime]])</f>
        <v>0.359375</v>
      </c>
      <c r="W25" s="51">
        <f>_xlfn.STDEV.S(GroDB[Daily Sales])</f>
        <v>5.1999899792654221</v>
      </c>
      <c r="X25" s="3">
        <v>11</v>
      </c>
      <c r="Y25" s="6">
        <v>2.5700000000000001E-2</v>
      </c>
      <c r="Z25" s="4">
        <f>GroDB[[#This Row],[Unit_Price]]*GroDB[[#This Row],[Sales_Volume]]</f>
        <v>220.79999999999998</v>
      </c>
      <c r="AA25" s="22">
        <f>GroDB[[#This Row],[ADU]]/GroDB[[#Totals],[ADU]]</f>
        <v>6.4135830393725998E-4</v>
      </c>
      <c r="AB25" s="1">
        <f>GroDB[[#This Row],[Sales_Volume]]*GroDB[[#This Row],[Ordering Cost]]</f>
        <v>176.64</v>
      </c>
    </row>
    <row r="26" spans="1:28" x14ac:dyDescent="0.35">
      <c r="A26" s="5" t="s">
        <v>142</v>
      </c>
      <c r="B26" s="3" t="s">
        <v>18</v>
      </c>
      <c r="C26" s="3" t="s">
        <v>117</v>
      </c>
      <c r="D26" s="3" t="s">
        <v>143</v>
      </c>
      <c r="E26" s="3" t="s">
        <v>28</v>
      </c>
      <c r="F26" s="3" t="s">
        <v>144</v>
      </c>
      <c r="G26" s="3" t="s">
        <v>145</v>
      </c>
      <c r="H26" s="43">
        <v>45353</v>
      </c>
      <c r="I26" s="43">
        <v>45487</v>
      </c>
      <c r="J26" s="47" t="str">
        <f>IF(GroDB[[#This Row],[Last_Order_Date]]&lt;=GroDB[[#This Row],[Date_Received]], "Yes", "No")</f>
        <v>No</v>
      </c>
      <c r="K26" s="43">
        <f>IF(GroDB[[#This Row],[Column1]]="No",GroDB[[#This Row],[Last_Order_Date]],GroDB[[#This Row],[Date_Received]])</f>
        <v>45487</v>
      </c>
      <c r="L26" s="43">
        <f>IF(GroDB[[#This Row],[Column1]]="No",GroDB[[#This Row],[Date_Received]],GroDB[[#This Row],[Last_Order_Date]])</f>
        <v>45353</v>
      </c>
      <c r="M26" s="45">
        <f>GroDB[[#This Row],[Date_Received1]]-GroDB[[#This Row],[Procurement_Date]]</f>
        <v>134</v>
      </c>
      <c r="N26" s="43">
        <v>45446</v>
      </c>
      <c r="O26" s="91">
        <f>GroDB[[#This Row],[Expiration_Date]]-GroDB[[#This Row],[Date_Received1]]</f>
        <v>-41</v>
      </c>
      <c r="P26" s="4">
        <v>3.2</v>
      </c>
      <c r="Q26" s="3">
        <v>47</v>
      </c>
      <c r="R26" s="3">
        <v>22</v>
      </c>
      <c r="S26" s="3">
        <v>69</v>
      </c>
      <c r="T26" s="4">
        <v>4</v>
      </c>
      <c r="U26" s="3">
        <v>26</v>
      </c>
      <c r="V26" s="51">
        <f>IF(GroDB[[#This Row],[LeadTime]]=0,GroDB[[#This Row],[Sales_Volume]],GroDB[[#This Row],[Sales_Volume]]/GroDB[[#This Row],[LeadTime]])</f>
        <v>0.19402985074626866</v>
      </c>
      <c r="W26" s="51">
        <f>_xlfn.STDEV.S(GroDB[Daily Sales])</f>
        <v>5.1999899792654221</v>
      </c>
      <c r="X26" s="3">
        <v>59</v>
      </c>
      <c r="Y26" s="6">
        <v>2.6200000000000001E-2</v>
      </c>
      <c r="Z26" s="4">
        <f>GroDB[[#This Row],[Unit_Price]]*GroDB[[#This Row],[Sales_Volume]]</f>
        <v>104</v>
      </c>
      <c r="AA26" s="22">
        <f>GroDB[[#This Row],[ADU]]/GroDB[[#Totals],[ADU]]</f>
        <v>3.0208905620233262E-4</v>
      </c>
      <c r="AB26" s="1">
        <f>GroDB[[#This Row],[Sales_Volume]]*GroDB[[#This Row],[Ordering Cost]]</f>
        <v>83.2</v>
      </c>
    </row>
    <row r="27" spans="1:28" x14ac:dyDescent="0.35">
      <c r="A27" s="5" t="s">
        <v>146</v>
      </c>
      <c r="B27" s="3" t="s">
        <v>53</v>
      </c>
      <c r="C27" s="3" t="s">
        <v>147</v>
      </c>
      <c r="D27" s="3" t="s">
        <v>148</v>
      </c>
      <c r="E27" s="3" t="s">
        <v>56</v>
      </c>
      <c r="F27" s="3" t="s">
        <v>149</v>
      </c>
      <c r="G27" s="3" t="s">
        <v>150</v>
      </c>
      <c r="H27" s="43">
        <v>45353</v>
      </c>
      <c r="I27" s="43">
        <v>45477</v>
      </c>
      <c r="J27" s="47" t="str">
        <f>IF(GroDB[[#This Row],[Last_Order_Date]]&lt;=GroDB[[#This Row],[Date_Received]], "Yes", "No")</f>
        <v>No</v>
      </c>
      <c r="K27" s="43">
        <f>IF(GroDB[[#This Row],[Column1]]="No",GroDB[[#This Row],[Last_Order_Date]],GroDB[[#This Row],[Date_Received]])</f>
        <v>45477</v>
      </c>
      <c r="L27" s="43">
        <f>IF(GroDB[[#This Row],[Column1]]="No",GroDB[[#This Row],[Date_Received]],GroDB[[#This Row],[Last_Order_Date]])</f>
        <v>45353</v>
      </c>
      <c r="M27" s="45">
        <f>GroDB[[#This Row],[Date_Received1]]-GroDB[[#This Row],[Procurement_Date]]</f>
        <v>124</v>
      </c>
      <c r="N27" s="43">
        <v>45357</v>
      </c>
      <c r="O27" s="91">
        <f>GroDB[[#This Row],[Expiration_Date]]-GroDB[[#This Row],[Date_Received1]]</f>
        <v>-120</v>
      </c>
      <c r="P27" s="4">
        <v>3.8000000000000003</v>
      </c>
      <c r="Q27" s="3">
        <v>53</v>
      </c>
      <c r="R27" s="3">
        <v>26</v>
      </c>
      <c r="S27" s="3">
        <v>3</v>
      </c>
      <c r="T27" s="4">
        <v>4.75</v>
      </c>
      <c r="U27" s="3">
        <v>100</v>
      </c>
      <c r="V27" s="51">
        <f>IF(GroDB[[#This Row],[LeadTime]]=0,GroDB[[#This Row],[Sales_Volume]],GroDB[[#This Row],[Sales_Volume]]/GroDB[[#This Row],[LeadTime]])</f>
        <v>0.80645161290322576</v>
      </c>
      <c r="W27" s="51">
        <f>_xlfn.STDEV.S(GroDB[Daily Sales])</f>
        <v>5.1999899792654221</v>
      </c>
      <c r="X27" s="3">
        <v>94</v>
      </c>
      <c r="Y27" s="6">
        <v>2.53E-2</v>
      </c>
      <c r="Z27" s="4">
        <f>GroDB[[#This Row],[Unit_Price]]*GroDB[[#This Row],[Sales_Volume]]</f>
        <v>475</v>
      </c>
      <c r="AA27" s="22">
        <f>GroDB[[#This Row],[ADU]]/GroDB[[#Totals],[ADU]]</f>
        <v>1.3797336701548845E-3</v>
      </c>
      <c r="AB27" s="1">
        <f>GroDB[[#This Row],[Sales_Volume]]*GroDB[[#This Row],[Ordering Cost]]</f>
        <v>380</v>
      </c>
    </row>
    <row r="28" spans="1:28" x14ac:dyDescent="0.35">
      <c r="A28" s="5" t="s">
        <v>151</v>
      </c>
      <c r="B28" s="3" t="s">
        <v>91</v>
      </c>
      <c r="C28" s="3" t="s">
        <v>152</v>
      </c>
      <c r="D28" s="3" t="s">
        <v>153</v>
      </c>
      <c r="E28" s="3" t="s">
        <v>21</v>
      </c>
      <c r="F28" s="3" t="s">
        <v>154</v>
      </c>
      <c r="G28" s="3" t="s">
        <v>155</v>
      </c>
      <c r="H28" s="43">
        <v>45384</v>
      </c>
      <c r="I28" s="43">
        <v>45453</v>
      </c>
      <c r="J28" s="47" t="str">
        <f>IF(GroDB[[#This Row],[Last_Order_Date]]&lt;=GroDB[[#This Row],[Date_Received]], "Yes", "No")</f>
        <v>No</v>
      </c>
      <c r="K28" s="43">
        <f>IF(GroDB[[#This Row],[Column1]]="No",GroDB[[#This Row],[Last_Order_Date]],GroDB[[#This Row],[Date_Received]])</f>
        <v>45453</v>
      </c>
      <c r="L28" s="43">
        <f>IF(GroDB[[#This Row],[Column1]]="No",GroDB[[#This Row],[Date_Received]],GroDB[[#This Row],[Last_Order_Date]])</f>
        <v>45384</v>
      </c>
      <c r="M28" s="45">
        <f>GroDB[[#This Row],[Date_Received1]]-GroDB[[#This Row],[Procurement_Date]]</f>
        <v>69</v>
      </c>
      <c r="N28" s="43">
        <v>45582</v>
      </c>
      <c r="O28" s="91">
        <f>GroDB[[#This Row],[Expiration_Date]]-GroDB[[#This Row],[Date_Received1]]</f>
        <v>129</v>
      </c>
      <c r="P28" s="4">
        <v>3.2</v>
      </c>
      <c r="Q28" s="3">
        <v>65</v>
      </c>
      <c r="R28" s="3">
        <v>79</v>
      </c>
      <c r="S28" s="3">
        <v>49</v>
      </c>
      <c r="T28" s="4">
        <v>4</v>
      </c>
      <c r="U28" s="3">
        <v>100</v>
      </c>
      <c r="V28" s="51">
        <f>IF(GroDB[[#This Row],[LeadTime]]=0,GroDB[[#This Row],[Sales_Volume]],GroDB[[#This Row],[Sales_Volume]]/GroDB[[#This Row],[LeadTime]])</f>
        <v>1.4492753623188406</v>
      </c>
      <c r="W28" s="51">
        <f>_xlfn.STDEV.S(GroDB[Daily Sales])</f>
        <v>5.1999899792654221</v>
      </c>
      <c r="X28" s="3">
        <v>9</v>
      </c>
      <c r="Y28" s="6">
        <v>2.5000000000000001E-2</v>
      </c>
      <c r="Z28" s="4">
        <f>GroDB[[#This Row],[Unit_Price]]*GroDB[[#This Row],[Sales_Volume]]</f>
        <v>400</v>
      </c>
      <c r="AA28" s="22">
        <f>GroDB[[#This Row],[ADU]]/GroDB[[#Totals],[ADU]]</f>
        <v>1.1618809853935869E-3</v>
      </c>
      <c r="AB28" s="1">
        <f>GroDB[[#This Row],[Sales_Volume]]*GroDB[[#This Row],[Ordering Cost]]</f>
        <v>320</v>
      </c>
    </row>
    <row r="29" spans="1:28" x14ac:dyDescent="0.35">
      <c r="A29" s="5" t="s">
        <v>156</v>
      </c>
      <c r="B29" s="3" t="s">
        <v>127</v>
      </c>
      <c r="C29" s="3" t="s">
        <v>157</v>
      </c>
      <c r="D29" s="3" t="s">
        <v>158</v>
      </c>
      <c r="E29" s="3" t="s">
        <v>28</v>
      </c>
      <c r="F29" s="3" t="s">
        <v>159</v>
      </c>
      <c r="G29" s="3" t="s">
        <v>160</v>
      </c>
      <c r="H29" s="43">
        <v>45384</v>
      </c>
      <c r="I29" s="43">
        <v>45622</v>
      </c>
      <c r="J29" s="47" t="str">
        <f>IF(GroDB[[#This Row],[Last_Order_Date]]&lt;=GroDB[[#This Row],[Date_Received]], "Yes", "No")</f>
        <v>No</v>
      </c>
      <c r="K29" s="43">
        <f>IF(GroDB[[#This Row],[Column1]]="No",GroDB[[#This Row],[Last_Order_Date]],GroDB[[#This Row],[Date_Received]])</f>
        <v>45622</v>
      </c>
      <c r="L29" s="43">
        <f>IF(GroDB[[#This Row],[Column1]]="No",GroDB[[#This Row],[Date_Received]],GroDB[[#This Row],[Last_Order_Date]])</f>
        <v>45384</v>
      </c>
      <c r="M29" s="45">
        <f>GroDB[[#This Row],[Date_Received1]]-GroDB[[#This Row],[Procurement_Date]]</f>
        <v>238</v>
      </c>
      <c r="N29" s="43">
        <v>45595</v>
      </c>
      <c r="O29" s="91">
        <f>GroDB[[#This Row],[Expiration_Date]]-GroDB[[#This Row],[Date_Received1]]</f>
        <v>-27</v>
      </c>
      <c r="P29" s="4">
        <v>9.6000000000000014</v>
      </c>
      <c r="Q29" s="3">
        <v>90</v>
      </c>
      <c r="R29" s="3">
        <v>68</v>
      </c>
      <c r="S29" s="3">
        <v>74</v>
      </c>
      <c r="T29" s="4">
        <v>12</v>
      </c>
      <c r="U29" s="3">
        <v>81</v>
      </c>
      <c r="V29" s="51">
        <f>IF(GroDB[[#This Row],[LeadTime]]=0,GroDB[[#This Row],[Sales_Volume]],GroDB[[#This Row],[Sales_Volume]]/GroDB[[#This Row],[LeadTime]])</f>
        <v>0.34033613445378152</v>
      </c>
      <c r="W29" s="51">
        <f>_xlfn.STDEV.S(GroDB[Daily Sales])</f>
        <v>5.1999899792654221</v>
      </c>
      <c r="X29" s="3">
        <v>26</v>
      </c>
      <c r="Y29" s="6">
        <v>2.4299999999999999E-2</v>
      </c>
      <c r="Z29" s="4">
        <f>GroDB[[#This Row],[Unit_Price]]*GroDB[[#This Row],[Sales_Volume]]</f>
        <v>972</v>
      </c>
      <c r="AA29" s="22">
        <f>GroDB[[#This Row],[ADU]]/GroDB[[#Totals],[ADU]]</f>
        <v>2.8233707945064163E-3</v>
      </c>
      <c r="AB29" s="1">
        <f>GroDB[[#This Row],[Sales_Volume]]*GroDB[[#This Row],[Ordering Cost]]</f>
        <v>777.60000000000014</v>
      </c>
    </row>
    <row r="30" spans="1:28" x14ac:dyDescent="0.35">
      <c r="A30" s="5" t="s">
        <v>126</v>
      </c>
      <c r="B30" s="3" t="s">
        <v>127</v>
      </c>
      <c r="C30" s="3" t="s">
        <v>161</v>
      </c>
      <c r="D30" s="3" t="s">
        <v>162</v>
      </c>
      <c r="E30" s="3" t="s">
        <v>28</v>
      </c>
      <c r="F30" s="3" t="s">
        <v>163</v>
      </c>
      <c r="G30" s="3" t="s">
        <v>164</v>
      </c>
      <c r="H30" s="43">
        <v>45384</v>
      </c>
      <c r="I30" s="43">
        <v>45664</v>
      </c>
      <c r="J30" s="47" t="str">
        <f>IF(GroDB[[#This Row],[Last_Order_Date]]&lt;=GroDB[[#This Row],[Date_Received]], "Yes", "No")</f>
        <v>No</v>
      </c>
      <c r="K30" s="43">
        <f>IF(GroDB[[#This Row],[Column1]]="No",GroDB[[#This Row],[Last_Order_Date]],GroDB[[#This Row],[Date_Received]])</f>
        <v>45664</v>
      </c>
      <c r="L30" s="43">
        <f>IF(GroDB[[#This Row],[Column1]]="No",GroDB[[#This Row],[Date_Received]],GroDB[[#This Row],[Last_Order_Date]])</f>
        <v>45384</v>
      </c>
      <c r="M30" s="45">
        <f>GroDB[[#This Row],[Date_Received1]]-GroDB[[#This Row],[Procurement_Date]]</f>
        <v>280</v>
      </c>
      <c r="N30" s="43">
        <v>45380</v>
      </c>
      <c r="O30" s="91">
        <f>GroDB[[#This Row],[Expiration_Date]]-GroDB[[#This Row],[Date_Received1]]</f>
        <v>-284</v>
      </c>
      <c r="P30" s="4">
        <v>16</v>
      </c>
      <c r="Q30" s="3">
        <v>65</v>
      </c>
      <c r="R30" s="3">
        <v>63</v>
      </c>
      <c r="S30" s="3">
        <v>41</v>
      </c>
      <c r="T30" s="4">
        <v>20</v>
      </c>
      <c r="U30" s="3">
        <v>28</v>
      </c>
      <c r="V30" s="51">
        <f>IF(GroDB[[#This Row],[LeadTime]]=0,GroDB[[#This Row],[Sales_Volume]],GroDB[[#This Row],[Sales_Volume]]/GroDB[[#This Row],[LeadTime]])</f>
        <v>0.1</v>
      </c>
      <c r="W30" s="51">
        <f>_xlfn.STDEV.S(GroDB[Daily Sales])</f>
        <v>5.1999899792654221</v>
      </c>
      <c r="X30" s="3">
        <v>26</v>
      </c>
      <c r="Y30" s="6">
        <v>2.58E-2</v>
      </c>
      <c r="Z30" s="4">
        <f>GroDB[[#This Row],[Unit_Price]]*GroDB[[#This Row],[Sales_Volume]]</f>
        <v>560</v>
      </c>
      <c r="AA30" s="22">
        <f>GroDB[[#This Row],[ADU]]/GroDB[[#Totals],[ADU]]</f>
        <v>1.6266333795510218E-3</v>
      </c>
      <c r="AB30" s="1">
        <f>GroDB[[#This Row],[Sales_Volume]]*GroDB[[#This Row],[Ordering Cost]]</f>
        <v>448</v>
      </c>
    </row>
    <row r="31" spans="1:28" x14ac:dyDescent="0.35">
      <c r="A31" s="5" t="s">
        <v>165</v>
      </c>
      <c r="B31" s="3" t="s">
        <v>60</v>
      </c>
      <c r="C31" s="3" t="s">
        <v>166</v>
      </c>
      <c r="D31" s="3" t="s">
        <v>167</v>
      </c>
      <c r="E31" s="3" t="s">
        <v>56</v>
      </c>
      <c r="F31" s="3" t="s">
        <v>168</v>
      </c>
      <c r="G31" s="3" t="s">
        <v>169</v>
      </c>
      <c r="H31" s="43">
        <v>45414</v>
      </c>
      <c r="I31" s="43">
        <v>45663</v>
      </c>
      <c r="J31" s="47" t="str">
        <f>IF(GroDB[[#This Row],[Last_Order_Date]]&lt;=GroDB[[#This Row],[Date_Received]], "Yes", "No")</f>
        <v>No</v>
      </c>
      <c r="K31" s="43">
        <f>IF(GroDB[[#This Row],[Column1]]="No",GroDB[[#This Row],[Last_Order_Date]],GroDB[[#This Row],[Date_Received]])</f>
        <v>45663</v>
      </c>
      <c r="L31" s="43">
        <f>IF(GroDB[[#This Row],[Column1]]="No",GroDB[[#This Row],[Date_Received]],GroDB[[#This Row],[Last_Order_Date]])</f>
        <v>45414</v>
      </c>
      <c r="M31" s="45">
        <f>GroDB[[#This Row],[Date_Received1]]-GroDB[[#This Row],[Procurement_Date]]</f>
        <v>249</v>
      </c>
      <c r="N31" s="43">
        <v>45484</v>
      </c>
      <c r="O31" s="91">
        <f>GroDB[[#This Row],[Expiration_Date]]-GroDB[[#This Row],[Date_Received1]]</f>
        <v>-179</v>
      </c>
      <c r="P31" s="4">
        <v>5.6000000000000005</v>
      </c>
      <c r="Q31" s="3">
        <v>30</v>
      </c>
      <c r="R31" s="3">
        <v>42</v>
      </c>
      <c r="S31" s="3">
        <v>8</v>
      </c>
      <c r="T31" s="4">
        <v>7</v>
      </c>
      <c r="U31" s="3">
        <v>48</v>
      </c>
      <c r="V31" s="51">
        <f>IF(GroDB[[#This Row],[LeadTime]]=0,GroDB[[#This Row],[Sales_Volume]],GroDB[[#This Row],[Sales_Volume]]/GroDB[[#This Row],[LeadTime]])</f>
        <v>0.19277108433734941</v>
      </c>
      <c r="W31" s="51">
        <f>_xlfn.STDEV.S(GroDB[Daily Sales])</f>
        <v>5.1999899792654221</v>
      </c>
      <c r="X31" s="3">
        <v>23</v>
      </c>
      <c r="Y31" s="6">
        <v>2.5700000000000001E-2</v>
      </c>
      <c r="Z31" s="4">
        <f>GroDB[[#This Row],[Unit_Price]]*GroDB[[#This Row],[Sales_Volume]]</f>
        <v>336</v>
      </c>
      <c r="AA31" s="22">
        <f>GroDB[[#This Row],[ADU]]/GroDB[[#Totals],[ADU]]</f>
        <v>9.7598002773061304E-4</v>
      </c>
      <c r="AB31" s="1">
        <f>GroDB[[#This Row],[Sales_Volume]]*GroDB[[#This Row],[Ordering Cost]]</f>
        <v>268.8</v>
      </c>
    </row>
    <row r="32" spans="1:28" x14ac:dyDescent="0.35">
      <c r="A32" s="5" t="s">
        <v>170</v>
      </c>
      <c r="B32" s="3" t="s">
        <v>53</v>
      </c>
      <c r="C32" s="3" t="s">
        <v>171</v>
      </c>
      <c r="D32" s="3" t="s">
        <v>172</v>
      </c>
      <c r="E32" s="3" t="s">
        <v>56</v>
      </c>
      <c r="F32" s="3" t="s">
        <v>173</v>
      </c>
      <c r="G32" s="3" t="s">
        <v>174</v>
      </c>
      <c r="H32" s="43">
        <v>45414</v>
      </c>
      <c r="I32" s="43">
        <v>45598</v>
      </c>
      <c r="J32" s="47" t="str">
        <f>IF(GroDB[[#This Row],[Last_Order_Date]]&lt;=GroDB[[#This Row],[Date_Received]], "Yes", "No")</f>
        <v>No</v>
      </c>
      <c r="K32" s="43">
        <f>IF(GroDB[[#This Row],[Column1]]="No",GroDB[[#This Row],[Last_Order_Date]],GroDB[[#This Row],[Date_Received]])</f>
        <v>45598</v>
      </c>
      <c r="L32" s="43">
        <f>IF(GroDB[[#This Row],[Column1]]="No",GroDB[[#This Row],[Date_Received]],GroDB[[#This Row],[Last_Order_Date]])</f>
        <v>45414</v>
      </c>
      <c r="M32" s="45">
        <f>GroDB[[#This Row],[Date_Received1]]-GroDB[[#This Row],[Procurement_Date]]</f>
        <v>184</v>
      </c>
      <c r="N32" s="43">
        <v>45695</v>
      </c>
      <c r="O32" s="91">
        <f>GroDB[[#This Row],[Expiration_Date]]-GroDB[[#This Row],[Date_Received1]]</f>
        <v>97</v>
      </c>
      <c r="P32" s="4">
        <v>3.6</v>
      </c>
      <c r="Q32" s="3">
        <v>34</v>
      </c>
      <c r="R32" s="3">
        <v>32</v>
      </c>
      <c r="S32" s="3">
        <v>22</v>
      </c>
      <c r="T32" s="4">
        <v>4.5</v>
      </c>
      <c r="U32" s="3">
        <v>42</v>
      </c>
      <c r="V32" s="51">
        <f>IF(GroDB[[#This Row],[LeadTime]]=0,GroDB[[#This Row],[Sales_Volume]],GroDB[[#This Row],[Sales_Volume]]/GroDB[[#This Row],[LeadTime]])</f>
        <v>0.22826086956521738</v>
      </c>
      <c r="W32" s="51">
        <f>_xlfn.STDEV.S(GroDB[Daily Sales])</f>
        <v>5.1999899792654221</v>
      </c>
      <c r="X32" s="3">
        <v>27</v>
      </c>
      <c r="Y32" s="6">
        <v>2.4500000000000001E-2</v>
      </c>
      <c r="Z32" s="4">
        <f>GroDB[[#This Row],[Unit_Price]]*GroDB[[#This Row],[Sales_Volume]]</f>
        <v>189</v>
      </c>
      <c r="AA32" s="22">
        <f>GroDB[[#This Row],[ADU]]/GroDB[[#Totals],[ADU]]</f>
        <v>5.4898876559846986E-4</v>
      </c>
      <c r="AB32" s="1">
        <f>GroDB[[#This Row],[Sales_Volume]]*GroDB[[#This Row],[Ordering Cost]]</f>
        <v>151.20000000000002</v>
      </c>
    </row>
    <row r="33" spans="1:28" x14ac:dyDescent="0.35">
      <c r="A33" s="5" t="s">
        <v>175</v>
      </c>
      <c r="B33" s="3" t="s">
        <v>53</v>
      </c>
      <c r="C33" s="3" t="s">
        <v>176</v>
      </c>
      <c r="D33" s="3" t="s">
        <v>177</v>
      </c>
      <c r="E33" s="3" t="s">
        <v>28</v>
      </c>
      <c r="F33" s="3" t="s">
        <v>178</v>
      </c>
      <c r="G33" s="3" t="s">
        <v>179</v>
      </c>
      <c r="H33" s="43">
        <v>45414</v>
      </c>
      <c r="I33" s="43">
        <v>45619</v>
      </c>
      <c r="J33" s="47" t="str">
        <f>IF(GroDB[[#This Row],[Last_Order_Date]]&lt;=GroDB[[#This Row],[Date_Received]], "Yes", "No")</f>
        <v>No</v>
      </c>
      <c r="K33" s="43">
        <f>IF(GroDB[[#This Row],[Column1]]="No",GroDB[[#This Row],[Last_Order_Date]],GroDB[[#This Row],[Date_Received]])</f>
        <v>45619</v>
      </c>
      <c r="L33" s="43">
        <f>IF(GroDB[[#This Row],[Column1]]="No",GroDB[[#This Row],[Date_Received]],GroDB[[#This Row],[Last_Order_Date]])</f>
        <v>45414</v>
      </c>
      <c r="M33" s="45">
        <f>GroDB[[#This Row],[Date_Received1]]-GroDB[[#This Row],[Procurement_Date]]</f>
        <v>205</v>
      </c>
      <c r="N33" s="43">
        <v>45478</v>
      </c>
      <c r="O33" s="91">
        <f>GroDB[[#This Row],[Expiration_Date]]-GroDB[[#This Row],[Date_Received1]]</f>
        <v>-141</v>
      </c>
      <c r="P33" s="4">
        <v>1.2000000000000002</v>
      </c>
      <c r="Q33" s="3">
        <v>54</v>
      </c>
      <c r="R33" s="3">
        <v>78</v>
      </c>
      <c r="S33" s="3">
        <v>81</v>
      </c>
      <c r="T33" s="4">
        <v>1.5</v>
      </c>
      <c r="U33" s="3">
        <v>41</v>
      </c>
      <c r="V33" s="51">
        <f>IF(GroDB[[#This Row],[LeadTime]]=0,GroDB[[#This Row],[Sales_Volume]],GroDB[[#This Row],[Sales_Volume]]/GroDB[[#This Row],[LeadTime]])</f>
        <v>0.2</v>
      </c>
      <c r="W33" s="51">
        <f>_xlfn.STDEV.S(GroDB[Daily Sales])</f>
        <v>5.1999899792654221</v>
      </c>
      <c r="X33" s="3">
        <v>63</v>
      </c>
      <c r="Y33" s="6">
        <v>2.3599999999999999E-2</v>
      </c>
      <c r="Z33" s="4">
        <f>GroDB[[#This Row],[Unit_Price]]*GroDB[[#This Row],[Sales_Volume]]</f>
        <v>61.5</v>
      </c>
      <c r="AA33" s="22">
        <f>GroDB[[#This Row],[ADU]]/GroDB[[#Totals],[ADU]]</f>
        <v>1.7863920150426401E-4</v>
      </c>
      <c r="AB33" s="1">
        <f>GroDB[[#This Row],[Sales_Volume]]*GroDB[[#This Row],[Ordering Cost]]</f>
        <v>49.20000000000001</v>
      </c>
    </row>
    <row r="34" spans="1:28" x14ac:dyDescent="0.35">
      <c r="A34" s="5" t="s">
        <v>180</v>
      </c>
      <c r="B34" s="3" t="s">
        <v>18</v>
      </c>
      <c r="C34" s="3" t="s">
        <v>181</v>
      </c>
      <c r="D34" s="3" t="s">
        <v>182</v>
      </c>
      <c r="E34" s="3" t="s">
        <v>56</v>
      </c>
      <c r="F34" s="3" t="s">
        <v>183</v>
      </c>
      <c r="G34" s="3" t="s">
        <v>184</v>
      </c>
      <c r="H34" s="43">
        <v>45414</v>
      </c>
      <c r="I34" s="43">
        <v>45524</v>
      </c>
      <c r="J34" s="47" t="str">
        <f>IF(GroDB[[#This Row],[Last_Order_Date]]&lt;=GroDB[[#This Row],[Date_Received]], "Yes", "No")</f>
        <v>No</v>
      </c>
      <c r="K34" s="43">
        <f>IF(GroDB[[#This Row],[Column1]]="No",GroDB[[#This Row],[Last_Order_Date]],GroDB[[#This Row],[Date_Received]])</f>
        <v>45524</v>
      </c>
      <c r="L34" s="43">
        <f>IF(GroDB[[#This Row],[Column1]]="No",GroDB[[#This Row],[Date_Received]],GroDB[[#This Row],[Last_Order_Date]])</f>
        <v>45414</v>
      </c>
      <c r="M34" s="45">
        <f>GroDB[[#This Row],[Date_Received1]]-GroDB[[#This Row],[Procurement_Date]]</f>
        <v>110</v>
      </c>
      <c r="N34" s="43">
        <v>45581</v>
      </c>
      <c r="O34" s="91">
        <f>GroDB[[#This Row],[Expiration_Date]]-GroDB[[#This Row],[Date_Received1]]</f>
        <v>57</v>
      </c>
      <c r="P34" s="4">
        <v>1.4400000000000002</v>
      </c>
      <c r="Q34" s="3">
        <v>67</v>
      </c>
      <c r="R34" s="3">
        <v>14</v>
      </c>
      <c r="S34" s="3">
        <v>25</v>
      </c>
      <c r="T34" s="4">
        <v>1.8</v>
      </c>
      <c r="U34" s="3">
        <v>81</v>
      </c>
      <c r="V34" s="51">
        <f>IF(GroDB[[#This Row],[LeadTime]]=0,GroDB[[#This Row],[Sales_Volume]],GroDB[[#This Row],[Sales_Volume]]/GroDB[[#This Row],[LeadTime]])</f>
        <v>0.73636363636363633</v>
      </c>
      <c r="W34" s="51">
        <f>_xlfn.STDEV.S(GroDB[Daily Sales])</f>
        <v>5.1999899792654221</v>
      </c>
      <c r="X34" s="3">
        <v>77</v>
      </c>
      <c r="Y34" s="6">
        <v>2.3400000000000001E-2</v>
      </c>
      <c r="Z34" s="4">
        <f>GroDB[[#This Row],[Unit_Price]]*GroDB[[#This Row],[Sales_Volume]]</f>
        <v>145.80000000000001</v>
      </c>
      <c r="AA34" s="22">
        <f>GroDB[[#This Row],[ADU]]/GroDB[[#Totals],[ADU]]</f>
        <v>4.2350561917596247E-4</v>
      </c>
      <c r="AB34" s="1">
        <f>GroDB[[#This Row],[Sales_Volume]]*GroDB[[#This Row],[Ordering Cost]]</f>
        <v>116.64000000000001</v>
      </c>
    </row>
    <row r="35" spans="1:28" x14ac:dyDescent="0.35">
      <c r="A35" s="5" t="s">
        <v>65</v>
      </c>
      <c r="B35" s="3" t="s">
        <v>32</v>
      </c>
      <c r="C35" s="3" t="s">
        <v>19</v>
      </c>
      <c r="D35" s="3" t="s">
        <v>185</v>
      </c>
      <c r="E35" s="3" t="s">
        <v>28</v>
      </c>
      <c r="F35" s="3" t="s">
        <v>186</v>
      </c>
      <c r="G35" s="3" t="s">
        <v>187</v>
      </c>
      <c r="H35" s="43">
        <v>45445</v>
      </c>
      <c r="I35" s="43">
        <v>45645</v>
      </c>
      <c r="J35" s="47" t="str">
        <f>IF(GroDB[[#This Row],[Last_Order_Date]]&lt;=GroDB[[#This Row],[Date_Received]], "Yes", "No")</f>
        <v>No</v>
      </c>
      <c r="K35" s="43">
        <f>IF(GroDB[[#This Row],[Column1]]="No",GroDB[[#This Row],[Last_Order_Date]],GroDB[[#This Row],[Date_Received]])</f>
        <v>45645</v>
      </c>
      <c r="L35" s="43">
        <f>IF(GroDB[[#This Row],[Column1]]="No",GroDB[[#This Row],[Date_Received]],GroDB[[#This Row],[Last_Order_Date]])</f>
        <v>45445</v>
      </c>
      <c r="M35" s="45">
        <f>GroDB[[#This Row],[Date_Received1]]-GroDB[[#This Row],[Procurement_Date]]</f>
        <v>200</v>
      </c>
      <c r="N35" s="43">
        <v>45543</v>
      </c>
      <c r="O35" s="91">
        <f>GroDB[[#This Row],[Expiration_Date]]-GroDB[[#This Row],[Date_Received1]]</f>
        <v>-102</v>
      </c>
      <c r="P35" s="4">
        <v>7.3599999999999994</v>
      </c>
      <c r="Q35" s="3">
        <v>50</v>
      </c>
      <c r="R35" s="3">
        <v>14</v>
      </c>
      <c r="S35" s="3">
        <v>6</v>
      </c>
      <c r="T35" s="4">
        <v>9.1999999999999993</v>
      </c>
      <c r="U35" s="3">
        <v>60</v>
      </c>
      <c r="V35" s="51">
        <f>IF(GroDB[[#This Row],[LeadTime]]=0,GroDB[[#This Row],[Sales_Volume]],GroDB[[#This Row],[Sales_Volume]]/GroDB[[#This Row],[LeadTime]])</f>
        <v>0.3</v>
      </c>
      <c r="W35" s="51">
        <f>_xlfn.STDEV.S(GroDB[Daily Sales])</f>
        <v>5.1999899792654221</v>
      </c>
      <c r="X35" s="3">
        <v>72</v>
      </c>
      <c r="Y35" s="6">
        <v>2.2200000000000001E-2</v>
      </c>
      <c r="Z35" s="4">
        <f>GroDB[[#This Row],[Unit_Price]]*GroDB[[#This Row],[Sales_Volume]]</f>
        <v>552</v>
      </c>
      <c r="AA35" s="22">
        <f>GroDB[[#This Row],[ADU]]/GroDB[[#Totals],[ADU]]</f>
        <v>1.6033957598431501E-3</v>
      </c>
      <c r="AB35" s="1">
        <f>GroDB[[#This Row],[Sales_Volume]]*GroDB[[#This Row],[Ordering Cost]]</f>
        <v>441.59999999999997</v>
      </c>
    </row>
    <row r="36" spans="1:28" x14ac:dyDescent="0.35">
      <c r="A36" s="5" t="s">
        <v>188</v>
      </c>
      <c r="B36" s="3" t="s">
        <v>32</v>
      </c>
      <c r="C36" s="3" t="s">
        <v>189</v>
      </c>
      <c r="D36" s="3" t="s">
        <v>190</v>
      </c>
      <c r="E36" s="3" t="s">
        <v>28</v>
      </c>
      <c r="F36" s="3" t="s">
        <v>191</v>
      </c>
      <c r="G36" s="3" t="s">
        <v>192</v>
      </c>
      <c r="H36" s="43">
        <v>45445</v>
      </c>
      <c r="I36" s="43">
        <v>45601</v>
      </c>
      <c r="J36" s="47" t="str">
        <f>IF(GroDB[[#This Row],[Last_Order_Date]]&lt;=GroDB[[#This Row],[Date_Received]], "Yes", "No")</f>
        <v>No</v>
      </c>
      <c r="K36" s="43">
        <f>IF(GroDB[[#This Row],[Column1]]="No",GroDB[[#This Row],[Last_Order_Date]],GroDB[[#This Row],[Date_Received]])</f>
        <v>45601</v>
      </c>
      <c r="L36" s="43">
        <f>IF(GroDB[[#This Row],[Column1]]="No",GroDB[[#This Row],[Date_Received]],GroDB[[#This Row],[Last_Order_Date]])</f>
        <v>45445</v>
      </c>
      <c r="M36" s="45">
        <f>GroDB[[#This Row],[Date_Received1]]-GroDB[[#This Row],[Procurement_Date]]</f>
        <v>156</v>
      </c>
      <c r="N36" s="43">
        <v>45553</v>
      </c>
      <c r="O36" s="91">
        <f>GroDB[[#This Row],[Expiration_Date]]-GroDB[[#This Row],[Date_Received1]]</f>
        <v>-48</v>
      </c>
      <c r="P36" s="4">
        <v>0.72000000000000008</v>
      </c>
      <c r="Q36" s="3">
        <v>13</v>
      </c>
      <c r="R36" s="3">
        <v>39</v>
      </c>
      <c r="S36" s="3">
        <v>98</v>
      </c>
      <c r="T36" s="4">
        <v>0.9</v>
      </c>
      <c r="U36" s="3">
        <v>46</v>
      </c>
      <c r="V36" s="51">
        <f>IF(GroDB[[#This Row],[LeadTime]]=0,GroDB[[#This Row],[Sales_Volume]],GroDB[[#This Row],[Sales_Volume]]/GroDB[[#This Row],[LeadTime]])</f>
        <v>0.29487179487179488</v>
      </c>
      <c r="W36" s="51">
        <f>_xlfn.STDEV.S(GroDB[Daily Sales])</f>
        <v>5.1999899792654221</v>
      </c>
      <c r="X36" s="3">
        <v>46</v>
      </c>
      <c r="Y36" s="6">
        <v>1.9900000000000001E-2</v>
      </c>
      <c r="Z36" s="4">
        <f>GroDB[[#This Row],[Unit_Price]]*GroDB[[#This Row],[Sales_Volume]]</f>
        <v>41.4</v>
      </c>
      <c r="AA36" s="22">
        <f>GroDB[[#This Row],[ADU]]/GroDB[[#Totals],[ADU]]</f>
        <v>1.2025468198823625E-4</v>
      </c>
      <c r="AB36" s="1">
        <f>GroDB[[#This Row],[Sales_Volume]]*GroDB[[#This Row],[Ordering Cost]]</f>
        <v>33.120000000000005</v>
      </c>
    </row>
    <row r="37" spans="1:28" x14ac:dyDescent="0.35">
      <c r="A37" s="5" t="s">
        <v>193</v>
      </c>
      <c r="B37" s="3" t="s">
        <v>18</v>
      </c>
      <c r="C37" s="3" t="s">
        <v>194</v>
      </c>
      <c r="D37" s="3" t="s">
        <v>195</v>
      </c>
      <c r="E37" s="3" t="s">
        <v>28</v>
      </c>
      <c r="F37" s="3" t="s">
        <v>196</v>
      </c>
      <c r="G37" s="3" t="s">
        <v>197</v>
      </c>
      <c r="H37" s="43">
        <v>45445</v>
      </c>
      <c r="I37" s="43">
        <v>45568</v>
      </c>
      <c r="J37" s="47" t="str">
        <f>IF(GroDB[[#This Row],[Last_Order_Date]]&lt;=GroDB[[#This Row],[Date_Received]], "Yes", "No")</f>
        <v>No</v>
      </c>
      <c r="K37" s="43">
        <f>IF(GroDB[[#This Row],[Column1]]="No",GroDB[[#This Row],[Last_Order_Date]],GroDB[[#This Row],[Date_Received]])</f>
        <v>45568</v>
      </c>
      <c r="L37" s="43">
        <f>IF(GroDB[[#This Row],[Column1]]="No",GroDB[[#This Row],[Date_Received]],GroDB[[#This Row],[Last_Order_Date]])</f>
        <v>45445</v>
      </c>
      <c r="M37" s="45">
        <f>GroDB[[#This Row],[Date_Received1]]-GroDB[[#This Row],[Procurement_Date]]</f>
        <v>123</v>
      </c>
      <c r="N37" s="43">
        <v>45401</v>
      </c>
      <c r="O37" s="91">
        <f>GroDB[[#This Row],[Expiration_Date]]-GroDB[[#This Row],[Date_Received1]]</f>
        <v>-167</v>
      </c>
      <c r="P37" s="4">
        <v>1.6</v>
      </c>
      <c r="Q37" s="3">
        <v>18</v>
      </c>
      <c r="R37" s="3">
        <v>8</v>
      </c>
      <c r="S37" s="3">
        <v>68</v>
      </c>
      <c r="T37" s="4">
        <v>2</v>
      </c>
      <c r="U37" s="3">
        <v>54</v>
      </c>
      <c r="V37" s="51">
        <f>IF(GroDB[[#This Row],[LeadTime]]=0,GroDB[[#This Row],[Sales_Volume]],GroDB[[#This Row],[Sales_Volume]]/GroDB[[#This Row],[LeadTime]])</f>
        <v>0.43902439024390244</v>
      </c>
      <c r="W37" s="51">
        <f>_xlfn.STDEV.S(GroDB[Daily Sales])</f>
        <v>5.1999899792654221</v>
      </c>
      <c r="X37" s="3">
        <v>45</v>
      </c>
      <c r="Y37" s="6">
        <v>1.9900000000000001E-2</v>
      </c>
      <c r="Z37" s="4">
        <f>GroDB[[#This Row],[Unit_Price]]*GroDB[[#This Row],[Sales_Volume]]</f>
        <v>108</v>
      </c>
      <c r="AA37" s="22">
        <f>GroDB[[#This Row],[ADU]]/GroDB[[#Totals],[ADU]]</f>
        <v>3.1370786605626851E-4</v>
      </c>
      <c r="AB37" s="1">
        <f>GroDB[[#This Row],[Sales_Volume]]*GroDB[[#This Row],[Ordering Cost]]</f>
        <v>86.4</v>
      </c>
    </row>
    <row r="38" spans="1:28" x14ac:dyDescent="0.35">
      <c r="A38" s="5" t="s">
        <v>198</v>
      </c>
      <c r="B38" s="3" t="s">
        <v>53</v>
      </c>
      <c r="C38" s="3" t="s">
        <v>199</v>
      </c>
      <c r="D38" s="3" t="s">
        <v>200</v>
      </c>
      <c r="E38" s="3" t="s">
        <v>56</v>
      </c>
      <c r="F38" s="3" t="s">
        <v>201</v>
      </c>
      <c r="G38" s="3" t="s">
        <v>202</v>
      </c>
      <c r="H38" s="43">
        <v>45445</v>
      </c>
      <c r="I38" s="43">
        <v>45682</v>
      </c>
      <c r="J38" s="47" t="str">
        <f>IF(GroDB[[#This Row],[Last_Order_Date]]&lt;=GroDB[[#This Row],[Date_Received]], "Yes", "No")</f>
        <v>No</v>
      </c>
      <c r="K38" s="43">
        <f>IF(GroDB[[#This Row],[Column1]]="No",GroDB[[#This Row],[Last_Order_Date]],GroDB[[#This Row],[Date_Received]])</f>
        <v>45682</v>
      </c>
      <c r="L38" s="43">
        <f>IF(GroDB[[#This Row],[Column1]]="No",GroDB[[#This Row],[Date_Received]],GroDB[[#This Row],[Last_Order_Date]])</f>
        <v>45445</v>
      </c>
      <c r="M38" s="45">
        <f>GroDB[[#This Row],[Date_Received1]]-GroDB[[#This Row],[Procurement_Date]]</f>
        <v>237</v>
      </c>
      <c r="N38" s="43">
        <v>45540</v>
      </c>
      <c r="O38" s="91">
        <f>GroDB[[#This Row],[Expiration_Date]]-GroDB[[#This Row],[Date_Received1]]</f>
        <v>-142</v>
      </c>
      <c r="P38" s="4">
        <v>1.6</v>
      </c>
      <c r="Q38" s="3">
        <v>24</v>
      </c>
      <c r="R38" s="3">
        <v>2</v>
      </c>
      <c r="S38" s="3">
        <v>49</v>
      </c>
      <c r="T38" s="4">
        <v>2</v>
      </c>
      <c r="U38" s="3">
        <v>98</v>
      </c>
      <c r="V38" s="51">
        <f>IF(GroDB[[#This Row],[LeadTime]]=0,GroDB[[#This Row],[Sales_Volume]],GroDB[[#This Row],[Sales_Volume]]/GroDB[[#This Row],[LeadTime]])</f>
        <v>0.41350210970464135</v>
      </c>
      <c r="W38" s="51">
        <f>_xlfn.STDEV.S(GroDB[Daily Sales])</f>
        <v>5.1999899792654221</v>
      </c>
      <c r="X38" s="3">
        <v>82</v>
      </c>
      <c r="Y38" s="6">
        <v>1.9E-2</v>
      </c>
      <c r="Z38" s="4">
        <f>GroDB[[#This Row],[Unit_Price]]*GroDB[[#This Row],[Sales_Volume]]</f>
        <v>196</v>
      </c>
      <c r="AA38" s="22">
        <f>GroDB[[#This Row],[ADU]]/GroDB[[#Totals],[ADU]]</f>
        <v>5.6932168284285758E-4</v>
      </c>
      <c r="AB38" s="1">
        <f>GroDB[[#This Row],[Sales_Volume]]*GroDB[[#This Row],[Ordering Cost]]</f>
        <v>156.80000000000001</v>
      </c>
    </row>
    <row r="39" spans="1:28" x14ac:dyDescent="0.35">
      <c r="A39" s="5" t="s">
        <v>151</v>
      </c>
      <c r="B39" s="3" t="s">
        <v>91</v>
      </c>
      <c r="C39" s="3" t="s">
        <v>203</v>
      </c>
      <c r="D39" s="3" t="s">
        <v>204</v>
      </c>
      <c r="E39" s="3" t="s">
        <v>56</v>
      </c>
      <c r="F39" s="3" t="s">
        <v>205</v>
      </c>
      <c r="G39" s="3" t="s">
        <v>206</v>
      </c>
      <c r="H39" s="43">
        <v>45475</v>
      </c>
      <c r="I39" s="43">
        <v>45370</v>
      </c>
      <c r="J39" s="47" t="str">
        <f>IF(GroDB[[#This Row],[Last_Order_Date]]&lt;=GroDB[[#This Row],[Date_Received]], "Yes", "No")</f>
        <v>Yes</v>
      </c>
      <c r="K39" s="43">
        <f>IF(GroDB[[#This Row],[Column1]]="No",GroDB[[#This Row],[Last_Order_Date]],GroDB[[#This Row],[Date_Received]])</f>
        <v>45475</v>
      </c>
      <c r="L39" s="43">
        <f>IF(GroDB[[#This Row],[Column1]]="No",GroDB[[#This Row],[Date_Received]],GroDB[[#This Row],[Last_Order_Date]])</f>
        <v>45370</v>
      </c>
      <c r="M39" s="45">
        <f>GroDB[[#This Row],[Date_Received1]]-GroDB[[#This Row],[Procurement_Date]]</f>
        <v>105</v>
      </c>
      <c r="N39" s="43">
        <v>45426</v>
      </c>
      <c r="O39" s="91">
        <f>GroDB[[#This Row],[Expiration_Date]]-GroDB[[#This Row],[Date_Received1]]</f>
        <v>-49</v>
      </c>
      <c r="P39" s="4">
        <v>3.6</v>
      </c>
      <c r="Q39" s="3">
        <v>40</v>
      </c>
      <c r="R39" s="3">
        <v>30</v>
      </c>
      <c r="S39" s="3">
        <v>65</v>
      </c>
      <c r="T39" s="4">
        <v>4.5</v>
      </c>
      <c r="U39" s="3">
        <v>54</v>
      </c>
      <c r="V39" s="51">
        <f>IF(GroDB[[#This Row],[LeadTime]]=0,GroDB[[#This Row],[Sales_Volume]],GroDB[[#This Row],[Sales_Volume]]/GroDB[[#This Row],[LeadTime]])</f>
        <v>0.51428571428571423</v>
      </c>
      <c r="W39" s="51">
        <f>_xlfn.STDEV.S(GroDB[Daily Sales])</f>
        <v>5.1999899792654221</v>
      </c>
      <c r="X39" s="3">
        <v>29</v>
      </c>
      <c r="Y39" s="6">
        <v>1.84E-2</v>
      </c>
      <c r="Z39" s="4">
        <f>GroDB[[#This Row],[Unit_Price]]*GroDB[[#This Row],[Sales_Volume]]</f>
        <v>243</v>
      </c>
      <c r="AA39" s="22">
        <f>GroDB[[#This Row],[ADU]]/GroDB[[#Totals],[ADU]]</f>
        <v>7.0584269862660409E-4</v>
      </c>
      <c r="AB39" s="1">
        <f>GroDB[[#This Row],[Sales_Volume]]*GroDB[[#This Row],[Ordering Cost]]</f>
        <v>194.4</v>
      </c>
    </row>
    <row r="40" spans="1:28" x14ac:dyDescent="0.35">
      <c r="A40" s="5" t="s">
        <v>65</v>
      </c>
      <c r="B40" s="3" t="s">
        <v>32</v>
      </c>
      <c r="C40" s="3" t="s">
        <v>207</v>
      </c>
      <c r="D40" s="3" t="s">
        <v>208</v>
      </c>
      <c r="E40" s="3" t="s">
        <v>56</v>
      </c>
      <c r="F40" s="3" t="s">
        <v>209</v>
      </c>
      <c r="G40" s="3" t="s">
        <v>210</v>
      </c>
      <c r="H40" s="43">
        <v>45506</v>
      </c>
      <c r="I40" s="43">
        <v>45577</v>
      </c>
      <c r="J40" s="47" t="str">
        <f>IF(GroDB[[#This Row],[Last_Order_Date]]&lt;=GroDB[[#This Row],[Date_Received]], "Yes", "No")</f>
        <v>No</v>
      </c>
      <c r="K40" s="43">
        <f>IF(GroDB[[#This Row],[Column1]]="No",GroDB[[#This Row],[Last_Order_Date]],GroDB[[#This Row],[Date_Received]])</f>
        <v>45577</v>
      </c>
      <c r="L40" s="43">
        <f>IF(GroDB[[#This Row],[Column1]]="No",GroDB[[#This Row],[Date_Received]],GroDB[[#This Row],[Last_Order_Date]])</f>
        <v>45506</v>
      </c>
      <c r="M40" s="45">
        <f>GroDB[[#This Row],[Date_Received1]]-GroDB[[#This Row],[Procurement_Date]]</f>
        <v>71</v>
      </c>
      <c r="N40" s="43">
        <v>45371</v>
      </c>
      <c r="O40" s="91">
        <f>GroDB[[#This Row],[Expiration_Date]]-GroDB[[#This Row],[Date_Received1]]</f>
        <v>-206</v>
      </c>
      <c r="P40" s="4">
        <v>7.2</v>
      </c>
      <c r="Q40" s="3">
        <v>53</v>
      </c>
      <c r="R40" s="3">
        <v>63</v>
      </c>
      <c r="S40" s="3">
        <v>2</v>
      </c>
      <c r="T40" s="4">
        <v>9</v>
      </c>
      <c r="U40" s="3">
        <v>56</v>
      </c>
      <c r="V40" s="51">
        <f>IF(GroDB[[#This Row],[LeadTime]]=0,GroDB[[#This Row],[Sales_Volume]],GroDB[[#This Row],[Sales_Volume]]/GroDB[[#This Row],[LeadTime]])</f>
        <v>0.78873239436619713</v>
      </c>
      <c r="W40" s="51">
        <f>_xlfn.STDEV.S(GroDB[Daily Sales])</f>
        <v>5.1999899792654221</v>
      </c>
      <c r="X40" s="3">
        <v>95</v>
      </c>
      <c r="Y40" s="6">
        <v>1.83E-2</v>
      </c>
      <c r="Z40" s="4">
        <f>GroDB[[#This Row],[Unit_Price]]*GroDB[[#This Row],[Sales_Volume]]</f>
        <v>504</v>
      </c>
      <c r="AA40" s="22">
        <f>GroDB[[#This Row],[ADU]]/GroDB[[#Totals],[ADU]]</f>
        <v>1.4639700415959196E-3</v>
      </c>
      <c r="AB40" s="1">
        <f>GroDB[[#This Row],[Sales_Volume]]*GroDB[[#This Row],[Ordering Cost]]</f>
        <v>403.2</v>
      </c>
    </row>
    <row r="41" spans="1:28" x14ac:dyDescent="0.35">
      <c r="A41" s="5" t="s">
        <v>211</v>
      </c>
      <c r="B41" s="3" t="s">
        <v>32</v>
      </c>
      <c r="C41" s="3" t="s">
        <v>212</v>
      </c>
      <c r="D41" s="3" t="s">
        <v>213</v>
      </c>
      <c r="E41" s="3" t="s">
        <v>56</v>
      </c>
      <c r="F41" s="3" t="s">
        <v>214</v>
      </c>
      <c r="G41" s="3" t="s">
        <v>215</v>
      </c>
      <c r="H41" s="43">
        <v>45506</v>
      </c>
      <c r="I41" s="43">
        <v>45564</v>
      </c>
      <c r="J41" s="47" t="str">
        <f>IF(GroDB[[#This Row],[Last_Order_Date]]&lt;=GroDB[[#This Row],[Date_Received]], "Yes", "No")</f>
        <v>No</v>
      </c>
      <c r="K41" s="43">
        <f>IF(GroDB[[#This Row],[Column1]]="No",GroDB[[#This Row],[Last_Order_Date]],GroDB[[#This Row],[Date_Received]])</f>
        <v>45564</v>
      </c>
      <c r="L41" s="43">
        <f>IF(GroDB[[#This Row],[Column1]]="No",GroDB[[#This Row],[Date_Received]],GroDB[[#This Row],[Last_Order_Date]])</f>
        <v>45506</v>
      </c>
      <c r="M41" s="45">
        <f>GroDB[[#This Row],[Date_Received1]]-GroDB[[#This Row],[Procurement_Date]]</f>
        <v>58</v>
      </c>
      <c r="N41" s="43">
        <v>45640</v>
      </c>
      <c r="O41" s="91">
        <f>GroDB[[#This Row],[Expiration_Date]]-GroDB[[#This Row],[Date_Received1]]</f>
        <v>76</v>
      </c>
      <c r="P41" s="4">
        <v>3.2</v>
      </c>
      <c r="Q41" s="3">
        <v>11</v>
      </c>
      <c r="R41" s="3">
        <v>30</v>
      </c>
      <c r="S41" s="3">
        <v>4</v>
      </c>
      <c r="T41" s="4">
        <v>4</v>
      </c>
      <c r="U41" s="3">
        <v>84</v>
      </c>
      <c r="V41" s="51">
        <f>IF(GroDB[[#This Row],[LeadTime]]=0,GroDB[[#This Row],[Sales_Volume]],GroDB[[#This Row],[Sales_Volume]]/GroDB[[#This Row],[LeadTime]])</f>
        <v>1.4482758620689655</v>
      </c>
      <c r="W41" s="51">
        <f>_xlfn.STDEV.S(GroDB[Daily Sales])</f>
        <v>5.1999899792654221</v>
      </c>
      <c r="X41" s="3">
        <v>4</v>
      </c>
      <c r="Y41" s="6">
        <v>1.77E-2</v>
      </c>
      <c r="Z41" s="4">
        <f>GroDB[[#This Row],[Unit_Price]]*GroDB[[#This Row],[Sales_Volume]]</f>
        <v>336</v>
      </c>
      <c r="AA41" s="22">
        <f>GroDB[[#This Row],[ADU]]/GroDB[[#Totals],[ADU]]</f>
        <v>9.7598002773061304E-4</v>
      </c>
      <c r="AB41" s="1">
        <f>GroDB[[#This Row],[Sales_Volume]]*GroDB[[#This Row],[Ordering Cost]]</f>
        <v>268.8</v>
      </c>
    </row>
    <row r="42" spans="1:28" x14ac:dyDescent="0.35">
      <c r="A42" s="5" t="s">
        <v>216</v>
      </c>
      <c r="B42" s="3" t="s">
        <v>91</v>
      </c>
      <c r="C42" s="3" t="s">
        <v>54</v>
      </c>
      <c r="D42" s="3" t="s">
        <v>217</v>
      </c>
      <c r="E42" s="3" t="s">
        <v>28</v>
      </c>
      <c r="F42" s="3" t="s">
        <v>218</v>
      </c>
      <c r="G42" s="3" t="s">
        <v>219</v>
      </c>
      <c r="H42" s="43">
        <v>45506</v>
      </c>
      <c r="I42" s="43">
        <v>45528</v>
      </c>
      <c r="J42" s="47" t="str">
        <f>IF(GroDB[[#This Row],[Last_Order_Date]]&lt;=GroDB[[#This Row],[Date_Received]], "Yes", "No")</f>
        <v>No</v>
      </c>
      <c r="K42" s="43">
        <f>IF(GroDB[[#This Row],[Column1]]="No",GroDB[[#This Row],[Last_Order_Date]],GroDB[[#This Row],[Date_Received]])</f>
        <v>45528</v>
      </c>
      <c r="L42" s="43">
        <f>IF(GroDB[[#This Row],[Column1]]="No",GroDB[[#This Row],[Date_Received]],GroDB[[#This Row],[Last_Order_Date]])</f>
        <v>45506</v>
      </c>
      <c r="M42" s="45">
        <f>GroDB[[#This Row],[Date_Received1]]-GroDB[[#This Row],[Procurement_Date]]</f>
        <v>22</v>
      </c>
      <c r="N42" s="43">
        <v>45653</v>
      </c>
      <c r="O42" s="91">
        <f>GroDB[[#This Row],[Expiration_Date]]-GroDB[[#This Row],[Date_Received1]]</f>
        <v>125</v>
      </c>
      <c r="P42" s="4">
        <v>2.8000000000000003</v>
      </c>
      <c r="Q42" s="3">
        <v>17</v>
      </c>
      <c r="R42" s="3">
        <v>63</v>
      </c>
      <c r="S42" s="3">
        <v>3</v>
      </c>
      <c r="T42" s="4">
        <v>3.5</v>
      </c>
      <c r="U42" s="3">
        <v>93</v>
      </c>
      <c r="V42" s="51">
        <f>IF(GroDB[[#This Row],[LeadTime]]=0,GroDB[[#This Row],[Sales_Volume]],GroDB[[#This Row],[Sales_Volume]]/GroDB[[#This Row],[LeadTime]])</f>
        <v>4.2272727272727275</v>
      </c>
      <c r="W42" s="51">
        <f>_xlfn.STDEV.S(GroDB[Daily Sales])</f>
        <v>5.1999899792654221</v>
      </c>
      <c r="X42" s="3">
        <v>26</v>
      </c>
      <c r="Y42" s="6">
        <v>1.66E-2</v>
      </c>
      <c r="Z42" s="4">
        <f>GroDB[[#This Row],[Unit_Price]]*GroDB[[#This Row],[Sales_Volume]]</f>
        <v>325.5</v>
      </c>
      <c r="AA42" s="22">
        <f>GroDB[[#This Row],[ADU]]/GroDB[[#Totals],[ADU]]</f>
        <v>9.4548065186403146E-4</v>
      </c>
      <c r="AB42" s="1">
        <f>GroDB[[#This Row],[Sales_Volume]]*GroDB[[#This Row],[Ordering Cost]]</f>
        <v>260.40000000000003</v>
      </c>
    </row>
    <row r="43" spans="1:28" x14ac:dyDescent="0.35">
      <c r="A43" s="5" t="s">
        <v>220</v>
      </c>
      <c r="B43" s="3" t="s">
        <v>127</v>
      </c>
      <c r="C43" s="3" t="s">
        <v>221</v>
      </c>
      <c r="D43" s="3" t="s">
        <v>222</v>
      </c>
      <c r="E43" s="3" t="s">
        <v>21</v>
      </c>
      <c r="F43" s="3" t="s">
        <v>223</v>
      </c>
      <c r="G43" s="3" t="s">
        <v>224</v>
      </c>
      <c r="H43" s="43">
        <v>45506</v>
      </c>
      <c r="I43" s="43">
        <v>45532</v>
      </c>
      <c r="J43" s="47" t="str">
        <f>IF(GroDB[[#This Row],[Last_Order_Date]]&lt;=GroDB[[#This Row],[Date_Received]], "Yes", "No")</f>
        <v>No</v>
      </c>
      <c r="K43" s="43">
        <f>IF(GroDB[[#This Row],[Column1]]="No",GroDB[[#This Row],[Last_Order_Date]],GroDB[[#This Row],[Date_Received]])</f>
        <v>45532</v>
      </c>
      <c r="L43" s="43">
        <f>IF(GroDB[[#This Row],[Column1]]="No",GroDB[[#This Row],[Date_Received]],GroDB[[#This Row],[Last_Order_Date]])</f>
        <v>45506</v>
      </c>
      <c r="M43" s="45">
        <f>GroDB[[#This Row],[Date_Received1]]-GroDB[[#This Row],[Procurement_Date]]</f>
        <v>26</v>
      </c>
      <c r="N43" s="43">
        <v>45536</v>
      </c>
      <c r="O43" s="91">
        <f>GroDB[[#This Row],[Expiration_Date]]-GroDB[[#This Row],[Date_Received1]]</f>
        <v>4</v>
      </c>
      <c r="P43" s="4">
        <v>8</v>
      </c>
      <c r="Q43" s="3">
        <v>14</v>
      </c>
      <c r="R43" s="3">
        <v>77</v>
      </c>
      <c r="S43" s="3">
        <v>78</v>
      </c>
      <c r="T43" s="4">
        <v>10</v>
      </c>
      <c r="U43" s="3">
        <v>32</v>
      </c>
      <c r="V43" s="51">
        <f>IF(GroDB[[#This Row],[LeadTime]]=0,GroDB[[#This Row],[Sales_Volume]],GroDB[[#This Row],[Sales_Volume]]/GroDB[[#This Row],[LeadTime]])</f>
        <v>1.2307692307692308</v>
      </c>
      <c r="W43" s="51">
        <f>_xlfn.STDEV.S(GroDB[Daily Sales])</f>
        <v>5.1999899792654221</v>
      </c>
      <c r="X43" s="3">
        <v>24</v>
      </c>
      <c r="Y43" s="6">
        <v>1.52E-2</v>
      </c>
      <c r="Z43" s="4">
        <f>GroDB[[#This Row],[Unit_Price]]*GroDB[[#This Row],[Sales_Volume]]</f>
        <v>320</v>
      </c>
      <c r="AA43" s="22">
        <f>GroDB[[#This Row],[ADU]]/GroDB[[#Totals],[ADU]]</f>
        <v>9.295047883148696E-4</v>
      </c>
      <c r="AB43" s="1">
        <f>GroDB[[#This Row],[Sales_Volume]]*GroDB[[#This Row],[Ordering Cost]]</f>
        <v>256</v>
      </c>
    </row>
    <row r="44" spans="1:28" x14ac:dyDescent="0.35">
      <c r="A44" s="5" t="s">
        <v>225</v>
      </c>
      <c r="B44" s="3" t="s">
        <v>91</v>
      </c>
      <c r="C44" s="3" t="s">
        <v>226</v>
      </c>
      <c r="D44" s="3" t="s">
        <v>227</v>
      </c>
      <c r="E44" s="3" t="s">
        <v>56</v>
      </c>
      <c r="F44" s="3" t="s">
        <v>228</v>
      </c>
      <c r="G44" s="3" t="s">
        <v>229</v>
      </c>
      <c r="H44" s="43">
        <v>45506</v>
      </c>
      <c r="I44" s="43">
        <v>45372</v>
      </c>
      <c r="J44" s="47" t="str">
        <f>IF(GroDB[[#This Row],[Last_Order_Date]]&lt;=GroDB[[#This Row],[Date_Received]], "Yes", "No")</f>
        <v>Yes</v>
      </c>
      <c r="K44" s="43">
        <f>IF(GroDB[[#This Row],[Column1]]="No",GroDB[[#This Row],[Last_Order_Date]],GroDB[[#This Row],[Date_Received]])</f>
        <v>45506</v>
      </c>
      <c r="L44" s="43">
        <f>IF(GroDB[[#This Row],[Column1]]="No",GroDB[[#This Row],[Date_Received]],GroDB[[#This Row],[Last_Order_Date]])</f>
        <v>45372</v>
      </c>
      <c r="M44" s="45">
        <f>GroDB[[#This Row],[Date_Received1]]-GroDB[[#This Row],[Procurement_Date]]</f>
        <v>134</v>
      </c>
      <c r="N44" s="43">
        <v>45492</v>
      </c>
      <c r="O44" s="91">
        <f>GroDB[[#This Row],[Expiration_Date]]-GroDB[[#This Row],[Date_Received1]]</f>
        <v>-14</v>
      </c>
      <c r="P44" s="4">
        <v>4</v>
      </c>
      <c r="Q44" s="3">
        <v>100</v>
      </c>
      <c r="R44" s="3">
        <v>1</v>
      </c>
      <c r="S44" s="3">
        <v>26</v>
      </c>
      <c r="T44" s="4">
        <v>5</v>
      </c>
      <c r="U44" s="3">
        <v>47</v>
      </c>
      <c r="V44" s="51">
        <f>IF(GroDB[[#This Row],[LeadTime]]=0,GroDB[[#This Row],[Sales_Volume]],GroDB[[#This Row],[Sales_Volume]]/GroDB[[#This Row],[LeadTime]])</f>
        <v>0.35074626865671643</v>
      </c>
      <c r="W44" s="51">
        <f>_xlfn.STDEV.S(GroDB[Daily Sales])</f>
        <v>5.1999899792654221</v>
      </c>
      <c r="X44" s="3">
        <v>79</v>
      </c>
      <c r="Y44" s="6">
        <v>1.32E-2</v>
      </c>
      <c r="Z44" s="4">
        <f>GroDB[[#This Row],[Unit_Price]]*GroDB[[#This Row],[Sales_Volume]]</f>
        <v>235</v>
      </c>
      <c r="AA44" s="22">
        <f>GroDB[[#This Row],[ADU]]/GroDB[[#Totals],[ADU]]</f>
        <v>6.8260507891873231E-4</v>
      </c>
      <c r="AB44" s="1">
        <f>GroDB[[#This Row],[Sales_Volume]]*GroDB[[#This Row],[Ordering Cost]]</f>
        <v>188</v>
      </c>
    </row>
    <row r="45" spans="1:28" x14ac:dyDescent="0.35">
      <c r="A45" s="5" t="s">
        <v>230</v>
      </c>
      <c r="B45" s="3" t="s">
        <v>25</v>
      </c>
      <c r="C45" s="3" t="s">
        <v>231</v>
      </c>
      <c r="D45" s="3" t="s">
        <v>232</v>
      </c>
      <c r="E45" s="3" t="s">
        <v>56</v>
      </c>
      <c r="F45" s="3" t="s">
        <v>233</v>
      </c>
      <c r="G45" s="3" t="s">
        <v>234</v>
      </c>
      <c r="H45" s="43">
        <v>45506</v>
      </c>
      <c r="I45" s="43">
        <v>45392</v>
      </c>
      <c r="J45" s="47" t="str">
        <f>IF(GroDB[[#This Row],[Last_Order_Date]]&lt;=GroDB[[#This Row],[Date_Received]], "Yes", "No")</f>
        <v>Yes</v>
      </c>
      <c r="K45" s="43">
        <f>IF(GroDB[[#This Row],[Column1]]="No",GroDB[[#This Row],[Last_Order_Date]],GroDB[[#This Row],[Date_Received]])</f>
        <v>45506</v>
      </c>
      <c r="L45" s="43">
        <f>IF(GroDB[[#This Row],[Column1]]="No",GroDB[[#This Row],[Date_Received]],GroDB[[#This Row],[Last_Order_Date]])</f>
        <v>45392</v>
      </c>
      <c r="M45" s="45">
        <f>GroDB[[#This Row],[Date_Received1]]-GroDB[[#This Row],[Procurement_Date]]</f>
        <v>114</v>
      </c>
      <c r="N45" s="43">
        <v>45439</v>
      </c>
      <c r="O45" s="91">
        <f>GroDB[[#This Row],[Expiration_Date]]-GroDB[[#This Row],[Date_Received1]]</f>
        <v>-67</v>
      </c>
      <c r="P45" s="4">
        <v>1.4400000000000002</v>
      </c>
      <c r="Q45" s="3">
        <v>67</v>
      </c>
      <c r="R45" s="3">
        <v>57</v>
      </c>
      <c r="S45" s="3">
        <v>36</v>
      </c>
      <c r="T45" s="4">
        <v>1.8</v>
      </c>
      <c r="U45" s="3">
        <v>78</v>
      </c>
      <c r="V45" s="51">
        <f>IF(GroDB[[#This Row],[LeadTime]]=0,GroDB[[#This Row],[Sales_Volume]],GroDB[[#This Row],[Sales_Volume]]/GroDB[[#This Row],[LeadTime]])</f>
        <v>0.68421052631578949</v>
      </c>
      <c r="W45" s="51">
        <f>_xlfn.STDEV.S(GroDB[Daily Sales])</f>
        <v>5.1999899792654221</v>
      </c>
      <c r="X45" s="3">
        <v>60</v>
      </c>
      <c r="Y45" s="6">
        <v>1.21E-2</v>
      </c>
      <c r="Z45" s="4">
        <f>GroDB[[#This Row],[Unit_Price]]*GroDB[[#This Row],[Sales_Volume]]</f>
        <v>140.4</v>
      </c>
      <c r="AA45" s="22">
        <f>GroDB[[#This Row],[ADU]]/GroDB[[#Totals],[ADU]]</f>
        <v>4.0782022587314905E-4</v>
      </c>
      <c r="AB45" s="1">
        <f>GroDB[[#This Row],[Sales_Volume]]*GroDB[[#This Row],[Ordering Cost]]</f>
        <v>112.32000000000001</v>
      </c>
    </row>
    <row r="46" spans="1:28" x14ac:dyDescent="0.35">
      <c r="A46" s="5" t="s">
        <v>59</v>
      </c>
      <c r="B46" s="3" t="s">
        <v>60</v>
      </c>
      <c r="C46" s="3" t="s">
        <v>235</v>
      </c>
      <c r="D46" s="3" t="s">
        <v>236</v>
      </c>
      <c r="E46" s="3" t="s">
        <v>21</v>
      </c>
      <c r="F46" s="3" t="s">
        <v>237</v>
      </c>
      <c r="G46" s="3" t="s">
        <v>238</v>
      </c>
      <c r="H46" s="43">
        <v>45537</v>
      </c>
      <c r="I46" s="43">
        <v>45347</v>
      </c>
      <c r="J46" s="47" t="str">
        <f>IF(GroDB[[#This Row],[Last_Order_Date]]&lt;=GroDB[[#This Row],[Date_Received]], "Yes", "No")</f>
        <v>Yes</v>
      </c>
      <c r="K46" s="43">
        <f>IF(GroDB[[#This Row],[Column1]]="No",GroDB[[#This Row],[Last_Order_Date]],GroDB[[#This Row],[Date_Received]])</f>
        <v>45537</v>
      </c>
      <c r="L46" s="43">
        <f>IF(GroDB[[#This Row],[Column1]]="No",GroDB[[#This Row],[Date_Received]],GroDB[[#This Row],[Last_Order_Date]])</f>
        <v>45347</v>
      </c>
      <c r="M46" s="45">
        <f>GroDB[[#This Row],[Date_Received1]]-GroDB[[#This Row],[Procurement_Date]]</f>
        <v>190</v>
      </c>
      <c r="N46" s="43">
        <v>45703</v>
      </c>
      <c r="O46" s="91">
        <f>GroDB[[#This Row],[Expiration_Date]]-GroDB[[#This Row],[Date_Received1]]</f>
        <v>166</v>
      </c>
      <c r="P46" s="4">
        <v>8</v>
      </c>
      <c r="Q46" s="3">
        <v>60</v>
      </c>
      <c r="R46" s="3">
        <v>64</v>
      </c>
      <c r="S46" s="3">
        <v>36</v>
      </c>
      <c r="T46" s="4">
        <v>10</v>
      </c>
      <c r="U46" s="3">
        <v>34</v>
      </c>
      <c r="V46" s="51">
        <f>IF(GroDB[[#This Row],[LeadTime]]=0,GroDB[[#This Row],[Sales_Volume]],GroDB[[#This Row],[Sales_Volume]]/GroDB[[#This Row],[LeadTime]])</f>
        <v>0.17894736842105263</v>
      </c>
      <c r="W46" s="51">
        <f>_xlfn.STDEV.S(GroDB[Daily Sales])</f>
        <v>5.1999899792654221</v>
      </c>
      <c r="X46" s="3">
        <v>48</v>
      </c>
      <c r="Y46" s="6">
        <v>1.14E-2</v>
      </c>
      <c r="Z46" s="4">
        <f>GroDB[[#This Row],[Unit_Price]]*GroDB[[#This Row],[Sales_Volume]]</f>
        <v>340</v>
      </c>
      <c r="AA46" s="22">
        <f>GroDB[[#This Row],[ADU]]/GroDB[[#Totals],[ADU]]</f>
        <v>9.8759883758454893E-4</v>
      </c>
      <c r="AB46" s="1">
        <f>GroDB[[#This Row],[Sales_Volume]]*GroDB[[#This Row],[Ordering Cost]]</f>
        <v>272</v>
      </c>
    </row>
    <row r="47" spans="1:28" x14ac:dyDescent="0.35">
      <c r="A47" s="5" t="s">
        <v>239</v>
      </c>
      <c r="B47" s="3" t="s">
        <v>25</v>
      </c>
      <c r="C47" s="3" t="s">
        <v>81</v>
      </c>
      <c r="D47" s="3" t="s">
        <v>240</v>
      </c>
      <c r="E47" s="3" t="s">
        <v>21</v>
      </c>
      <c r="F47" s="3" t="s">
        <v>241</v>
      </c>
      <c r="G47" s="3" t="s">
        <v>242</v>
      </c>
      <c r="H47" s="43">
        <v>45537</v>
      </c>
      <c r="I47" s="43">
        <v>45387</v>
      </c>
      <c r="J47" s="47" t="str">
        <f>IF(GroDB[[#This Row],[Last_Order_Date]]&lt;=GroDB[[#This Row],[Date_Received]], "Yes", "No")</f>
        <v>Yes</v>
      </c>
      <c r="K47" s="43">
        <f>IF(GroDB[[#This Row],[Column1]]="No",GroDB[[#This Row],[Last_Order_Date]],GroDB[[#This Row],[Date_Received]])</f>
        <v>45537</v>
      </c>
      <c r="L47" s="43">
        <f>IF(GroDB[[#This Row],[Column1]]="No",GroDB[[#This Row],[Date_Received]],GroDB[[#This Row],[Last_Order_Date]])</f>
        <v>45387</v>
      </c>
      <c r="M47" s="45">
        <f>GroDB[[#This Row],[Date_Received1]]-GroDB[[#This Row],[Procurement_Date]]</f>
        <v>150</v>
      </c>
      <c r="N47" s="43">
        <v>45530</v>
      </c>
      <c r="O47" s="91">
        <f>GroDB[[#This Row],[Expiration_Date]]-GroDB[[#This Row],[Date_Received1]]</f>
        <v>-7</v>
      </c>
      <c r="P47" s="4">
        <v>5.2</v>
      </c>
      <c r="Q47" s="3">
        <v>45</v>
      </c>
      <c r="R47" s="3">
        <v>7</v>
      </c>
      <c r="S47" s="3">
        <v>58</v>
      </c>
      <c r="T47" s="4">
        <v>6.5</v>
      </c>
      <c r="U47" s="3">
        <v>86</v>
      </c>
      <c r="V47" s="51">
        <f>IF(GroDB[[#This Row],[LeadTime]]=0,GroDB[[#This Row],[Sales_Volume]],GroDB[[#This Row],[Sales_Volume]]/GroDB[[#This Row],[LeadTime]])</f>
        <v>0.57333333333333336</v>
      </c>
      <c r="W47" s="51">
        <f>_xlfn.STDEV.S(GroDB[Daily Sales])</f>
        <v>5.1999899792654221</v>
      </c>
      <c r="X47" s="3">
        <v>77</v>
      </c>
      <c r="Y47" s="6">
        <v>9.9000000000000008E-3</v>
      </c>
      <c r="Z47" s="4">
        <f>GroDB[[#This Row],[Unit_Price]]*GroDB[[#This Row],[Sales_Volume]]</f>
        <v>559</v>
      </c>
      <c r="AA47" s="22">
        <f>GroDB[[#This Row],[ADU]]/GroDB[[#Totals],[ADU]]</f>
        <v>1.6237286770875378E-3</v>
      </c>
      <c r="AB47" s="1">
        <f>GroDB[[#This Row],[Sales_Volume]]*GroDB[[#This Row],[Ordering Cost]]</f>
        <v>447.2</v>
      </c>
    </row>
    <row r="48" spans="1:28" x14ac:dyDescent="0.35">
      <c r="A48" s="5" t="s">
        <v>243</v>
      </c>
      <c r="B48" s="3" t="s">
        <v>18</v>
      </c>
      <c r="C48" s="3" t="s">
        <v>244</v>
      </c>
      <c r="D48" s="3" t="s">
        <v>245</v>
      </c>
      <c r="E48" s="3" t="s">
        <v>56</v>
      </c>
      <c r="F48" s="3" t="s">
        <v>246</v>
      </c>
      <c r="G48" s="3" t="s">
        <v>247</v>
      </c>
      <c r="H48" s="43">
        <v>45567</v>
      </c>
      <c r="I48" s="43">
        <v>45579</v>
      </c>
      <c r="J48" s="47" t="str">
        <f>IF(GroDB[[#This Row],[Last_Order_Date]]&lt;=GroDB[[#This Row],[Date_Received]], "Yes", "No")</f>
        <v>No</v>
      </c>
      <c r="K48" s="43">
        <f>IF(GroDB[[#This Row],[Column1]]="No",GroDB[[#This Row],[Last_Order_Date]],GroDB[[#This Row],[Date_Received]])</f>
        <v>45579</v>
      </c>
      <c r="L48" s="43">
        <f>IF(GroDB[[#This Row],[Column1]]="No",GroDB[[#This Row],[Date_Received]],GroDB[[#This Row],[Last_Order_Date]])</f>
        <v>45567</v>
      </c>
      <c r="M48" s="45">
        <f>GroDB[[#This Row],[Date_Received1]]-GroDB[[#This Row],[Procurement_Date]]</f>
        <v>12</v>
      </c>
      <c r="N48" s="43">
        <v>45388</v>
      </c>
      <c r="O48" s="91">
        <f>GroDB[[#This Row],[Expiration_Date]]-GroDB[[#This Row],[Date_Received1]]</f>
        <v>-191</v>
      </c>
      <c r="P48" s="4">
        <v>1.6</v>
      </c>
      <c r="Q48" s="3">
        <v>58</v>
      </c>
      <c r="R48" s="3">
        <v>5</v>
      </c>
      <c r="S48" s="3">
        <v>1</v>
      </c>
      <c r="T48" s="4">
        <v>2</v>
      </c>
      <c r="U48" s="3">
        <v>53</v>
      </c>
      <c r="V48" s="51">
        <f>IF(GroDB[[#This Row],[LeadTime]]=0,GroDB[[#This Row],[Sales_Volume]],GroDB[[#This Row],[Sales_Volume]]/GroDB[[#This Row],[LeadTime]])</f>
        <v>4.416666666666667</v>
      </c>
      <c r="W48" s="51">
        <f>_xlfn.STDEV.S(GroDB[Daily Sales])</f>
        <v>5.1999899792654221</v>
      </c>
      <c r="X48" s="3">
        <v>80</v>
      </c>
      <c r="Y48" s="6">
        <v>8.0000000000000002E-3</v>
      </c>
      <c r="Z48" s="4">
        <f>GroDB[[#This Row],[Unit_Price]]*GroDB[[#This Row],[Sales_Volume]]</f>
        <v>106</v>
      </c>
      <c r="AA48" s="22">
        <f>GroDB[[#This Row],[ADU]]/GroDB[[#Totals],[ADU]]</f>
        <v>3.0789846112930057E-4</v>
      </c>
      <c r="AB48" s="1">
        <f>GroDB[[#This Row],[Sales_Volume]]*GroDB[[#This Row],[Ordering Cost]]</f>
        <v>84.800000000000011</v>
      </c>
    </row>
    <row r="49" spans="1:28" x14ac:dyDescent="0.35">
      <c r="A49" s="5" t="s">
        <v>248</v>
      </c>
      <c r="B49" s="3" t="s">
        <v>32</v>
      </c>
      <c r="C49" s="3" t="s">
        <v>249</v>
      </c>
      <c r="D49" s="3" t="s">
        <v>250</v>
      </c>
      <c r="E49" s="3" t="s">
        <v>21</v>
      </c>
      <c r="F49" s="3" t="s">
        <v>251</v>
      </c>
      <c r="G49" s="3" t="s">
        <v>252</v>
      </c>
      <c r="H49" s="43">
        <v>45567</v>
      </c>
      <c r="I49" s="43">
        <v>45615</v>
      </c>
      <c r="J49" s="47" t="str">
        <f>IF(GroDB[[#This Row],[Last_Order_Date]]&lt;=GroDB[[#This Row],[Date_Received]], "Yes", "No")</f>
        <v>No</v>
      </c>
      <c r="K49" s="43">
        <f>IF(GroDB[[#This Row],[Column1]]="No",GroDB[[#This Row],[Last_Order_Date]],GroDB[[#This Row],[Date_Received]])</f>
        <v>45615</v>
      </c>
      <c r="L49" s="43">
        <f>IF(GroDB[[#This Row],[Column1]]="No",GroDB[[#This Row],[Date_Received]],GroDB[[#This Row],[Last_Order_Date]])</f>
        <v>45567</v>
      </c>
      <c r="M49" s="45">
        <f>GroDB[[#This Row],[Date_Received1]]-GroDB[[#This Row],[Procurement_Date]]</f>
        <v>48</v>
      </c>
      <c r="N49" s="43">
        <v>45509</v>
      </c>
      <c r="O49" s="91">
        <f>GroDB[[#This Row],[Expiration_Date]]-GroDB[[#This Row],[Date_Received1]]</f>
        <v>-106</v>
      </c>
      <c r="P49" s="4">
        <v>5.6000000000000005</v>
      </c>
      <c r="Q49" s="3">
        <v>98</v>
      </c>
      <c r="R49" s="3">
        <v>77</v>
      </c>
      <c r="S49" s="3">
        <v>7</v>
      </c>
      <c r="T49" s="4">
        <v>7</v>
      </c>
      <c r="U49" s="3">
        <v>92</v>
      </c>
      <c r="V49" s="51">
        <f>IF(GroDB[[#This Row],[LeadTime]]=0,GroDB[[#This Row],[Sales_Volume]],GroDB[[#This Row],[Sales_Volume]]/GroDB[[#This Row],[LeadTime]])</f>
        <v>1.9166666666666667</v>
      </c>
      <c r="W49" s="51">
        <f>_xlfn.STDEV.S(GroDB[Daily Sales])</f>
        <v>5.1999899792654221</v>
      </c>
      <c r="X49" s="3">
        <v>29</v>
      </c>
      <c r="Y49" s="6">
        <v>6.1999999999999998E-3</v>
      </c>
      <c r="Z49" s="4">
        <f>GroDB[[#This Row],[Unit_Price]]*GroDB[[#This Row],[Sales_Volume]]</f>
        <v>644</v>
      </c>
      <c r="AA49" s="22">
        <f>GroDB[[#This Row],[ADU]]/GroDB[[#Totals],[ADU]]</f>
        <v>1.870628386483675E-3</v>
      </c>
      <c r="AB49" s="1">
        <f>GroDB[[#This Row],[Sales_Volume]]*GroDB[[#This Row],[Ordering Cost]]</f>
        <v>515.20000000000005</v>
      </c>
    </row>
    <row r="50" spans="1:28" x14ac:dyDescent="0.35">
      <c r="A50" s="5" t="s">
        <v>253</v>
      </c>
      <c r="B50" s="3" t="s">
        <v>18</v>
      </c>
      <c r="C50" s="3" t="s">
        <v>254</v>
      </c>
      <c r="D50" s="3" t="s">
        <v>255</v>
      </c>
      <c r="E50" s="3" t="s">
        <v>28</v>
      </c>
      <c r="F50" s="3" t="s">
        <v>256</v>
      </c>
      <c r="G50" s="3" t="s">
        <v>257</v>
      </c>
      <c r="H50" s="43">
        <v>45628</v>
      </c>
      <c r="I50" s="43">
        <v>45688</v>
      </c>
      <c r="J50" s="47" t="str">
        <f>IF(GroDB[[#This Row],[Last_Order_Date]]&lt;=GroDB[[#This Row],[Date_Received]], "Yes", "No")</f>
        <v>No</v>
      </c>
      <c r="K50" s="43">
        <f>IF(GroDB[[#This Row],[Column1]]="No",GroDB[[#This Row],[Last_Order_Date]],GroDB[[#This Row],[Date_Received]])</f>
        <v>45688</v>
      </c>
      <c r="L50" s="43">
        <f>IF(GroDB[[#This Row],[Column1]]="No",GroDB[[#This Row],[Date_Received]],GroDB[[#This Row],[Last_Order_Date]])</f>
        <v>45628</v>
      </c>
      <c r="M50" s="45">
        <f>GroDB[[#This Row],[Date_Received1]]-GroDB[[#This Row],[Procurement_Date]]</f>
        <v>60</v>
      </c>
      <c r="N50" s="43">
        <v>45564</v>
      </c>
      <c r="O50" s="91">
        <f>GroDB[[#This Row],[Expiration_Date]]-GroDB[[#This Row],[Date_Received1]]</f>
        <v>-124</v>
      </c>
      <c r="P50" s="4">
        <v>4</v>
      </c>
      <c r="Q50" s="3">
        <v>42</v>
      </c>
      <c r="R50" s="3">
        <v>61</v>
      </c>
      <c r="S50" s="3">
        <v>52</v>
      </c>
      <c r="T50" s="4">
        <v>5</v>
      </c>
      <c r="U50" s="3">
        <v>86</v>
      </c>
      <c r="V50" s="51">
        <f>IF(GroDB[[#This Row],[LeadTime]]=0,GroDB[[#This Row],[Sales_Volume]],GroDB[[#This Row],[Sales_Volume]]/GroDB[[#This Row],[LeadTime]])</f>
        <v>1.4333333333333333</v>
      </c>
      <c r="W50" s="51">
        <f>_xlfn.STDEV.S(GroDB[Daily Sales])</f>
        <v>5.1999899792654221</v>
      </c>
      <c r="X50" s="3">
        <v>99</v>
      </c>
      <c r="Y50" s="6">
        <v>4.7000000000000002E-3</v>
      </c>
      <c r="Z50" s="4">
        <f>GroDB[[#This Row],[Unit_Price]]*GroDB[[#This Row],[Sales_Volume]]</f>
        <v>430</v>
      </c>
      <c r="AA50" s="22">
        <f>GroDB[[#This Row],[ADU]]/GroDB[[#Totals],[ADU]]</f>
        <v>1.2490220592981059E-3</v>
      </c>
      <c r="AB50" s="1">
        <f>GroDB[[#This Row],[Sales_Volume]]*GroDB[[#This Row],[Ordering Cost]]</f>
        <v>344</v>
      </c>
    </row>
    <row r="51" spans="1:28" x14ac:dyDescent="0.35">
      <c r="A51" s="5" t="s">
        <v>258</v>
      </c>
      <c r="B51" s="3" t="s">
        <v>25</v>
      </c>
      <c r="C51" s="3" t="s">
        <v>259</v>
      </c>
      <c r="D51" s="3" t="s">
        <v>260</v>
      </c>
      <c r="E51" s="3" t="s">
        <v>21</v>
      </c>
      <c r="F51" s="3" t="s">
        <v>261</v>
      </c>
      <c r="G51" s="3" t="s">
        <v>262</v>
      </c>
      <c r="H51" s="43">
        <v>45628</v>
      </c>
      <c r="I51" s="43">
        <v>45638</v>
      </c>
      <c r="J51" s="47" t="str">
        <f>IF(GroDB[[#This Row],[Last_Order_Date]]&lt;=GroDB[[#This Row],[Date_Received]], "Yes", "No")</f>
        <v>No</v>
      </c>
      <c r="K51" s="43">
        <f>IF(GroDB[[#This Row],[Column1]]="No",GroDB[[#This Row],[Last_Order_Date]],GroDB[[#This Row],[Date_Received]])</f>
        <v>45638</v>
      </c>
      <c r="L51" s="43">
        <f>IF(GroDB[[#This Row],[Column1]]="No",GroDB[[#This Row],[Date_Received]],GroDB[[#This Row],[Last_Order_Date]])</f>
        <v>45628</v>
      </c>
      <c r="M51" s="45">
        <f>GroDB[[#This Row],[Date_Received1]]-GroDB[[#This Row],[Procurement_Date]]</f>
        <v>10</v>
      </c>
      <c r="N51" s="43">
        <v>45609</v>
      </c>
      <c r="O51" s="91">
        <f>GroDB[[#This Row],[Expiration_Date]]-GroDB[[#This Row],[Date_Received1]]</f>
        <v>-29</v>
      </c>
      <c r="P51" s="4">
        <v>3.2</v>
      </c>
      <c r="Q51" s="3">
        <v>38</v>
      </c>
      <c r="R51" s="3">
        <v>62</v>
      </c>
      <c r="S51" s="3">
        <v>47</v>
      </c>
      <c r="T51" s="4">
        <v>4</v>
      </c>
      <c r="U51" s="3">
        <v>41</v>
      </c>
      <c r="V51" s="51">
        <f>IF(GroDB[[#This Row],[LeadTime]]=0,GroDB[[#This Row],[Sales_Volume]],GroDB[[#This Row],[Sales_Volume]]/GroDB[[#This Row],[LeadTime]])</f>
        <v>4.0999999999999996</v>
      </c>
      <c r="W51" s="51">
        <f>_xlfn.STDEV.S(GroDB[Daily Sales])</f>
        <v>5.1999899792654221</v>
      </c>
      <c r="X51" s="3">
        <v>34</v>
      </c>
      <c r="Y51" s="6">
        <v>3.7000000000000002E-3</v>
      </c>
      <c r="Z51" s="4">
        <f>GroDB[[#This Row],[Unit_Price]]*GroDB[[#This Row],[Sales_Volume]]</f>
        <v>164</v>
      </c>
      <c r="AA51" s="22">
        <f>GroDB[[#This Row],[ADU]]/GroDB[[#Totals],[ADU]]</f>
        <v>4.7637120401137069E-4</v>
      </c>
      <c r="AB51" s="1">
        <f>GroDB[[#This Row],[Sales_Volume]]*GroDB[[#This Row],[Ordering Cost]]</f>
        <v>131.20000000000002</v>
      </c>
    </row>
    <row r="52" spans="1:28" x14ac:dyDescent="0.35">
      <c r="A52" s="5" t="s">
        <v>263</v>
      </c>
      <c r="B52" s="3" t="s">
        <v>25</v>
      </c>
      <c r="C52" s="3" t="s">
        <v>264</v>
      </c>
      <c r="D52" s="3" t="s">
        <v>265</v>
      </c>
      <c r="E52" s="3" t="s">
        <v>21</v>
      </c>
      <c r="F52" s="3" t="s">
        <v>266</v>
      </c>
      <c r="G52" s="3" t="s">
        <v>267</v>
      </c>
      <c r="H52" s="43">
        <v>45354</v>
      </c>
      <c r="I52" s="43">
        <v>45456</v>
      </c>
      <c r="J52" s="47" t="str">
        <f>IF(GroDB[[#This Row],[Last_Order_Date]]&lt;=GroDB[[#This Row],[Date_Received]], "Yes", "No")</f>
        <v>No</v>
      </c>
      <c r="K52" s="43">
        <f>IF(GroDB[[#This Row],[Column1]]="No",GroDB[[#This Row],[Last_Order_Date]],GroDB[[#This Row],[Date_Received]])</f>
        <v>45456</v>
      </c>
      <c r="L52" s="43">
        <f>IF(GroDB[[#This Row],[Column1]]="No",GroDB[[#This Row],[Date_Received]],GroDB[[#This Row],[Last_Order_Date]])</f>
        <v>45354</v>
      </c>
      <c r="M52" s="45">
        <f>GroDB[[#This Row],[Date_Received1]]-GroDB[[#This Row],[Procurement_Date]]</f>
        <v>102</v>
      </c>
      <c r="N52" s="43">
        <v>45639</v>
      </c>
      <c r="O52" s="91">
        <f>GroDB[[#This Row],[Expiration_Date]]-GroDB[[#This Row],[Date_Received1]]</f>
        <v>183</v>
      </c>
      <c r="P52" s="4">
        <v>4.8000000000000007</v>
      </c>
      <c r="Q52" s="3">
        <v>36</v>
      </c>
      <c r="R52" s="3">
        <v>3</v>
      </c>
      <c r="S52" s="3">
        <v>54</v>
      </c>
      <c r="T52" s="4">
        <v>6</v>
      </c>
      <c r="U52" s="3">
        <v>74</v>
      </c>
      <c r="V52" s="51">
        <f>IF(GroDB[[#This Row],[LeadTime]]=0,GroDB[[#This Row],[Sales_Volume]],GroDB[[#This Row],[Sales_Volume]]/GroDB[[#This Row],[LeadTime]])</f>
        <v>0.72549019607843135</v>
      </c>
      <c r="W52" s="51">
        <f>_xlfn.STDEV.S(GroDB[Daily Sales])</f>
        <v>5.1999899792654221</v>
      </c>
      <c r="X52" s="3">
        <v>8</v>
      </c>
      <c r="Y52" s="6">
        <v>2.0999999999999999E-3</v>
      </c>
      <c r="Z52" s="4">
        <f>GroDB[[#This Row],[Unit_Price]]*GroDB[[#This Row],[Sales_Volume]]</f>
        <v>444</v>
      </c>
      <c r="AA52" s="22">
        <f>GroDB[[#This Row],[ADU]]/GroDB[[#Totals],[ADU]]</f>
        <v>1.2896878937868816E-3</v>
      </c>
      <c r="AB52" s="1">
        <f>GroDB[[#This Row],[Sales_Volume]]*GroDB[[#This Row],[Ordering Cost]]</f>
        <v>355.20000000000005</v>
      </c>
    </row>
    <row r="53" spans="1:28" x14ac:dyDescent="0.35">
      <c r="A53" s="5" t="s">
        <v>121</v>
      </c>
      <c r="B53" s="3" t="s">
        <v>53</v>
      </c>
      <c r="C53" s="3" t="s">
        <v>268</v>
      </c>
      <c r="D53" s="3" t="s">
        <v>269</v>
      </c>
      <c r="E53" s="3" t="s">
        <v>56</v>
      </c>
      <c r="F53" s="3" t="s">
        <v>270</v>
      </c>
      <c r="G53" s="3" t="s">
        <v>271</v>
      </c>
      <c r="H53" s="43">
        <v>45385</v>
      </c>
      <c r="I53" s="43">
        <v>45432</v>
      </c>
      <c r="J53" s="47" t="str">
        <f>IF(GroDB[[#This Row],[Last_Order_Date]]&lt;=GroDB[[#This Row],[Date_Received]], "Yes", "No")</f>
        <v>No</v>
      </c>
      <c r="K53" s="43">
        <f>IF(GroDB[[#This Row],[Column1]]="No",GroDB[[#This Row],[Last_Order_Date]],GroDB[[#This Row],[Date_Received]])</f>
        <v>45432</v>
      </c>
      <c r="L53" s="43">
        <f>IF(GroDB[[#This Row],[Column1]]="No",GroDB[[#This Row],[Date_Received]],GroDB[[#This Row],[Last_Order_Date]])</f>
        <v>45385</v>
      </c>
      <c r="M53" s="45">
        <f>GroDB[[#This Row],[Date_Received1]]-GroDB[[#This Row],[Procurement_Date]]</f>
        <v>47</v>
      </c>
      <c r="N53" s="43">
        <v>45541</v>
      </c>
      <c r="O53" s="91">
        <f>GroDB[[#This Row],[Expiration_Date]]-GroDB[[#This Row],[Date_Received1]]</f>
        <v>109</v>
      </c>
      <c r="P53" s="4">
        <v>2.2000000000000002</v>
      </c>
      <c r="Q53" s="3">
        <v>67</v>
      </c>
      <c r="R53" s="3">
        <v>60</v>
      </c>
      <c r="S53" s="3">
        <v>21</v>
      </c>
      <c r="T53" s="4">
        <v>2.75</v>
      </c>
      <c r="U53" s="3">
        <v>30</v>
      </c>
      <c r="V53" s="51">
        <f>IF(GroDB[[#This Row],[LeadTime]]=0,GroDB[[#This Row],[Sales_Volume]],GroDB[[#This Row],[Sales_Volume]]/GroDB[[#This Row],[LeadTime]])</f>
        <v>0.63829787234042556</v>
      </c>
      <c r="W53" s="51">
        <f>_xlfn.STDEV.S(GroDB[Daily Sales])</f>
        <v>5.1999899792654221</v>
      </c>
      <c r="X53" s="3">
        <v>6</v>
      </c>
      <c r="Y53" s="7">
        <v>0.89</v>
      </c>
      <c r="Z53" s="4">
        <f>GroDB[[#This Row],[Unit_Price]]*GroDB[[#This Row],[Sales_Volume]]</f>
        <v>82.5</v>
      </c>
      <c r="AA53" s="22">
        <f>GroDB[[#This Row],[ADU]]/GroDB[[#Totals],[ADU]]</f>
        <v>2.3963795323742732E-4</v>
      </c>
      <c r="AB53" s="1">
        <f>GroDB[[#This Row],[Sales_Volume]]*GroDB[[#This Row],[Ordering Cost]]</f>
        <v>66</v>
      </c>
    </row>
    <row r="54" spans="1:28" x14ac:dyDescent="0.35">
      <c r="A54" s="5" t="s">
        <v>272</v>
      </c>
      <c r="B54" s="3" t="s">
        <v>32</v>
      </c>
      <c r="C54" s="3" t="s">
        <v>43</v>
      </c>
      <c r="D54" s="3" t="s">
        <v>273</v>
      </c>
      <c r="E54" s="3" t="s">
        <v>28</v>
      </c>
      <c r="F54" s="3" t="s">
        <v>274</v>
      </c>
      <c r="G54" s="3" t="s">
        <v>275</v>
      </c>
      <c r="H54" s="43">
        <v>45385</v>
      </c>
      <c r="I54" s="43">
        <v>45490</v>
      </c>
      <c r="J54" s="47" t="str">
        <f>IF(GroDB[[#This Row],[Last_Order_Date]]&lt;=GroDB[[#This Row],[Date_Received]], "Yes", "No")</f>
        <v>No</v>
      </c>
      <c r="K54" s="43">
        <f>IF(GroDB[[#This Row],[Column1]]="No",GroDB[[#This Row],[Last_Order_Date]],GroDB[[#This Row],[Date_Received]])</f>
        <v>45490</v>
      </c>
      <c r="L54" s="43">
        <f>IF(GroDB[[#This Row],[Column1]]="No",GroDB[[#This Row],[Date_Received]],GroDB[[#This Row],[Last_Order_Date]])</f>
        <v>45385</v>
      </c>
      <c r="M54" s="45">
        <f>GroDB[[#This Row],[Date_Received1]]-GroDB[[#This Row],[Procurement_Date]]</f>
        <v>105</v>
      </c>
      <c r="N54" s="43">
        <v>45372</v>
      </c>
      <c r="O54" s="91">
        <f>GroDB[[#This Row],[Expiration_Date]]-GroDB[[#This Row],[Date_Received1]]</f>
        <v>-118</v>
      </c>
      <c r="P54" s="4">
        <v>0.8</v>
      </c>
      <c r="Q54" s="3">
        <v>37</v>
      </c>
      <c r="R54" s="3">
        <v>53</v>
      </c>
      <c r="S54" s="3">
        <v>61</v>
      </c>
      <c r="T54" s="4">
        <v>1</v>
      </c>
      <c r="U54" s="3">
        <v>90</v>
      </c>
      <c r="V54" s="51">
        <f>IF(GroDB[[#This Row],[LeadTime]]=0,GroDB[[#This Row],[Sales_Volume]],GroDB[[#This Row],[Sales_Volume]]/GroDB[[#This Row],[LeadTime]])</f>
        <v>0.8571428571428571</v>
      </c>
      <c r="W54" s="51">
        <f>_xlfn.STDEV.S(GroDB[Daily Sales])</f>
        <v>5.1999899792654221</v>
      </c>
      <c r="X54" s="3">
        <v>89</v>
      </c>
      <c r="Y54" s="7">
        <v>0.8</v>
      </c>
      <c r="Z54" s="4">
        <f>GroDB[[#This Row],[Unit_Price]]*GroDB[[#This Row],[Sales_Volume]]</f>
        <v>90</v>
      </c>
      <c r="AA54" s="22">
        <f>GroDB[[#This Row],[ADU]]/GroDB[[#Totals],[ADU]]</f>
        <v>2.6142322171355707E-4</v>
      </c>
      <c r="AB54" s="1">
        <f>GroDB[[#This Row],[Sales_Volume]]*GroDB[[#This Row],[Ordering Cost]]</f>
        <v>72</v>
      </c>
    </row>
    <row r="55" spans="1:28" x14ac:dyDescent="0.35">
      <c r="A55" s="5" t="s">
        <v>276</v>
      </c>
      <c r="B55" s="3" t="s">
        <v>18</v>
      </c>
      <c r="C55" s="3" t="s">
        <v>277</v>
      </c>
      <c r="D55" s="3" t="s">
        <v>278</v>
      </c>
      <c r="E55" s="3" t="s">
        <v>56</v>
      </c>
      <c r="F55" s="3" t="s">
        <v>279</v>
      </c>
      <c r="G55" s="3" t="s">
        <v>280</v>
      </c>
      <c r="H55" s="43">
        <v>45385</v>
      </c>
      <c r="I55" s="43">
        <v>45681</v>
      </c>
      <c r="J55" s="47" t="str">
        <f>IF(GroDB[[#This Row],[Last_Order_Date]]&lt;=GroDB[[#This Row],[Date_Received]], "Yes", "No")</f>
        <v>No</v>
      </c>
      <c r="K55" s="43">
        <f>IF(GroDB[[#This Row],[Column1]]="No",GroDB[[#This Row],[Last_Order_Date]],GroDB[[#This Row],[Date_Received]])</f>
        <v>45681</v>
      </c>
      <c r="L55" s="43">
        <f>IF(GroDB[[#This Row],[Column1]]="No",GroDB[[#This Row],[Date_Received]],GroDB[[#This Row],[Last_Order_Date]])</f>
        <v>45385</v>
      </c>
      <c r="M55" s="45">
        <f>GroDB[[#This Row],[Date_Received1]]-GroDB[[#This Row],[Procurement_Date]]</f>
        <v>296</v>
      </c>
      <c r="N55" s="43">
        <v>45700</v>
      </c>
      <c r="O55" s="91">
        <f>GroDB[[#This Row],[Expiration_Date]]-GroDB[[#This Row],[Date_Received1]]</f>
        <v>19</v>
      </c>
      <c r="P55" s="4">
        <v>2.8000000000000003</v>
      </c>
      <c r="Q55" s="3">
        <v>20</v>
      </c>
      <c r="R55" s="3">
        <v>51</v>
      </c>
      <c r="S55" s="3">
        <v>33</v>
      </c>
      <c r="T55" s="4">
        <v>3.5</v>
      </c>
      <c r="U55" s="3">
        <v>80</v>
      </c>
      <c r="V55" s="51">
        <f>IF(GroDB[[#This Row],[LeadTime]]=0,GroDB[[#This Row],[Sales_Volume]],GroDB[[#This Row],[Sales_Volume]]/GroDB[[#This Row],[LeadTime]])</f>
        <v>0.27027027027027029</v>
      </c>
      <c r="W55" s="51">
        <f>_xlfn.STDEV.S(GroDB[Daily Sales])</f>
        <v>5.1999899792654221</v>
      </c>
      <c r="X55" s="3">
        <v>41</v>
      </c>
      <c r="Y55" s="7">
        <v>0.01</v>
      </c>
      <c r="Z55" s="4">
        <f>GroDB[[#This Row],[Unit_Price]]*GroDB[[#This Row],[Sales_Volume]]</f>
        <v>280</v>
      </c>
      <c r="AA55" s="22">
        <f>GroDB[[#This Row],[ADU]]/GroDB[[#Totals],[ADU]]</f>
        <v>8.1331668977551092E-4</v>
      </c>
      <c r="AB55" s="1">
        <f>GroDB[[#This Row],[Sales_Volume]]*GroDB[[#This Row],[Ordering Cost]]</f>
        <v>224.00000000000003</v>
      </c>
    </row>
    <row r="56" spans="1:28" x14ac:dyDescent="0.35">
      <c r="A56" s="5" t="s">
        <v>146</v>
      </c>
      <c r="B56" s="3" t="s">
        <v>53</v>
      </c>
      <c r="C56" s="3" t="s">
        <v>281</v>
      </c>
      <c r="D56" s="3" t="s">
        <v>282</v>
      </c>
      <c r="E56" s="3" t="s">
        <v>21</v>
      </c>
      <c r="F56" s="3" t="s">
        <v>283</v>
      </c>
      <c r="G56" s="3" t="s">
        <v>284</v>
      </c>
      <c r="H56" s="43">
        <v>45385</v>
      </c>
      <c r="I56" s="43">
        <v>45392</v>
      </c>
      <c r="J56" s="47" t="str">
        <f>IF(GroDB[[#This Row],[Last_Order_Date]]&lt;=GroDB[[#This Row],[Date_Received]], "Yes", "No")</f>
        <v>No</v>
      </c>
      <c r="K56" s="43">
        <f>IF(GroDB[[#This Row],[Column1]]="No",GroDB[[#This Row],[Last_Order_Date]],GroDB[[#This Row],[Date_Received]])</f>
        <v>45392</v>
      </c>
      <c r="L56" s="43">
        <f>IF(GroDB[[#This Row],[Column1]]="No",GroDB[[#This Row],[Date_Received]],GroDB[[#This Row],[Last_Order_Date]])</f>
        <v>45385</v>
      </c>
      <c r="M56" s="45">
        <f>GroDB[[#This Row],[Date_Received1]]-GroDB[[#This Row],[Procurement_Date]]</f>
        <v>7</v>
      </c>
      <c r="N56" s="43">
        <v>45439</v>
      </c>
      <c r="O56" s="91">
        <f>GroDB[[#This Row],[Expiration_Date]]-GroDB[[#This Row],[Date_Received1]]</f>
        <v>47</v>
      </c>
      <c r="P56" s="4">
        <v>3.8000000000000003</v>
      </c>
      <c r="Q56" s="3">
        <v>62</v>
      </c>
      <c r="R56" s="3">
        <v>36</v>
      </c>
      <c r="S56" s="3">
        <v>96</v>
      </c>
      <c r="T56" s="4">
        <v>4.75</v>
      </c>
      <c r="U56" s="3">
        <v>31</v>
      </c>
      <c r="V56" s="51">
        <f>IF(GroDB[[#This Row],[LeadTime]]=0,GroDB[[#This Row],[Sales_Volume]],GroDB[[#This Row],[Sales_Volume]]/GroDB[[#This Row],[LeadTime]])</f>
        <v>4.4285714285714288</v>
      </c>
      <c r="W56" s="51">
        <f>_xlfn.STDEV.S(GroDB[Daily Sales])</f>
        <v>5.1999899792654221</v>
      </c>
      <c r="X56" s="3">
        <v>25</v>
      </c>
      <c r="Y56" s="7">
        <v>0.49</v>
      </c>
      <c r="Z56" s="4">
        <f>GroDB[[#This Row],[Unit_Price]]*GroDB[[#This Row],[Sales_Volume]]</f>
        <v>147.25</v>
      </c>
      <c r="AA56" s="22">
        <f>GroDB[[#This Row],[ADU]]/GroDB[[#Totals],[ADU]]</f>
        <v>4.277174377480142E-4</v>
      </c>
      <c r="AB56" s="1">
        <f>GroDB[[#This Row],[Sales_Volume]]*GroDB[[#This Row],[Ordering Cost]]</f>
        <v>117.80000000000001</v>
      </c>
    </row>
    <row r="57" spans="1:28" x14ac:dyDescent="0.35">
      <c r="A57" s="5" t="s">
        <v>180</v>
      </c>
      <c r="B57" s="3" t="s">
        <v>18</v>
      </c>
      <c r="C57" s="3" t="s">
        <v>277</v>
      </c>
      <c r="D57" s="3" t="s">
        <v>285</v>
      </c>
      <c r="E57" s="3" t="s">
        <v>28</v>
      </c>
      <c r="F57" s="3" t="s">
        <v>286</v>
      </c>
      <c r="G57" s="3" t="s">
        <v>287</v>
      </c>
      <c r="H57" s="43">
        <v>45415</v>
      </c>
      <c r="I57" s="43">
        <v>45379</v>
      </c>
      <c r="J57" s="47" t="str">
        <f>IF(GroDB[[#This Row],[Last_Order_Date]]&lt;=GroDB[[#This Row],[Date_Received]], "Yes", "No")</f>
        <v>Yes</v>
      </c>
      <c r="K57" s="43">
        <f>IF(GroDB[[#This Row],[Column1]]="No",GroDB[[#This Row],[Last_Order_Date]],GroDB[[#This Row],[Date_Received]])</f>
        <v>45415</v>
      </c>
      <c r="L57" s="43">
        <f>IF(GroDB[[#This Row],[Column1]]="No",GroDB[[#This Row],[Date_Received]],GroDB[[#This Row],[Last_Order_Date]])</f>
        <v>45379</v>
      </c>
      <c r="M57" s="45">
        <f>GroDB[[#This Row],[Date_Received1]]-GroDB[[#This Row],[Procurement_Date]]</f>
        <v>36</v>
      </c>
      <c r="N57" s="43">
        <v>45357</v>
      </c>
      <c r="O57" s="91">
        <f>GroDB[[#This Row],[Expiration_Date]]-GroDB[[#This Row],[Date_Received1]]</f>
        <v>-58</v>
      </c>
      <c r="P57" s="4">
        <v>1.4000000000000001</v>
      </c>
      <c r="Q57" s="3">
        <v>19</v>
      </c>
      <c r="R57" s="3">
        <v>36</v>
      </c>
      <c r="S57" s="3">
        <v>72</v>
      </c>
      <c r="T57" s="4">
        <v>1.75</v>
      </c>
      <c r="U57" s="3">
        <v>31</v>
      </c>
      <c r="V57" s="51">
        <f>IF(GroDB[[#This Row],[LeadTime]]=0,GroDB[[#This Row],[Sales_Volume]],GroDB[[#This Row],[Sales_Volume]]/GroDB[[#This Row],[LeadTime]])</f>
        <v>0.86111111111111116</v>
      </c>
      <c r="W57" s="51">
        <f>_xlfn.STDEV.S(GroDB[Daily Sales])</f>
        <v>5.1999899792654221</v>
      </c>
      <c r="X57" s="3">
        <v>81</v>
      </c>
      <c r="Y57" s="7">
        <v>0.19</v>
      </c>
      <c r="Z57" s="4">
        <f>GroDB[[#This Row],[Unit_Price]]*GroDB[[#This Row],[Sales_Volume]]</f>
        <v>54.25</v>
      </c>
      <c r="AA57" s="22">
        <f>GroDB[[#This Row],[ADU]]/GroDB[[#Totals],[ADU]]</f>
        <v>1.5758010864400524E-4</v>
      </c>
      <c r="AB57" s="1">
        <f>GroDB[[#This Row],[Sales_Volume]]*GroDB[[#This Row],[Ordering Cost]]</f>
        <v>43.400000000000006</v>
      </c>
    </row>
    <row r="58" spans="1:28" x14ac:dyDescent="0.35">
      <c r="A58" s="5" t="s">
        <v>288</v>
      </c>
      <c r="B58" s="3" t="s">
        <v>60</v>
      </c>
      <c r="C58" s="3" t="s">
        <v>289</v>
      </c>
      <c r="D58" s="3" t="s">
        <v>290</v>
      </c>
      <c r="E58" s="3" t="s">
        <v>56</v>
      </c>
      <c r="F58" s="3" t="s">
        <v>291</v>
      </c>
      <c r="G58" s="3" t="s">
        <v>292</v>
      </c>
      <c r="H58" s="43">
        <v>45415</v>
      </c>
      <c r="I58" s="43">
        <v>45622</v>
      </c>
      <c r="J58" s="47" t="str">
        <f>IF(GroDB[[#This Row],[Last_Order_Date]]&lt;=GroDB[[#This Row],[Date_Received]], "Yes", "No")</f>
        <v>No</v>
      </c>
      <c r="K58" s="43">
        <f>IF(GroDB[[#This Row],[Column1]]="No",GroDB[[#This Row],[Last_Order_Date]],GroDB[[#This Row],[Date_Received]])</f>
        <v>45622</v>
      </c>
      <c r="L58" s="43">
        <f>IF(GroDB[[#This Row],[Column1]]="No",GroDB[[#This Row],[Date_Received]],GroDB[[#This Row],[Last_Order_Date]])</f>
        <v>45415</v>
      </c>
      <c r="M58" s="45">
        <f>GroDB[[#This Row],[Date_Received1]]-GroDB[[#This Row],[Procurement_Date]]</f>
        <v>207</v>
      </c>
      <c r="N58" s="43">
        <v>45666</v>
      </c>
      <c r="O58" s="91">
        <f>GroDB[[#This Row],[Expiration_Date]]-GroDB[[#This Row],[Date_Received1]]</f>
        <v>44</v>
      </c>
      <c r="P58" s="4">
        <v>9.6000000000000014</v>
      </c>
      <c r="Q58" s="3">
        <v>29</v>
      </c>
      <c r="R58" s="3">
        <v>72</v>
      </c>
      <c r="S58" s="3">
        <v>96</v>
      </c>
      <c r="T58" s="4">
        <v>12</v>
      </c>
      <c r="U58" s="3">
        <v>85</v>
      </c>
      <c r="V58" s="51">
        <f>IF(GroDB[[#This Row],[LeadTime]]=0,GroDB[[#This Row],[Sales_Volume]],GroDB[[#This Row],[Sales_Volume]]/GroDB[[#This Row],[LeadTime]])</f>
        <v>0.41062801932367149</v>
      </c>
      <c r="W58" s="51">
        <f>_xlfn.STDEV.S(GroDB[Daily Sales])</f>
        <v>5.1999899792654221</v>
      </c>
      <c r="X58" s="3">
        <v>52</v>
      </c>
      <c r="Y58" s="7">
        <v>-1.61</v>
      </c>
      <c r="Z58" s="4">
        <f>GroDB[[#This Row],[Unit_Price]]*GroDB[[#This Row],[Sales_Volume]]</f>
        <v>1020</v>
      </c>
      <c r="AA58" s="22">
        <f>GroDB[[#This Row],[ADU]]/GroDB[[#Totals],[ADU]]</f>
        <v>2.962796512753647E-3</v>
      </c>
      <c r="AB58" s="1">
        <f>GroDB[[#This Row],[Sales_Volume]]*GroDB[[#This Row],[Ordering Cost]]</f>
        <v>816.00000000000011</v>
      </c>
    </row>
    <row r="59" spans="1:28" x14ac:dyDescent="0.35">
      <c r="A59" s="5" t="s">
        <v>293</v>
      </c>
      <c r="B59" s="3" t="s">
        <v>18</v>
      </c>
      <c r="C59" s="3" t="s">
        <v>294</v>
      </c>
      <c r="D59" s="3" t="s">
        <v>295</v>
      </c>
      <c r="E59" s="3" t="s">
        <v>21</v>
      </c>
      <c r="F59" s="3" t="s">
        <v>296</v>
      </c>
      <c r="G59" s="3" t="s">
        <v>297</v>
      </c>
      <c r="H59" s="43">
        <v>45415</v>
      </c>
      <c r="I59" s="43">
        <v>45569</v>
      </c>
      <c r="J59" s="47" t="str">
        <f>IF(GroDB[[#This Row],[Last_Order_Date]]&lt;=GroDB[[#This Row],[Date_Received]], "Yes", "No")</f>
        <v>No</v>
      </c>
      <c r="K59" s="43">
        <f>IF(GroDB[[#This Row],[Column1]]="No",GroDB[[#This Row],[Last_Order_Date]],GroDB[[#This Row],[Date_Received]])</f>
        <v>45569</v>
      </c>
      <c r="L59" s="43">
        <f>IF(GroDB[[#This Row],[Column1]]="No",GroDB[[#This Row],[Date_Received]],GroDB[[#This Row],[Last_Order_Date]])</f>
        <v>45415</v>
      </c>
      <c r="M59" s="45">
        <f>GroDB[[#This Row],[Date_Received1]]-GroDB[[#This Row],[Procurement_Date]]</f>
        <v>154</v>
      </c>
      <c r="N59" s="43">
        <v>45618</v>
      </c>
      <c r="O59" s="91">
        <f>GroDB[[#This Row],[Expiration_Date]]-GroDB[[#This Row],[Date_Received1]]</f>
        <v>49</v>
      </c>
      <c r="P59" s="4">
        <v>1.6</v>
      </c>
      <c r="Q59" s="3">
        <v>34</v>
      </c>
      <c r="R59" s="3">
        <v>29</v>
      </c>
      <c r="S59" s="3">
        <v>65</v>
      </c>
      <c r="T59" s="4">
        <v>2</v>
      </c>
      <c r="U59" s="3">
        <v>90</v>
      </c>
      <c r="V59" s="51">
        <f>IF(GroDB[[#This Row],[LeadTime]]=0,GroDB[[#This Row],[Sales_Volume]],GroDB[[#This Row],[Sales_Volume]]/GroDB[[#This Row],[LeadTime]])</f>
        <v>0.58441558441558439</v>
      </c>
      <c r="W59" s="51">
        <f>_xlfn.STDEV.S(GroDB[Daily Sales])</f>
        <v>5.1999899792654221</v>
      </c>
      <c r="X59" s="3">
        <v>23</v>
      </c>
      <c r="Y59" s="7">
        <v>0.39</v>
      </c>
      <c r="Z59" s="4">
        <f>GroDB[[#This Row],[Unit_Price]]*GroDB[[#This Row],[Sales_Volume]]</f>
        <v>180</v>
      </c>
      <c r="AA59" s="22">
        <f>GroDB[[#This Row],[ADU]]/GroDB[[#Totals],[ADU]]</f>
        <v>5.2284644342711413E-4</v>
      </c>
      <c r="AB59" s="1">
        <f>GroDB[[#This Row],[Sales_Volume]]*GroDB[[#This Row],[Ordering Cost]]</f>
        <v>144</v>
      </c>
    </row>
    <row r="60" spans="1:28" x14ac:dyDescent="0.35">
      <c r="A60" s="5" t="s">
        <v>298</v>
      </c>
      <c r="B60" s="3" t="s">
        <v>32</v>
      </c>
      <c r="C60" s="3" t="s">
        <v>299</v>
      </c>
      <c r="D60" s="3" t="s">
        <v>300</v>
      </c>
      <c r="E60" s="3" t="s">
        <v>21</v>
      </c>
      <c r="F60" s="3" t="s">
        <v>301</v>
      </c>
      <c r="G60" s="3" t="s">
        <v>302</v>
      </c>
      <c r="H60" s="43">
        <v>45446</v>
      </c>
      <c r="I60" s="43">
        <v>45587</v>
      </c>
      <c r="J60" s="47" t="str">
        <f>IF(GroDB[[#This Row],[Last_Order_Date]]&lt;=GroDB[[#This Row],[Date_Received]], "Yes", "No")</f>
        <v>No</v>
      </c>
      <c r="K60" s="43">
        <f>IF(GroDB[[#This Row],[Column1]]="No",GroDB[[#This Row],[Last_Order_Date]],GroDB[[#This Row],[Date_Received]])</f>
        <v>45587</v>
      </c>
      <c r="L60" s="43">
        <f>IF(GroDB[[#This Row],[Column1]]="No",GroDB[[#This Row],[Date_Received]],GroDB[[#This Row],[Last_Order_Date]])</f>
        <v>45446</v>
      </c>
      <c r="M60" s="45">
        <f>GroDB[[#This Row],[Date_Received1]]-GroDB[[#This Row],[Procurement_Date]]</f>
        <v>141</v>
      </c>
      <c r="N60" s="43">
        <v>45372</v>
      </c>
      <c r="O60" s="91">
        <f>GroDB[[#This Row],[Expiration_Date]]-GroDB[[#This Row],[Date_Received1]]</f>
        <v>-215</v>
      </c>
      <c r="P60" s="4">
        <v>2</v>
      </c>
      <c r="Q60" s="3">
        <v>92</v>
      </c>
      <c r="R60" s="3">
        <v>52</v>
      </c>
      <c r="S60" s="3">
        <v>80</v>
      </c>
      <c r="T60" s="4">
        <v>2.5</v>
      </c>
      <c r="U60" s="3">
        <v>72</v>
      </c>
      <c r="V60" s="51">
        <f>IF(GroDB[[#This Row],[LeadTime]]=0,GroDB[[#This Row],[Sales_Volume]],GroDB[[#This Row],[Sales_Volume]]/GroDB[[#This Row],[LeadTime]])</f>
        <v>0.51063829787234039</v>
      </c>
      <c r="W60" s="51">
        <f>_xlfn.STDEV.S(GroDB[Daily Sales])</f>
        <v>5.1999899792654221</v>
      </c>
      <c r="X60" s="3">
        <v>96</v>
      </c>
      <c r="Y60" s="7">
        <v>0.74</v>
      </c>
      <c r="Z60" s="4">
        <f>GroDB[[#This Row],[Unit_Price]]*GroDB[[#This Row],[Sales_Volume]]</f>
        <v>180</v>
      </c>
      <c r="AA60" s="22">
        <f>GroDB[[#This Row],[ADU]]/GroDB[[#Totals],[ADU]]</f>
        <v>5.2284644342711413E-4</v>
      </c>
      <c r="AB60" s="1">
        <f>GroDB[[#This Row],[Sales_Volume]]*GroDB[[#This Row],[Ordering Cost]]</f>
        <v>144</v>
      </c>
    </row>
    <row r="61" spans="1:28" x14ac:dyDescent="0.35">
      <c r="A61" s="5" t="s">
        <v>303</v>
      </c>
      <c r="B61" s="3" t="s">
        <v>60</v>
      </c>
      <c r="C61" s="3" t="s">
        <v>304</v>
      </c>
      <c r="D61" s="3" t="s">
        <v>305</v>
      </c>
      <c r="E61" s="3" t="s">
        <v>21</v>
      </c>
      <c r="F61" s="3" t="s">
        <v>306</v>
      </c>
      <c r="G61" s="3" t="s">
        <v>307</v>
      </c>
      <c r="H61" s="43">
        <v>45446</v>
      </c>
      <c r="I61" s="43">
        <v>45561</v>
      </c>
      <c r="J61" s="47" t="str">
        <f>IF(GroDB[[#This Row],[Last_Order_Date]]&lt;=GroDB[[#This Row],[Date_Received]], "Yes", "No")</f>
        <v>No</v>
      </c>
      <c r="K61" s="43">
        <f>IF(GroDB[[#This Row],[Column1]]="No",GroDB[[#This Row],[Last_Order_Date]],GroDB[[#This Row],[Date_Received]])</f>
        <v>45561</v>
      </c>
      <c r="L61" s="43">
        <f>IF(GroDB[[#This Row],[Column1]]="No",GroDB[[#This Row],[Date_Received]],GroDB[[#This Row],[Last_Order_Date]])</f>
        <v>45446</v>
      </c>
      <c r="M61" s="45">
        <f>GroDB[[#This Row],[Date_Received1]]-GroDB[[#This Row],[Procurement_Date]]</f>
        <v>115</v>
      </c>
      <c r="N61" s="43">
        <v>45491</v>
      </c>
      <c r="O61" s="91">
        <f>GroDB[[#This Row],[Expiration_Date]]-GroDB[[#This Row],[Date_Received1]]</f>
        <v>-70</v>
      </c>
      <c r="P61" s="4">
        <v>4.8000000000000007</v>
      </c>
      <c r="Q61" s="3">
        <v>33</v>
      </c>
      <c r="R61" s="3">
        <v>18</v>
      </c>
      <c r="S61" s="3">
        <v>92</v>
      </c>
      <c r="T61" s="4">
        <v>6</v>
      </c>
      <c r="U61" s="3">
        <v>98</v>
      </c>
      <c r="V61" s="51">
        <f>IF(GroDB[[#This Row],[LeadTime]]=0,GroDB[[#This Row],[Sales_Volume]],GroDB[[#This Row],[Sales_Volume]]/GroDB[[#This Row],[LeadTime]])</f>
        <v>0.85217391304347823</v>
      </c>
      <c r="W61" s="51">
        <f>_xlfn.STDEV.S(GroDB[Daily Sales])</f>
        <v>5.1999899792654221</v>
      </c>
      <c r="X61" s="3">
        <v>56</v>
      </c>
      <c r="Y61" s="7">
        <v>-0.33</v>
      </c>
      <c r="Z61" s="4">
        <f>GroDB[[#This Row],[Unit_Price]]*GroDB[[#This Row],[Sales_Volume]]</f>
        <v>588</v>
      </c>
      <c r="AA61" s="22">
        <f>GroDB[[#This Row],[ADU]]/GroDB[[#Totals],[ADU]]</f>
        <v>1.707965048528573E-3</v>
      </c>
      <c r="AB61" s="1">
        <f>GroDB[[#This Row],[Sales_Volume]]*GroDB[[#This Row],[Ordering Cost]]</f>
        <v>470.40000000000009</v>
      </c>
    </row>
    <row r="62" spans="1:28" x14ac:dyDescent="0.35">
      <c r="A62" s="5" t="s">
        <v>151</v>
      </c>
      <c r="B62" s="3" t="s">
        <v>91</v>
      </c>
      <c r="C62" s="3" t="s">
        <v>308</v>
      </c>
      <c r="D62" s="3" t="s">
        <v>309</v>
      </c>
      <c r="E62" s="3" t="s">
        <v>28</v>
      </c>
      <c r="F62" s="3" t="s">
        <v>310</v>
      </c>
      <c r="G62" s="3" t="s">
        <v>311</v>
      </c>
      <c r="H62" s="43">
        <v>45446</v>
      </c>
      <c r="I62" s="43">
        <v>45673</v>
      </c>
      <c r="J62" s="47" t="str">
        <f>IF(GroDB[[#This Row],[Last_Order_Date]]&lt;=GroDB[[#This Row],[Date_Received]], "Yes", "No")</f>
        <v>No</v>
      </c>
      <c r="K62" s="43">
        <f>IF(GroDB[[#This Row],[Column1]]="No",GroDB[[#This Row],[Last_Order_Date]],GroDB[[#This Row],[Date_Received]])</f>
        <v>45673</v>
      </c>
      <c r="L62" s="43">
        <f>IF(GroDB[[#This Row],[Column1]]="No",GroDB[[#This Row],[Date_Received]],GroDB[[#This Row],[Last_Order_Date]])</f>
        <v>45446</v>
      </c>
      <c r="M62" s="45">
        <f>GroDB[[#This Row],[Date_Received1]]-GroDB[[#This Row],[Procurement_Date]]</f>
        <v>227</v>
      </c>
      <c r="N62" s="43">
        <v>45509</v>
      </c>
      <c r="O62" s="91">
        <f>GroDB[[#This Row],[Expiration_Date]]-GroDB[[#This Row],[Date_Received1]]</f>
        <v>-164</v>
      </c>
      <c r="P62" s="4">
        <v>3.6</v>
      </c>
      <c r="Q62" s="3">
        <v>12</v>
      </c>
      <c r="R62" s="3">
        <v>59</v>
      </c>
      <c r="S62" s="3">
        <v>62</v>
      </c>
      <c r="T62" s="4">
        <v>4.5</v>
      </c>
      <c r="U62" s="3">
        <v>75</v>
      </c>
      <c r="V62" s="51">
        <f>IF(GroDB[[#This Row],[LeadTime]]=0,GroDB[[#This Row],[Sales_Volume]],GroDB[[#This Row],[Sales_Volume]]/GroDB[[#This Row],[LeadTime]])</f>
        <v>0.33039647577092512</v>
      </c>
      <c r="W62" s="51">
        <f>_xlfn.STDEV.S(GroDB[Daily Sales])</f>
        <v>5.1999899792654221</v>
      </c>
      <c r="X62" s="3">
        <v>92</v>
      </c>
      <c r="Y62" s="7">
        <v>0.43</v>
      </c>
      <c r="Z62" s="4">
        <f>GroDB[[#This Row],[Unit_Price]]*GroDB[[#This Row],[Sales_Volume]]</f>
        <v>337.5</v>
      </c>
      <c r="AA62" s="22">
        <f>GroDB[[#This Row],[ADU]]/GroDB[[#Totals],[ADU]]</f>
        <v>9.8033708142583912E-4</v>
      </c>
      <c r="AB62" s="1">
        <f>GroDB[[#This Row],[Sales_Volume]]*GroDB[[#This Row],[Ordering Cost]]</f>
        <v>270</v>
      </c>
    </row>
    <row r="63" spans="1:28" x14ac:dyDescent="0.35">
      <c r="A63" s="5" t="s">
        <v>59</v>
      </c>
      <c r="B63" s="3" t="s">
        <v>60</v>
      </c>
      <c r="C63" s="3" t="s">
        <v>312</v>
      </c>
      <c r="D63" s="3" t="s">
        <v>313</v>
      </c>
      <c r="E63" s="3" t="s">
        <v>56</v>
      </c>
      <c r="F63" s="3" t="s">
        <v>314</v>
      </c>
      <c r="G63" s="3" t="s">
        <v>315</v>
      </c>
      <c r="H63" s="43">
        <v>45446</v>
      </c>
      <c r="I63" s="43">
        <v>45484</v>
      </c>
      <c r="J63" s="47" t="str">
        <f>IF(GroDB[[#This Row],[Last_Order_Date]]&lt;=GroDB[[#This Row],[Date_Received]], "Yes", "No")</f>
        <v>No</v>
      </c>
      <c r="K63" s="43">
        <f>IF(GroDB[[#This Row],[Column1]]="No",GroDB[[#This Row],[Last_Order_Date]],GroDB[[#This Row],[Date_Received]])</f>
        <v>45484</v>
      </c>
      <c r="L63" s="43">
        <f>IF(GroDB[[#This Row],[Column1]]="No",GroDB[[#This Row],[Date_Received]],GroDB[[#This Row],[Last_Order_Date]])</f>
        <v>45446</v>
      </c>
      <c r="M63" s="45">
        <f>GroDB[[#This Row],[Date_Received1]]-GroDB[[#This Row],[Procurement_Date]]</f>
        <v>38</v>
      </c>
      <c r="N63" s="43">
        <v>45382</v>
      </c>
      <c r="O63" s="91">
        <f>GroDB[[#This Row],[Expiration_Date]]-GroDB[[#This Row],[Date_Received1]]</f>
        <v>-102</v>
      </c>
      <c r="P63" s="4">
        <v>8</v>
      </c>
      <c r="Q63" s="3">
        <v>83</v>
      </c>
      <c r="R63" s="3">
        <v>17</v>
      </c>
      <c r="S63" s="3">
        <v>39</v>
      </c>
      <c r="T63" s="4">
        <v>10</v>
      </c>
      <c r="U63" s="3">
        <v>33</v>
      </c>
      <c r="V63" s="51">
        <f>IF(GroDB[[#This Row],[LeadTime]]=0,GroDB[[#This Row],[Sales_Volume]],GroDB[[#This Row],[Sales_Volume]]/GroDB[[#This Row],[LeadTime]])</f>
        <v>0.86842105263157898</v>
      </c>
      <c r="W63" s="51">
        <f>_xlfn.STDEV.S(GroDB[Daily Sales])</f>
        <v>5.1999899792654221</v>
      </c>
      <c r="X63" s="3">
        <v>20</v>
      </c>
      <c r="Y63" s="7">
        <v>-0.23</v>
      </c>
      <c r="Z63" s="4">
        <f>GroDB[[#This Row],[Unit_Price]]*GroDB[[#This Row],[Sales_Volume]]</f>
        <v>330</v>
      </c>
      <c r="AA63" s="22">
        <f>GroDB[[#This Row],[ADU]]/GroDB[[#Totals],[ADU]]</f>
        <v>9.5855181294970926E-4</v>
      </c>
      <c r="AB63" s="1">
        <f>GroDB[[#This Row],[Sales_Volume]]*GroDB[[#This Row],[Ordering Cost]]</f>
        <v>264</v>
      </c>
    </row>
    <row r="64" spans="1:28" x14ac:dyDescent="0.35">
      <c r="A64" s="5" t="s">
        <v>258</v>
      </c>
      <c r="B64" s="3" t="s">
        <v>25</v>
      </c>
      <c r="C64" s="3" t="s">
        <v>316</v>
      </c>
      <c r="D64" s="3" t="s">
        <v>317</v>
      </c>
      <c r="E64" s="3" t="s">
        <v>28</v>
      </c>
      <c r="F64" s="3" t="s">
        <v>318</v>
      </c>
      <c r="G64" s="3" t="s">
        <v>319</v>
      </c>
      <c r="H64" s="43">
        <v>45446</v>
      </c>
      <c r="I64" s="43">
        <v>45600</v>
      </c>
      <c r="J64" s="47" t="str">
        <f>IF(GroDB[[#This Row],[Last_Order_Date]]&lt;=GroDB[[#This Row],[Date_Received]], "Yes", "No")</f>
        <v>No</v>
      </c>
      <c r="K64" s="43">
        <f>IF(GroDB[[#This Row],[Column1]]="No",GroDB[[#This Row],[Last_Order_Date]],GroDB[[#This Row],[Date_Received]])</f>
        <v>45600</v>
      </c>
      <c r="L64" s="43">
        <f>IF(GroDB[[#This Row],[Column1]]="No",GroDB[[#This Row],[Date_Received]],GroDB[[#This Row],[Last_Order_Date]])</f>
        <v>45446</v>
      </c>
      <c r="M64" s="45">
        <f>GroDB[[#This Row],[Date_Received1]]-GroDB[[#This Row],[Procurement_Date]]</f>
        <v>154</v>
      </c>
      <c r="N64" s="43">
        <v>45658</v>
      </c>
      <c r="O64" s="91">
        <f>GroDB[[#This Row],[Expiration_Date]]-GroDB[[#This Row],[Date_Received1]]</f>
        <v>58</v>
      </c>
      <c r="P64" s="4">
        <v>3.2</v>
      </c>
      <c r="Q64" s="3">
        <v>21</v>
      </c>
      <c r="R64" s="3">
        <v>52</v>
      </c>
      <c r="S64" s="3">
        <v>80</v>
      </c>
      <c r="T64" s="4">
        <v>4</v>
      </c>
      <c r="U64" s="3">
        <v>49</v>
      </c>
      <c r="V64" s="51">
        <f>IF(GroDB[[#This Row],[LeadTime]]=0,GroDB[[#This Row],[Sales_Volume]],GroDB[[#This Row],[Sales_Volume]]/GroDB[[#This Row],[LeadTime]])</f>
        <v>0.31818181818181818</v>
      </c>
      <c r="W64" s="51">
        <f>_xlfn.STDEV.S(GroDB[Daily Sales])</f>
        <v>5.1999899792654221</v>
      </c>
      <c r="X64" s="3">
        <v>37</v>
      </c>
      <c r="Y64" s="7">
        <v>0.39</v>
      </c>
      <c r="Z64" s="4">
        <f>GroDB[[#This Row],[Unit_Price]]*GroDB[[#This Row],[Sales_Volume]]</f>
        <v>196</v>
      </c>
      <c r="AA64" s="22">
        <f>GroDB[[#This Row],[ADU]]/GroDB[[#Totals],[ADU]]</f>
        <v>5.6932168284285758E-4</v>
      </c>
      <c r="AB64" s="1">
        <f>GroDB[[#This Row],[Sales_Volume]]*GroDB[[#This Row],[Ordering Cost]]</f>
        <v>156.80000000000001</v>
      </c>
    </row>
    <row r="65" spans="1:28" x14ac:dyDescent="0.35">
      <c r="A65" s="5" t="s">
        <v>320</v>
      </c>
      <c r="B65" s="3" t="s">
        <v>18</v>
      </c>
      <c r="C65" s="3" t="s">
        <v>321</v>
      </c>
      <c r="D65" s="3" t="s">
        <v>322</v>
      </c>
      <c r="E65" s="3" t="s">
        <v>28</v>
      </c>
      <c r="F65" s="3" t="s">
        <v>323</v>
      </c>
      <c r="G65" s="3" t="s">
        <v>324</v>
      </c>
      <c r="H65" s="43">
        <v>45476</v>
      </c>
      <c r="I65" s="43">
        <v>45576</v>
      </c>
      <c r="J65" s="47" t="str">
        <f>IF(GroDB[[#This Row],[Last_Order_Date]]&lt;=GroDB[[#This Row],[Date_Received]], "Yes", "No")</f>
        <v>No</v>
      </c>
      <c r="K65" s="43">
        <f>IF(GroDB[[#This Row],[Column1]]="No",GroDB[[#This Row],[Last_Order_Date]],GroDB[[#This Row],[Date_Received]])</f>
        <v>45576</v>
      </c>
      <c r="L65" s="43">
        <f>IF(GroDB[[#This Row],[Column1]]="No",GroDB[[#This Row],[Date_Received]],GroDB[[#This Row],[Last_Order_Date]])</f>
        <v>45476</v>
      </c>
      <c r="M65" s="45">
        <f>GroDB[[#This Row],[Date_Received1]]-GroDB[[#This Row],[Procurement_Date]]</f>
        <v>100</v>
      </c>
      <c r="N65" s="43">
        <v>45570</v>
      </c>
      <c r="O65" s="91">
        <f>GroDB[[#This Row],[Expiration_Date]]-GroDB[[#This Row],[Date_Received1]]</f>
        <v>-6</v>
      </c>
      <c r="P65" s="4">
        <v>3.2</v>
      </c>
      <c r="Q65" s="3">
        <v>37</v>
      </c>
      <c r="R65" s="3">
        <v>30</v>
      </c>
      <c r="S65" s="3">
        <v>74</v>
      </c>
      <c r="T65" s="4">
        <v>4</v>
      </c>
      <c r="U65" s="3">
        <v>62</v>
      </c>
      <c r="V65" s="51">
        <f>IF(GroDB[[#This Row],[LeadTime]]=0,GroDB[[#This Row],[Sales_Volume]],GroDB[[#This Row],[Sales_Volume]]/GroDB[[#This Row],[LeadTime]])</f>
        <v>0.62</v>
      </c>
      <c r="W65" s="51">
        <f>_xlfn.STDEV.S(GroDB[Daily Sales])</f>
        <v>5.1999899792654221</v>
      </c>
      <c r="X65" s="3">
        <v>25</v>
      </c>
      <c r="Y65" s="7">
        <v>0.24</v>
      </c>
      <c r="Z65" s="4">
        <f>GroDB[[#This Row],[Unit_Price]]*GroDB[[#This Row],[Sales_Volume]]</f>
        <v>248</v>
      </c>
      <c r="AA65" s="22">
        <f>GroDB[[#This Row],[ADU]]/GroDB[[#Totals],[ADU]]</f>
        <v>7.2036621094402392E-4</v>
      </c>
      <c r="AB65" s="1">
        <f>GroDB[[#This Row],[Sales_Volume]]*GroDB[[#This Row],[Ordering Cost]]</f>
        <v>198.4</v>
      </c>
    </row>
    <row r="66" spans="1:28" x14ac:dyDescent="0.35">
      <c r="A66" s="5" t="s">
        <v>325</v>
      </c>
      <c r="B66" s="3" t="s">
        <v>53</v>
      </c>
      <c r="C66" s="3" t="s">
        <v>43</v>
      </c>
      <c r="D66" s="3" t="s">
        <v>326</v>
      </c>
      <c r="E66" s="3" t="s">
        <v>28</v>
      </c>
      <c r="F66" s="3" t="s">
        <v>327</v>
      </c>
      <c r="G66" s="3" t="s">
        <v>328</v>
      </c>
      <c r="H66" s="43">
        <v>45476</v>
      </c>
      <c r="I66" s="43">
        <v>45357</v>
      </c>
      <c r="J66" s="47" t="str">
        <f>IF(GroDB[[#This Row],[Last_Order_Date]]&lt;=GroDB[[#This Row],[Date_Received]], "Yes", "No")</f>
        <v>Yes</v>
      </c>
      <c r="K66" s="43">
        <f>IF(GroDB[[#This Row],[Column1]]="No",GroDB[[#This Row],[Last_Order_Date]],GroDB[[#This Row],[Date_Received]])</f>
        <v>45476</v>
      </c>
      <c r="L66" s="43">
        <f>IF(GroDB[[#This Row],[Column1]]="No",GroDB[[#This Row],[Date_Received]],GroDB[[#This Row],[Last_Order_Date]])</f>
        <v>45357</v>
      </c>
      <c r="M66" s="45">
        <f>GroDB[[#This Row],[Date_Received1]]-GroDB[[#This Row],[Procurement_Date]]</f>
        <v>119</v>
      </c>
      <c r="N66" s="43">
        <v>45601</v>
      </c>
      <c r="O66" s="91">
        <f>GroDB[[#This Row],[Expiration_Date]]-GroDB[[#This Row],[Date_Received1]]</f>
        <v>125</v>
      </c>
      <c r="P66" s="4">
        <v>3.4000000000000004</v>
      </c>
      <c r="Q66" s="3">
        <v>77</v>
      </c>
      <c r="R66" s="3">
        <v>20</v>
      </c>
      <c r="S66" s="3">
        <v>37</v>
      </c>
      <c r="T66" s="4">
        <v>4.25</v>
      </c>
      <c r="U66" s="3">
        <v>42</v>
      </c>
      <c r="V66" s="51">
        <f>IF(GroDB[[#This Row],[LeadTime]]=0,GroDB[[#This Row],[Sales_Volume]],GroDB[[#This Row],[Sales_Volume]]/GroDB[[#This Row],[LeadTime]])</f>
        <v>0.35294117647058826</v>
      </c>
      <c r="W66" s="51">
        <f>_xlfn.STDEV.S(GroDB[Daily Sales])</f>
        <v>5.1999899792654221</v>
      </c>
      <c r="X66" s="3">
        <v>19</v>
      </c>
      <c r="Y66" s="7">
        <v>0.6</v>
      </c>
      <c r="Z66" s="4">
        <f>GroDB[[#This Row],[Unit_Price]]*GroDB[[#This Row],[Sales_Volume]]</f>
        <v>178.5</v>
      </c>
      <c r="AA66" s="22">
        <f>GroDB[[#This Row],[ADU]]/GroDB[[#Totals],[ADU]]</f>
        <v>5.1848938973188816E-4</v>
      </c>
      <c r="AB66" s="1">
        <f>GroDB[[#This Row],[Sales_Volume]]*GroDB[[#This Row],[Ordering Cost]]</f>
        <v>142.80000000000001</v>
      </c>
    </row>
    <row r="67" spans="1:28" x14ac:dyDescent="0.35">
      <c r="A67" s="5" t="s">
        <v>329</v>
      </c>
      <c r="B67" s="3" t="s">
        <v>53</v>
      </c>
      <c r="C67" s="3" t="s">
        <v>166</v>
      </c>
      <c r="D67" s="3" t="s">
        <v>330</v>
      </c>
      <c r="E67" s="3" t="s">
        <v>28</v>
      </c>
      <c r="F67" s="3" t="s">
        <v>331</v>
      </c>
      <c r="G67" s="3" t="s">
        <v>332</v>
      </c>
      <c r="H67" s="43">
        <v>45507</v>
      </c>
      <c r="I67" s="43">
        <v>45453</v>
      </c>
      <c r="J67" s="47" t="str">
        <f>IF(GroDB[[#This Row],[Last_Order_Date]]&lt;=GroDB[[#This Row],[Date_Received]], "Yes", "No")</f>
        <v>Yes</v>
      </c>
      <c r="K67" s="43">
        <f>IF(GroDB[[#This Row],[Column1]]="No",GroDB[[#This Row],[Last_Order_Date]],GroDB[[#This Row],[Date_Received]])</f>
        <v>45507</v>
      </c>
      <c r="L67" s="43">
        <f>IF(GroDB[[#This Row],[Column1]]="No",GroDB[[#This Row],[Date_Received]],GroDB[[#This Row],[Last_Order_Date]])</f>
        <v>45453</v>
      </c>
      <c r="M67" s="45">
        <f>GroDB[[#This Row],[Date_Received1]]-GroDB[[#This Row],[Procurement_Date]]</f>
        <v>54</v>
      </c>
      <c r="N67" s="43">
        <v>45557</v>
      </c>
      <c r="O67" s="91">
        <f>GroDB[[#This Row],[Expiration_Date]]-GroDB[[#This Row],[Date_Received1]]</f>
        <v>50</v>
      </c>
      <c r="P67" s="4">
        <v>4.8000000000000007</v>
      </c>
      <c r="Q67" s="3">
        <v>30</v>
      </c>
      <c r="R67" s="3">
        <v>38</v>
      </c>
      <c r="S67" s="3">
        <v>83</v>
      </c>
      <c r="T67" s="4">
        <v>6</v>
      </c>
      <c r="U67" s="3">
        <v>31</v>
      </c>
      <c r="V67" s="51">
        <f>IF(GroDB[[#This Row],[LeadTime]]=0,GroDB[[#This Row],[Sales_Volume]],GroDB[[#This Row],[Sales_Volume]]/GroDB[[#This Row],[LeadTime]])</f>
        <v>0.57407407407407407</v>
      </c>
      <c r="W67" s="51">
        <f>_xlfn.STDEV.S(GroDB[Daily Sales])</f>
        <v>5.1999899792654221</v>
      </c>
      <c r="X67" s="3">
        <v>34</v>
      </c>
      <c r="Y67" s="7">
        <v>0.55000000000000004</v>
      </c>
      <c r="Z67" s="4">
        <f>GroDB[[#This Row],[Unit_Price]]*GroDB[[#This Row],[Sales_Volume]]</f>
        <v>186</v>
      </c>
      <c r="AA67" s="22">
        <f>GroDB[[#This Row],[ADU]]/GroDB[[#Totals],[ADU]]</f>
        <v>5.4027465820801791E-4</v>
      </c>
      <c r="AB67" s="1">
        <f>GroDB[[#This Row],[Sales_Volume]]*GroDB[[#This Row],[Ordering Cost]]</f>
        <v>148.80000000000001</v>
      </c>
    </row>
    <row r="68" spans="1:28" x14ac:dyDescent="0.35">
      <c r="A68" s="5" t="s">
        <v>333</v>
      </c>
      <c r="B68" s="3" t="s">
        <v>53</v>
      </c>
      <c r="C68" s="3" t="s">
        <v>334</v>
      </c>
      <c r="D68" s="3" t="s">
        <v>335</v>
      </c>
      <c r="E68" s="3" t="s">
        <v>21</v>
      </c>
      <c r="F68" s="3" t="s">
        <v>336</v>
      </c>
      <c r="G68" s="3" t="s">
        <v>337</v>
      </c>
      <c r="H68" s="43">
        <v>45507</v>
      </c>
      <c r="I68" s="43">
        <v>45520</v>
      </c>
      <c r="J68" s="47" t="str">
        <f>IF(GroDB[[#This Row],[Last_Order_Date]]&lt;=GroDB[[#This Row],[Date_Received]], "Yes", "No")</f>
        <v>No</v>
      </c>
      <c r="K68" s="43">
        <f>IF(GroDB[[#This Row],[Column1]]="No",GroDB[[#This Row],[Last_Order_Date]],GroDB[[#This Row],[Date_Received]])</f>
        <v>45520</v>
      </c>
      <c r="L68" s="43">
        <f>IF(GroDB[[#This Row],[Column1]]="No",GroDB[[#This Row],[Date_Received]],GroDB[[#This Row],[Last_Order_Date]])</f>
        <v>45507</v>
      </c>
      <c r="M68" s="45">
        <f>GroDB[[#This Row],[Date_Received1]]-GroDB[[#This Row],[Procurement_Date]]</f>
        <v>13</v>
      </c>
      <c r="N68" s="43">
        <v>45414</v>
      </c>
      <c r="O68" s="91">
        <f>GroDB[[#This Row],[Expiration_Date]]-GroDB[[#This Row],[Date_Received1]]</f>
        <v>-106</v>
      </c>
      <c r="P68" s="4">
        <v>8</v>
      </c>
      <c r="Q68" s="3">
        <v>26</v>
      </c>
      <c r="R68" s="3">
        <v>21</v>
      </c>
      <c r="S68" s="3">
        <v>47</v>
      </c>
      <c r="T68" s="4">
        <v>10</v>
      </c>
      <c r="U68" s="3">
        <v>40</v>
      </c>
      <c r="V68" s="51">
        <f>IF(GroDB[[#This Row],[LeadTime]]=0,GroDB[[#This Row],[Sales_Volume]],GroDB[[#This Row],[Sales_Volume]]/GroDB[[#This Row],[LeadTime]])</f>
        <v>3.0769230769230771</v>
      </c>
      <c r="W68" s="51">
        <f>_xlfn.STDEV.S(GroDB[Daily Sales])</f>
        <v>5.1999899792654221</v>
      </c>
      <c r="X68" s="3">
        <v>59</v>
      </c>
      <c r="Y68" s="7">
        <v>-0.1</v>
      </c>
      <c r="Z68" s="4">
        <f>GroDB[[#This Row],[Unit_Price]]*GroDB[[#This Row],[Sales_Volume]]</f>
        <v>400</v>
      </c>
      <c r="AA68" s="22">
        <f>GroDB[[#This Row],[ADU]]/GroDB[[#Totals],[ADU]]</f>
        <v>1.1618809853935869E-3</v>
      </c>
      <c r="AB68" s="1">
        <f>GroDB[[#This Row],[Sales_Volume]]*GroDB[[#This Row],[Ordering Cost]]</f>
        <v>320</v>
      </c>
    </row>
    <row r="69" spans="1:28" x14ac:dyDescent="0.35">
      <c r="A69" s="5" t="s">
        <v>333</v>
      </c>
      <c r="B69" s="3" t="s">
        <v>53</v>
      </c>
      <c r="C69" s="3" t="s">
        <v>338</v>
      </c>
      <c r="D69" s="3" t="s">
        <v>339</v>
      </c>
      <c r="E69" s="3" t="s">
        <v>28</v>
      </c>
      <c r="F69" s="3" t="s">
        <v>340</v>
      </c>
      <c r="G69" s="3" t="s">
        <v>341</v>
      </c>
      <c r="H69" s="43">
        <v>45507</v>
      </c>
      <c r="I69" s="43">
        <v>45482</v>
      </c>
      <c r="J69" s="47" t="str">
        <f>IF(GroDB[[#This Row],[Last_Order_Date]]&lt;=GroDB[[#This Row],[Date_Received]], "Yes", "No")</f>
        <v>Yes</v>
      </c>
      <c r="K69" s="43">
        <f>IF(GroDB[[#This Row],[Column1]]="No",GroDB[[#This Row],[Last_Order_Date]],GroDB[[#This Row],[Date_Received]])</f>
        <v>45507</v>
      </c>
      <c r="L69" s="43">
        <f>IF(GroDB[[#This Row],[Column1]]="No",GroDB[[#This Row],[Date_Received]],GroDB[[#This Row],[Last_Order_Date]])</f>
        <v>45482</v>
      </c>
      <c r="M69" s="45">
        <f>GroDB[[#This Row],[Date_Received1]]-GroDB[[#This Row],[Procurement_Date]]</f>
        <v>25</v>
      </c>
      <c r="N69" s="43">
        <v>45563</v>
      </c>
      <c r="O69" s="91">
        <f>GroDB[[#This Row],[Expiration_Date]]-GroDB[[#This Row],[Date_Received1]]</f>
        <v>56</v>
      </c>
      <c r="P69" s="4">
        <v>7.8000000000000007</v>
      </c>
      <c r="Q69" s="3">
        <v>72</v>
      </c>
      <c r="R69" s="3">
        <v>82</v>
      </c>
      <c r="S69" s="3">
        <v>52</v>
      </c>
      <c r="T69" s="4">
        <v>9.75</v>
      </c>
      <c r="U69" s="3">
        <v>51</v>
      </c>
      <c r="V69" s="51">
        <f>IF(GroDB[[#This Row],[LeadTime]]=0,GroDB[[#This Row],[Sales_Volume]],GroDB[[#This Row],[Sales_Volume]]/GroDB[[#This Row],[LeadTime]])</f>
        <v>2.04</v>
      </c>
      <c r="W69" s="51">
        <f>_xlfn.STDEV.S(GroDB[Daily Sales])</f>
        <v>5.1999899792654221</v>
      </c>
      <c r="X69" s="3">
        <v>95</v>
      </c>
      <c r="Y69" s="7">
        <v>-0.48</v>
      </c>
      <c r="Z69" s="4">
        <f>GroDB[[#This Row],[Unit_Price]]*GroDB[[#This Row],[Sales_Volume]]</f>
        <v>497.25</v>
      </c>
      <c r="AA69" s="22">
        <f>GroDB[[#This Row],[ADU]]/GroDB[[#Totals],[ADU]]</f>
        <v>1.4443632999674029E-3</v>
      </c>
      <c r="AB69" s="1">
        <f>GroDB[[#This Row],[Sales_Volume]]*GroDB[[#This Row],[Ordering Cost]]</f>
        <v>397.8</v>
      </c>
    </row>
    <row r="70" spans="1:28" x14ac:dyDescent="0.35">
      <c r="A70" s="5" t="s">
        <v>342</v>
      </c>
      <c r="B70" s="3" t="s">
        <v>18</v>
      </c>
      <c r="C70" s="3" t="s">
        <v>343</v>
      </c>
      <c r="D70" s="3" t="s">
        <v>344</v>
      </c>
      <c r="E70" s="3" t="s">
        <v>56</v>
      </c>
      <c r="F70" s="3" t="s">
        <v>345</v>
      </c>
      <c r="G70" s="3" t="s">
        <v>346</v>
      </c>
      <c r="H70" s="43">
        <v>45538</v>
      </c>
      <c r="I70" s="43">
        <v>45568</v>
      </c>
      <c r="J70" s="47" t="str">
        <f>IF(GroDB[[#This Row],[Last_Order_Date]]&lt;=GroDB[[#This Row],[Date_Received]], "Yes", "No")</f>
        <v>No</v>
      </c>
      <c r="K70" s="43">
        <f>IF(GroDB[[#This Row],[Column1]]="No",GroDB[[#This Row],[Last_Order_Date]],GroDB[[#This Row],[Date_Received]])</f>
        <v>45568</v>
      </c>
      <c r="L70" s="43">
        <f>IF(GroDB[[#This Row],[Column1]]="No",GroDB[[#This Row],[Date_Received]],GroDB[[#This Row],[Last_Order_Date]])</f>
        <v>45538</v>
      </c>
      <c r="M70" s="45">
        <f>GroDB[[#This Row],[Date_Received1]]-GroDB[[#This Row],[Procurement_Date]]</f>
        <v>30</v>
      </c>
      <c r="N70" s="43">
        <v>45504</v>
      </c>
      <c r="O70" s="91">
        <f>GroDB[[#This Row],[Expiration_Date]]-GroDB[[#This Row],[Date_Received1]]</f>
        <v>-64</v>
      </c>
      <c r="P70" s="4">
        <v>4.8000000000000007</v>
      </c>
      <c r="Q70" s="3">
        <v>59</v>
      </c>
      <c r="R70" s="3">
        <v>79</v>
      </c>
      <c r="S70" s="3">
        <v>87</v>
      </c>
      <c r="T70" s="4">
        <v>6</v>
      </c>
      <c r="U70" s="3">
        <v>47</v>
      </c>
      <c r="V70" s="51">
        <f>IF(GroDB[[#This Row],[LeadTime]]=0,GroDB[[#This Row],[Sales_Volume]],GroDB[[#This Row],[Sales_Volume]]/GroDB[[#This Row],[LeadTime]])</f>
        <v>1.5666666666666667</v>
      </c>
      <c r="W70" s="51">
        <f>_xlfn.STDEV.S(GroDB[Daily Sales])</f>
        <v>5.1999899792654221</v>
      </c>
      <c r="X70" s="3">
        <v>18</v>
      </c>
      <c r="Y70" s="7">
        <v>-0.86</v>
      </c>
      <c r="Z70" s="4">
        <f>GroDB[[#This Row],[Unit_Price]]*GroDB[[#This Row],[Sales_Volume]]</f>
        <v>282</v>
      </c>
      <c r="AA70" s="22">
        <f>GroDB[[#This Row],[ADU]]/GroDB[[#Totals],[ADU]]</f>
        <v>8.1912609470247881E-4</v>
      </c>
      <c r="AB70" s="1">
        <f>GroDB[[#This Row],[Sales_Volume]]*GroDB[[#This Row],[Ordering Cost]]</f>
        <v>225.60000000000002</v>
      </c>
    </row>
    <row r="71" spans="1:28" x14ac:dyDescent="0.35">
      <c r="A71" s="5" t="s">
        <v>329</v>
      </c>
      <c r="B71" s="3" t="s">
        <v>53</v>
      </c>
      <c r="C71" s="3" t="s">
        <v>347</v>
      </c>
      <c r="D71" s="3" t="s">
        <v>348</v>
      </c>
      <c r="E71" s="3" t="s">
        <v>21</v>
      </c>
      <c r="F71" s="3" t="s">
        <v>349</v>
      </c>
      <c r="G71" s="3" t="s">
        <v>350</v>
      </c>
      <c r="H71" s="43">
        <v>45568</v>
      </c>
      <c r="I71" s="43">
        <v>45632</v>
      </c>
      <c r="J71" s="47" t="str">
        <f>IF(GroDB[[#This Row],[Last_Order_Date]]&lt;=GroDB[[#This Row],[Date_Received]], "Yes", "No")</f>
        <v>No</v>
      </c>
      <c r="K71" s="43">
        <f>IF(GroDB[[#This Row],[Column1]]="No",GroDB[[#This Row],[Last_Order_Date]],GroDB[[#This Row],[Date_Received]])</f>
        <v>45632</v>
      </c>
      <c r="L71" s="43">
        <f>IF(GroDB[[#This Row],[Column1]]="No",GroDB[[#This Row],[Date_Received]],GroDB[[#This Row],[Last_Order_Date]])</f>
        <v>45568</v>
      </c>
      <c r="M71" s="45">
        <f>GroDB[[#This Row],[Date_Received1]]-GroDB[[#This Row],[Procurement_Date]]</f>
        <v>64</v>
      </c>
      <c r="N71" s="43">
        <v>45672</v>
      </c>
      <c r="O71" s="91">
        <f>GroDB[[#This Row],[Expiration_Date]]-GroDB[[#This Row],[Date_Received1]]</f>
        <v>40</v>
      </c>
      <c r="P71" s="4">
        <v>4.9200000000000008</v>
      </c>
      <c r="Q71" s="3">
        <v>34</v>
      </c>
      <c r="R71" s="3">
        <v>96</v>
      </c>
      <c r="S71" s="3">
        <v>76</v>
      </c>
      <c r="T71" s="4">
        <v>6.15</v>
      </c>
      <c r="U71" s="3">
        <v>90</v>
      </c>
      <c r="V71" s="51">
        <f>IF(GroDB[[#This Row],[LeadTime]]=0,GroDB[[#This Row],[Sales_Volume]],GroDB[[#This Row],[Sales_Volume]]/GroDB[[#This Row],[LeadTime]])</f>
        <v>1.40625</v>
      </c>
      <c r="W71" s="51">
        <f>_xlfn.STDEV.S(GroDB[Daily Sales])</f>
        <v>5.1999899792654221</v>
      </c>
      <c r="X71" s="3">
        <v>34</v>
      </c>
      <c r="Y71" s="7">
        <v>0.62</v>
      </c>
      <c r="Z71" s="4">
        <f>GroDB[[#This Row],[Unit_Price]]*GroDB[[#This Row],[Sales_Volume]]</f>
        <v>553.5</v>
      </c>
      <c r="AA71" s="22">
        <f>GroDB[[#This Row],[ADU]]/GroDB[[#Totals],[ADU]]</f>
        <v>1.607752813538376E-3</v>
      </c>
      <c r="AB71" s="1">
        <f>GroDB[[#This Row],[Sales_Volume]]*GroDB[[#This Row],[Ordering Cost]]</f>
        <v>442.80000000000007</v>
      </c>
    </row>
    <row r="72" spans="1:28" x14ac:dyDescent="0.35">
      <c r="A72" s="5" t="s">
        <v>298</v>
      </c>
      <c r="B72" s="3" t="s">
        <v>32</v>
      </c>
      <c r="C72" s="3" t="s">
        <v>351</v>
      </c>
      <c r="D72" s="3" t="s">
        <v>352</v>
      </c>
      <c r="E72" s="3" t="s">
        <v>56</v>
      </c>
      <c r="F72" s="3" t="s">
        <v>353</v>
      </c>
      <c r="G72" s="3" t="s">
        <v>354</v>
      </c>
      <c r="H72" s="43">
        <v>45568</v>
      </c>
      <c r="I72" s="43">
        <v>45636</v>
      </c>
      <c r="J72" s="47" t="str">
        <f>IF(GroDB[[#This Row],[Last_Order_Date]]&lt;=GroDB[[#This Row],[Date_Received]], "Yes", "No")</f>
        <v>No</v>
      </c>
      <c r="K72" s="43">
        <f>IF(GroDB[[#This Row],[Column1]]="No",GroDB[[#This Row],[Last_Order_Date]],GroDB[[#This Row],[Date_Received]])</f>
        <v>45636</v>
      </c>
      <c r="L72" s="43">
        <f>IF(GroDB[[#This Row],[Column1]]="No",GroDB[[#This Row],[Date_Received]],GroDB[[#This Row],[Last_Order_Date]])</f>
        <v>45568</v>
      </c>
      <c r="M72" s="45">
        <f>GroDB[[#This Row],[Date_Received1]]-GroDB[[#This Row],[Procurement_Date]]</f>
        <v>68</v>
      </c>
      <c r="N72" s="43">
        <v>45530</v>
      </c>
      <c r="O72" s="91">
        <f>GroDB[[#This Row],[Expiration_Date]]-GroDB[[#This Row],[Date_Received1]]</f>
        <v>-106</v>
      </c>
      <c r="P72" s="4">
        <v>1.92</v>
      </c>
      <c r="Q72" s="3">
        <v>82</v>
      </c>
      <c r="R72" s="3">
        <v>3</v>
      </c>
      <c r="S72" s="3">
        <v>82</v>
      </c>
      <c r="T72" s="4">
        <v>2.4</v>
      </c>
      <c r="U72" s="3">
        <v>48</v>
      </c>
      <c r="V72" s="51">
        <f>IF(GroDB[[#This Row],[LeadTime]]=0,GroDB[[#This Row],[Sales_Volume]],GroDB[[#This Row],[Sales_Volume]]/GroDB[[#This Row],[LeadTime]])</f>
        <v>0.70588235294117652</v>
      </c>
      <c r="W72" s="51">
        <f>_xlfn.STDEV.S(GroDB[Daily Sales])</f>
        <v>5.1999899792654221</v>
      </c>
      <c r="X72" s="3">
        <v>31</v>
      </c>
      <c r="Y72" s="7">
        <v>0.62</v>
      </c>
      <c r="Z72" s="4">
        <f>GroDB[[#This Row],[Unit_Price]]*GroDB[[#This Row],[Sales_Volume]]</f>
        <v>115.19999999999999</v>
      </c>
      <c r="AA72" s="22">
        <f>GroDB[[#This Row],[ADU]]/GroDB[[#Totals],[ADU]]</f>
        <v>3.34621723793353E-4</v>
      </c>
      <c r="AB72" s="1">
        <f>GroDB[[#This Row],[Sales_Volume]]*GroDB[[#This Row],[Ordering Cost]]</f>
        <v>92.16</v>
      </c>
    </row>
    <row r="73" spans="1:28" x14ac:dyDescent="0.35">
      <c r="A73" s="5" t="s">
        <v>355</v>
      </c>
      <c r="B73" s="3" t="s">
        <v>18</v>
      </c>
      <c r="C73" s="3" t="s">
        <v>356</v>
      </c>
      <c r="D73" s="3" t="s">
        <v>357</v>
      </c>
      <c r="E73" s="3" t="s">
        <v>56</v>
      </c>
      <c r="F73" s="3" t="s">
        <v>358</v>
      </c>
      <c r="G73" s="3" t="s">
        <v>359</v>
      </c>
      <c r="H73" s="43">
        <v>45568</v>
      </c>
      <c r="I73" s="43">
        <v>45589</v>
      </c>
      <c r="J73" s="47" t="str">
        <f>IF(GroDB[[#This Row],[Last_Order_Date]]&lt;=GroDB[[#This Row],[Date_Received]], "Yes", "No")</f>
        <v>No</v>
      </c>
      <c r="K73" s="43">
        <f>IF(GroDB[[#This Row],[Column1]]="No",GroDB[[#This Row],[Last_Order_Date]],GroDB[[#This Row],[Date_Received]])</f>
        <v>45589</v>
      </c>
      <c r="L73" s="43">
        <f>IF(GroDB[[#This Row],[Column1]]="No",GroDB[[#This Row],[Date_Received]],GroDB[[#This Row],[Last_Order_Date]])</f>
        <v>45568</v>
      </c>
      <c r="M73" s="45">
        <f>GroDB[[#This Row],[Date_Received1]]-GroDB[[#This Row],[Procurement_Date]]</f>
        <v>21</v>
      </c>
      <c r="N73" s="43">
        <v>45597</v>
      </c>
      <c r="O73" s="91">
        <f>GroDB[[#This Row],[Expiration_Date]]-GroDB[[#This Row],[Date_Received1]]</f>
        <v>8</v>
      </c>
      <c r="P73" s="4">
        <v>0.72000000000000008</v>
      </c>
      <c r="Q73" s="3">
        <v>94</v>
      </c>
      <c r="R73" s="3">
        <v>90</v>
      </c>
      <c r="S73" s="3">
        <v>12</v>
      </c>
      <c r="T73" s="4">
        <v>0.9</v>
      </c>
      <c r="U73" s="3">
        <v>98</v>
      </c>
      <c r="V73" s="51">
        <f>IF(GroDB[[#This Row],[LeadTime]]=0,GroDB[[#This Row],[Sales_Volume]],GroDB[[#This Row],[Sales_Volume]]/GroDB[[#This Row],[LeadTime]])</f>
        <v>4.666666666666667</v>
      </c>
      <c r="W73" s="51">
        <f>_xlfn.STDEV.S(GroDB[Daily Sales])</f>
        <v>5.1999899792654221</v>
      </c>
      <c r="X73" s="3">
        <v>71</v>
      </c>
      <c r="Y73" s="7">
        <v>0.35</v>
      </c>
      <c r="Z73" s="4">
        <f>GroDB[[#This Row],[Unit_Price]]*GroDB[[#This Row],[Sales_Volume]]</f>
        <v>88.2</v>
      </c>
      <c r="AA73" s="22">
        <f>GroDB[[#This Row],[ADU]]/GroDB[[#Totals],[ADU]]</f>
        <v>2.5619475727928594E-4</v>
      </c>
      <c r="AB73" s="1">
        <f>GroDB[[#This Row],[Sales_Volume]]*GroDB[[#This Row],[Ordering Cost]]</f>
        <v>70.56</v>
      </c>
    </row>
    <row r="74" spans="1:28" x14ac:dyDescent="0.35">
      <c r="A74" s="5" t="s">
        <v>151</v>
      </c>
      <c r="B74" s="3" t="s">
        <v>91</v>
      </c>
      <c r="C74" s="3" t="s">
        <v>360</v>
      </c>
      <c r="D74" s="3" t="s">
        <v>361</v>
      </c>
      <c r="E74" s="3" t="s">
        <v>56</v>
      </c>
      <c r="F74" s="3" t="s">
        <v>362</v>
      </c>
      <c r="G74" s="3" t="s">
        <v>363</v>
      </c>
      <c r="H74" s="43">
        <v>45599</v>
      </c>
      <c r="I74" s="43">
        <v>45453</v>
      </c>
      <c r="J74" s="47" t="str">
        <f>IF(GroDB[[#This Row],[Last_Order_Date]]&lt;=GroDB[[#This Row],[Date_Received]], "Yes", "No")</f>
        <v>Yes</v>
      </c>
      <c r="K74" s="43">
        <f>IF(GroDB[[#This Row],[Column1]]="No",GroDB[[#This Row],[Last_Order_Date]],GroDB[[#This Row],[Date_Received]])</f>
        <v>45599</v>
      </c>
      <c r="L74" s="43">
        <f>IF(GroDB[[#This Row],[Column1]]="No",GroDB[[#This Row],[Date_Received]],GroDB[[#This Row],[Last_Order_Date]])</f>
        <v>45453</v>
      </c>
      <c r="M74" s="45">
        <f>GroDB[[#This Row],[Date_Received1]]-GroDB[[#This Row],[Procurement_Date]]</f>
        <v>146</v>
      </c>
      <c r="N74" s="43">
        <v>45622</v>
      </c>
      <c r="O74" s="91">
        <f>GroDB[[#This Row],[Expiration_Date]]-GroDB[[#This Row],[Date_Received1]]</f>
        <v>23</v>
      </c>
      <c r="P74" s="4">
        <v>3.6</v>
      </c>
      <c r="Q74" s="3">
        <v>59</v>
      </c>
      <c r="R74" s="3">
        <v>78</v>
      </c>
      <c r="S74" s="3">
        <v>6</v>
      </c>
      <c r="T74" s="4">
        <v>4.5</v>
      </c>
      <c r="U74" s="3">
        <v>32</v>
      </c>
      <c r="V74" s="51">
        <f>IF(GroDB[[#This Row],[LeadTime]]=0,GroDB[[#This Row],[Sales_Volume]],GroDB[[#This Row],[Sales_Volume]]/GroDB[[#This Row],[LeadTime]])</f>
        <v>0.21917808219178081</v>
      </c>
      <c r="W74" s="51">
        <f>_xlfn.STDEV.S(GroDB[Daily Sales])</f>
        <v>5.1999899792654221</v>
      </c>
      <c r="X74" s="3">
        <v>3</v>
      </c>
      <c r="Y74" s="7">
        <v>0.28000000000000003</v>
      </c>
      <c r="Z74" s="4">
        <f>GroDB[[#This Row],[Unit_Price]]*GroDB[[#This Row],[Sales_Volume]]</f>
        <v>144</v>
      </c>
      <c r="AA74" s="22">
        <f>GroDB[[#This Row],[ADU]]/GroDB[[#Totals],[ADU]]</f>
        <v>4.182771547416913E-4</v>
      </c>
      <c r="AB74" s="1">
        <f>GroDB[[#This Row],[Sales_Volume]]*GroDB[[#This Row],[Ordering Cost]]</f>
        <v>115.2</v>
      </c>
    </row>
    <row r="75" spans="1:28" x14ac:dyDescent="0.35">
      <c r="A75" s="5" t="s">
        <v>37</v>
      </c>
      <c r="B75" s="3" t="s">
        <v>18</v>
      </c>
      <c r="C75" s="3" t="s">
        <v>364</v>
      </c>
      <c r="D75" s="3" t="s">
        <v>365</v>
      </c>
      <c r="E75" s="3" t="s">
        <v>56</v>
      </c>
      <c r="F75" s="3" t="s">
        <v>366</v>
      </c>
      <c r="G75" s="3" t="s">
        <v>367</v>
      </c>
      <c r="H75" s="43">
        <v>45599</v>
      </c>
      <c r="I75" s="43">
        <v>45534</v>
      </c>
      <c r="J75" s="47" t="str">
        <f>IF(GroDB[[#This Row],[Last_Order_Date]]&lt;=GroDB[[#This Row],[Date_Received]], "Yes", "No")</f>
        <v>Yes</v>
      </c>
      <c r="K75" s="43">
        <f>IF(GroDB[[#This Row],[Column1]]="No",GroDB[[#This Row],[Last_Order_Date]],GroDB[[#This Row],[Date_Received]])</f>
        <v>45599</v>
      </c>
      <c r="L75" s="43">
        <f>IF(GroDB[[#This Row],[Column1]]="No",GroDB[[#This Row],[Date_Received]],GroDB[[#This Row],[Last_Order_Date]])</f>
        <v>45534</v>
      </c>
      <c r="M75" s="45">
        <f>GroDB[[#This Row],[Date_Received1]]-GroDB[[#This Row],[Procurement_Date]]</f>
        <v>65</v>
      </c>
      <c r="N75" s="43">
        <v>45707</v>
      </c>
      <c r="O75" s="91">
        <f>GroDB[[#This Row],[Expiration_Date]]-GroDB[[#This Row],[Date_Received1]]</f>
        <v>108</v>
      </c>
      <c r="P75" s="4">
        <v>1.1599999999999999</v>
      </c>
      <c r="Q75" s="3">
        <v>18</v>
      </c>
      <c r="R75" s="3">
        <v>50</v>
      </c>
      <c r="S75" s="3">
        <v>77</v>
      </c>
      <c r="T75" s="4">
        <v>1.45</v>
      </c>
      <c r="U75" s="3">
        <v>44</v>
      </c>
      <c r="V75" s="51">
        <f>IF(GroDB[[#This Row],[LeadTime]]=0,GroDB[[#This Row],[Sales_Volume]],GroDB[[#This Row],[Sales_Volume]]/GroDB[[#This Row],[LeadTime]])</f>
        <v>0.67692307692307696</v>
      </c>
      <c r="W75" s="51">
        <f>_xlfn.STDEV.S(GroDB[Daily Sales])</f>
        <v>5.1999899792654221</v>
      </c>
      <c r="X75" s="3">
        <v>19</v>
      </c>
      <c r="Y75" s="7">
        <v>0.91</v>
      </c>
      <c r="Z75" s="4">
        <f>GroDB[[#This Row],[Unit_Price]]*GroDB[[#This Row],[Sales_Volume]]</f>
        <v>63.8</v>
      </c>
      <c r="AA75" s="22">
        <f>GroDB[[#This Row],[ADU]]/GroDB[[#Totals],[ADU]]</f>
        <v>1.8532001717027713E-4</v>
      </c>
      <c r="AB75" s="1">
        <f>GroDB[[#This Row],[Sales_Volume]]*GroDB[[#This Row],[Ordering Cost]]</f>
        <v>51.04</v>
      </c>
    </row>
    <row r="76" spans="1:28" x14ac:dyDescent="0.35">
      <c r="A76" s="5" t="s">
        <v>368</v>
      </c>
      <c r="B76" s="3" t="s">
        <v>53</v>
      </c>
      <c r="C76" s="3" t="s">
        <v>122</v>
      </c>
      <c r="D76" s="3" t="s">
        <v>369</v>
      </c>
      <c r="E76" s="3" t="s">
        <v>21</v>
      </c>
      <c r="F76" s="3" t="s">
        <v>370</v>
      </c>
      <c r="G76" s="3" t="s">
        <v>371</v>
      </c>
      <c r="H76" s="43">
        <v>45629</v>
      </c>
      <c r="I76" s="43">
        <v>45438</v>
      </c>
      <c r="J76" s="47" t="str">
        <f>IF(GroDB[[#This Row],[Last_Order_Date]]&lt;=GroDB[[#This Row],[Date_Received]], "Yes", "No")</f>
        <v>Yes</v>
      </c>
      <c r="K76" s="43">
        <f>IF(GroDB[[#This Row],[Column1]]="No",GroDB[[#This Row],[Last_Order_Date]],GroDB[[#This Row],[Date_Received]])</f>
        <v>45629</v>
      </c>
      <c r="L76" s="43">
        <f>IF(GroDB[[#This Row],[Column1]]="No",GroDB[[#This Row],[Date_Received]],GroDB[[#This Row],[Last_Order_Date]])</f>
        <v>45438</v>
      </c>
      <c r="M76" s="45">
        <f>GroDB[[#This Row],[Date_Received1]]-GroDB[[#This Row],[Procurement_Date]]</f>
        <v>191</v>
      </c>
      <c r="N76" s="43">
        <v>45540</v>
      </c>
      <c r="O76" s="91">
        <f>GroDB[[#This Row],[Expiration_Date]]-GroDB[[#This Row],[Date_Received1]]</f>
        <v>-89</v>
      </c>
      <c r="P76" s="4">
        <v>1.4000000000000001</v>
      </c>
      <c r="Q76" s="3">
        <v>55</v>
      </c>
      <c r="R76" s="3">
        <v>33</v>
      </c>
      <c r="S76" s="3">
        <v>14</v>
      </c>
      <c r="T76" s="4">
        <v>1.75</v>
      </c>
      <c r="U76" s="3">
        <v>34</v>
      </c>
      <c r="V76" s="51">
        <f>IF(GroDB[[#This Row],[LeadTime]]=0,GroDB[[#This Row],[Sales_Volume]],GroDB[[#This Row],[Sales_Volume]]/GroDB[[#This Row],[LeadTime]])</f>
        <v>0.17801047120418848</v>
      </c>
      <c r="W76" s="51">
        <f>_xlfn.STDEV.S(GroDB[Daily Sales])</f>
        <v>5.1999899792654221</v>
      </c>
      <c r="X76" s="3">
        <v>62</v>
      </c>
      <c r="Y76" s="7">
        <v>0.56999999999999995</v>
      </c>
      <c r="Z76" s="4">
        <f>GroDB[[#This Row],[Unit_Price]]*GroDB[[#This Row],[Sales_Volume]]</f>
        <v>59.5</v>
      </c>
      <c r="AA76" s="22">
        <f>GroDB[[#This Row],[ADU]]/GroDB[[#Totals],[ADU]]</f>
        <v>1.7282979657729606E-4</v>
      </c>
      <c r="AB76" s="1">
        <f>GroDB[[#This Row],[Sales_Volume]]*GroDB[[#This Row],[Ordering Cost]]</f>
        <v>47.6</v>
      </c>
    </row>
    <row r="77" spans="1:28" x14ac:dyDescent="0.35">
      <c r="A77" s="5" t="s">
        <v>75</v>
      </c>
      <c r="B77" s="3" t="s">
        <v>32</v>
      </c>
      <c r="C77" s="3" t="s">
        <v>372</v>
      </c>
      <c r="D77" s="3" t="s">
        <v>373</v>
      </c>
      <c r="E77" s="3" t="s">
        <v>28</v>
      </c>
      <c r="F77" s="3" t="s">
        <v>374</v>
      </c>
      <c r="G77" s="3" t="s">
        <v>375</v>
      </c>
      <c r="H77" s="43">
        <v>45629</v>
      </c>
      <c r="I77" s="43">
        <v>45582</v>
      </c>
      <c r="J77" s="47" t="str">
        <f>IF(GroDB[[#This Row],[Last_Order_Date]]&lt;=GroDB[[#This Row],[Date_Received]], "Yes", "No")</f>
        <v>Yes</v>
      </c>
      <c r="K77" s="43">
        <f>IF(GroDB[[#This Row],[Column1]]="No",GroDB[[#This Row],[Last_Order_Date]],GroDB[[#This Row],[Date_Received]])</f>
        <v>45629</v>
      </c>
      <c r="L77" s="43">
        <f>IF(GroDB[[#This Row],[Column1]]="No",GroDB[[#This Row],[Date_Received]],GroDB[[#This Row],[Last_Order_Date]])</f>
        <v>45582</v>
      </c>
      <c r="M77" s="45">
        <f>GroDB[[#This Row],[Date_Received1]]-GroDB[[#This Row],[Procurement_Date]]</f>
        <v>47</v>
      </c>
      <c r="N77" s="43">
        <v>45357</v>
      </c>
      <c r="O77" s="91">
        <f>GroDB[[#This Row],[Expiration_Date]]-GroDB[[#This Row],[Date_Received1]]</f>
        <v>-272</v>
      </c>
      <c r="P77" s="4">
        <v>7.2</v>
      </c>
      <c r="Q77" s="3">
        <v>31</v>
      </c>
      <c r="R77" s="3">
        <v>65</v>
      </c>
      <c r="S77" s="3">
        <v>94</v>
      </c>
      <c r="T77" s="4">
        <v>9</v>
      </c>
      <c r="U77" s="3">
        <v>63</v>
      </c>
      <c r="V77" s="51">
        <f>IF(GroDB[[#This Row],[LeadTime]]=0,GroDB[[#This Row],[Sales_Volume]],GroDB[[#This Row],[Sales_Volume]]/GroDB[[#This Row],[LeadTime]])</f>
        <v>1.3404255319148937</v>
      </c>
      <c r="W77" s="51">
        <f>_xlfn.STDEV.S(GroDB[Daily Sales])</f>
        <v>5.1999899792654221</v>
      </c>
      <c r="X77" s="3">
        <v>7</v>
      </c>
      <c r="Y77" s="7">
        <v>-0.82</v>
      </c>
      <c r="Z77" s="4">
        <f>GroDB[[#This Row],[Unit_Price]]*GroDB[[#This Row],[Sales_Volume]]</f>
        <v>567</v>
      </c>
      <c r="AA77" s="22">
        <f>GroDB[[#This Row],[ADU]]/GroDB[[#Totals],[ADU]]</f>
        <v>1.6469662967954096E-3</v>
      </c>
      <c r="AB77" s="1">
        <f>GroDB[[#This Row],[Sales_Volume]]*GroDB[[#This Row],[Ordering Cost]]</f>
        <v>453.6</v>
      </c>
    </row>
    <row r="78" spans="1:28" x14ac:dyDescent="0.35">
      <c r="A78" s="5" t="s">
        <v>156</v>
      </c>
      <c r="B78" s="3" t="s">
        <v>127</v>
      </c>
      <c r="C78" s="3" t="s">
        <v>376</v>
      </c>
      <c r="D78" s="3" t="s">
        <v>377</v>
      </c>
      <c r="E78" s="3" t="s">
        <v>21</v>
      </c>
      <c r="F78" s="3" t="s">
        <v>378</v>
      </c>
      <c r="G78" s="3" t="s">
        <v>379</v>
      </c>
      <c r="H78" s="43">
        <v>45355</v>
      </c>
      <c r="I78" s="43">
        <v>45485</v>
      </c>
      <c r="J78" s="47" t="str">
        <f>IF(GroDB[[#This Row],[Last_Order_Date]]&lt;=GroDB[[#This Row],[Date_Received]], "Yes", "No")</f>
        <v>No</v>
      </c>
      <c r="K78" s="43">
        <f>IF(GroDB[[#This Row],[Column1]]="No",GroDB[[#This Row],[Last_Order_Date]],GroDB[[#This Row],[Date_Received]])</f>
        <v>45485</v>
      </c>
      <c r="L78" s="43">
        <f>IF(GroDB[[#This Row],[Column1]]="No",GroDB[[#This Row],[Date_Received]],GroDB[[#This Row],[Last_Order_Date]])</f>
        <v>45355</v>
      </c>
      <c r="M78" s="45">
        <f>GroDB[[#This Row],[Date_Received1]]-GroDB[[#This Row],[Procurement_Date]]</f>
        <v>130</v>
      </c>
      <c r="N78" s="43">
        <v>45378</v>
      </c>
      <c r="O78" s="91">
        <f>GroDB[[#This Row],[Expiration_Date]]-GroDB[[#This Row],[Date_Received1]]</f>
        <v>-107</v>
      </c>
      <c r="P78" s="4">
        <v>9.6000000000000014</v>
      </c>
      <c r="Q78" s="3">
        <v>27</v>
      </c>
      <c r="R78" s="3">
        <v>12</v>
      </c>
      <c r="S78" s="3">
        <v>93</v>
      </c>
      <c r="T78" s="4">
        <v>12</v>
      </c>
      <c r="U78" s="3">
        <v>88</v>
      </c>
      <c r="V78" s="51">
        <f>IF(GroDB[[#This Row],[LeadTime]]=0,GroDB[[#This Row],[Sales_Volume]],GroDB[[#This Row],[Sales_Volume]]/GroDB[[#This Row],[LeadTime]])</f>
        <v>0.67692307692307696</v>
      </c>
      <c r="W78" s="51">
        <f>_xlfn.STDEV.S(GroDB[Daily Sales])</f>
        <v>5.1999899792654221</v>
      </c>
      <c r="X78" s="3">
        <v>83</v>
      </c>
      <c r="Y78" s="7">
        <v>0.89</v>
      </c>
      <c r="Z78" s="4">
        <f>GroDB[[#This Row],[Unit_Price]]*GroDB[[#This Row],[Sales_Volume]]</f>
        <v>1056</v>
      </c>
      <c r="AA78" s="22">
        <f>GroDB[[#This Row],[ADU]]/GroDB[[#Totals],[ADU]]</f>
        <v>3.0673658014390695E-3</v>
      </c>
      <c r="AB78" s="1">
        <f>GroDB[[#This Row],[Sales_Volume]]*GroDB[[#This Row],[Ordering Cost]]</f>
        <v>844.80000000000018</v>
      </c>
    </row>
    <row r="79" spans="1:28" x14ac:dyDescent="0.35">
      <c r="A79" s="5" t="s">
        <v>380</v>
      </c>
      <c r="B79" s="3" t="s">
        <v>32</v>
      </c>
      <c r="C79" s="3" t="s">
        <v>381</v>
      </c>
      <c r="D79" s="3" t="s">
        <v>382</v>
      </c>
      <c r="E79" s="3" t="s">
        <v>56</v>
      </c>
      <c r="F79" s="3" t="s">
        <v>383</v>
      </c>
      <c r="G79" s="3" t="s">
        <v>384</v>
      </c>
      <c r="H79" s="43">
        <v>45355</v>
      </c>
      <c r="I79" s="43">
        <v>45636</v>
      </c>
      <c r="J79" s="47" t="str">
        <f>IF(GroDB[[#This Row],[Last_Order_Date]]&lt;=GroDB[[#This Row],[Date_Received]], "Yes", "No")</f>
        <v>No</v>
      </c>
      <c r="K79" s="43">
        <f>IF(GroDB[[#This Row],[Column1]]="No",GroDB[[#This Row],[Last_Order_Date]],GroDB[[#This Row],[Date_Received]])</f>
        <v>45636</v>
      </c>
      <c r="L79" s="43">
        <f>IF(GroDB[[#This Row],[Column1]]="No",GroDB[[#This Row],[Date_Received]],GroDB[[#This Row],[Last_Order_Date]])</f>
        <v>45355</v>
      </c>
      <c r="M79" s="45">
        <f>GroDB[[#This Row],[Date_Received1]]-GroDB[[#This Row],[Procurement_Date]]</f>
        <v>281</v>
      </c>
      <c r="N79" s="43">
        <v>45543</v>
      </c>
      <c r="O79" s="91">
        <f>GroDB[[#This Row],[Expiration_Date]]-GroDB[[#This Row],[Date_Received1]]</f>
        <v>-93</v>
      </c>
      <c r="P79" s="4">
        <v>3.2</v>
      </c>
      <c r="Q79" s="3">
        <v>76</v>
      </c>
      <c r="R79" s="3">
        <v>81</v>
      </c>
      <c r="S79" s="3">
        <v>85</v>
      </c>
      <c r="T79" s="4">
        <v>4</v>
      </c>
      <c r="U79" s="3">
        <v>65</v>
      </c>
      <c r="V79" s="51">
        <f>IF(GroDB[[#This Row],[LeadTime]]=0,GroDB[[#This Row],[Sales_Volume]],GroDB[[#This Row],[Sales_Volume]]/GroDB[[#This Row],[LeadTime]])</f>
        <v>0.23131672597864769</v>
      </c>
      <c r="W79" s="51">
        <f>_xlfn.STDEV.S(GroDB[Daily Sales])</f>
        <v>5.1999899792654221</v>
      </c>
      <c r="X79" s="3">
        <v>68</v>
      </c>
      <c r="Y79" s="7">
        <v>0.06</v>
      </c>
      <c r="Z79" s="4">
        <f>GroDB[[#This Row],[Unit_Price]]*GroDB[[#This Row],[Sales_Volume]]</f>
        <v>260</v>
      </c>
      <c r="AA79" s="22">
        <f>GroDB[[#This Row],[ADU]]/GroDB[[#Totals],[ADU]]</f>
        <v>7.5522264050583159E-4</v>
      </c>
      <c r="AB79" s="1">
        <f>GroDB[[#This Row],[Sales_Volume]]*GroDB[[#This Row],[Ordering Cost]]</f>
        <v>208</v>
      </c>
    </row>
    <row r="80" spans="1:28" x14ac:dyDescent="0.35">
      <c r="A80" s="5" t="s">
        <v>320</v>
      </c>
      <c r="B80" s="3" t="s">
        <v>18</v>
      </c>
      <c r="C80" s="3" t="s">
        <v>312</v>
      </c>
      <c r="D80" s="3" t="s">
        <v>385</v>
      </c>
      <c r="E80" s="3" t="s">
        <v>21</v>
      </c>
      <c r="F80" s="3" t="s">
        <v>386</v>
      </c>
      <c r="G80" s="3" t="s">
        <v>387</v>
      </c>
      <c r="H80" s="43">
        <v>45355</v>
      </c>
      <c r="I80" s="43">
        <v>45458</v>
      </c>
      <c r="J80" s="47" t="str">
        <f>IF(GroDB[[#This Row],[Last_Order_Date]]&lt;=GroDB[[#This Row],[Date_Received]], "Yes", "No")</f>
        <v>No</v>
      </c>
      <c r="K80" s="43">
        <f>IF(GroDB[[#This Row],[Column1]]="No",GroDB[[#This Row],[Last_Order_Date]],GroDB[[#This Row],[Date_Received]])</f>
        <v>45458</v>
      </c>
      <c r="L80" s="43">
        <f>IF(GroDB[[#This Row],[Column1]]="No",GroDB[[#This Row],[Date_Received]],GroDB[[#This Row],[Last_Order_Date]])</f>
        <v>45355</v>
      </c>
      <c r="M80" s="45">
        <f>GroDB[[#This Row],[Date_Received1]]-GroDB[[#This Row],[Procurement_Date]]</f>
        <v>103</v>
      </c>
      <c r="N80" s="43">
        <v>45467</v>
      </c>
      <c r="O80" s="91">
        <f>GroDB[[#This Row],[Expiration_Date]]-GroDB[[#This Row],[Date_Received1]]</f>
        <v>9</v>
      </c>
      <c r="P80" s="4">
        <v>3.2</v>
      </c>
      <c r="Q80" s="3">
        <v>40</v>
      </c>
      <c r="R80" s="3">
        <v>3</v>
      </c>
      <c r="S80" s="3">
        <v>5</v>
      </c>
      <c r="T80" s="4">
        <v>4</v>
      </c>
      <c r="U80" s="3">
        <v>45</v>
      </c>
      <c r="V80" s="51">
        <f>IF(GroDB[[#This Row],[LeadTime]]=0,GroDB[[#This Row],[Sales_Volume]],GroDB[[#This Row],[Sales_Volume]]/GroDB[[#This Row],[LeadTime]])</f>
        <v>0.43689320388349512</v>
      </c>
      <c r="W80" s="51">
        <f>_xlfn.STDEV.S(GroDB[Daily Sales])</f>
        <v>5.1999899792654221</v>
      </c>
      <c r="X80" s="3">
        <v>69</v>
      </c>
      <c r="Y80" s="7">
        <v>-0.05</v>
      </c>
      <c r="Z80" s="4">
        <f>GroDB[[#This Row],[Unit_Price]]*GroDB[[#This Row],[Sales_Volume]]</f>
        <v>180</v>
      </c>
      <c r="AA80" s="22">
        <f>GroDB[[#This Row],[ADU]]/GroDB[[#Totals],[ADU]]</f>
        <v>5.2284644342711413E-4</v>
      </c>
      <c r="AB80" s="1">
        <f>GroDB[[#This Row],[Sales_Volume]]*GroDB[[#This Row],[Ordering Cost]]</f>
        <v>144</v>
      </c>
    </row>
    <row r="81" spans="1:28" x14ac:dyDescent="0.35">
      <c r="A81" s="5" t="s">
        <v>276</v>
      </c>
      <c r="B81" s="3" t="s">
        <v>18</v>
      </c>
      <c r="C81" s="3" t="s">
        <v>388</v>
      </c>
      <c r="D81" s="3" t="s">
        <v>389</v>
      </c>
      <c r="E81" s="3" t="s">
        <v>56</v>
      </c>
      <c r="F81" s="3" t="s">
        <v>390</v>
      </c>
      <c r="G81" s="3" t="s">
        <v>391</v>
      </c>
      <c r="H81" s="43">
        <v>45386</v>
      </c>
      <c r="I81" s="43">
        <v>45523</v>
      </c>
      <c r="J81" s="47" t="str">
        <f>IF(GroDB[[#This Row],[Last_Order_Date]]&lt;=GroDB[[#This Row],[Date_Received]], "Yes", "No")</f>
        <v>No</v>
      </c>
      <c r="K81" s="43">
        <f>IF(GroDB[[#This Row],[Column1]]="No",GroDB[[#This Row],[Last_Order_Date]],GroDB[[#This Row],[Date_Received]])</f>
        <v>45523</v>
      </c>
      <c r="L81" s="43">
        <f>IF(GroDB[[#This Row],[Column1]]="No",GroDB[[#This Row],[Date_Received]],GroDB[[#This Row],[Last_Order_Date]])</f>
        <v>45386</v>
      </c>
      <c r="M81" s="45">
        <f>GroDB[[#This Row],[Date_Received1]]-GroDB[[#This Row],[Procurement_Date]]</f>
        <v>137</v>
      </c>
      <c r="N81" s="43">
        <v>45470</v>
      </c>
      <c r="O81" s="91">
        <f>GroDB[[#This Row],[Expiration_Date]]-GroDB[[#This Row],[Date_Received1]]</f>
        <v>-53</v>
      </c>
      <c r="P81" s="4">
        <v>2.8000000000000003</v>
      </c>
      <c r="Q81" s="3">
        <v>68</v>
      </c>
      <c r="R81" s="3">
        <v>25</v>
      </c>
      <c r="S81" s="3">
        <v>16</v>
      </c>
      <c r="T81" s="4">
        <v>3.5</v>
      </c>
      <c r="U81" s="3">
        <v>25</v>
      </c>
      <c r="V81" s="51">
        <f>IF(GroDB[[#This Row],[LeadTime]]=0,GroDB[[#This Row],[Sales_Volume]],GroDB[[#This Row],[Sales_Volume]]/GroDB[[#This Row],[LeadTime]])</f>
        <v>0.18248175182481752</v>
      </c>
      <c r="W81" s="51">
        <f>_xlfn.STDEV.S(GroDB[Daily Sales])</f>
        <v>5.1999899792654221</v>
      </c>
      <c r="X81" s="3">
        <v>83</v>
      </c>
      <c r="Y81" s="7">
        <v>-0.53</v>
      </c>
      <c r="Z81" s="4">
        <f>GroDB[[#This Row],[Unit_Price]]*GroDB[[#This Row],[Sales_Volume]]</f>
        <v>87.5</v>
      </c>
      <c r="AA81" s="22">
        <f>GroDB[[#This Row],[ADU]]/GroDB[[#Totals],[ADU]]</f>
        <v>2.5416146555484715E-4</v>
      </c>
      <c r="AB81" s="1">
        <f>GroDB[[#This Row],[Sales_Volume]]*GroDB[[#This Row],[Ordering Cost]]</f>
        <v>70</v>
      </c>
    </row>
    <row r="82" spans="1:28" x14ac:dyDescent="0.35">
      <c r="A82" s="5" t="s">
        <v>392</v>
      </c>
      <c r="B82" s="3" t="s">
        <v>18</v>
      </c>
      <c r="C82" s="3" t="s">
        <v>393</v>
      </c>
      <c r="D82" s="3" t="s">
        <v>394</v>
      </c>
      <c r="E82" s="3" t="s">
        <v>21</v>
      </c>
      <c r="F82" s="3" t="s">
        <v>395</v>
      </c>
      <c r="G82" s="3" t="s">
        <v>396</v>
      </c>
      <c r="H82" s="43">
        <v>45386</v>
      </c>
      <c r="I82" s="43">
        <v>45625</v>
      </c>
      <c r="J82" s="47" t="str">
        <f>IF(GroDB[[#This Row],[Last_Order_Date]]&lt;=GroDB[[#This Row],[Date_Received]], "Yes", "No")</f>
        <v>No</v>
      </c>
      <c r="K82" s="43">
        <f>IF(GroDB[[#This Row],[Column1]]="No",GroDB[[#This Row],[Last_Order_Date]],GroDB[[#This Row],[Date_Received]])</f>
        <v>45625</v>
      </c>
      <c r="L82" s="43">
        <f>IF(GroDB[[#This Row],[Column1]]="No",GroDB[[#This Row],[Date_Received]],GroDB[[#This Row],[Last_Order_Date]])</f>
        <v>45386</v>
      </c>
      <c r="M82" s="45">
        <f>GroDB[[#This Row],[Date_Received1]]-GroDB[[#This Row],[Procurement_Date]]</f>
        <v>239</v>
      </c>
      <c r="N82" s="43">
        <v>45658</v>
      </c>
      <c r="O82" s="91">
        <f>GroDB[[#This Row],[Expiration_Date]]-GroDB[[#This Row],[Date_Received1]]</f>
        <v>33</v>
      </c>
      <c r="P82" s="4">
        <v>4.4000000000000004</v>
      </c>
      <c r="Q82" s="3">
        <v>59</v>
      </c>
      <c r="R82" s="3">
        <v>29</v>
      </c>
      <c r="S82" s="3">
        <v>100</v>
      </c>
      <c r="T82" s="4">
        <v>5.5</v>
      </c>
      <c r="U82" s="3">
        <v>74</v>
      </c>
      <c r="V82" s="51">
        <f>IF(GroDB[[#This Row],[LeadTime]]=0,GroDB[[#This Row],[Sales_Volume]],GroDB[[#This Row],[Sales_Volume]]/GroDB[[#This Row],[LeadTime]])</f>
        <v>0.30962343096234307</v>
      </c>
      <c r="W82" s="51">
        <f>_xlfn.STDEV.S(GroDB[Daily Sales])</f>
        <v>5.1999899792654221</v>
      </c>
      <c r="X82" s="3">
        <v>16</v>
      </c>
      <c r="Y82" s="7">
        <v>-2.3199999999999998</v>
      </c>
      <c r="Z82" s="4">
        <f>GroDB[[#This Row],[Unit_Price]]*GroDB[[#This Row],[Sales_Volume]]</f>
        <v>407</v>
      </c>
      <c r="AA82" s="22">
        <f>GroDB[[#This Row],[ADU]]/GroDB[[#Totals],[ADU]]</f>
        <v>1.1822139026379747E-3</v>
      </c>
      <c r="AB82" s="1">
        <f>GroDB[[#This Row],[Sales_Volume]]*GroDB[[#This Row],[Ordering Cost]]</f>
        <v>325.60000000000002</v>
      </c>
    </row>
    <row r="83" spans="1:28" x14ac:dyDescent="0.35">
      <c r="A83" s="5" t="s">
        <v>397</v>
      </c>
      <c r="B83" s="3" t="s">
        <v>25</v>
      </c>
      <c r="C83" s="3" t="s">
        <v>398</v>
      </c>
      <c r="D83" s="3" t="s">
        <v>399</v>
      </c>
      <c r="E83" s="3" t="s">
        <v>28</v>
      </c>
      <c r="F83" s="3" t="s">
        <v>400</v>
      </c>
      <c r="G83" s="3" t="s">
        <v>401</v>
      </c>
      <c r="H83" s="43">
        <v>45416</v>
      </c>
      <c r="I83" s="43">
        <v>45467</v>
      </c>
      <c r="J83" s="47" t="str">
        <f>IF(GroDB[[#This Row],[Last_Order_Date]]&lt;=GroDB[[#This Row],[Date_Received]], "Yes", "No")</f>
        <v>No</v>
      </c>
      <c r="K83" s="43">
        <f>IF(GroDB[[#This Row],[Column1]]="No",GroDB[[#This Row],[Last_Order_Date]],GroDB[[#This Row],[Date_Received]])</f>
        <v>45467</v>
      </c>
      <c r="L83" s="43">
        <f>IF(GroDB[[#This Row],[Column1]]="No",GroDB[[#This Row],[Date_Received]],GroDB[[#This Row],[Last_Order_Date]])</f>
        <v>45416</v>
      </c>
      <c r="M83" s="45">
        <f>GroDB[[#This Row],[Date_Received1]]-GroDB[[#This Row],[Procurement_Date]]</f>
        <v>51</v>
      </c>
      <c r="N83" s="43">
        <v>45627</v>
      </c>
      <c r="O83" s="91">
        <f>GroDB[[#This Row],[Expiration_Date]]-GroDB[[#This Row],[Date_Received1]]</f>
        <v>160</v>
      </c>
      <c r="P83" s="4">
        <v>2</v>
      </c>
      <c r="Q83" s="3">
        <v>24</v>
      </c>
      <c r="R83" s="3">
        <v>35</v>
      </c>
      <c r="S83" s="3">
        <v>14</v>
      </c>
      <c r="T83" s="4">
        <v>2.5</v>
      </c>
      <c r="U83" s="3">
        <v>91</v>
      </c>
      <c r="V83" s="51">
        <f>IF(GroDB[[#This Row],[LeadTime]]=0,GroDB[[#This Row],[Sales_Volume]],GroDB[[#This Row],[Sales_Volume]]/GroDB[[#This Row],[LeadTime]])</f>
        <v>1.7843137254901962</v>
      </c>
      <c r="W83" s="51">
        <f>_xlfn.STDEV.S(GroDB[Daily Sales])</f>
        <v>5.1999899792654221</v>
      </c>
      <c r="X83" s="3">
        <v>71</v>
      </c>
      <c r="Y83" s="7">
        <v>0.78</v>
      </c>
      <c r="Z83" s="4">
        <f>GroDB[[#This Row],[Unit_Price]]*GroDB[[#This Row],[Sales_Volume]]</f>
        <v>227.5</v>
      </c>
      <c r="AA83" s="22">
        <f>GroDB[[#This Row],[ADU]]/GroDB[[#Totals],[ADU]]</f>
        <v>6.6081981044260256E-4</v>
      </c>
      <c r="AB83" s="1">
        <f>GroDB[[#This Row],[Sales_Volume]]*GroDB[[#This Row],[Ordering Cost]]</f>
        <v>182</v>
      </c>
    </row>
    <row r="84" spans="1:28" x14ac:dyDescent="0.35">
      <c r="A84" s="5" t="s">
        <v>47</v>
      </c>
      <c r="B84" s="3" t="s">
        <v>18</v>
      </c>
      <c r="C84" s="3" t="s">
        <v>189</v>
      </c>
      <c r="D84" s="3" t="s">
        <v>402</v>
      </c>
      <c r="E84" s="3" t="s">
        <v>21</v>
      </c>
      <c r="F84" s="3" t="s">
        <v>403</v>
      </c>
      <c r="G84" s="3" t="s">
        <v>404</v>
      </c>
      <c r="H84" s="43">
        <v>45416</v>
      </c>
      <c r="I84" s="43">
        <v>45376</v>
      </c>
      <c r="J84" s="47" t="str">
        <f>IF(GroDB[[#This Row],[Last_Order_Date]]&lt;=GroDB[[#This Row],[Date_Received]], "Yes", "No")</f>
        <v>Yes</v>
      </c>
      <c r="K84" s="43">
        <f>IF(GroDB[[#This Row],[Column1]]="No",GroDB[[#This Row],[Last_Order_Date]],GroDB[[#This Row],[Date_Received]])</f>
        <v>45416</v>
      </c>
      <c r="L84" s="43">
        <f>IF(GroDB[[#This Row],[Column1]]="No",GroDB[[#This Row],[Date_Received]],GroDB[[#This Row],[Last_Order_Date]])</f>
        <v>45376</v>
      </c>
      <c r="M84" s="45">
        <f>GroDB[[#This Row],[Date_Received1]]-GroDB[[#This Row],[Procurement_Date]]</f>
        <v>40</v>
      </c>
      <c r="N84" s="43">
        <v>45354</v>
      </c>
      <c r="O84" s="91">
        <f>GroDB[[#This Row],[Expiration_Date]]-GroDB[[#This Row],[Date_Received1]]</f>
        <v>-62</v>
      </c>
      <c r="P84" s="4">
        <v>1.9600000000000002</v>
      </c>
      <c r="Q84" s="3">
        <v>59</v>
      </c>
      <c r="R84" s="3">
        <v>82</v>
      </c>
      <c r="S84" s="3">
        <v>69</v>
      </c>
      <c r="T84" s="4">
        <v>2.4500000000000002</v>
      </c>
      <c r="U84" s="3">
        <v>30</v>
      </c>
      <c r="V84" s="51">
        <f>IF(GroDB[[#This Row],[LeadTime]]=0,GroDB[[#This Row],[Sales_Volume]],GroDB[[#This Row],[Sales_Volume]]/GroDB[[#This Row],[LeadTime]])</f>
        <v>0.75</v>
      </c>
      <c r="W84" s="51">
        <f>_xlfn.STDEV.S(GroDB[Daily Sales])</f>
        <v>5.1999899792654221</v>
      </c>
      <c r="X84" s="3">
        <v>34</v>
      </c>
      <c r="Y84" s="7">
        <v>0.22</v>
      </c>
      <c r="Z84" s="4">
        <f>GroDB[[#This Row],[Unit_Price]]*GroDB[[#This Row],[Sales_Volume]]</f>
        <v>73.5</v>
      </c>
      <c r="AA84" s="22">
        <f>GroDB[[#This Row],[ADU]]/GroDB[[#Totals],[ADU]]</f>
        <v>2.1349563106607162E-4</v>
      </c>
      <c r="AB84" s="1">
        <f>GroDB[[#This Row],[Sales_Volume]]*GroDB[[#This Row],[Ordering Cost]]</f>
        <v>58.800000000000004</v>
      </c>
    </row>
    <row r="85" spans="1:28" x14ac:dyDescent="0.35">
      <c r="A85" s="5" t="s">
        <v>47</v>
      </c>
      <c r="B85" s="3" t="s">
        <v>18</v>
      </c>
      <c r="C85" s="3" t="s">
        <v>405</v>
      </c>
      <c r="D85" s="3" t="s">
        <v>406</v>
      </c>
      <c r="E85" s="3" t="s">
        <v>56</v>
      </c>
      <c r="F85" s="3" t="s">
        <v>407</v>
      </c>
      <c r="G85" s="3" t="s">
        <v>408</v>
      </c>
      <c r="H85" s="43">
        <v>45447</v>
      </c>
      <c r="I85" s="43">
        <v>45402</v>
      </c>
      <c r="J85" s="47" t="str">
        <f>IF(GroDB[[#This Row],[Last_Order_Date]]&lt;=GroDB[[#This Row],[Date_Received]], "Yes", "No")</f>
        <v>Yes</v>
      </c>
      <c r="K85" s="43">
        <f>IF(GroDB[[#This Row],[Column1]]="No",GroDB[[#This Row],[Last_Order_Date]],GroDB[[#This Row],[Date_Received]])</f>
        <v>45447</v>
      </c>
      <c r="L85" s="43">
        <f>IF(GroDB[[#This Row],[Column1]]="No",GroDB[[#This Row],[Date_Received]],GroDB[[#This Row],[Last_Order_Date]])</f>
        <v>45402</v>
      </c>
      <c r="M85" s="45">
        <f>GroDB[[#This Row],[Date_Received1]]-GroDB[[#This Row],[Procurement_Date]]</f>
        <v>45</v>
      </c>
      <c r="N85" s="43">
        <v>45615</v>
      </c>
      <c r="O85" s="91">
        <f>GroDB[[#This Row],[Expiration_Date]]-GroDB[[#This Row],[Date_Received1]]</f>
        <v>168</v>
      </c>
      <c r="P85" s="4">
        <v>2</v>
      </c>
      <c r="Q85" s="3">
        <v>63</v>
      </c>
      <c r="R85" s="3">
        <v>81</v>
      </c>
      <c r="S85" s="3">
        <v>94</v>
      </c>
      <c r="T85" s="4">
        <v>2.5</v>
      </c>
      <c r="U85" s="3">
        <v>56</v>
      </c>
      <c r="V85" s="51">
        <f>IF(GroDB[[#This Row],[LeadTime]]=0,GroDB[[#This Row],[Sales_Volume]],GroDB[[#This Row],[Sales_Volume]]/GroDB[[#This Row],[LeadTime]])</f>
        <v>1.2444444444444445</v>
      </c>
      <c r="W85" s="51">
        <f>_xlfn.STDEV.S(GroDB[Daily Sales])</f>
        <v>5.1999899792654221</v>
      </c>
      <c r="X85" s="3">
        <v>2</v>
      </c>
      <c r="Y85" s="7">
        <v>-0.13</v>
      </c>
      <c r="Z85" s="4">
        <f>GroDB[[#This Row],[Unit_Price]]*GroDB[[#This Row],[Sales_Volume]]</f>
        <v>140</v>
      </c>
      <c r="AA85" s="22">
        <f>GroDB[[#This Row],[ADU]]/GroDB[[#Totals],[ADU]]</f>
        <v>4.0665834488775546E-4</v>
      </c>
      <c r="AB85" s="1">
        <f>GroDB[[#This Row],[Sales_Volume]]*GroDB[[#This Row],[Ordering Cost]]</f>
        <v>112</v>
      </c>
    </row>
    <row r="86" spans="1:28" x14ac:dyDescent="0.35">
      <c r="A86" s="5" t="s">
        <v>258</v>
      </c>
      <c r="B86" s="3" t="s">
        <v>25</v>
      </c>
      <c r="C86" s="3" t="s">
        <v>409</v>
      </c>
      <c r="D86" s="3" t="s">
        <v>410</v>
      </c>
      <c r="E86" s="3" t="s">
        <v>28</v>
      </c>
      <c r="F86" s="3" t="s">
        <v>411</v>
      </c>
      <c r="G86" s="3" t="s">
        <v>412</v>
      </c>
      <c r="H86" s="43">
        <v>45447</v>
      </c>
      <c r="I86" s="43">
        <v>45459</v>
      </c>
      <c r="J86" s="47" t="str">
        <f>IF(GroDB[[#This Row],[Last_Order_Date]]&lt;=GroDB[[#This Row],[Date_Received]], "Yes", "No")</f>
        <v>No</v>
      </c>
      <c r="K86" s="43">
        <f>IF(GroDB[[#This Row],[Column1]]="No",GroDB[[#This Row],[Last_Order_Date]],GroDB[[#This Row],[Date_Received]])</f>
        <v>45459</v>
      </c>
      <c r="L86" s="43">
        <f>IF(GroDB[[#This Row],[Column1]]="No",GroDB[[#This Row],[Date_Received]],GroDB[[#This Row],[Last_Order_Date]])</f>
        <v>45447</v>
      </c>
      <c r="M86" s="45">
        <f>GroDB[[#This Row],[Date_Received1]]-GroDB[[#This Row],[Procurement_Date]]</f>
        <v>12</v>
      </c>
      <c r="N86" s="43">
        <v>45379</v>
      </c>
      <c r="O86" s="91">
        <f>GroDB[[#This Row],[Expiration_Date]]-GroDB[[#This Row],[Date_Received1]]</f>
        <v>-80</v>
      </c>
      <c r="P86" s="4">
        <v>3.2</v>
      </c>
      <c r="Q86" s="3">
        <v>57</v>
      </c>
      <c r="R86" s="3">
        <v>36</v>
      </c>
      <c r="S86" s="3">
        <v>53</v>
      </c>
      <c r="T86" s="4">
        <v>4</v>
      </c>
      <c r="U86" s="3">
        <v>56</v>
      </c>
      <c r="V86" s="51">
        <f>IF(GroDB[[#This Row],[LeadTime]]=0,GroDB[[#This Row],[Sales_Volume]],GroDB[[#This Row],[Sales_Volume]]/GroDB[[#This Row],[LeadTime]])</f>
        <v>4.666666666666667</v>
      </c>
      <c r="W86" s="51">
        <f>_xlfn.STDEV.S(GroDB[Daily Sales])</f>
        <v>5.1999899792654221</v>
      </c>
      <c r="X86" s="3">
        <v>32</v>
      </c>
      <c r="Y86" s="7">
        <v>0.96</v>
      </c>
      <c r="Z86" s="4">
        <f>GroDB[[#This Row],[Unit_Price]]*GroDB[[#This Row],[Sales_Volume]]</f>
        <v>224</v>
      </c>
      <c r="AA86" s="22">
        <f>GroDB[[#This Row],[ADU]]/GroDB[[#Totals],[ADU]]</f>
        <v>6.506533518204087E-4</v>
      </c>
      <c r="AB86" s="1">
        <f>GroDB[[#This Row],[Sales_Volume]]*GroDB[[#This Row],[Ordering Cost]]</f>
        <v>179.20000000000002</v>
      </c>
    </row>
    <row r="87" spans="1:28" x14ac:dyDescent="0.35">
      <c r="A87" s="5" t="s">
        <v>106</v>
      </c>
      <c r="B87" s="3" t="s">
        <v>32</v>
      </c>
      <c r="C87" s="3" t="s">
        <v>388</v>
      </c>
      <c r="D87" s="3" t="s">
        <v>413</v>
      </c>
      <c r="E87" s="3" t="s">
        <v>28</v>
      </c>
      <c r="F87" s="3" t="s">
        <v>414</v>
      </c>
      <c r="G87" s="3" t="s">
        <v>415</v>
      </c>
      <c r="H87" s="43">
        <v>45447</v>
      </c>
      <c r="I87" s="43">
        <v>45440</v>
      </c>
      <c r="J87" s="47" t="str">
        <f>IF(GroDB[[#This Row],[Last_Order_Date]]&lt;=GroDB[[#This Row],[Date_Received]], "Yes", "No")</f>
        <v>Yes</v>
      </c>
      <c r="K87" s="43">
        <f>IF(GroDB[[#This Row],[Column1]]="No",GroDB[[#This Row],[Last_Order_Date]],GroDB[[#This Row],[Date_Received]])</f>
        <v>45447</v>
      </c>
      <c r="L87" s="43">
        <f>IF(GroDB[[#This Row],[Column1]]="No",GroDB[[#This Row],[Date_Received]],GroDB[[#This Row],[Last_Order_Date]])</f>
        <v>45440</v>
      </c>
      <c r="M87" s="45">
        <f>GroDB[[#This Row],[Date_Received1]]-GroDB[[#This Row],[Procurement_Date]]</f>
        <v>7</v>
      </c>
      <c r="N87" s="43">
        <v>45660</v>
      </c>
      <c r="O87" s="91">
        <f>GroDB[[#This Row],[Expiration_Date]]-GroDB[[#This Row],[Date_Received1]]</f>
        <v>213</v>
      </c>
      <c r="P87" s="4">
        <v>2</v>
      </c>
      <c r="Q87" s="3">
        <v>39</v>
      </c>
      <c r="R87" s="3">
        <v>93</v>
      </c>
      <c r="S87" s="3">
        <v>57</v>
      </c>
      <c r="T87" s="4">
        <v>2.5</v>
      </c>
      <c r="U87" s="3">
        <v>26</v>
      </c>
      <c r="V87" s="51">
        <f>IF(GroDB[[#This Row],[LeadTime]]=0,GroDB[[#This Row],[Sales_Volume]],GroDB[[#This Row],[Sales_Volume]]/GroDB[[#This Row],[LeadTime]])</f>
        <v>3.7142857142857144</v>
      </c>
      <c r="W87" s="51">
        <f>_xlfn.STDEV.S(GroDB[Daily Sales])</f>
        <v>5.1999899792654221</v>
      </c>
      <c r="X87" s="3">
        <v>44</v>
      </c>
      <c r="Y87" s="7">
        <v>0.43</v>
      </c>
      <c r="Z87" s="4">
        <f>GroDB[[#This Row],[Unit_Price]]*GroDB[[#This Row],[Sales_Volume]]</f>
        <v>65</v>
      </c>
      <c r="AA87" s="22">
        <f>GroDB[[#This Row],[ADU]]/GroDB[[#Totals],[ADU]]</f>
        <v>1.888056601264579E-4</v>
      </c>
      <c r="AB87" s="1">
        <f>GroDB[[#This Row],[Sales_Volume]]*GroDB[[#This Row],[Ordering Cost]]</f>
        <v>52</v>
      </c>
    </row>
    <row r="88" spans="1:28" x14ac:dyDescent="0.35">
      <c r="A88" s="5" t="s">
        <v>416</v>
      </c>
      <c r="B88" s="3" t="s">
        <v>53</v>
      </c>
      <c r="C88" s="3" t="s">
        <v>43</v>
      </c>
      <c r="D88" s="3" t="s">
        <v>417</v>
      </c>
      <c r="E88" s="3" t="s">
        <v>28</v>
      </c>
      <c r="F88" s="3" t="s">
        <v>418</v>
      </c>
      <c r="G88" s="3" t="s">
        <v>419</v>
      </c>
      <c r="H88" s="43">
        <v>45477</v>
      </c>
      <c r="I88" s="43">
        <v>45569</v>
      </c>
      <c r="J88" s="47" t="str">
        <f>IF(GroDB[[#This Row],[Last_Order_Date]]&lt;=GroDB[[#This Row],[Date_Received]], "Yes", "No")</f>
        <v>No</v>
      </c>
      <c r="K88" s="43">
        <f>IF(GroDB[[#This Row],[Column1]]="No",GroDB[[#This Row],[Last_Order_Date]],GroDB[[#This Row],[Date_Received]])</f>
        <v>45569</v>
      </c>
      <c r="L88" s="43">
        <f>IF(GroDB[[#This Row],[Column1]]="No",GroDB[[#This Row],[Date_Received]],GroDB[[#This Row],[Last_Order_Date]])</f>
        <v>45477</v>
      </c>
      <c r="M88" s="45">
        <f>GroDB[[#This Row],[Date_Received1]]-GroDB[[#This Row],[Procurement_Date]]</f>
        <v>92</v>
      </c>
      <c r="N88" s="43">
        <v>45427</v>
      </c>
      <c r="O88" s="91">
        <f>GroDB[[#This Row],[Expiration_Date]]-GroDB[[#This Row],[Date_Received1]]</f>
        <v>-142</v>
      </c>
      <c r="P88" s="4">
        <v>3.6</v>
      </c>
      <c r="Q88" s="3">
        <v>41</v>
      </c>
      <c r="R88" s="3">
        <v>36</v>
      </c>
      <c r="S88" s="3">
        <v>78</v>
      </c>
      <c r="T88" s="4">
        <v>4.5</v>
      </c>
      <c r="U88" s="3">
        <v>38</v>
      </c>
      <c r="V88" s="51">
        <f>IF(GroDB[[#This Row],[LeadTime]]=0,GroDB[[#This Row],[Sales_Volume]],GroDB[[#This Row],[Sales_Volume]]/GroDB[[#This Row],[LeadTime]])</f>
        <v>0.41304347826086957</v>
      </c>
      <c r="W88" s="51">
        <f>_xlfn.STDEV.S(GroDB[Daily Sales])</f>
        <v>5.1999899792654221</v>
      </c>
      <c r="X88" s="3">
        <v>75</v>
      </c>
      <c r="Y88" s="7">
        <v>-0.69</v>
      </c>
      <c r="Z88" s="4">
        <f>GroDB[[#This Row],[Unit_Price]]*GroDB[[#This Row],[Sales_Volume]]</f>
        <v>171</v>
      </c>
      <c r="AA88" s="22">
        <f>GroDB[[#This Row],[ADU]]/GroDB[[#Totals],[ADU]]</f>
        <v>4.9670412125575841E-4</v>
      </c>
      <c r="AB88" s="1">
        <f>GroDB[[#This Row],[Sales_Volume]]*GroDB[[#This Row],[Ordering Cost]]</f>
        <v>136.80000000000001</v>
      </c>
    </row>
    <row r="89" spans="1:28" x14ac:dyDescent="0.35">
      <c r="A89" s="5" t="s">
        <v>420</v>
      </c>
      <c r="B89" s="3" t="s">
        <v>60</v>
      </c>
      <c r="C89" s="3" t="s">
        <v>421</v>
      </c>
      <c r="D89" s="3" t="s">
        <v>422</v>
      </c>
      <c r="E89" s="3" t="s">
        <v>56</v>
      </c>
      <c r="F89" s="3" t="s">
        <v>423</v>
      </c>
      <c r="G89" s="3" t="s">
        <v>424</v>
      </c>
      <c r="H89" s="43">
        <v>45477</v>
      </c>
      <c r="I89" s="43">
        <v>45360</v>
      </c>
      <c r="J89" s="47" t="str">
        <f>IF(GroDB[[#This Row],[Last_Order_Date]]&lt;=GroDB[[#This Row],[Date_Received]], "Yes", "No")</f>
        <v>Yes</v>
      </c>
      <c r="K89" s="43">
        <f>IF(GroDB[[#This Row],[Column1]]="No",GroDB[[#This Row],[Last_Order_Date]],GroDB[[#This Row],[Date_Received]])</f>
        <v>45477</v>
      </c>
      <c r="L89" s="43">
        <f>IF(GroDB[[#This Row],[Column1]]="No",GroDB[[#This Row],[Date_Received]],GroDB[[#This Row],[Last_Order_Date]])</f>
        <v>45360</v>
      </c>
      <c r="M89" s="45">
        <f>GroDB[[#This Row],[Date_Received1]]-GroDB[[#This Row],[Procurement_Date]]</f>
        <v>117</v>
      </c>
      <c r="N89" s="43">
        <v>45536</v>
      </c>
      <c r="O89" s="91">
        <f>GroDB[[#This Row],[Expiration_Date]]-GroDB[[#This Row],[Date_Received1]]</f>
        <v>59</v>
      </c>
      <c r="P89" s="4">
        <v>14.4</v>
      </c>
      <c r="Q89" s="3">
        <v>25</v>
      </c>
      <c r="R89" s="3">
        <v>44</v>
      </c>
      <c r="S89" s="3">
        <v>96</v>
      </c>
      <c r="T89" s="4">
        <v>18</v>
      </c>
      <c r="U89" s="3">
        <v>36</v>
      </c>
      <c r="V89" s="51">
        <f>IF(GroDB[[#This Row],[LeadTime]]=0,GroDB[[#This Row],[Sales_Volume]],GroDB[[#This Row],[Sales_Volume]]/GroDB[[#This Row],[LeadTime]])</f>
        <v>0.30769230769230771</v>
      </c>
      <c r="W89" s="51">
        <f>_xlfn.STDEV.S(GroDB[Daily Sales])</f>
        <v>5.1999899792654221</v>
      </c>
      <c r="X89" s="3">
        <v>16</v>
      </c>
      <c r="Y89" s="7">
        <v>-0.97</v>
      </c>
      <c r="Z89" s="4">
        <f>GroDB[[#This Row],[Unit_Price]]*GroDB[[#This Row],[Sales_Volume]]</f>
        <v>648</v>
      </c>
      <c r="AA89" s="22">
        <f>GroDB[[#This Row],[ADU]]/GroDB[[#Totals],[ADU]]</f>
        <v>1.882247196337611E-3</v>
      </c>
      <c r="AB89" s="1">
        <f>GroDB[[#This Row],[Sales_Volume]]*GroDB[[#This Row],[Ordering Cost]]</f>
        <v>518.4</v>
      </c>
    </row>
    <row r="90" spans="1:28" x14ac:dyDescent="0.35">
      <c r="A90" s="5" t="s">
        <v>96</v>
      </c>
      <c r="B90" s="3" t="s">
        <v>18</v>
      </c>
      <c r="C90" s="3" t="s">
        <v>425</v>
      </c>
      <c r="D90" s="3" t="s">
        <v>426</v>
      </c>
      <c r="E90" s="3" t="s">
        <v>21</v>
      </c>
      <c r="F90" s="3" t="s">
        <v>427</v>
      </c>
      <c r="G90" s="3" t="s">
        <v>428</v>
      </c>
      <c r="H90" s="43">
        <v>45477</v>
      </c>
      <c r="I90" s="43">
        <v>45560</v>
      </c>
      <c r="J90" s="47" t="str">
        <f>IF(GroDB[[#This Row],[Last_Order_Date]]&lt;=GroDB[[#This Row],[Date_Received]], "Yes", "No")</f>
        <v>No</v>
      </c>
      <c r="K90" s="43">
        <f>IF(GroDB[[#This Row],[Column1]]="No",GroDB[[#This Row],[Last_Order_Date]],GroDB[[#This Row],[Date_Received]])</f>
        <v>45560</v>
      </c>
      <c r="L90" s="43">
        <f>IF(GroDB[[#This Row],[Column1]]="No",GroDB[[#This Row],[Date_Received]],GroDB[[#This Row],[Last_Order_Date]])</f>
        <v>45477</v>
      </c>
      <c r="M90" s="45">
        <f>GroDB[[#This Row],[Date_Received1]]-GroDB[[#This Row],[Procurement_Date]]</f>
        <v>83</v>
      </c>
      <c r="N90" s="43">
        <v>45468</v>
      </c>
      <c r="O90" s="91">
        <f>GroDB[[#This Row],[Expiration_Date]]-GroDB[[#This Row],[Date_Received1]]</f>
        <v>-92</v>
      </c>
      <c r="P90" s="4">
        <v>2</v>
      </c>
      <c r="Q90" s="3">
        <v>87</v>
      </c>
      <c r="R90" s="3">
        <v>91</v>
      </c>
      <c r="S90" s="3">
        <v>94</v>
      </c>
      <c r="T90" s="4">
        <v>2.5</v>
      </c>
      <c r="U90" s="3">
        <v>47</v>
      </c>
      <c r="V90" s="51">
        <f>IF(GroDB[[#This Row],[LeadTime]]=0,GroDB[[#This Row],[Sales_Volume]],GroDB[[#This Row],[Sales_Volume]]/GroDB[[#This Row],[LeadTime]])</f>
        <v>0.5662650602409639</v>
      </c>
      <c r="W90" s="51">
        <f>_xlfn.STDEV.S(GroDB[Daily Sales])</f>
        <v>5.1999899792654221</v>
      </c>
      <c r="X90" s="3">
        <v>4</v>
      </c>
      <c r="Y90" s="7">
        <v>0.56000000000000005</v>
      </c>
      <c r="Z90" s="4">
        <f>GroDB[[#This Row],[Unit_Price]]*GroDB[[#This Row],[Sales_Volume]]</f>
        <v>117.5</v>
      </c>
      <c r="AA90" s="22">
        <f>GroDB[[#This Row],[ADU]]/GroDB[[#Totals],[ADU]]</f>
        <v>3.4130253945936615E-4</v>
      </c>
      <c r="AB90" s="1">
        <f>GroDB[[#This Row],[Sales_Volume]]*GroDB[[#This Row],[Ordering Cost]]</f>
        <v>94</v>
      </c>
    </row>
    <row r="91" spans="1:28" x14ac:dyDescent="0.35">
      <c r="A91" s="5" t="s">
        <v>293</v>
      </c>
      <c r="B91" s="3" t="s">
        <v>18</v>
      </c>
      <c r="C91" s="3" t="s">
        <v>429</v>
      </c>
      <c r="D91" s="3" t="s">
        <v>430</v>
      </c>
      <c r="E91" s="3" t="s">
        <v>56</v>
      </c>
      <c r="F91" s="3" t="s">
        <v>431</v>
      </c>
      <c r="G91" s="3" t="s">
        <v>432</v>
      </c>
      <c r="H91" s="43">
        <v>45477</v>
      </c>
      <c r="I91" s="43">
        <v>45483</v>
      </c>
      <c r="J91" s="47" t="str">
        <f>IF(GroDB[[#This Row],[Last_Order_Date]]&lt;=GroDB[[#This Row],[Date_Received]], "Yes", "No")</f>
        <v>No</v>
      </c>
      <c r="K91" s="43">
        <f>IF(GroDB[[#This Row],[Column1]]="No",GroDB[[#This Row],[Last_Order_Date]],GroDB[[#This Row],[Date_Received]])</f>
        <v>45483</v>
      </c>
      <c r="L91" s="43">
        <f>IF(GroDB[[#This Row],[Column1]]="No",GroDB[[#This Row],[Date_Received]],GroDB[[#This Row],[Last_Order_Date]])</f>
        <v>45477</v>
      </c>
      <c r="M91" s="45">
        <f>GroDB[[#This Row],[Date_Received1]]-GroDB[[#This Row],[Procurement_Date]]</f>
        <v>6</v>
      </c>
      <c r="N91" s="43">
        <v>45580</v>
      </c>
      <c r="O91" s="91">
        <f>GroDB[[#This Row],[Expiration_Date]]-GroDB[[#This Row],[Date_Received1]]</f>
        <v>97</v>
      </c>
      <c r="P91" s="4">
        <v>1.6</v>
      </c>
      <c r="Q91" s="3">
        <v>20</v>
      </c>
      <c r="R91" s="3">
        <v>65</v>
      </c>
      <c r="S91" s="3">
        <v>61</v>
      </c>
      <c r="T91" s="4">
        <v>2</v>
      </c>
      <c r="U91" s="3">
        <v>51</v>
      </c>
      <c r="V91" s="51">
        <f>IF(GroDB[[#This Row],[LeadTime]]=0,GroDB[[#This Row],[Sales_Volume]],GroDB[[#This Row],[Sales_Volume]]/GroDB[[#This Row],[LeadTime]])</f>
        <v>8.5</v>
      </c>
      <c r="W91" s="51">
        <f>_xlfn.STDEV.S(GroDB[Daily Sales])</f>
        <v>5.1999899792654221</v>
      </c>
      <c r="X91" s="3">
        <v>78</v>
      </c>
      <c r="Y91" s="7">
        <v>0.91</v>
      </c>
      <c r="Z91" s="4">
        <f>GroDB[[#This Row],[Unit_Price]]*GroDB[[#This Row],[Sales_Volume]]</f>
        <v>102</v>
      </c>
      <c r="AA91" s="22">
        <f>GroDB[[#This Row],[ADU]]/GroDB[[#Totals],[ADU]]</f>
        <v>2.9627965127536468E-4</v>
      </c>
      <c r="AB91" s="1">
        <f>GroDB[[#This Row],[Sales_Volume]]*GroDB[[#This Row],[Ordering Cost]]</f>
        <v>81.600000000000009</v>
      </c>
    </row>
    <row r="92" spans="1:28" x14ac:dyDescent="0.35">
      <c r="A92" s="5" t="s">
        <v>433</v>
      </c>
      <c r="B92" s="3" t="s">
        <v>18</v>
      </c>
      <c r="C92" s="3" t="s">
        <v>434</v>
      </c>
      <c r="D92" s="3" t="s">
        <v>435</v>
      </c>
      <c r="E92" s="3" t="s">
        <v>21</v>
      </c>
      <c r="F92" s="3" t="s">
        <v>436</v>
      </c>
      <c r="G92" s="3" t="s">
        <v>437</v>
      </c>
      <c r="H92" s="43">
        <v>45539</v>
      </c>
      <c r="I92" s="43">
        <v>45406</v>
      </c>
      <c r="J92" s="47" t="str">
        <f>IF(GroDB[[#This Row],[Last_Order_Date]]&lt;=GroDB[[#This Row],[Date_Received]], "Yes", "No")</f>
        <v>Yes</v>
      </c>
      <c r="K92" s="43">
        <f>IF(GroDB[[#This Row],[Column1]]="No",GroDB[[#This Row],[Last_Order_Date]],GroDB[[#This Row],[Date_Received]])</f>
        <v>45539</v>
      </c>
      <c r="L92" s="43">
        <f>IF(GroDB[[#This Row],[Column1]]="No",GroDB[[#This Row],[Date_Received]],GroDB[[#This Row],[Last_Order_Date]])</f>
        <v>45406</v>
      </c>
      <c r="M92" s="45">
        <f>GroDB[[#This Row],[Date_Received1]]-GroDB[[#This Row],[Procurement_Date]]</f>
        <v>133</v>
      </c>
      <c r="N92" s="43">
        <v>45583</v>
      </c>
      <c r="O92" s="91">
        <f>GroDB[[#This Row],[Expiration_Date]]-GroDB[[#This Row],[Date_Received1]]</f>
        <v>44</v>
      </c>
      <c r="P92" s="4">
        <v>43.056000000000004</v>
      </c>
      <c r="Q92" s="3">
        <v>95</v>
      </c>
      <c r="R92" s="3">
        <v>25</v>
      </c>
      <c r="S92" s="3">
        <v>91</v>
      </c>
      <c r="T92" s="4">
        <v>53.82</v>
      </c>
      <c r="U92" s="3">
        <v>87</v>
      </c>
      <c r="V92" s="51">
        <f>IF(GroDB[[#This Row],[LeadTime]]=0,GroDB[[#This Row],[Sales_Volume]],GroDB[[#This Row],[Sales_Volume]]/GroDB[[#This Row],[LeadTime]])</f>
        <v>0.65413533834586468</v>
      </c>
      <c r="W92" s="51">
        <f>_xlfn.STDEV.S(GroDB[Daily Sales])</f>
        <v>5.1999899792654221</v>
      </c>
      <c r="X92" s="3">
        <v>5</v>
      </c>
      <c r="Y92" s="7">
        <v>-0.53</v>
      </c>
      <c r="Z92" s="4">
        <f>GroDB[[#This Row],[Unit_Price]]*GroDB[[#This Row],[Sales_Volume]]</f>
        <v>4682.34</v>
      </c>
      <c r="AA92" s="22">
        <f>GroDB[[#This Row],[ADU]]/GroDB[[#Totals],[ADU]]</f>
        <v>1.360080453286952E-2</v>
      </c>
      <c r="AB92" s="1">
        <f>GroDB[[#This Row],[Sales_Volume]]*GroDB[[#This Row],[Ordering Cost]]</f>
        <v>3745.8720000000003</v>
      </c>
    </row>
    <row r="93" spans="1:28" x14ac:dyDescent="0.35">
      <c r="A93" s="5" t="s">
        <v>438</v>
      </c>
      <c r="B93" s="3" t="s">
        <v>18</v>
      </c>
      <c r="C93" s="3" t="s">
        <v>43</v>
      </c>
      <c r="D93" s="3" t="s">
        <v>439</v>
      </c>
      <c r="E93" s="3" t="s">
        <v>28</v>
      </c>
      <c r="F93" s="3" t="s">
        <v>440</v>
      </c>
      <c r="G93" s="3" t="s">
        <v>441</v>
      </c>
      <c r="H93" s="43">
        <v>45539</v>
      </c>
      <c r="I93" s="43">
        <v>45386</v>
      </c>
      <c r="J93" s="47" t="str">
        <f>IF(GroDB[[#This Row],[Last_Order_Date]]&lt;=GroDB[[#This Row],[Date_Received]], "Yes", "No")</f>
        <v>Yes</v>
      </c>
      <c r="K93" s="43">
        <f>IF(GroDB[[#This Row],[Column1]]="No",GroDB[[#This Row],[Last_Order_Date]],GroDB[[#This Row],[Date_Received]])</f>
        <v>45539</v>
      </c>
      <c r="L93" s="43">
        <f>IF(GroDB[[#This Row],[Column1]]="No",GroDB[[#This Row],[Date_Received]],GroDB[[#This Row],[Last_Order_Date]])</f>
        <v>45386</v>
      </c>
      <c r="M93" s="45">
        <f>GroDB[[#This Row],[Date_Received1]]-GroDB[[#This Row],[Procurement_Date]]</f>
        <v>153</v>
      </c>
      <c r="N93" s="43">
        <v>45433</v>
      </c>
      <c r="O93" s="91">
        <f>GroDB[[#This Row],[Expiration_Date]]-GroDB[[#This Row],[Date_Received1]]</f>
        <v>-106</v>
      </c>
      <c r="P93" s="4">
        <v>4</v>
      </c>
      <c r="Q93" s="3">
        <v>56</v>
      </c>
      <c r="R93" s="3">
        <v>75</v>
      </c>
      <c r="S93" s="3">
        <v>13</v>
      </c>
      <c r="T93" s="4">
        <v>5</v>
      </c>
      <c r="U93" s="3">
        <v>42</v>
      </c>
      <c r="V93" s="51">
        <f>IF(GroDB[[#This Row],[LeadTime]]=0,GroDB[[#This Row],[Sales_Volume]],GroDB[[#This Row],[Sales_Volume]]/GroDB[[#This Row],[LeadTime]])</f>
        <v>0.27450980392156865</v>
      </c>
      <c r="W93" s="51">
        <f>_xlfn.STDEV.S(GroDB[Daily Sales])</f>
        <v>5.1999899792654221</v>
      </c>
      <c r="X93" s="3">
        <v>53</v>
      </c>
      <c r="Y93" s="7">
        <v>0.94</v>
      </c>
      <c r="Z93" s="4">
        <f>GroDB[[#This Row],[Unit_Price]]*GroDB[[#This Row],[Sales_Volume]]</f>
        <v>210</v>
      </c>
      <c r="AA93" s="22">
        <f>GroDB[[#This Row],[ADU]]/GroDB[[#Totals],[ADU]]</f>
        <v>6.0998751733163314E-4</v>
      </c>
      <c r="AB93" s="1">
        <f>GroDB[[#This Row],[Sales_Volume]]*GroDB[[#This Row],[Ordering Cost]]</f>
        <v>168</v>
      </c>
    </row>
    <row r="94" spans="1:28" x14ac:dyDescent="0.35">
      <c r="A94" s="5" t="s">
        <v>175</v>
      </c>
      <c r="B94" s="3" t="s">
        <v>53</v>
      </c>
      <c r="C94" s="3" t="s">
        <v>442</v>
      </c>
      <c r="D94" s="3" t="s">
        <v>443</v>
      </c>
      <c r="E94" s="3" t="s">
        <v>21</v>
      </c>
      <c r="F94" s="3" t="s">
        <v>444</v>
      </c>
      <c r="G94" s="3" t="s">
        <v>445</v>
      </c>
      <c r="H94" s="43">
        <v>45569</v>
      </c>
      <c r="I94" s="43">
        <v>45381</v>
      </c>
      <c r="J94" s="47" t="str">
        <f>IF(GroDB[[#This Row],[Last_Order_Date]]&lt;=GroDB[[#This Row],[Date_Received]], "Yes", "No")</f>
        <v>Yes</v>
      </c>
      <c r="K94" s="43">
        <f>IF(GroDB[[#This Row],[Column1]]="No",GroDB[[#This Row],[Last_Order_Date]],GroDB[[#This Row],[Date_Received]])</f>
        <v>45569</v>
      </c>
      <c r="L94" s="43">
        <f>IF(GroDB[[#This Row],[Column1]]="No",GroDB[[#This Row],[Date_Received]],GroDB[[#This Row],[Last_Order_Date]])</f>
        <v>45381</v>
      </c>
      <c r="M94" s="45">
        <f>GroDB[[#This Row],[Date_Received1]]-GroDB[[#This Row],[Procurement_Date]]</f>
        <v>188</v>
      </c>
      <c r="N94" s="43">
        <v>45442</v>
      </c>
      <c r="O94" s="91">
        <f>GroDB[[#This Row],[Expiration_Date]]-GroDB[[#This Row],[Date_Received1]]</f>
        <v>-127</v>
      </c>
      <c r="P94" s="4">
        <v>1.2000000000000002</v>
      </c>
      <c r="Q94" s="3">
        <v>96</v>
      </c>
      <c r="R94" s="3">
        <v>83</v>
      </c>
      <c r="S94" s="3">
        <v>50</v>
      </c>
      <c r="T94" s="4">
        <v>1.5</v>
      </c>
      <c r="U94" s="3">
        <v>81</v>
      </c>
      <c r="V94" s="51">
        <f>IF(GroDB[[#This Row],[LeadTime]]=0,GroDB[[#This Row],[Sales_Volume]],GroDB[[#This Row],[Sales_Volume]]/GroDB[[#This Row],[LeadTime]])</f>
        <v>0.43085106382978722</v>
      </c>
      <c r="W94" s="51">
        <f>_xlfn.STDEV.S(GroDB[Daily Sales])</f>
        <v>5.1999899792654221</v>
      </c>
      <c r="X94" s="3">
        <v>89</v>
      </c>
      <c r="Y94" s="7">
        <v>-0.26</v>
      </c>
      <c r="Z94" s="4">
        <f>GroDB[[#This Row],[Unit_Price]]*GroDB[[#This Row],[Sales_Volume]]</f>
        <v>121.5</v>
      </c>
      <c r="AA94" s="22">
        <f>GroDB[[#This Row],[ADU]]/GroDB[[#Totals],[ADU]]</f>
        <v>3.5292134931330204E-4</v>
      </c>
      <c r="AB94" s="1">
        <f>GroDB[[#This Row],[Sales_Volume]]*GroDB[[#This Row],[Ordering Cost]]</f>
        <v>97.200000000000017</v>
      </c>
    </row>
    <row r="95" spans="1:28" x14ac:dyDescent="0.35">
      <c r="A95" s="5" t="s">
        <v>446</v>
      </c>
      <c r="B95" s="3" t="s">
        <v>53</v>
      </c>
      <c r="C95" s="3" t="s">
        <v>447</v>
      </c>
      <c r="D95" s="3" t="s">
        <v>448</v>
      </c>
      <c r="E95" s="3" t="s">
        <v>56</v>
      </c>
      <c r="F95" s="3" t="s">
        <v>449</v>
      </c>
      <c r="G95" s="3" t="s">
        <v>450</v>
      </c>
      <c r="H95" s="43">
        <v>45569</v>
      </c>
      <c r="I95" s="43">
        <v>45604</v>
      </c>
      <c r="J95" s="47" t="str">
        <f>IF(GroDB[[#This Row],[Last_Order_Date]]&lt;=GroDB[[#This Row],[Date_Received]], "Yes", "No")</f>
        <v>No</v>
      </c>
      <c r="K95" s="43">
        <f>IF(GroDB[[#This Row],[Column1]]="No",GroDB[[#This Row],[Last_Order_Date]],GroDB[[#This Row],[Date_Received]])</f>
        <v>45604</v>
      </c>
      <c r="L95" s="43">
        <f>IF(GroDB[[#This Row],[Column1]]="No",GroDB[[#This Row],[Date_Received]],GroDB[[#This Row],[Last_Order_Date]])</f>
        <v>45569</v>
      </c>
      <c r="M95" s="45">
        <f>GroDB[[#This Row],[Date_Received1]]-GroDB[[#This Row],[Procurement_Date]]</f>
        <v>35</v>
      </c>
      <c r="N95" s="43">
        <v>45440</v>
      </c>
      <c r="O95" s="91">
        <f>GroDB[[#This Row],[Expiration_Date]]-GroDB[[#This Row],[Date_Received1]]</f>
        <v>-164</v>
      </c>
      <c r="P95" s="4">
        <v>7.6000000000000005</v>
      </c>
      <c r="Q95" s="3">
        <v>76</v>
      </c>
      <c r="R95" s="3">
        <v>8</v>
      </c>
      <c r="S95" s="3">
        <v>2</v>
      </c>
      <c r="T95" s="4">
        <v>9.5</v>
      </c>
      <c r="U95" s="3">
        <v>24</v>
      </c>
      <c r="V95" s="51">
        <f>IF(GroDB[[#This Row],[LeadTime]]=0,GroDB[[#This Row],[Sales_Volume]],GroDB[[#This Row],[Sales_Volume]]/GroDB[[#This Row],[LeadTime]])</f>
        <v>0.68571428571428572</v>
      </c>
      <c r="W95" s="51">
        <f>_xlfn.STDEV.S(GroDB[Daily Sales])</f>
        <v>5.1999899792654221</v>
      </c>
      <c r="X95" s="3">
        <v>53</v>
      </c>
      <c r="Y95" s="7">
        <v>-0.1</v>
      </c>
      <c r="Z95" s="4">
        <f>GroDB[[#This Row],[Unit_Price]]*GroDB[[#This Row],[Sales_Volume]]</f>
        <v>228</v>
      </c>
      <c r="AA95" s="22">
        <f>GroDB[[#This Row],[ADU]]/GroDB[[#Totals],[ADU]]</f>
        <v>6.6227216167434458E-4</v>
      </c>
      <c r="AB95" s="1">
        <f>GroDB[[#This Row],[Sales_Volume]]*GroDB[[#This Row],[Ordering Cost]]</f>
        <v>182.4</v>
      </c>
    </row>
    <row r="96" spans="1:28" x14ac:dyDescent="0.35">
      <c r="A96" s="5" t="s">
        <v>146</v>
      </c>
      <c r="B96" s="3" t="s">
        <v>53</v>
      </c>
      <c r="C96" s="3" t="s">
        <v>451</v>
      </c>
      <c r="D96" s="3" t="s">
        <v>452</v>
      </c>
      <c r="E96" s="3" t="s">
        <v>21</v>
      </c>
      <c r="F96" s="3" t="s">
        <v>453</v>
      </c>
      <c r="G96" s="3" t="s">
        <v>454</v>
      </c>
      <c r="H96" s="43">
        <v>45569</v>
      </c>
      <c r="I96" s="43">
        <v>45634</v>
      </c>
      <c r="J96" s="47" t="str">
        <f>IF(GroDB[[#This Row],[Last_Order_Date]]&lt;=GroDB[[#This Row],[Date_Received]], "Yes", "No")</f>
        <v>No</v>
      </c>
      <c r="K96" s="43">
        <f>IF(GroDB[[#This Row],[Column1]]="No",GroDB[[#This Row],[Last_Order_Date]],GroDB[[#This Row],[Date_Received]])</f>
        <v>45634</v>
      </c>
      <c r="L96" s="43">
        <f>IF(GroDB[[#This Row],[Column1]]="No",GroDB[[#This Row],[Date_Received]],GroDB[[#This Row],[Last_Order_Date]])</f>
        <v>45569</v>
      </c>
      <c r="M96" s="45">
        <f>GroDB[[#This Row],[Date_Received1]]-GroDB[[#This Row],[Procurement_Date]]</f>
        <v>65</v>
      </c>
      <c r="N96" s="43">
        <v>45496</v>
      </c>
      <c r="O96" s="91">
        <f>GroDB[[#This Row],[Expiration_Date]]-GroDB[[#This Row],[Date_Received1]]</f>
        <v>-138</v>
      </c>
      <c r="P96" s="4">
        <v>3.8000000000000003</v>
      </c>
      <c r="Q96" s="3">
        <v>17</v>
      </c>
      <c r="R96" s="3">
        <v>19</v>
      </c>
      <c r="S96" s="3">
        <v>74</v>
      </c>
      <c r="T96" s="4">
        <v>4.75</v>
      </c>
      <c r="U96" s="3">
        <v>58</v>
      </c>
      <c r="V96" s="51">
        <f>IF(GroDB[[#This Row],[LeadTime]]=0,GroDB[[#This Row],[Sales_Volume]],GroDB[[#This Row],[Sales_Volume]]/GroDB[[#This Row],[LeadTime]])</f>
        <v>0.89230769230769236</v>
      </c>
      <c r="W96" s="51">
        <f>_xlfn.STDEV.S(GroDB[Daily Sales])</f>
        <v>5.1999899792654221</v>
      </c>
      <c r="X96" s="3">
        <v>27</v>
      </c>
      <c r="Y96" s="7">
        <v>-1.21</v>
      </c>
      <c r="Z96" s="4">
        <f>GroDB[[#This Row],[Unit_Price]]*GroDB[[#This Row],[Sales_Volume]]</f>
        <v>275.5</v>
      </c>
      <c r="AA96" s="22">
        <f>GroDB[[#This Row],[ADU]]/GroDB[[#Totals],[ADU]]</f>
        <v>8.0024552868983301E-4</v>
      </c>
      <c r="AB96" s="1">
        <f>GroDB[[#This Row],[Sales_Volume]]*GroDB[[#This Row],[Ordering Cost]]</f>
        <v>220.4</v>
      </c>
    </row>
    <row r="97" spans="1:28" x14ac:dyDescent="0.35">
      <c r="A97" s="5" t="s">
        <v>80</v>
      </c>
      <c r="B97" s="3" t="s">
        <v>25</v>
      </c>
      <c r="C97" s="3" t="s">
        <v>122</v>
      </c>
      <c r="D97" s="3" t="s">
        <v>455</v>
      </c>
      <c r="E97" s="3" t="s">
        <v>56</v>
      </c>
      <c r="F97" s="3" t="s">
        <v>456</v>
      </c>
      <c r="G97" s="3" t="s">
        <v>457</v>
      </c>
      <c r="H97" s="43">
        <v>45569</v>
      </c>
      <c r="I97" s="43">
        <v>45682</v>
      </c>
      <c r="J97" s="47" t="str">
        <f>IF(GroDB[[#This Row],[Last_Order_Date]]&lt;=GroDB[[#This Row],[Date_Received]], "Yes", "No")</f>
        <v>No</v>
      </c>
      <c r="K97" s="43">
        <f>IF(GroDB[[#This Row],[Column1]]="No",GroDB[[#This Row],[Last_Order_Date]],GroDB[[#This Row],[Date_Received]])</f>
        <v>45682</v>
      </c>
      <c r="L97" s="43">
        <f>IF(GroDB[[#This Row],[Column1]]="No",GroDB[[#This Row],[Date_Received]],GroDB[[#This Row],[Last_Order_Date]])</f>
        <v>45569</v>
      </c>
      <c r="M97" s="45">
        <f>GroDB[[#This Row],[Date_Received1]]-GroDB[[#This Row],[Procurement_Date]]</f>
        <v>113</v>
      </c>
      <c r="N97" s="43">
        <v>45474</v>
      </c>
      <c r="O97" s="91">
        <f>GroDB[[#This Row],[Expiration_Date]]-GroDB[[#This Row],[Date_Received1]]</f>
        <v>-208</v>
      </c>
      <c r="P97" s="4">
        <v>8</v>
      </c>
      <c r="Q97" s="3">
        <v>14</v>
      </c>
      <c r="R97" s="3">
        <v>75</v>
      </c>
      <c r="S97" s="3">
        <v>10</v>
      </c>
      <c r="T97" s="4">
        <v>10</v>
      </c>
      <c r="U97" s="3">
        <v>65</v>
      </c>
      <c r="V97" s="51">
        <f>IF(GroDB[[#This Row],[LeadTime]]=0,GroDB[[#This Row],[Sales_Volume]],GroDB[[#This Row],[Sales_Volume]]/GroDB[[#This Row],[LeadTime]])</f>
        <v>0.5752212389380531</v>
      </c>
      <c r="W97" s="51">
        <f>_xlfn.STDEV.S(GroDB[Daily Sales])</f>
        <v>5.1999899792654221</v>
      </c>
      <c r="X97" s="3">
        <v>62</v>
      </c>
      <c r="Y97" s="7">
        <v>0.53</v>
      </c>
      <c r="Z97" s="4">
        <f>GroDB[[#This Row],[Unit_Price]]*GroDB[[#This Row],[Sales_Volume]]</f>
        <v>650</v>
      </c>
      <c r="AA97" s="22">
        <f>GroDB[[#This Row],[ADU]]/GroDB[[#Totals],[ADU]]</f>
        <v>1.8880566012645789E-3</v>
      </c>
      <c r="AB97" s="1">
        <f>GroDB[[#This Row],[Sales_Volume]]*GroDB[[#This Row],[Ordering Cost]]</f>
        <v>520</v>
      </c>
    </row>
    <row r="98" spans="1:28" x14ac:dyDescent="0.35">
      <c r="A98" s="5" t="s">
        <v>225</v>
      </c>
      <c r="B98" s="3" t="s">
        <v>91</v>
      </c>
      <c r="C98" s="3" t="s">
        <v>458</v>
      </c>
      <c r="D98" s="3" t="s">
        <v>459</v>
      </c>
      <c r="E98" s="3" t="s">
        <v>56</v>
      </c>
      <c r="F98" s="3" t="s">
        <v>460</v>
      </c>
      <c r="G98" s="3" t="s">
        <v>461</v>
      </c>
      <c r="H98" s="43">
        <v>45600</v>
      </c>
      <c r="I98" s="43">
        <v>45386</v>
      </c>
      <c r="J98" s="47" t="str">
        <f>IF(GroDB[[#This Row],[Last_Order_Date]]&lt;=GroDB[[#This Row],[Date_Received]], "Yes", "No")</f>
        <v>Yes</v>
      </c>
      <c r="K98" s="43">
        <f>IF(GroDB[[#This Row],[Column1]]="No",GroDB[[#This Row],[Last_Order_Date]],GroDB[[#This Row],[Date_Received]])</f>
        <v>45600</v>
      </c>
      <c r="L98" s="43">
        <f>IF(GroDB[[#This Row],[Column1]]="No",GroDB[[#This Row],[Date_Received]],GroDB[[#This Row],[Last_Order_Date]])</f>
        <v>45386</v>
      </c>
      <c r="M98" s="45">
        <f>GroDB[[#This Row],[Date_Received1]]-GroDB[[#This Row],[Procurement_Date]]</f>
        <v>214</v>
      </c>
      <c r="N98" s="43">
        <v>45683</v>
      </c>
      <c r="O98" s="91">
        <f>GroDB[[#This Row],[Expiration_Date]]-GroDB[[#This Row],[Date_Received1]]</f>
        <v>83</v>
      </c>
      <c r="P98" s="4">
        <v>4</v>
      </c>
      <c r="Q98" s="3">
        <v>96</v>
      </c>
      <c r="R98" s="3">
        <v>16</v>
      </c>
      <c r="S98" s="3">
        <v>48</v>
      </c>
      <c r="T98" s="4">
        <v>5</v>
      </c>
      <c r="U98" s="3">
        <v>45</v>
      </c>
      <c r="V98" s="51">
        <f>IF(GroDB[[#This Row],[LeadTime]]=0,GroDB[[#This Row],[Sales_Volume]],GroDB[[#This Row],[Sales_Volume]]/GroDB[[#This Row],[LeadTime]])</f>
        <v>0.2102803738317757</v>
      </c>
      <c r="W98" s="51">
        <f>_xlfn.STDEV.S(GroDB[Daily Sales])</f>
        <v>5.1999899792654221</v>
      </c>
      <c r="X98" s="3">
        <v>68</v>
      </c>
      <c r="Y98" s="7">
        <v>0.05</v>
      </c>
      <c r="Z98" s="4">
        <f>GroDB[[#This Row],[Unit_Price]]*GroDB[[#This Row],[Sales_Volume]]</f>
        <v>225</v>
      </c>
      <c r="AA98" s="22">
        <f>GroDB[[#This Row],[ADU]]/GroDB[[#Totals],[ADU]]</f>
        <v>6.5355805428389264E-4</v>
      </c>
      <c r="AB98" s="1">
        <f>GroDB[[#This Row],[Sales_Volume]]*GroDB[[#This Row],[Ordering Cost]]</f>
        <v>180</v>
      </c>
    </row>
    <row r="99" spans="1:28" x14ac:dyDescent="0.35">
      <c r="A99" s="5" t="s">
        <v>329</v>
      </c>
      <c r="B99" s="3" t="s">
        <v>53</v>
      </c>
      <c r="C99" s="3" t="s">
        <v>33</v>
      </c>
      <c r="D99" s="3" t="s">
        <v>462</v>
      </c>
      <c r="E99" s="3" t="s">
        <v>28</v>
      </c>
      <c r="F99" s="3" t="s">
        <v>463</v>
      </c>
      <c r="G99" s="3" t="s">
        <v>464</v>
      </c>
      <c r="H99" s="43">
        <v>45600</v>
      </c>
      <c r="I99" s="43">
        <v>45645</v>
      </c>
      <c r="J99" s="47" t="str">
        <f>IF(GroDB[[#This Row],[Last_Order_Date]]&lt;=GroDB[[#This Row],[Date_Received]], "Yes", "No")</f>
        <v>No</v>
      </c>
      <c r="K99" s="43">
        <f>IF(GroDB[[#This Row],[Column1]]="No",GroDB[[#This Row],[Last_Order_Date]],GroDB[[#This Row],[Date_Received]])</f>
        <v>45645</v>
      </c>
      <c r="L99" s="43">
        <f>IF(GroDB[[#This Row],[Column1]]="No",GroDB[[#This Row],[Date_Received]],GroDB[[#This Row],[Last_Order_Date]])</f>
        <v>45600</v>
      </c>
      <c r="M99" s="45">
        <f>GroDB[[#This Row],[Date_Received1]]-GroDB[[#This Row],[Procurement_Date]]</f>
        <v>45</v>
      </c>
      <c r="N99" s="43">
        <v>45404</v>
      </c>
      <c r="O99" s="91">
        <f>GroDB[[#This Row],[Expiration_Date]]-GroDB[[#This Row],[Date_Received1]]</f>
        <v>-241</v>
      </c>
      <c r="P99" s="4">
        <v>5.04</v>
      </c>
      <c r="Q99" s="3">
        <v>30</v>
      </c>
      <c r="R99" s="3">
        <v>34</v>
      </c>
      <c r="S99" s="3">
        <v>96</v>
      </c>
      <c r="T99" s="4">
        <v>6.3</v>
      </c>
      <c r="U99" s="3">
        <v>61</v>
      </c>
      <c r="V99" s="51">
        <f>IF(GroDB[[#This Row],[LeadTime]]=0,GroDB[[#This Row],[Sales_Volume]],GroDB[[#This Row],[Sales_Volume]]/GroDB[[#This Row],[LeadTime]])</f>
        <v>1.3555555555555556</v>
      </c>
      <c r="W99" s="51">
        <f>_xlfn.STDEV.S(GroDB[Daily Sales])</f>
        <v>5.1999899792654221</v>
      </c>
      <c r="X99" s="3">
        <v>13</v>
      </c>
      <c r="Y99" s="7">
        <v>-0.51</v>
      </c>
      <c r="Z99" s="4">
        <f>GroDB[[#This Row],[Unit_Price]]*GroDB[[#This Row],[Sales_Volume]]</f>
        <v>384.3</v>
      </c>
      <c r="AA99" s="22">
        <f>GroDB[[#This Row],[ADU]]/GroDB[[#Totals],[ADU]]</f>
        <v>1.1162771567168888E-3</v>
      </c>
      <c r="AB99" s="1">
        <f>GroDB[[#This Row],[Sales_Volume]]*GroDB[[#This Row],[Ordering Cost]]</f>
        <v>307.44</v>
      </c>
    </row>
    <row r="100" spans="1:28" x14ac:dyDescent="0.35">
      <c r="A100" s="5" t="s">
        <v>465</v>
      </c>
      <c r="B100" s="3" t="s">
        <v>32</v>
      </c>
      <c r="C100" s="3" t="s">
        <v>466</v>
      </c>
      <c r="D100" s="3" t="s">
        <v>467</v>
      </c>
      <c r="E100" s="3" t="s">
        <v>56</v>
      </c>
      <c r="F100" s="3" t="s">
        <v>468</v>
      </c>
      <c r="G100" s="3" t="s">
        <v>469</v>
      </c>
      <c r="H100" s="43">
        <v>45630</v>
      </c>
      <c r="I100" s="43">
        <v>45445</v>
      </c>
      <c r="J100" s="47" t="str">
        <f>IF(GroDB[[#This Row],[Last_Order_Date]]&lt;=GroDB[[#This Row],[Date_Received]], "Yes", "No")</f>
        <v>Yes</v>
      </c>
      <c r="K100" s="43">
        <f>IF(GroDB[[#This Row],[Column1]]="No",GroDB[[#This Row],[Last_Order_Date]],GroDB[[#This Row],[Date_Received]])</f>
        <v>45630</v>
      </c>
      <c r="L100" s="43">
        <f>IF(GroDB[[#This Row],[Column1]]="No",GroDB[[#This Row],[Date_Received]],GroDB[[#This Row],[Last_Order_Date]])</f>
        <v>45445</v>
      </c>
      <c r="M100" s="45">
        <f>GroDB[[#This Row],[Date_Received1]]-GroDB[[#This Row],[Procurement_Date]]</f>
        <v>185</v>
      </c>
      <c r="N100" s="43">
        <v>45665</v>
      </c>
      <c r="O100" s="91">
        <f>GroDB[[#This Row],[Expiration_Date]]-GroDB[[#This Row],[Date_Received1]]</f>
        <v>35</v>
      </c>
      <c r="P100" s="4">
        <v>2.4000000000000004</v>
      </c>
      <c r="Q100" s="3">
        <v>91</v>
      </c>
      <c r="R100" s="3">
        <v>84</v>
      </c>
      <c r="S100" s="3">
        <v>11</v>
      </c>
      <c r="T100" s="4">
        <v>3</v>
      </c>
      <c r="U100" s="3">
        <v>56</v>
      </c>
      <c r="V100" s="51">
        <f>IF(GroDB[[#This Row],[LeadTime]]=0,GroDB[[#This Row],[Sales_Volume]],GroDB[[#This Row],[Sales_Volume]]/GroDB[[#This Row],[LeadTime]])</f>
        <v>0.30270270270270272</v>
      </c>
      <c r="W100" s="51">
        <f>_xlfn.STDEV.S(GroDB[Daily Sales])</f>
        <v>5.1999899792654221</v>
      </c>
      <c r="X100" s="3">
        <v>90</v>
      </c>
      <c r="Y100" s="7">
        <v>0.79</v>
      </c>
      <c r="Z100" s="4">
        <f>GroDB[[#This Row],[Unit_Price]]*GroDB[[#This Row],[Sales_Volume]]</f>
        <v>168</v>
      </c>
      <c r="AA100" s="22">
        <f>GroDB[[#This Row],[ADU]]/GroDB[[#Totals],[ADU]]</f>
        <v>4.8799001386530652E-4</v>
      </c>
      <c r="AB100" s="1">
        <f>GroDB[[#This Row],[Sales_Volume]]*GroDB[[#This Row],[Ordering Cost]]</f>
        <v>134.40000000000003</v>
      </c>
    </row>
    <row r="101" spans="1:28" x14ac:dyDescent="0.35">
      <c r="A101" s="5" t="s">
        <v>470</v>
      </c>
      <c r="B101" s="3" t="s">
        <v>18</v>
      </c>
      <c r="C101" s="3" t="s">
        <v>434</v>
      </c>
      <c r="D101" s="3" t="s">
        <v>471</v>
      </c>
      <c r="E101" s="3" t="s">
        <v>28</v>
      </c>
      <c r="F101" s="3" t="s">
        <v>472</v>
      </c>
      <c r="G101" s="3" t="s">
        <v>473</v>
      </c>
      <c r="H101" s="43">
        <v>45630</v>
      </c>
      <c r="I101" s="43">
        <v>45495</v>
      </c>
      <c r="J101" s="47" t="str">
        <f>IF(GroDB[[#This Row],[Last_Order_Date]]&lt;=GroDB[[#This Row],[Date_Received]], "Yes", "No")</f>
        <v>Yes</v>
      </c>
      <c r="K101" s="43">
        <f>IF(GroDB[[#This Row],[Column1]]="No",GroDB[[#This Row],[Last_Order_Date]],GroDB[[#This Row],[Date_Received]])</f>
        <v>45630</v>
      </c>
      <c r="L101" s="43">
        <f>IF(GroDB[[#This Row],[Column1]]="No",GroDB[[#This Row],[Date_Received]],GroDB[[#This Row],[Last_Order_Date]])</f>
        <v>45495</v>
      </c>
      <c r="M101" s="45">
        <f>GroDB[[#This Row],[Date_Received1]]-GroDB[[#This Row],[Procurement_Date]]</f>
        <v>135</v>
      </c>
      <c r="N101" s="43">
        <v>45711</v>
      </c>
      <c r="O101" s="91">
        <f>GroDB[[#This Row],[Expiration_Date]]-GroDB[[#This Row],[Date_Received1]]</f>
        <v>81</v>
      </c>
      <c r="P101" s="4">
        <v>3.2</v>
      </c>
      <c r="Q101" s="3">
        <v>47</v>
      </c>
      <c r="R101" s="3">
        <v>67</v>
      </c>
      <c r="S101" s="3">
        <v>57</v>
      </c>
      <c r="T101" s="4">
        <v>4</v>
      </c>
      <c r="U101" s="3">
        <v>36</v>
      </c>
      <c r="V101" s="51">
        <f>IF(GroDB[[#This Row],[LeadTime]]=0,GroDB[[#This Row],[Sales_Volume]],GroDB[[#This Row],[Sales_Volume]]/GroDB[[#This Row],[LeadTime]])</f>
        <v>0.26666666666666666</v>
      </c>
      <c r="W101" s="51">
        <f>_xlfn.STDEV.S(GroDB[Daily Sales])</f>
        <v>5.1999899792654221</v>
      </c>
      <c r="X101" s="3">
        <v>48</v>
      </c>
      <c r="Y101" s="7">
        <v>-0.61</v>
      </c>
      <c r="Z101" s="4">
        <f>GroDB[[#This Row],[Unit_Price]]*GroDB[[#This Row],[Sales_Volume]]</f>
        <v>144</v>
      </c>
      <c r="AA101" s="22">
        <f>GroDB[[#This Row],[ADU]]/GroDB[[#Totals],[ADU]]</f>
        <v>4.182771547416913E-4</v>
      </c>
      <c r="AB101" s="1">
        <f>GroDB[[#This Row],[Sales_Volume]]*GroDB[[#This Row],[Ordering Cost]]</f>
        <v>115.2</v>
      </c>
    </row>
    <row r="102" spans="1:28" x14ac:dyDescent="0.35">
      <c r="A102" s="5" t="s">
        <v>225</v>
      </c>
      <c r="B102" s="3" t="s">
        <v>91</v>
      </c>
      <c r="C102" s="3" t="s">
        <v>474</v>
      </c>
      <c r="D102" s="3" t="s">
        <v>475</v>
      </c>
      <c r="E102" s="3" t="s">
        <v>21</v>
      </c>
      <c r="F102" s="3" t="s">
        <v>476</v>
      </c>
      <c r="G102" s="3" t="s">
        <v>477</v>
      </c>
      <c r="H102" s="43">
        <v>45356</v>
      </c>
      <c r="I102" s="43">
        <v>45551</v>
      </c>
      <c r="J102" s="47" t="str">
        <f>IF(GroDB[[#This Row],[Last_Order_Date]]&lt;=GroDB[[#This Row],[Date_Received]], "Yes", "No")</f>
        <v>No</v>
      </c>
      <c r="K102" s="43">
        <f>IF(GroDB[[#This Row],[Column1]]="No",GroDB[[#This Row],[Last_Order_Date]],GroDB[[#This Row],[Date_Received]])</f>
        <v>45551</v>
      </c>
      <c r="L102" s="43">
        <f>IF(GroDB[[#This Row],[Column1]]="No",GroDB[[#This Row],[Date_Received]],GroDB[[#This Row],[Last_Order_Date]])</f>
        <v>45356</v>
      </c>
      <c r="M102" s="45">
        <f>GroDB[[#This Row],[Date_Received1]]-GroDB[[#This Row],[Procurement_Date]]</f>
        <v>195</v>
      </c>
      <c r="N102" s="43">
        <v>45347</v>
      </c>
      <c r="O102" s="91">
        <f>GroDB[[#This Row],[Expiration_Date]]-GroDB[[#This Row],[Date_Received1]]</f>
        <v>-204</v>
      </c>
      <c r="P102" s="4">
        <v>4</v>
      </c>
      <c r="Q102" s="3">
        <v>11</v>
      </c>
      <c r="R102" s="3">
        <v>6</v>
      </c>
      <c r="S102" s="3">
        <v>100</v>
      </c>
      <c r="T102" s="4">
        <v>5</v>
      </c>
      <c r="U102" s="3">
        <v>88</v>
      </c>
      <c r="V102" s="51">
        <f>IF(GroDB[[#This Row],[LeadTime]]=0,GroDB[[#This Row],[Sales_Volume]],GroDB[[#This Row],[Sales_Volume]]/GroDB[[#This Row],[LeadTime]])</f>
        <v>0.45128205128205129</v>
      </c>
      <c r="W102" s="51">
        <f>_xlfn.STDEV.S(GroDB[Daily Sales])</f>
        <v>5.1999899792654221</v>
      </c>
      <c r="X102" s="3">
        <v>24</v>
      </c>
      <c r="Y102" s="7">
        <v>-0.33</v>
      </c>
      <c r="Z102" s="4">
        <f>GroDB[[#This Row],[Unit_Price]]*GroDB[[#This Row],[Sales_Volume]]</f>
        <v>440</v>
      </c>
      <c r="AA102" s="22">
        <f>GroDB[[#This Row],[ADU]]/GroDB[[#Totals],[ADU]]</f>
        <v>1.2780690839329456E-3</v>
      </c>
      <c r="AB102" s="1">
        <f>GroDB[[#This Row],[Sales_Volume]]*GroDB[[#This Row],[Ordering Cost]]</f>
        <v>352</v>
      </c>
    </row>
    <row r="103" spans="1:28" x14ac:dyDescent="0.35">
      <c r="A103" s="5" t="s">
        <v>320</v>
      </c>
      <c r="B103" s="3" t="s">
        <v>18</v>
      </c>
      <c r="C103" s="3" t="s">
        <v>478</v>
      </c>
      <c r="D103" s="3" t="s">
        <v>479</v>
      </c>
      <c r="E103" s="3" t="s">
        <v>56</v>
      </c>
      <c r="F103" s="3" t="s">
        <v>480</v>
      </c>
      <c r="G103" s="3" t="s">
        <v>481</v>
      </c>
      <c r="H103" s="43">
        <v>45387</v>
      </c>
      <c r="I103" s="43">
        <v>45556</v>
      </c>
      <c r="J103" s="47" t="str">
        <f>IF(GroDB[[#This Row],[Last_Order_Date]]&lt;=GroDB[[#This Row],[Date_Received]], "Yes", "No")</f>
        <v>No</v>
      </c>
      <c r="K103" s="43">
        <f>IF(GroDB[[#This Row],[Column1]]="No",GroDB[[#This Row],[Last_Order_Date]],GroDB[[#This Row],[Date_Received]])</f>
        <v>45556</v>
      </c>
      <c r="L103" s="43">
        <f>IF(GroDB[[#This Row],[Column1]]="No",GroDB[[#This Row],[Date_Received]],GroDB[[#This Row],[Last_Order_Date]])</f>
        <v>45387</v>
      </c>
      <c r="M103" s="45">
        <f>GroDB[[#This Row],[Date_Received1]]-GroDB[[#This Row],[Procurement_Date]]</f>
        <v>169</v>
      </c>
      <c r="N103" s="43">
        <v>45418</v>
      </c>
      <c r="O103" s="91">
        <f>GroDB[[#This Row],[Expiration_Date]]-GroDB[[#This Row],[Date_Received1]]</f>
        <v>-138</v>
      </c>
      <c r="P103" s="4">
        <v>3.2</v>
      </c>
      <c r="Q103" s="3">
        <v>95</v>
      </c>
      <c r="R103" s="3">
        <v>50</v>
      </c>
      <c r="S103" s="3">
        <v>76</v>
      </c>
      <c r="T103" s="4">
        <v>4</v>
      </c>
      <c r="U103" s="3">
        <v>69</v>
      </c>
      <c r="V103" s="51">
        <f>IF(GroDB[[#This Row],[LeadTime]]=0,GroDB[[#This Row],[Sales_Volume]],GroDB[[#This Row],[Sales_Volume]]/GroDB[[#This Row],[LeadTime]])</f>
        <v>0.40828402366863903</v>
      </c>
      <c r="W103" s="51">
        <f>_xlfn.STDEV.S(GroDB[Daily Sales])</f>
        <v>5.1999899792654221</v>
      </c>
      <c r="X103" s="3">
        <v>5</v>
      </c>
      <c r="Y103" s="7">
        <v>0.73</v>
      </c>
      <c r="Z103" s="4">
        <f>GroDB[[#This Row],[Unit_Price]]*GroDB[[#This Row],[Sales_Volume]]</f>
        <v>276</v>
      </c>
      <c r="AA103" s="22">
        <f>GroDB[[#This Row],[ADU]]/GroDB[[#Totals],[ADU]]</f>
        <v>8.0169787992157503E-4</v>
      </c>
      <c r="AB103" s="1">
        <f>GroDB[[#This Row],[Sales_Volume]]*GroDB[[#This Row],[Ordering Cost]]</f>
        <v>220.8</v>
      </c>
    </row>
    <row r="104" spans="1:28" x14ac:dyDescent="0.35">
      <c r="A104" s="5" t="s">
        <v>211</v>
      </c>
      <c r="B104" s="3" t="s">
        <v>32</v>
      </c>
      <c r="C104" s="3" t="s">
        <v>482</v>
      </c>
      <c r="D104" s="3" t="s">
        <v>483</v>
      </c>
      <c r="E104" s="3" t="s">
        <v>21</v>
      </c>
      <c r="F104" s="3" t="s">
        <v>484</v>
      </c>
      <c r="G104" s="3" t="s">
        <v>485</v>
      </c>
      <c r="H104" s="43">
        <v>45387</v>
      </c>
      <c r="I104" s="43">
        <v>45635</v>
      </c>
      <c r="J104" s="47" t="str">
        <f>IF(GroDB[[#This Row],[Last_Order_Date]]&lt;=GroDB[[#This Row],[Date_Received]], "Yes", "No")</f>
        <v>No</v>
      </c>
      <c r="K104" s="43">
        <f>IF(GroDB[[#This Row],[Column1]]="No",GroDB[[#This Row],[Last_Order_Date]],GroDB[[#This Row],[Date_Received]])</f>
        <v>45635</v>
      </c>
      <c r="L104" s="43">
        <f>IF(GroDB[[#This Row],[Column1]]="No",GroDB[[#This Row],[Date_Received]],GroDB[[#This Row],[Last_Order_Date]])</f>
        <v>45387</v>
      </c>
      <c r="M104" s="45">
        <f>GroDB[[#This Row],[Date_Received1]]-GroDB[[#This Row],[Procurement_Date]]</f>
        <v>248</v>
      </c>
      <c r="N104" s="43">
        <v>45431</v>
      </c>
      <c r="O104" s="91">
        <f>GroDB[[#This Row],[Expiration_Date]]-GroDB[[#This Row],[Date_Received1]]</f>
        <v>-204</v>
      </c>
      <c r="P104" s="4">
        <v>3.2</v>
      </c>
      <c r="Q104" s="3">
        <v>92</v>
      </c>
      <c r="R104" s="3">
        <v>67</v>
      </c>
      <c r="S104" s="3">
        <v>51</v>
      </c>
      <c r="T104" s="4">
        <v>4</v>
      </c>
      <c r="U104" s="3">
        <v>23</v>
      </c>
      <c r="V104" s="51">
        <f>IF(GroDB[[#This Row],[LeadTime]]=0,GroDB[[#This Row],[Sales_Volume]],GroDB[[#This Row],[Sales_Volume]]/GroDB[[#This Row],[LeadTime]])</f>
        <v>9.2741935483870969E-2</v>
      </c>
      <c r="W104" s="51">
        <f>_xlfn.STDEV.S(GroDB[Daily Sales])</f>
        <v>5.1999899792654221</v>
      </c>
      <c r="X104" s="3">
        <v>78</v>
      </c>
      <c r="Y104" s="7">
        <v>0.93</v>
      </c>
      <c r="Z104" s="4">
        <f>GroDB[[#This Row],[Unit_Price]]*GroDB[[#This Row],[Sales_Volume]]</f>
        <v>92</v>
      </c>
      <c r="AA104" s="22">
        <f>GroDB[[#This Row],[ADU]]/GroDB[[#Totals],[ADU]]</f>
        <v>2.6723262664052501E-4</v>
      </c>
      <c r="AB104" s="1">
        <f>GroDB[[#This Row],[Sales_Volume]]*GroDB[[#This Row],[Ordering Cost]]</f>
        <v>73.600000000000009</v>
      </c>
    </row>
    <row r="105" spans="1:28" x14ac:dyDescent="0.35">
      <c r="A105" s="5" t="s">
        <v>70</v>
      </c>
      <c r="B105" s="3" t="s">
        <v>32</v>
      </c>
      <c r="C105" s="3" t="s">
        <v>486</v>
      </c>
      <c r="D105" s="3" t="s">
        <v>487</v>
      </c>
      <c r="E105" s="3" t="s">
        <v>28</v>
      </c>
      <c r="F105" s="3" t="s">
        <v>488</v>
      </c>
      <c r="G105" s="3" t="s">
        <v>489</v>
      </c>
      <c r="H105" s="43">
        <v>45387</v>
      </c>
      <c r="I105" s="43">
        <v>45368</v>
      </c>
      <c r="J105" s="47" t="str">
        <f>IF(GroDB[[#This Row],[Last_Order_Date]]&lt;=GroDB[[#This Row],[Date_Received]], "Yes", "No")</f>
        <v>Yes</v>
      </c>
      <c r="K105" s="43">
        <f>IF(GroDB[[#This Row],[Column1]]="No",GroDB[[#This Row],[Last_Order_Date]],GroDB[[#This Row],[Date_Received]])</f>
        <v>45387</v>
      </c>
      <c r="L105" s="43">
        <f>IF(GroDB[[#This Row],[Column1]]="No",GroDB[[#This Row],[Date_Received]],GroDB[[#This Row],[Last_Order_Date]])</f>
        <v>45368</v>
      </c>
      <c r="M105" s="45">
        <f>GroDB[[#This Row],[Date_Received1]]-GroDB[[#This Row],[Procurement_Date]]</f>
        <v>19</v>
      </c>
      <c r="N105" s="43">
        <v>45690</v>
      </c>
      <c r="O105" s="91">
        <f>GroDB[[#This Row],[Expiration_Date]]-GroDB[[#This Row],[Date_Received1]]</f>
        <v>303</v>
      </c>
      <c r="P105" s="4">
        <v>1.4000000000000001</v>
      </c>
      <c r="Q105" s="3">
        <v>85</v>
      </c>
      <c r="R105" s="3">
        <v>83</v>
      </c>
      <c r="S105" s="3">
        <v>13</v>
      </c>
      <c r="T105" s="4">
        <v>1.75</v>
      </c>
      <c r="U105" s="3">
        <v>49</v>
      </c>
      <c r="V105" s="51">
        <f>IF(GroDB[[#This Row],[LeadTime]]=0,GroDB[[#This Row],[Sales_Volume]],GroDB[[#This Row],[Sales_Volume]]/GroDB[[#This Row],[LeadTime]])</f>
        <v>2.5789473684210527</v>
      </c>
      <c r="W105" s="51">
        <f>_xlfn.STDEV.S(GroDB[Daily Sales])</f>
        <v>5.1999899792654221</v>
      </c>
      <c r="X105" s="3">
        <v>75</v>
      </c>
      <c r="Y105" s="7">
        <v>-2.39</v>
      </c>
      <c r="Z105" s="4">
        <f>GroDB[[#This Row],[Unit_Price]]*GroDB[[#This Row],[Sales_Volume]]</f>
        <v>85.75</v>
      </c>
      <c r="AA105" s="22">
        <f>GroDB[[#This Row],[ADU]]/GroDB[[#Totals],[ADU]]</f>
        <v>2.4907823624375022E-4</v>
      </c>
      <c r="AB105" s="1">
        <f>GroDB[[#This Row],[Sales_Volume]]*GroDB[[#This Row],[Ordering Cost]]</f>
        <v>68.600000000000009</v>
      </c>
    </row>
    <row r="106" spans="1:28" x14ac:dyDescent="0.35">
      <c r="A106" s="5" t="s">
        <v>490</v>
      </c>
      <c r="B106" s="3" t="s">
        <v>18</v>
      </c>
      <c r="C106" s="3" t="s">
        <v>491</v>
      </c>
      <c r="D106" s="3" t="s">
        <v>492</v>
      </c>
      <c r="E106" s="3" t="s">
        <v>28</v>
      </c>
      <c r="F106" s="3" t="s">
        <v>493</v>
      </c>
      <c r="G106" s="3" t="s">
        <v>494</v>
      </c>
      <c r="H106" s="43">
        <v>45387</v>
      </c>
      <c r="I106" s="43">
        <v>45347</v>
      </c>
      <c r="J106" s="47" t="str">
        <f>IF(GroDB[[#This Row],[Last_Order_Date]]&lt;=GroDB[[#This Row],[Date_Received]], "Yes", "No")</f>
        <v>Yes</v>
      </c>
      <c r="K106" s="43">
        <f>IF(GroDB[[#This Row],[Column1]]="No",GroDB[[#This Row],[Last_Order_Date]],GroDB[[#This Row],[Date_Received]])</f>
        <v>45387</v>
      </c>
      <c r="L106" s="43">
        <f>IF(GroDB[[#This Row],[Column1]]="No",GroDB[[#This Row],[Date_Received]],GroDB[[#This Row],[Last_Order_Date]])</f>
        <v>45347</v>
      </c>
      <c r="M106" s="45">
        <f>GroDB[[#This Row],[Date_Received1]]-GroDB[[#This Row],[Procurement_Date]]</f>
        <v>40</v>
      </c>
      <c r="N106" s="43">
        <v>45645</v>
      </c>
      <c r="O106" s="91">
        <f>GroDB[[#This Row],[Expiration_Date]]-GroDB[[#This Row],[Date_Received1]]</f>
        <v>258</v>
      </c>
      <c r="P106" s="4">
        <v>4</v>
      </c>
      <c r="Q106" s="3">
        <v>92</v>
      </c>
      <c r="R106" s="3">
        <v>3</v>
      </c>
      <c r="S106" s="3">
        <v>81</v>
      </c>
      <c r="T106" s="4">
        <v>5</v>
      </c>
      <c r="U106" s="3">
        <v>62</v>
      </c>
      <c r="V106" s="51">
        <f>IF(GroDB[[#This Row],[LeadTime]]=0,GroDB[[#This Row],[Sales_Volume]],GroDB[[#This Row],[Sales_Volume]]/GroDB[[#This Row],[LeadTime]])</f>
        <v>1.55</v>
      </c>
      <c r="W106" s="51">
        <f>_xlfn.STDEV.S(GroDB[Daily Sales])</f>
        <v>5.1999899792654221</v>
      </c>
      <c r="X106" s="3">
        <v>20</v>
      </c>
      <c r="Y106" s="7">
        <v>-0.53</v>
      </c>
      <c r="Z106" s="4">
        <f>GroDB[[#This Row],[Unit_Price]]*GroDB[[#This Row],[Sales_Volume]]</f>
        <v>310</v>
      </c>
      <c r="AA106" s="22">
        <f>GroDB[[#This Row],[ADU]]/GroDB[[#Totals],[ADU]]</f>
        <v>9.0045776368002993E-4</v>
      </c>
      <c r="AB106" s="1">
        <f>GroDB[[#This Row],[Sales_Volume]]*GroDB[[#This Row],[Ordering Cost]]</f>
        <v>248</v>
      </c>
    </row>
    <row r="107" spans="1:28" x14ac:dyDescent="0.35">
      <c r="A107" s="5" t="s">
        <v>495</v>
      </c>
      <c r="B107" s="3" t="s">
        <v>18</v>
      </c>
      <c r="C107" s="3" t="s">
        <v>496</v>
      </c>
      <c r="D107" s="3" t="s">
        <v>497</v>
      </c>
      <c r="E107" s="3" t="s">
        <v>28</v>
      </c>
      <c r="F107" s="3" t="s">
        <v>498</v>
      </c>
      <c r="G107" s="3" t="s">
        <v>499</v>
      </c>
      <c r="H107" s="43">
        <v>45387</v>
      </c>
      <c r="I107" s="43">
        <v>45470</v>
      </c>
      <c r="J107" s="47" t="str">
        <f>IF(GroDB[[#This Row],[Last_Order_Date]]&lt;=GroDB[[#This Row],[Date_Received]], "Yes", "No")</f>
        <v>No</v>
      </c>
      <c r="K107" s="43">
        <f>IF(GroDB[[#This Row],[Column1]]="No",GroDB[[#This Row],[Last_Order_Date]],GroDB[[#This Row],[Date_Received]])</f>
        <v>45470</v>
      </c>
      <c r="L107" s="43">
        <f>IF(GroDB[[#This Row],[Column1]]="No",GroDB[[#This Row],[Date_Received]],GroDB[[#This Row],[Last_Order_Date]])</f>
        <v>45387</v>
      </c>
      <c r="M107" s="45">
        <f>GroDB[[#This Row],[Date_Received1]]-GroDB[[#This Row],[Procurement_Date]]</f>
        <v>83</v>
      </c>
      <c r="N107" s="43">
        <v>45593</v>
      </c>
      <c r="O107" s="91">
        <f>GroDB[[#This Row],[Expiration_Date]]-GroDB[[#This Row],[Date_Received1]]</f>
        <v>123</v>
      </c>
      <c r="P107" s="4">
        <v>4.8000000000000007</v>
      </c>
      <c r="Q107" s="3">
        <v>24</v>
      </c>
      <c r="R107" s="3">
        <v>21</v>
      </c>
      <c r="S107" s="3">
        <v>4</v>
      </c>
      <c r="T107" s="4">
        <v>6</v>
      </c>
      <c r="U107" s="3">
        <v>85</v>
      </c>
      <c r="V107" s="51">
        <f>IF(GroDB[[#This Row],[LeadTime]]=0,GroDB[[#This Row],[Sales_Volume]],GroDB[[#This Row],[Sales_Volume]]/GroDB[[#This Row],[LeadTime]])</f>
        <v>1.0240963855421688</v>
      </c>
      <c r="W107" s="51">
        <f>_xlfn.STDEV.S(GroDB[Daily Sales])</f>
        <v>5.1999899792654221</v>
      </c>
      <c r="X107" s="3">
        <v>17</v>
      </c>
      <c r="Y107" s="7">
        <v>0.68</v>
      </c>
      <c r="Z107" s="4">
        <f>GroDB[[#This Row],[Unit_Price]]*GroDB[[#This Row],[Sales_Volume]]</f>
        <v>510</v>
      </c>
      <c r="AA107" s="22">
        <f>GroDB[[#This Row],[ADU]]/GroDB[[#Totals],[ADU]]</f>
        <v>1.4813982563768235E-3</v>
      </c>
      <c r="AB107" s="1">
        <f>GroDB[[#This Row],[Sales_Volume]]*GroDB[[#This Row],[Ordering Cost]]</f>
        <v>408.00000000000006</v>
      </c>
    </row>
    <row r="108" spans="1:28" x14ac:dyDescent="0.35">
      <c r="A108" s="5" t="s">
        <v>298</v>
      </c>
      <c r="B108" s="3" t="s">
        <v>32</v>
      </c>
      <c r="C108" s="3" t="s">
        <v>500</v>
      </c>
      <c r="D108" s="3" t="s">
        <v>501</v>
      </c>
      <c r="E108" s="3" t="s">
        <v>28</v>
      </c>
      <c r="F108" s="3" t="s">
        <v>502</v>
      </c>
      <c r="G108" s="3" t="s">
        <v>503</v>
      </c>
      <c r="H108" s="43">
        <v>45387</v>
      </c>
      <c r="I108" s="43">
        <v>45546</v>
      </c>
      <c r="J108" s="47" t="str">
        <f>IF(GroDB[[#This Row],[Last_Order_Date]]&lt;=GroDB[[#This Row],[Date_Received]], "Yes", "No")</f>
        <v>No</v>
      </c>
      <c r="K108" s="43">
        <f>IF(GroDB[[#This Row],[Column1]]="No",GroDB[[#This Row],[Last_Order_Date]],GroDB[[#This Row],[Date_Received]])</f>
        <v>45546</v>
      </c>
      <c r="L108" s="43">
        <f>IF(GroDB[[#This Row],[Column1]]="No",GroDB[[#This Row],[Date_Received]],GroDB[[#This Row],[Last_Order_Date]])</f>
        <v>45387</v>
      </c>
      <c r="M108" s="45">
        <f>GroDB[[#This Row],[Date_Received1]]-GroDB[[#This Row],[Procurement_Date]]</f>
        <v>159</v>
      </c>
      <c r="N108" s="43">
        <v>45563</v>
      </c>
      <c r="O108" s="91">
        <f>GroDB[[#This Row],[Expiration_Date]]-GroDB[[#This Row],[Date_Received1]]</f>
        <v>17</v>
      </c>
      <c r="P108" s="4">
        <v>1.8800000000000001</v>
      </c>
      <c r="Q108" s="3">
        <v>21</v>
      </c>
      <c r="R108" s="3">
        <v>24</v>
      </c>
      <c r="S108" s="3">
        <v>2</v>
      </c>
      <c r="T108" s="4">
        <v>2.35</v>
      </c>
      <c r="U108" s="3">
        <v>87</v>
      </c>
      <c r="V108" s="51">
        <f>IF(GroDB[[#This Row],[LeadTime]]=0,GroDB[[#This Row],[Sales_Volume]],GroDB[[#This Row],[Sales_Volume]]/GroDB[[#This Row],[LeadTime]])</f>
        <v>0.54716981132075471</v>
      </c>
      <c r="W108" s="51">
        <f>_xlfn.STDEV.S(GroDB[Daily Sales])</f>
        <v>5.1999899792654221</v>
      </c>
      <c r="X108" s="3">
        <v>36</v>
      </c>
      <c r="Y108" s="7">
        <v>0.8</v>
      </c>
      <c r="Z108" s="4">
        <f>GroDB[[#This Row],[Unit_Price]]*GroDB[[#This Row],[Sales_Volume]]</f>
        <v>204.45000000000002</v>
      </c>
      <c r="AA108" s="22">
        <f>GroDB[[#This Row],[ADU]]/GroDB[[#Totals],[ADU]]</f>
        <v>5.9386641865929719E-4</v>
      </c>
      <c r="AB108" s="1">
        <f>GroDB[[#This Row],[Sales_Volume]]*GroDB[[#This Row],[Ordering Cost]]</f>
        <v>163.56</v>
      </c>
    </row>
    <row r="109" spans="1:28" x14ac:dyDescent="0.35">
      <c r="A109" s="5" t="s">
        <v>59</v>
      </c>
      <c r="B109" s="3" t="s">
        <v>60</v>
      </c>
      <c r="C109" s="3" t="s">
        <v>504</v>
      </c>
      <c r="D109" s="3" t="s">
        <v>505</v>
      </c>
      <c r="E109" s="3" t="s">
        <v>56</v>
      </c>
      <c r="F109" s="3" t="s">
        <v>506</v>
      </c>
      <c r="G109" s="3" t="s">
        <v>507</v>
      </c>
      <c r="H109" s="43">
        <v>45387</v>
      </c>
      <c r="I109" s="43">
        <v>45405</v>
      </c>
      <c r="J109" s="47" t="str">
        <f>IF(GroDB[[#This Row],[Last_Order_Date]]&lt;=GroDB[[#This Row],[Date_Received]], "Yes", "No")</f>
        <v>No</v>
      </c>
      <c r="K109" s="43">
        <f>IF(GroDB[[#This Row],[Column1]]="No",GroDB[[#This Row],[Last_Order_Date]],GroDB[[#This Row],[Date_Received]])</f>
        <v>45405</v>
      </c>
      <c r="L109" s="43">
        <f>IF(GroDB[[#This Row],[Column1]]="No",GroDB[[#This Row],[Date_Received]],GroDB[[#This Row],[Last_Order_Date]])</f>
        <v>45387</v>
      </c>
      <c r="M109" s="45">
        <f>GroDB[[#This Row],[Date_Received1]]-GroDB[[#This Row],[Procurement_Date]]</f>
        <v>18</v>
      </c>
      <c r="N109" s="43">
        <v>45681</v>
      </c>
      <c r="O109" s="91">
        <f>GroDB[[#This Row],[Expiration_Date]]-GroDB[[#This Row],[Date_Received1]]</f>
        <v>276</v>
      </c>
      <c r="P109" s="4">
        <v>8</v>
      </c>
      <c r="Q109" s="3">
        <v>64</v>
      </c>
      <c r="R109" s="3">
        <v>1</v>
      </c>
      <c r="S109" s="3">
        <v>92</v>
      </c>
      <c r="T109" s="4">
        <v>10</v>
      </c>
      <c r="U109" s="3">
        <v>49</v>
      </c>
      <c r="V109" s="51">
        <f>IF(GroDB[[#This Row],[LeadTime]]=0,GroDB[[#This Row],[Sales_Volume]],GroDB[[#This Row],[Sales_Volume]]/GroDB[[#This Row],[LeadTime]])</f>
        <v>2.7222222222222223</v>
      </c>
      <c r="W109" s="51">
        <f>_xlfn.STDEV.S(GroDB[Daily Sales])</f>
        <v>5.1999899792654221</v>
      </c>
      <c r="X109" s="3">
        <v>15</v>
      </c>
      <c r="Y109" s="7">
        <v>0.59</v>
      </c>
      <c r="Z109" s="4">
        <f>GroDB[[#This Row],[Unit_Price]]*GroDB[[#This Row],[Sales_Volume]]</f>
        <v>490</v>
      </c>
      <c r="AA109" s="22">
        <f>GroDB[[#This Row],[ADU]]/GroDB[[#Totals],[ADU]]</f>
        <v>1.4233042071071442E-3</v>
      </c>
      <c r="AB109" s="1">
        <f>GroDB[[#This Row],[Sales_Volume]]*GroDB[[#This Row],[Ordering Cost]]</f>
        <v>392</v>
      </c>
    </row>
    <row r="110" spans="1:28" x14ac:dyDescent="0.35">
      <c r="A110" s="5" t="s">
        <v>508</v>
      </c>
      <c r="B110" s="3" t="s">
        <v>127</v>
      </c>
      <c r="C110" s="3" t="s">
        <v>509</v>
      </c>
      <c r="D110" s="3" t="s">
        <v>510</v>
      </c>
      <c r="E110" s="3" t="s">
        <v>56</v>
      </c>
      <c r="F110" s="3" t="s">
        <v>511</v>
      </c>
      <c r="G110" s="3" t="s">
        <v>512</v>
      </c>
      <c r="H110" s="43">
        <v>45387</v>
      </c>
      <c r="I110" s="43">
        <v>45577</v>
      </c>
      <c r="J110" s="47" t="str">
        <f>IF(GroDB[[#This Row],[Last_Order_Date]]&lt;=GroDB[[#This Row],[Date_Received]], "Yes", "No")</f>
        <v>No</v>
      </c>
      <c r="K110" s="43">
        <f>IF(GroDB[[#This Row],[Column1]]="No",GroDB[[#This Row],[Last_Order_Date]],GroDB[[#This Row],[Date_Received]])</f>
        <v>45577</v>
      </c>
      <c r="L110" s="43">
        <f>IF(GroDB[[#This Row],[Column1]]="No",GroDB[[#This Row],[Date_Received]],GroDB[[#This Row],[Last_Order_Date]])</f>
        <v>45387</v>
      </c>
      <c r="M110" s="45">
        <f>GroDB[[#This Row],[Date_Received1]]-GroDB[[#This Row],[Procurement_Date]]</f>
        <v>190</v>
      </c>
      <c r="N110" s="43">
        <v>45617</v>
      </c>
      <c r="O110" s="91">
        <f>GroDB[[#This Row],[Expiration_Date]]-GroDB[[#This Row],[Date_Received1]]</f>
        <v>40</v>
      </c>
      <c r="P110" s="4">
        <v>3.7600000000000002</v>
      </c>
      <c r="Q110" s="3">
        <v>35</v>
      </c>
      <c r="R110" s="3">
        <v>88</v>
      </c>
      <c r="S110" s="3">
        <v>87</v>
      </c>
      <c r="T110" s="4">
        <v>4.7</v>
      </c>
      <c r="U110" s="3">
        <v>39</v>
      </c>
      <c r="V110" s="51">
        <f>IF(GroDB[[#This Row],[LeadTime]]=0,GroDB[[#This Row],[Sales_Volume]],GroDB[[#This Row],[Sales_Volume]]/GroDB[[#This Row],[LeadTime]])</f>
        <v>0.20526315789473684</v>
      </c>
      <c r="W110" s="51">
        <f>_xlfn.STDEV.S(GroDB[Daily Sales])</f>
        <v>5.1999899792654221</v>
      </c>
      <c r="X110" s="3">
        <v>62</v>
      </c>
      <c r="Y110" s="7">
        <v>0.69</v>
      </c>
      <c r="Z110" s="4">
        <f>GroDB[[#This Row],[Unit_Price]]*GroDB[[#This Row],[Sales_Volume]]</f>
        <v>183.3</v>
      </c>
      <c r="AA110" s="22">
        <f>GroDB[[#This Row],[ADU]]/GroDB[[#Totals],[ADU]]</f>
        <v>5.3243196155661123E-4</v>
      </c>
      <c r="AB110" s="1">
        <f>GroDB[[#This Row],[Sales_Volume]]*GroDB[[#This Row],[Ordering Cost]]</f>
        <v>146.64000000000001</v>
      </c>
    </row>
    <row r="111" spans="1:28" x14ac:dyDescent="0.35">
      <c r="A111" s="5" t="s">
        <v>263</v>
      </c>
      <c r="B111" s="3" t="s">
        <v>25</v>
      </c>
      <c r="C111" s="3" t="s">
        <v>513</v>
      </c>
      <c r="D111" s="3" t="s">
        <v>514</v>
      </c>
      <c r="E111" s="3" t="s">
        <v>56</v>
      </c>
      <c r="F111" s="3" t="s">
        <v>515</v>
      </c>
      <c r="G111" s="3" t="s">
        <v>516</v>
      </c>
      <c r="H111" s="43">
        <v>45417</v>
      </c>
      <c r="I111" s="43">
        <v>45680</v>
      </c>
      <c r="J111" s="47" t="str">
        <f>IF(GroDB[[#This Row],[Last_Order_Date]]&lt;=GroDB[[#This Row],[Date_Received]], "Yes", "No")</f>
        <v>No</v>
      </c>
      <c r="K111" s="43">
        <f>IF(GroDB[[#This Row],[Column1]]="No",GroDB[[#This Row],[Last_Order_Date]],GroDB[[#This Row],[Date_Received]])</f>
        <v>45680</v>
      </c>
      <c r="L111" s="43">
        <f>IF(GroDB[[#This Row],[Column1]]="No",GroDB[[#This Row],[Date_Received]],GroDB[[#This Row],[Last_Order_Date]])</f>
        <v>45417</v>
      </c>
      <c r="M111" s="45">
        <f>GroDB[[#This Row],[Date_Received1]]-GroDB[[#This Row],[Procurement_Date]]</f>
        <v>263</v>
      </c>
      <c r="N111" s="43">
        <v>45704</v>
      </c>
      <c r="O111" s="91">
        <f>GroDB[[#This Row],[Expiration_Date]]-GroDB[[#This Row],[Date_Received1]]</f>
        <v>24</v>
      </c>
      <c r="P111" s="4">
        <v>4.8000000000000007</v>
      </c>
      <c r="Q111" s="3">
        <v>100</v>
      </c>
      <c r="R111" s="3">
        <v>92</v>
      </c>
      <c r="S111" s="3">
        <v>26</v>
      </c>
      <c r="T111" s="4">
        <v>6</v>
      </c>
      <c r="U111" s="3">
        <v>84</v>
      </c>
      <c r="V111" s="51">
        <f>IF(GroDB[[#This Row],[LeadTime]]=0,GroDB[[#This Row],[Sales_Volume]],GroDB[[#This Row],[Sales_Volume]]/GroDB[[#This Row],[LeadTime]])</f>
        <v>0.3193916349809886</v>
      </c>
      <c r="W111" s="51">
        <f>_xlfn.STDEV.S(GroDB[Daily Sales])</f>
        <v>5.1999899792654221</v>
      </c>
      <c r="X111" s="3">
        <v>9</v>
      </c>
      <c r="Y111" s="7">
        <v>-0.59</v>
      </c>
      <c r="Z111" s="4">
        <f>GroDB[[#This Row],[Unit_Price]]*GroDB[[#This Row],[Sales_Volume]]</f>
        <v>504</v>
      </c>
      <c r="AA111" s="22">
        <f>GroDB[[#This Row],[ADU]]/GroDB[[#Totals],[ADU]]</f>
        <v>1.4639700415959196E-3</v>
      </c>
      <c r="AB111" s="1">
        <f>GroDB[[#This Row],[Sales_Volume]]*GroDB[[#This Row],[Ordering Cost]]</f>
        <v>403.20000000000005</v>
      </c>
    </row>
    <row r="112" spans="1:28" x14ac:dyDescent="0.35">
      <c r="A112" s="5" t="s">
        <v>517</v>
      </c>
      <c r="B112" s="3" t="s">
        <v>127</v>
      </c>
      <c r="C112" s="3" t="s">
        <v>518</v>
      </c>
      <c r="D112" s="3" t="s">
        <v>519</v>
      </c>
      <c r="E112" s="3" t="s">
        <v>28</v>
      </c>
      <c r="F112" s="3" t="s">
        <v>520</v>
      </c>
      <c r="G112" s="3" t="s">
        <v>521</v>
      </c>
      <c r="H112" s="43">
        <v>45417</v>
      </c>
      <c r="I112" s="43">
        <v>45592</v>
      </c>
      <c r="J112" s="47" t="str">
        <f>IF(GroDB[[#This Row],[Last_Order_Date]]&lt;=GroDB[[#This Row],[Date_Received]], "Yes", "No")</f>
        <v>No</v>
      </c>
      <c r="K112" s="43">
        <f>IF(GroDB[[#This Row],[Column1]]="No",GroDB[[#This Row],[Last_Order_Date]],GroDB[[#This Row],[Date_Received]])</f>
        <v>45592</v>
      </c>
      <c r="L112" s="43">
        <f>IF(GroDB[[#This Row],[Column1]]="No",GroDB[[#This Row],[Date_Received]],GroDB[[#This Row],[Last_Order_Date]])</f>
        <v>45417</v>
      </c>
      <c r="M112" s="45">
        <f>GroDB[[#This Row],[Date_Received1]]-GroDB[[#This Row],[Procurement_Date]]</f>
        <v>175</v>
      </c>
      <c r="N112" s="43">
        <v>45514</v>
      </c>
      <c r="O112" s="91">
        <f>GroDB[[#This Row],[Expiration_Date]]-GroDB[[#This Row],[Date_Received1]]</f>
        <v>-78</v>
      </c>
      <c r="P112" s="4">
        <v>20</v>
      </c>
      <c r="Q112" s="3">
        <v>91</v>
      </c>
      <c r="R112" s="3">
        <v>78</v>
      </c>
      <c r="S112" s="3">
        <v>61</v>
      </c>
      <c r="T112" s="4">
        <v>25</v>
      </c>
      <c r="U112" s="3">
        <v>63</v>
      </c>
      <c r="V112" s="51">
        <f>IF(GroDB[[#This Row],[LeadTime]]=0,GroDB[[#This Row],[Sales_Volume]],GroDB[[#This Row],[Sales_Volume]]/GroDB[[#This Row],[LeadTime]])</f>
        <v>0.36</v>
      </c>
      <c r="W112" s="51">
        <f>_xlfn.STDEV.S(GroDB[Daily Sales])</f>
        <v>5.1999899792654221</v>
      </c>
      <c r="X112" s="3">
        <v>15</v>
      </c>
      <c r="Y112" s="7">
        <v>0.89</v>
      </c>
      <c r="Z112" s="4">
        <f>GroDB[[#This Row],[Unit_Price]]*GroDB[[#This Row],[Sales_Volume]]</f>
        <v>1575</v>
      </c>
      <c r="AA112" s="22">
        <f>GroDB[[#This Row],[ADU]]/GroDB[[#Totals],[ADU]]</f>
        <v>4.5749063799872484E-3</v>
      </c>
      <c r="AB112" s="1">
        <f>GroDB[[#This Row],[Sales_Volume]]*GroDB[[#This Row],[Ordering Cost]]</f>
        <v>1260</v>
      </c>
    </row>
    <row r="113" spans="1:28" x14ac:dyDescent="0.35">
      <c r="A113" s="5" t="s">
        <v>24</v>
      </c>
      <c r="B113" s="3" t="s">
        <v>25</v>
      </c>
      <c r="C113" s="3" t="s">
        <v>522</v>
      </c>
      <c r="D113" s="3" t="s">
        <v>523</v>
      </c>
      <c r="E113" s="3" t="s">
        <v>56</v>
      </c>
      <c r="F113" s="3" t="s">
        <v>524</v>
      </c>
      <c r="G113" s="3" t="s">
        <v>525</v>
      </c>
      <c r="H113" s="43">
        <v>45417</v>
      </c>
      <c r="I113" s="43">
        <v>45516</v>
      </c>
      <c r="J113" s="47" t="str">
        <f>IF(GroDB[[#This Row],[Last_Order_Date]]&lt;=GroDB[[#This Row],[Date_Received]], "Yes", "No")</f>
        <v>No</v>
      </c>
      <c r="K113" s="43">
        <f>IF(GroDB[[#This Row],[Column1]]="No",GroDB[[#This Row],[Last_Order_Date]],GroDB[[#This Row],[Date_Received]])</f>
        <v>45516</v>
      </c>
      <c r="L113" s="43">
        <f>IF(GroDB[[#This Row],[Column1]]="No",GroDB[[#This Row],[Date_Received]],GroDB[[#This Row],[Last_Order_Date]])</f>
        <v>45417</v>
      </c>
      <c r="M113" s="45">
        <f>GroDB[[#This Row],[Date_Received1]]-GroDB[[#This Row],[Procurement_Date]]</f>
        <v>99</v>
      </c>
      <c r="N113" s="43">
        <v>45463</v>
      </c>
      <c r="O113" s="91">
        <f>GroDB[[#This Row],[Expiration_Date]]-GroDB[[#This Row],[Date_Received1]]</f>
        <v>-53</v>
      </c>
      <c r="P113" s="4">
        <v>1.6</v>
      </c>
      <c r="Q113" s="3">
        <v>18</v>
      </c>
      <c r="R113" s="3">
        <v>72</v>
      </c>
      <c r="S113" s="3">
        <v>71</v>
      </c>
      <c r="T113" s="4">
        <v>2</v>
      </c>
      <c r="U113" s="3">
        <v>25</v>
      </c>
      <c r="V113" s="51">
        <f>IF(GroDB[[#This Row],[LeadTime]]=0,GroDB[[#This Row],[Sales_Volume]],GroDB[[#This Row],[Sales_Volume]]/GroDB[[#This Row],[LeadTime]])</f>
        <v>0.25252525252525254</v>
      </c>
      <c r="W113" s="51">
        <f>_xlfn.STDEV.S(GroDB[Daily Sales])</f>
        <v>5.1999899792654221</v>
      </c>
      <c r="X113" s="3">
        <v>81</v>
      </c>
      <c r="Y113" s="7">
        <v>0.76</v>
      </c>
      <c r="Z113" s="4">
        <f>GroDB[[#This Row],[Unit_Price]]*GroDB[[#This Row],[Sales_Volume]]</f>
        <v>50</v>
      </c>
      <c r="AA113" s="22">
        <f>GroDB[[#This Row],[ADU]]/GroDB[[#Totals],[ADU]]</f>
        <v>1.4523512317419837E-4</v>
      </c>
      <c r="AB113" s="1">
        <f>GroDB[[#This Row],[Sales_Volume]]*GroDB[[#This Row],[Ordering Cost]]</f>
        <v>40</v>
      </c>
    </row>
    <row r="114" spans="1:28" x14ac:dyDescent="0.35">
      <c r="A114" s="5" t="s">
        <v>526</v>
      </c>
      <c r="B114" s="3" t="s">
        <v>53</v>
      </c>
      <c r="C114" s="3" t="s">
        <v>527</v>
      </c>
      <c r="D114" s="3" t="s">
        <v>528</v>
      </c>
      <c r="E114" s="3" t="s">
        <v>21</v>
      </c>
      <c r="F114" s="3" t="s">
        <v>529</v>
      </c>
      <c r="G114" s="3" t="s">
        <v>530</v>
      </c>
      <c r="H114" s="43">
        <v>45417</v>
      </c>
      <c r="I114" s="43">
        <v>45495</v>
      </c>
      <c r="J114" s="47" t="str">
        <f>IF(GroDB[[#This Row],[Last_Order_Date]]&lt;=GroDB[[#This Row],[Date_Received]], "Yes", "No")</f>
        <v>No</v>
      </c>
      <c r="K114" s="43">
        <f>IF(GroDB[[#This Row],[Column1]]="No",GroDB[[#This Row],[Last_Order_Date]],GroDB[[#This Row],[Date_Received]])</f>
        <v>45495</v>
      </c>
      <c r="L114" s="43">
        <f>IF(GroDB[[#This Row],[Column1]]="No",GroDB[[#This Row],[Date_Received]],GroDB[[#This Row],[Last_Order_Date]])</f>
        <v>45417</v>
      </c>
      <c r="M114" s="45">
        <f>GroDB[[#This Row],[Date_Received1]]-GroDB[[#This Row],[Procurement_Date]]</f>
        <v>78</v>
      </c>
      <c r="N114" s="43">
        <v>45712</v>
      </c>
      <c r="O114" s="91">
        <f>GroDB[[#This Row],[Expiration_Date]]-GroDB[[#This Row],[Date_Received1]]</f>
        <v>217</v>
      </c>
      <c r="P114" s="4">
        <v>1.4400000000000002</v>
      </c>
      <c r="Q114" s="3">
        <v>80</v>
      </c>
      <c r="R114" s="3">
        <v>86</v>
      </c>
      <c r="S114" s="3">
        <v>50</v>
      </c>
      <c r="T114" s="4">
        <v>1.8</v>
      </c>
      <c r="U114" s="3">
        <v>46</v>
      </c>
      <c r="V114" s="51">
        <f>IF(GroDB[[#This Row],[LeadTime]]=0,GroDB[[#This Row],[Sales_Volume]],GroDB[[#This Row],[Sales_Volume]]/GroDB[[#This Row],[LeadTime]])</f>
        <v>0.58974358974358976</v>
      </c>
      <c r="W114" s="51">
        <f>_xlfn.STDEV.S(GroDB[Daily Sales])</f>
        <v>5.1999899792654221</v>
      </c>
      <c r="X114" s="3">
        <v>69</v>
      </c>
      <c r="Y114" s="7">
        <v>-2.2400000000000002</v>
      </c>
      <c r="Z114" s="4">
        <f>GroDB[[#This Row],[Unit_Price]]*GroDB[[#This Row],[Sales_Volume]]</f>
        <v>82.8</v>
      </c>
      <c r="AA114" s="22">
        <f>GroDB[[#This Row],[ADU]]/GroDB[[#Totals],[ADU]]</f>
        <v>2.4050936397647249E-4</v>
      </c>
      <c r="AB114" s="1">
        <f>GroDB[[#This Row],[Sales_Volume]]*GroDB[[#This Row],[Ordering Cost]]</f>
        <v>66.240000000000009</v>
      </c>
    </row>
    <row r="115" spans="1:28" x14ac:dyDescent="0.35">
      <c r="A115" s="5" t="s">
        <v>531</v>
      </c>
      <c r="B115" s="3" t="s">
        <v>53</v>
      </c>
      <c r="C115" s="3" t="s">
        <v>532</v>
      </c>
      <c r="D115" s="3" t="s">
        <v>533</v>
      </c>
      <c r="E115" s="3" t="s">
        <v>21</v>
      </c>
      <c r="F115" s="3" t="s">
        <v>534</v>
      </c>
      <c r="G115" s="3" t="s">
        <v>535</v>
      </c>
      <c r="H115" s="43">
        <v>45448</v>
      </c>
      <c r="I115" s="43">
        <v>45562</v>
      </c>
      <c r="J115" s="47" t="str">
        <f>IF(GroDB[[#This Row],[Last_Order_Date]]&lt;=GroDB[[#This Row],[Date_Received]], "Yes", "No")</f>
        <v>No</v>
      </c>
      <c r="K115" s="43">
        <f>IF(GroDB[[#This Row],[Column1]]="No",GroDB[[#This Row],[Last_Order_Date]],GroDB[[#This Row],[Date_Received]])</f>
        <v>45562</v>
      </c>
      <c r="L115" s="43">
        <f>IF(GroDB[[#This Row],[Column1]]="No",GroDB[[#This Row],[Date_Received]],GroDB[[#This Row],[Last_Order_Date]])</f>
        <v>45448</v>
      </c>
      <c r="M115" s="45">
        <f>GroDB[[#This Row],[Date_Received1]]-GroDB[[#This Row],[Procurement_Date]]</f>
        <v>114</v>
      </c>
      <c r="N115" s="43">
        <v>45506</v>
      </c>
      <c r="O115" s="91">
        <f>GroDB[[#This Row],[Expiration_Date]]-GroDB[[#This Row],[Date_Received1]]</f>
        <v>-56</v>
      </c>
      <c r="P115" s="4">
        <v>1.2000000000000002</v>
      </c>
      <c r="Q115" s="3">
        <v>11</v>
      </c>
      <c r="R115" s="3">
        <v>10</v>
      </c>
      <c r="S115" s="3">
        <v>80</v>
      </c>
      <c r="T115" s="4">
        <v>1.5</v>
      </c>
      <c r="U115" s="3">
        <v>48</v>
      </c>
      <c r="V115" s="51">
        <f>IF(GroDB[[#This Row],[LeadTime]]=0,GroDB[[#This Row],[Sales_Volume]],GroDB[[#This Row],[Sales_Volume]]/GroDB[[#This Row],[LeadTime]])</f>
        <v>0.42105263157894735</v>
      </c>
      <c r="W115" s="51">
        <f>_xlfn.STDEV.S(GroDB[Daily Sales])</f>
        <v>5.1999899792654221</v>
      </c>
      <c r="X115" s="3">
        <v>65</v>
      </c>
      <c r="Y115" s="7">
        <v>-0.5</v>
      </c>
      <c r="Z115" s="4">
        <f>GroDB[[#This Row],[Unit_Price]]*GroDB[[#This Row],[Sales_Volume]]</f>
        <v>72</v>
      </c>
      <c r="AA115" s="22">
        <f>GroDB[[#This Row],[ADU]]/GroDB[[#Totals],[ADU]]</f>
        <v>2.0913857737084565E-4</v>
      </c>
      <c r="AB115" s="1">
        <f>GroDB[[#This Row],[Sales_Volume]]*GroDB[[#This Row],[Ordering Cost]]</f>
        <v>57.600000000000009</v>
      </c>
    </row>
    <row r="116" spans="1:28" x14ac:dyDescent="0.35">
      <c r="A116" s="5" t="s">
        <v>225</v>
      </c>
      <c r="B116" s="3" t="s">
        <v>91</v>
      </c>
      <c r="C116" s="3" t="s">
        <v>536</v>
      </c>
      <c r="D116" s="3" t="s">
        <v>537</v>
      </c>
      <c r="E116" s="3" t="s">
        <v>28</v>
      </c>
      <c r="F116" s="3" t="s">
        <v>538</v>
      </c>
      <c r="G116" s="3" t="s">
        <v>539</v>
      </c>
      <c r="H116" s="43">
        <v>45448</v>
      </c>
      <c r="I116" s="43">
        <v>45673</v>
      </c>
      <c r="J116" s="47" t="str">
        <f>IF(GroDB[[#This Row],[Last_Order_Date]]&lt;=GroDB[[#This Row],[Date_Received]], "Yes", "No")</f>
        <v>No</v>
      </c>
      <c r="K116" s="43">
        <f>IF(GroDB[[#This Row],[Column1]]="No",GroDB[[#This Row],[Last_Order_Date]],GroDB[[#This Row],[Date_Received]])</f>
        <v>45673</v>
      </c>
      <c r="L116" s="43">
        <f>IF(GroDB[[#This Row],[Column1]]="No",GroDB[[#This Row],[Date_Received]],GroDB[[#This Row],[Last_Order_Date]])</f>
        <v>45448</v>
      </c>
      <c r="M116" s="45">
        <f>GroDB[[#This Row],[Date_Received1]]-GroDB[[#This Row],[Procurement_Date]]</f>
        <v>225</v>
      </c>
      <c r="N116" s="43">
        <v>45617</v>
      </c>
      <c r="O116" s="91">
        <f>GroDB[[#This Row],[Expiration_Date]]-GroDB[[#This Row],[Date_Received1]]</f>
        <v>-56</v>
      </c>
      <c r="P116" s="4">
        <v>4</v>
      </c>
      <c r="Q116" s="3">
        <v>99</v>
      </c>
      <c r="R116" s="3">
        <v>3</v>
      </c>
      <c r="S116" s="3">
        <v>79</v>
      </c>
      <c r="T116" s="4">
        <v>5</v>
      </c>
      <c r="U116" s="3">
        <v>65</v>
      </c>
      <c r="V116" s="51">
        <f>IF(GroDB[[#This Row],[LeadTime]]=0,GroDB[[#This Row],[Sales_Volume]],GroDB[[#This Row],[Sales_Volume]]/GroDB[[#This Row],[LeadTime]])</f>
        <v>0.28888888888888886</v>
      </c>
      <c r="W116" s="51">
        <f>_xlfn.STDEV.S(GroDB[Daily Sales])</f>
        <v>5.1999899792654221</v>
      </c>
      <c r="X116" s="3">
        <v>16</v>
      </c>
      <c r="Y116" s="7">
        <v>-0.35</v>
      </c>
      <c r="Z116" s="4">
        <f>GroDB[[#This Row],[Unit_Price]]*GroDB[[#This Row],[Sales_Volume]]</f>
        <v>325</v>
      </c>
      <c r="AA116" s="22">
        <f>GroDB[[#This Row],[ADU]]/GroDB[[#Totals],[ADU]]</f>
        <v>9.4402830063228943E-4</v>
      </c>
      <c r="AB116" s="1">
        <f>GroDB[[#This Row],[Sales_Volume]]*GroDB[[#This Row],[Ordering Cost]]</f>
        <v>260</v>
      </c>
    </row>
    <row r="117" spans="1:28" x14ac:dyDescent="0.35">
      <c r="A117" s="5" t="s">
        <v>470</v>
      </c>
      <c r="B117" s="3" t="s">
        <v>18</v>
      </c>
      <c r="C117" s="3" t="s">
        <v>540</v>
      </c>
      <c r="D117" s="3" t="s">
        <v>541</v>
      </c>
      <c r="E117" s="3" t="s">
        <v>56</v>
      </c>
      <c r="F117" s="3" t="s">
        <v>542</v>
      </c>
      <c r="G117" s="3" t="s">
        <v>543</v>
      </c>
      <c r="H117" s="43">
        <v>45448</v>
      </c>
      <c r="I117" s="43">
        <v>45538</v>
      </c>
      <c r="J117" s="47" t="str">
        <f>IF(GroDB[[#This Row],[Last_Order_Date]]&lt;=GroDB[[#This Row],[Date_Received]], "Yes", "No")</f>
        <v>No</v>
      </c>
      <c r="K117" s="43">
        <f>IF(GroDB[[#This Row],[Column1]]="No",GroDB[[#This Row],[Last_Order_Date]],GroDB[[#This Row],[Date_Received]])</f>
        <v>45538</v>
      </c>
      <c r="L117" s="43">
        <f>IF(GroDB[[#This Row],[Column1]]="No",GroDB[[#This Row],[Date_Received]],GroDB[[#This Row],[Last_Order_Date]])</f>
        <v>45448</v>
      </c>
      <c r="M117" s="45">
        <f>GroDB[[#This Row],[Date_Received1]]-GroDB[[#This Row],[Procurement_Date]]</f>
        <v>90</v>
      </c>
      <c r="N117" s="43">
        <v>45459</v>
      </c>
      <c r="O117" s="91">
        <f>GroDB[[#This Row],[Expiration_Date]]-GroDB[[#This Row],[Date_Received1]]</f>
        <v>-79</v>
      </c>
      <c r="P117" s="4">
        <v>3.2</v>
      </c>
      <c r="Q117" s="3">
        <v>40</v>
      </c>
      <c r="R117" s="3">
        <v>83</v>
      </c>
      <c r="S117" s="3">
        <v>50</v>
      </c>
      <c r="T117" s="4">
        <v>4</v>
      </c>
      <c r="U117" s="3">
        <v>92</v>
      </c>
      <c r="V117" s="51">
        <f>IF(GroDB[[#This Row],[LeadTime]]=0,GroDB[[#This Row],[Sales_Volume]],GroDB[[#This Row],[Sales_Volume]]/GroDB[[#This Row],[LeadTime]])</f>
        <v>1.0222222222222221</v>
      </c>
      <c r="W117" s="51">
        <f>_xlfn.STDEV.S(GroDB[Daily Sales])</f>
        <v>5.1999899792654221</v>
      </c>
      <c r="X117" s="3">
        <v>50</v>
      </c>
      <c r="Y117" s="7">
        <v>0.75</v>
      </c>
      <c r="Z117" s="4">
        <f>GroDB[[#This Row],[Unit_Price]]*GroDB[[#This Row],[Sales_Volume]]</f>
        <v>368</v>
      </c>
      <c r="AA117" s="22">
        <f>GroDB[[#This Row],[ADU]]/GroDB[[#Totals],[ADU]]</f>
        <v>1.0689305065621E-3</v>
      </c>
      <c r="AB117" s="1">
        <f>GroDB[[#This Row],[Sales_Volume]]*GroDB[[#This Row],[Ordering Cost]]</f>
        <v>294.40000000000003</v>
      </c>
    </row>
    <row r="118" spans="1:28" x14ac:dyDescent="0.35">
      <c r="A118" s="5" t="s">
        <v>544</v>
      </c>
      <c r="B118" s="3" t="s">
        <v>91</v>
      </c>
      <c r="C118" s="3" t="s">
        <v>545</v>
      </c>
      <c r="D118" s="3" t="s">
        <v>546</v>
      </c>
      <c r="E118" s="3" t="s">
        <v>28</v>
      </c>
      <c r="F118" s="3" t="s">
        <v>547</v>
      </c>
      <c r="G118" s="3" t="s">
        <v>548</v>
      </c>
      <c r="H118" s="43">
        <v>45478</v>
      </c>
      <c r="I118" s="43">
        <v>45499</v>
      </c>
      <c r="J118" s="47" t="str">
        <f>IF(GroDB[[#This Row],[Last_Order_Date]]&lt;=GroDB[[#This Row],[Date_Received]], "Yes", "No")</f>
        <v>No</v>
      </c>
      <c r="K118" s="43">
        <f>IF(GroDB[[#This Row],[Column1]]="No",GroDB[[#This Row],[Last_Order_Date]],GroDB[[#This Row],[Date_Received]])</f>
        <v>45499</v>
      </c>
      <c r="L118" s="43">
        <f>IF(GroDB[[#This Row],[Column1]]="No",GroDB[[#This Row],[Date_Received]],GroDB[[#This Row],[Last_Order_Date]])</f>
        <v>45478</v>
      </c>
      <c r="M118" s="45">
        <f>GroDB[[#This Row],[Date_Received1]]-GroDB[[#This Row],[Procurement_Date]]</f>
        <v>21</v>
      </c>
      <c r="N118" s="43">
        <v>45390</v>
      </c>
      <c r="O118" s="91">
        <f>GroDB[[#This Row],[Expiration_Date]]-GroDB[[#This Row],[Date_Received1]]</f>
        <v>-109</v>
      </c>
      <c r="P118" s="4">
        <v>2.4000000000000004</v>
      </c>
      <c r="Q118" s="3">
        <v>69</v>
      </c>
      <c r="R118" s="3">
        <v>65</v>
      </c>
      <c r="S118" s="3">
        <v>91</v>
      </c>
      <c r="T118" s="4">
        <v>3</v>
      </c>
      <c r="U118" s="3">
        <v>98</v>
      </c>
      <c r="V118" s="51">
        <f>IF(GroDB[[#This Row],[LeadTime]]=0,GroDB[[#This Row],[Sales_Volume]],GroDB[[#This Row],[Sales_Volume]]/GroDB[[#This Row],[LeadTime]])</f>
        <v>4.666666666666667</v>
      </c>
      <c r="W118" s="51">
        <f>_xlfn.STDEV.S(GroDB[Daily Sales])</f>
        <v>5.1999899792654221</v>
      </c>
      <c r="X118" s="3">
        <v>50</v>
      </c>
      <c r="Y118" s="7">
        <v>0.46</v>
      </c>
      <c r="Z118" s="4">
        <f>GroDB[[#This Row],[Unit_Price]]*GroDB[[#This Row],[Sales_Volume]]</f>
        <v>294</v>
      </c>
      <c r="AA118" s="22">
        <f>GroDB[[#This Row],[ADU]]/GroDB[[#Totals],[ADU]]</f>
        <v>8.5398252426428648E-4</v>
      </c>
      <c r="AB118" s="1">
        <f>GroDB[[#This Row],[Sales_Volume]]*GroDB[[#This Row],[Ordering Cost]]</f>
        <v>235.20000000000005</v>
      </c>
    </row>
    <row r="119" spans="1:28" x14ac:dyDescent="0.35">
      <c r="A119" s="5" t="s">
        <v>549</v>
      </c>
      <c r="B119" s="3" t="s">
        <v>32</v>
      </c>
      <c r="C119" s="3" t="s">
        <v>550</v>
      </c>
      <c r="D119" s="3" t="s">
        <v>551</v>
      </c>
      <c r="E119" s="3" t="s">
        <v>56</v>
      </c>
      <c r="F119" s="3" t="s">
        <v>552</v>
      </c>
      <c r="G119" s="3" t="s">
        <v>553</v>
      </c>
      <c r="H119" s="43">
        <v>45478</v>
      </c>
      <c r="I119" s="43">
        <v>45569</v>
      </c>
      <c r="J119" s="47" t="str">
        <f>IF(GroDB[[#This Row],[Last_Order_Date]]&lt;=GroDB[[#This Row],[Date_Received]], "Yes", "No")</f>
        <v>No</v>
      </c>
      <c r="K119" s="43">
        <f>IF(GroDB[[#This Row],[Column1]]="No",GroDB[[#This Row],[Last_Order_Date]],GroDB[[#This Row],[Date_Received]])</f>
        <v>45569</v>
      </c>
      <c r="L119" s="43">
        <f>IF(GroDB[[#This Row],[Column1]]="No",GroDB[[#This Row],[Date_Received]],GroDB[[#This Row],[Last_Order_Date]])</f>
        <v>45478</v>
      </c>
      <c r="M119" s="45">
        <f>GroDB[[#This Row],[Date_Received1]]-GroDB[[#This Row],[Procurement_Date]]</f>
        <v>91</v>
      </c>
      <c r="N119" s="43">
        <v>45482</v>
      </c>
      <c r="O119" s="91">
        <f>GroDB[[#This Row],[Expiration_Date]]-GroDB[[#This Row],[Date_Received1]]</f>
        <v>-87</v>
      </c>
      <c r="P119" s="4">
        <v>2</v>
      </c>
      <c r="Q119" s="3">
        <v>60</v>
      </c>
      <c r="R119" s="3">
        <v>43</v>
      </c>
      <c r="S119" s="3">
        <v>32</v>
      </c>
      <c r="T119" s="4">
        <v>2.5</v>
      </c>
      <c r="U119" s="3">
        <v>77</v>
      </c>
      <c r="V119" s="51">
        <f>IF(GroDB[[#This Row],[LeadTime]]=0,GroDB[[#This Row],[Sales_Volume]],GroDB[[#This Row],[Sales_Volume]]/GroDB[[#This Row],[LeadTime]])</f>
        <v>0.84615384615384615</v>
      </c>
      <c r="W119" s="51">
        <f>_xlfn.STDEV.S(GroDB[Daily Sales])</f>
        <v>5.1999899792654221</v>
      </c>
      <c r="X119" s="3">
        <v>60</v>
      </c>
      <c r="Y119" s="7">
        <v>0.49</v>
      </c>
      <c r="Z119" s="4">
        <f>GroDB[[#This Row],[Unit_Price]]*GroDB[[#This Row],[Sales_Volume]]</f>
        <v>192.5</v>
      </c>
      <c r="AA119" s="22">
        <f>GroDB[[#This Row],[ADU]]/GroDB[[#Totals],[ADU]]</f>
        <v>5.5915522422066372E-4</v>
      </c>
      <c r="AB119" s="1">
        <f>GroDB[[#This Row],[Sales_Volume]]*GroDB[[#This Row],[Ordering Cost]]</f>
        <v>154</v>
      </c>
    </row>
    <row r="120" spans="1:28" x14ac:dyDescent="0.35">
      <c r="A120" s="5" t="s">
        <v>554</v>
      </c>
      <c r="B120" s="3" t="s">
        <v>53</v>
      </c>
      <c r="C120" s="3" t="s">
        <v>555</v>
      </c>
      <c r="D120" s="3" t="s">
        <v>556</v>
      </c>
      <c r="E120" s="3" t="s">
        <v>21</v>
      </c>
      <c r="F120" s="3" t="s">
        <v>557</v>
      </c>
      <c r="G120" s="3" t="s">
        <v>558</v>
      </c>
      <c r="H120" s="43">
        <v>45478</v>
      </c>
      <c r="I120" s="43">
        <v>45573</v>
      </c>
      <c r="J120" s="47" t="str">
        <f>IF(GroDB[[#This Row],[Last_Order_Date]]&lt;=GroDB[[#This Row],[Date_Received]], "Yes", "No")</f>
        <v>No</v>
      </c>
      <c r="K120" s="43">
        <f>IF(GroDB[[#This Row],[Column1]]="No",GroDB[[#This Row],[Last_Order_Date]],GroDB[[#This Row],[Date_Received]])</f>
        <v>45573</v>
      </c>
      <c r="L120" s="43">
        <f>IF(GroDB[[#This Row],[Column1]]="No",GroDB[[#This Row],[Date_Received]],GroDB[[#This Row],[Last_Order_Date]])</f>
        <v>45478</v>
      </c>
      <c r="M120" s="45">
        <f>GroDB[[#This Row],[Date_Received1]]-GroDB[[#This Row],[Procurement_Date]]</f>
        <v>95</v>
      </c>
      <c r="N120" s="43">
        <v>45536</v>
      </c>
      <c r="O120" s="91">
        <f>GroDB[[#This Row],[Expiration_Date]]-GroDB[[#This Row],[Date_Received1]]</f>
        <v>-37</v>
      </c>
      <c r="P120" s="4">
        <v>2</v>
      </c>
      <c r="Q120" s="3">
        <v>79</v>
      </c>
      <c r="R120" s="3">
        <v>38</v>
      </c>
      <c r="S120" s="3">
        <v>67</v>
      </c>
      <c r="T120" s="4">
        <v>2.5</v>
      </c>
      <c r="U120" s="3">
        <v>43</v>
      </c>
      <c r="V120" s="51">
        <f>IF(GroDB[[#This Row],[LeadTime]]=0,GroDB[[#This Row],[Sales_Volume]],GroDB[[#This Row],[Sales_Volume]]/GroDB[[#This Row],[LeadTime]])</f>
        <v>0.45263157894736844</v>
      </c>
      <c r="W120" s="51">
        <f>_xlfn.STDEV.S(GroDB[Daily Sales])</f>
        <v>5.1999899792654221</v>
      </c>
      <c r="X120" s="3">
        <v>93</v>
      </c>
      <c r="Y120" s="7">
        <v>0.22</v>
      </c>
      <c r="Z120" s="4">
        <f>GroDB[[#This Row],[Unit_Price]]*GroDB[[#This Row],[Sales_Volume]]</f>
        <v>107.5</v>
      </c>
      <c r="AA120" s="22">
        <f>GroDB[[#This Row],[ADU]]/GroDB[[#Totals],[ADU]]</f>
        <v>3.1225551482452649E-4</v>
      </c>
      <c r="AB120" s="1">
        <f>GroDB[[#This Row],[Sales_Volume]]*GroDB[[#This Row],[Ordering Cost]]</f>
        <v>86</v>
      </c>
    </row>
    <row r="121" spans="1:28" x14ac:dyDescent="0.35">
      <c r="A121" s="5" t="s">
        <v>490</v>
      </c>
      <c r="B121" s="3" t="s">
        <v>18</v>
      </c>
      <c r="C121" s="3" t="s">
        <v>264</v>
      </c>
      <c r="D121" s="3" t="s">
        <v>559</v>
      </c>
      <c r="E121" s="3" t="s">
        <v>28</v>
      </c>
      <c r="F121" s="3" t="s">
        <v>560</v>
      </c>
      <c r="G121" s="3" t="s">
        <v>561</v>
      </c>
      <c r="H121" s="43">
        <v>45509</v>
      </c>
      <c r="I121" s="43">
        <v>45668</v>
      </c>
      <c r="J121" s="47" t="str">
        <f>IF(GroDB[[#This Row],[Last_Order_Date]]&lt;=GroDB[[#This Row],[Date_Received]], "Yes", "No")</f>
        <v>No</v>
      </c>
      <c r="K121" s="43">
        <f>IF(GroDB[[#This Row],[Column1]]="No",GroDB[[#This Row],[Last_Order_Date]],GroDB[[#This Row],[Date_Received]])</f>
        <v>45668</v>
      </c>
      <c r="L121" s="43">
        <f>IF(GroDB[[#This Row],[Column1]]="No",GroDB[[#This Row],[Date_Received]],GroDB[[#This Row],[Last_Order_Date]])</f>
        <v>45509</v>
      </c>
      <c r="M121" s="45">
        <f>GroDB[[#This Row],[Date_Received1]]-GroDB[[#This Row],[Procurement_Date]]</f>
        <v>159</v>
      </c>
      <c r="N121" s="43">
        <v>45477</v>
      </c>
      <c r="O121" s="91">
        <f>GroDB[[#This Row],[Expiration_Date]]-GroDB[[#This Row],[Date_Received1]]</f>
        <v>-191</v>
      </c>
      <c r="P121" s="4">
        <v>4</v>
      </c>
      <c r="Q121" s="3">
        <v>68</v>
      </c>
      <c r="R121" s="3">
        <v>12</v>
      </c>
      <c r="S121" s="3">
        <v>73</v>
      </c>
      <c r="T121" s="4">
        <v>5</v>
      </c>
      <c r="U121" s="3">
        <v>84</v>
      </c>
      <c r="V121" s="51">
        <f>IF(GroDB[[#This Row],[LeadTime]]=0,GroDB[[#This Row],[Sales_Volume]],GroDB[[#This Row],[Sales_Volume]]/GroDB[[#This Row],[LeadTime]])</f>
        <v>0.52830188679245282</v>
      </c>
      <c r="W121" s="51">
        <f>_xlfn.STDEV.S(GroDB[Daily Sales])</f>
        <v>5.1999899792654221</v>
      </c>
      <c r="X121" s="3">
        <v>95</v>
      </c>
      <c r="Y121" s="7">
        <v>-1.1599999999999999</v>
      </c>
      <c r="Z121" s="4">
        <f>GroDB[[#This Row],[Unit_Price]]*GroDB[[#This Row],[Sales_Volume]]</f>
        <v>420</v>
      </c>
      <c r="AA121" s="22">
        <f>GroDB[[#This Row],[ADU]]/GroDB[[#Totals],[ADU]]</f>
        <v>1.2199750346632663E-3</v>
      </c>
      <c r="AB121" s="1">
        <f>GroDB[[#This Row],[Sales_Volume]]*GroDB[[#This Row],[Ordering Cost]]</f>
        <v>336</v>
      </c>
    </row>
    <row r="122" spans="1:28" x14ac:dyDescent="0.35">
      <c r="A122" s="5" t="s">
        <v>303</v>
      </c>
      <c r="B122" s="3" t="s">
        <v>60</v>
      </c>
      <c r="C122" s="3" t="s">
        <v>562</v>
      </c>
      <c r="D122" s="3" t="s">
        <v>563</v>
      </c>
      <c r="E122" s="3" t="s">
        <v>56</v>
      </c>
      <c r="F122" s="3" t="s">
        <v>564</v>
      </c>
      <c r="G122" s="3" t="s">
        <v>565</v>
      </c>
      <c r="H122" s="43">
        <v>45540</v>
      </c>
      <c r="I122" s="43">
        <v>45556</v>
      </c>
      <c r="J122" s="47" t="str">
        <f>IF(GroDB[[#This Row],[Last_Order_Date]]&lt;=GroDB[[#This Row],[Date_Received]], "Yes", "No")</f>
        <v>No</v>
      </c>
      <c r="K122" s="43">
        <f>IF(GroDB[[#This Row],[Column1]]="No",GroDB[[#This Row],[Last_Order_Date]],GroDB[[#This Row],[Date_Received]])</f>
        <v>45556</v>
      </c>
      <c r="L122" s="43">
        <f>IF(GroDB[[#This Row],[Column1]]="No",GroDB[[#This Row],[Date_Received]],GroDB[[#This Row],[Last_Order_Date]])</f>
        <v>45540</v>
      </c>
      <c r="M122" s="45">
        <f>GroDB[[#This Row],[Date_Received1]]-GroDB[[#This Row],[Procurement_Date]]</f>
        <v>16</v>
      </c>
      <c r="N122" s="43">
        <v>45375</v>
      </c>
      <c r="O122" s="91">
        <f>GroDB[[#This Row],[Expiration_Date]]-GroDB[[#This Row],[Date_Received1]]</f>
        <v>-181</v>
      </c>
      <c r="P122" s="4">
        <v>4.8000000000000007</v>
      </c>
      <c r="Q122" s="3">
        <v>44</v>
      </c>
      <c r="R122" s="3">
        <v>67</v>
      </c>
      <c r="S122" s="3">
        <v>48</v>
      </c>
      <c r="T122" s="4">
        <v>6</v>
      </c>
      <c r="U122" s="3">
        <v>90</v>
      </c>
      <c r="V122" s="51">
        <f>IF(GroDB[[#This Row],[LeadTime]]=0,GroDB[[#This Row],[Sales_Volume]],GroDB[[#This Row],[Sales_Volume]]/GroDB[[#This Row],[LeadTime]])</f>
        <v>5.625</v>
      </c>
      <c r="W122" s="51">
        <f>_xlfn.STDEV.S(GroDB[Daily Sales])</f>
        <v>5.1999899792654221</v>
      </c>
      <c r="X122" s="3">
        <v>11</v>
      </c>
      <c r="Y122" s="7">
        <v>-0.13</v>
      </c>
      <c r="Z122" s="4">
        <f>GroDB[[#This Row],[Unit_Price]]*GroDB[[#This Row],[Sales_Volume]]</f>
        <v>540</v>
      </c>
      <c r="AA122" s="22">
        <f>GroDB[[#This Row],[ADU]]/GroDB[[#Totals],[ADU]]</f>
        <v>1.5685393302813425E-3</v>
      </c>
      <c r="AB122" s="1">
        <f>GroDB[[#This Row],[Sales_Volume]]*GroDB[[#This Row],[Ordering Cost]]</f>
        <v>432.00000000000006</v>
      </c>
    </row>
    <row r="123" spans="1:28" x14ac:dyDescent="0.35">
      <c r="A123" s="5" t="s">
        <v>566</v>
      </c>
      <c r="B123" s="3" t="s">
        <v>127</v>
      </c>
      <c r="C123" s="3" t="s">
        <v>157</v>
      </c>
      <c r="D123" s="3" t="s">
        <v>567</v>
      </c>
      <c r="E123" s="3" t="s">
        <v>56</v>
      </c>
      <c r="F123" s="3" t="s">
        <v>568</v>
      </c>
      <c r="G123" s="3" t="s">
        <v>569</v>
      </c>
      <c r="H123" s="43">
        <v>45540</v>
      </c>
      <c r="I123" s="43">
        <v>45588</v>
      </c>
      <c r="J123" s="47" t="str">
        <f>IF(GroDB[[#This Row],[Last_Order_Date]]&lt;=GroDB[[#This Row],[Date_Received]], "Yes", "No")</f>
        <v>No</v>
      </c>
      <c r="K123" s="43">
        <f>IF(GroDB[[#This Row],[Column1]]="No",GroDB[[#This Row],[Last_Order_Date]],GroDB[[#This Row],[Date_Received]])</f>
        <v>45588</v>
      </c>
      <c r="L123" s="43">
        <f>IF(GroDB[[#This Row],[Column1]]="No",GroDB[[#This Row],[Date_Received]],GroDB[[#This Row],[Last_Order_Date]])</f>
        <v>45540</v>
      </c>
      <c r="M123" s="45">
        <f>GroDB[[#This Row],[Date_Received1]]-GroDB[[#This Row],[Procurement_Date]]</f>
        <v>48</v>
      </c>
      <c r="N123" s="43">
        <v>45415</v>
      </c>
      <c r="O123" s="91">
        <f>GroDB[[#This Row],[Expiration_Date]]-GroDB[[#This Row],[Date_Received1]]</f>
        <v>-173</v>
      </c>
      <c r="P123" s="4">
        <v>12</v>
      </c>
      <c r="Q123" s="3">
        <v>40</v>
      </c>
      <c r="R123" s="3">
        <v>30</v>
      </c>
      <c r="S123" s="3">
        <v>60</v>
      </c>
      <c r="T123" s="4">
        <v>15</v>
      </c>
      <c r="U123" s="3">
        <v>33</v>
      </c>
      <c r="V123" s="51">
        <f>IF(GroDB[[#This Row],[LeadTime]]=0,GroDB[[#This Row],[Sales_Volume]],GroDB[[#This Row],[Sales_Volume]]/GroDB[[#This Row],[LeadTime]])</f>
        <v>0.6875</v>
      </c>
      <c r="W123" s="51">
        <f>_xlfn.STDEV.S(GroDB[Daily Sales])</f>
        <v>5.1999899792654221</v>
      </c>
      <c r="X123" s="3">
        <v>84</v>
      </c>
      <c r="Y123" s="7">
        <v>0.88</v>
      </c>
      <c r="Z123" s="4">
        <f>GroDB[[#This Row],[Unit_Price]]*GroDB[[#This Row],[Sales_Volume]]</f>
        <v>495</v>
      </c>
      <c r="AA123" s="22">
        <f>GroDB[[#This Row],[ADU]]/GroDB[[#Totals],[ADU]]</f>
        <v>1.437827719424564E-3</v>
      </c>
      <c r="AB123" s="1">
        <f>GroDB[[#This Row],[Sales_Volume]]*GroDB[[#This Row],[Ordering Cost]]</f>
        <v>396</v>
      </c>
    </row>
    <row r="124" spans="1:28" x14ac:dyDescent="0.35">
      <c r="A124" s="5" t="s">
        <v>554</v>
      </c>
      <c r="B124" s="3" t="s">
        <v>53</v>
      </c>
      <c r="C124" s="3" t="s">
        <v>570</v>
      </c>
      <c r="D124" s="3" t="s">
        <v>571</v>
      </c>
      <c r="E124" s="3" t="s">
        <v>56</v>
      </c>
      <c r="F124" s="3" t="s">
        <v>572</v>
      </c>
      <c r="G124" s="3" t="s">
        <v>573</v>
      </c>
      <c r="H124" s="43">
        <v>45540</v>
      </c>
      <c r="I124" s="43">
        <v>45546</v>
      </c>
      <c r="J124" s="47" t="str">
        <f>IF(GroDB[[#This Row],[Last_Order_Date]]&lt;=GroDB[[#This Row],[Date_Received]], "Yes", "No")</f>
        <v>No</v>
      </c>
      <c r="K124" s="43">
        <f>IF(GroDB[[#This Row],[Column1]]="No",GroDB[[#This Row],[Last_Order_Date]],GroDB[[#This Row],[Date_Received]])</f>
        <v>45546</v>
      </c>
      <c r="L124" s="43">
        <f>IF(GroDB[[#This Row],[Column1]]="No",GroDB[[#This Row],[Date_Received]],GroDB[[#This Row],[Last_Order_Date]])</f>
        <v>45540</v>
      </c>
      <c r="M124" s="45">
        <f>GroDB[[#This Row],[Date_Received1]]-GroDB[[#This Row],[Procurement_Date]]</f>
        <v>6</v>
      </c>
      <c r="N124" s="43">
        <v>45673</v>
      </c>
      <c r="O124" s="91">
        <f>GroDB[[#This Row],[Expiration_Date]]-GroDB[[#This Row],[Date_Received1]]</f>
        <v>127</v>
      </c>
      <c r="P124" s="4">
        <v>2</v>
      </c>
      <c r="Q124" s="3">
        <v>46</v>
      </c>
      <c r="R124" s="3">
        <v>81</v>
      </c>
      <c r="S124" s="3">
        <v>47</v>
      </c>
      <c r="T124" s="4">
        <v>2.5</v>
      </c>
      <c r="U124" s="3">
        <v>48</v>
      </c>
      <c r="V124" s="51">
        <f>IF(GroDB[[#This Row],[LeadTime]]=0,GroDB[[#This Row],[Sales_Volume]],GroDB[[#This Row],[Sales_Volume]]/GroDB[[#This Row],[LeadTime]])</f>
        <v>8</v>
      </c>
      <c r="W124" s="51">
        <f>_xlfn.STDEV.S(GroDB[Daily Sales])</f>
        <v>5.1999899792654221</v>
      </c>
      <c r="X124" s="3">
        <v>48</v>
      </c>
      <c r="Y124" s="7">
        <v>-1.55</v>
      </c>
      <c r="Z124" s="4">
        <f>GroDB[[#This Row],[Unit_Price]]*GroDB[[#This Row],[Sales_Volume]]</f>
        <v>120</v>
      </c>
      <c r="AA124" s="22">
        <f>GroDB[[#This Row],[ADU]]/GroDB[[#Totals],[ADU]]</f>
        <v>3.4856429561807613E-4</v>
      </c>
      <c r="AB124" s="1">
        <f>GroDB[[#This Row],[Sales_Volume]]*GroDB[[#This Row],[Ordering Cost]]</f>
        <v>96</v>
      </c>
    </row>
    <row r="125" spans="1:28" x14ac:dyDescent="0.35">
      <c r="A125" s="5" t="s">
        <v>574</v>
      </c>
      <c r="B125" s="3" t="s">
        <v>53</v>
      </c>
      <c r="C125" s="3" t="s">
        <v>176</v>
      </c>
      <c r="D125" s="3" t="s">
        <v>575</v>
      </c>
      <c r="E125" s="3" t="s">
        <v>28</v>
      </c>
      <c r="F125" s="3" t="s">
        <v>576</v>
      </c>
      <c r="G125" s="3" t="s">
        <v>577</v>
      </c>
      <c r="H125" s="43">
        <v>45570</v>
      </c>
      <c r="I125" s="43">
        <v>45395</v>
      </c>
      <c r="J125" s="47" t="str">
        <f>IF(GroDB[[#This Row],[Last_Order_Date]]&lt;=GroDB[[#This Row],[Date_Received]], "Yes", "No")</f>
        <v>Yes</v>
      </c>
      <c r="K125" s="43">
        <f>IF(GroDB[[#This Row],[Column1]]="No",GroDB[[#This Row],[Last_Order_Date]],GroDB[[#This Row],[Date_Received]])</f>
        <v>45570</v>
      </c>
      <c r="L125" s="43">
        <f>IF(GroDB[[#This Row],[Column1]]="No",GroDB[[#This Row],[Date_Received]],GroDB[[#This Row],[Last_Order_Date]])</f>
        <v>45395</v>
      </c>
      <c r="M125" s="45">
        <f>GroDB[[#This Row],[Date_Received1]]-GroDB[[#This Row],[Procurement_Date]]</f>
        <v>175</v>
      </c>
      <c r="N125" s="43">
        <v>45649</v>
      </c>
      <c r="O125" s="91">
        <f>GroDB[[#This Row],[Expiration_Date]]-GroDB[[#This Row],[Date_Received1]]</f>
        <v>79</v>
      </c>
      <c r="P125" s="4">
        <v>1.6</v>
      </c>
      <c r="Q125" s="3">
        <v>24</v>
      </c>
      <c r="R125" s="3">
        <v>69</v>
      </c>
      <c r="S125" s="3">
        <v>2</v>
      </c>
      <c r="T125" s="4">
        <v>2</v>
      </c>
      <c r="U125" s="3">
        <v>20</v>
      </c>
      <c r="V125" s="51">
        <f>IF(GroDB[[#This Row],[LeadTime]]=0,GroDB[[#This Row],[Sales_Volume]],GroDB[[#This Row],[Sales_Volume]]/GroDB[[#This Row],[LeadTime]])</f>
        <v>0.11428571428571428</v>
      </c>
      <c r="W125" s="51">
        <f>_xlfn.STDEV.S(GroDB[Daily Sales])</f>
        <v>5.1999899792654221</v>
      </c>
      <c r="X125" s="3">
        <v>20</v>
      </c>
      <c r="Y125" s="7">
        <v>0</v>
      </c>
      <c r="Z125" s="4">
        <f>GroDB[[#This Row],[Unit_Price]]*GroDB[[#This Row],[Sales_Volume]]</f>
        <v>40</v>
      </c>
      <c r="AA125" s="22">
        <f>GroDB[[#This Row],[ADU]]/GroDB[[#Totals],[ADU]]</f>
        <v>1.161880985393587E-4</v>
      </c>
      <c r="AB125" s="1">
        <f>GroDB[[#This Row],[Sales_Volume]]*GroDB[[#This Row],[Ordering Cost]]</f>
        <v>32</v>
      </c>
    </row>
    <row r="126" spans="1:28" x14ac:dyDescent="0.35">
      <c r="A126" s="5" t="s">
        <v>156</v>
      </c>
      <c r="B126" s="3" t="s">
        <v>127</v>
      </c>
      <c r="C126" s="3" t="s">
        <v>578</v>
      </c>
      <c r="D126" s="3" t="s">
        <v>579</v>
      </c>
      <c r="E126" s="3" t="s">
        <v>56</v>
      </c>
      <c r="F126" s="3" t="s">
        <v>580</v>
      </c>
      <c r="G126" s="3" t="s">
        <v>581</v>
      </c>
      <c r="H126" s="43">
        <v>45570</v>
      </c>
      <c r="I126" s="43">
        <v>45483</v>
      </c>
      <c r="J126" s="47" t="str">
        <f>IF(GroDB[[#This Row],[Last_Order_Date]]&lt;=GroDB[[#This Row],[Date_Received]], "Yes", "No")</f>
        <v>Yes</v>
      </c>
      <c r="K126" s="43">
        <f>IF(GroDB[[#This Row],[Column1]]="No",GroDB[[#This Row],[Last_Order_Date]],GroDB[[#This Row],[Date_Received]])</f>
        <v>45570</v>
      </c>
      <c r="L126" s="43">
        <f>IF(GroDB[[#This Row],[Column1]]="No",GroDB[[#This Row],[Date_Received]],GroDB[[#This Row],[Last_Order_Date]])</f>
        <v>45483</v>
      </c>
      <c r="M126" s="45">
        <f>GroDB[[#This Row],[Date_Received1]]-GroDB[[#This Row],[Procurement_Date]]</f>
        <v>87</v>
      </c>
      <c r="N126" s="43">
        <v>45520</v>
      </c>
      <c r="O126" s="91">
        <f>GroDB[[#This Row],[Expiration_Date]]-GroDB[[#This Row],[Date_Received1]]</f>
        <v>-50</v>
      </c>
      <c r="P126" s="4">
        <v>9.6000000000000014</v>
      </c>
      <c r="Q126" s="3">
        <v>29</v>
      </c>
      <c r="R126" s="3">
        <v>91</v>
      </c>
      <c r="S126" s="3">
        <v>48</v>
      </c>
      <c r="T126" s="4">
        <v>12</v>
      </c>
      <c r="U126" s="3">
        <v>28</v>
      </c>
      <c r="V126" s="51">
        <f>IF(GroDB[[#This Row],[LeadTime]]=0,GroDB[[#This Row],[Sales_Volume]],GroDB[[#This Row],[Sales_Volume]]/GroDB[[#This Row],[LeadTime]])</f>
        <v>0.32183908045977011</v>
      </c>
      <c r="W126" s="51">
        <f>_xlfn.STDEV.S(GroDB[Daily Sales])</f>
        <v>5.1999899792654221</v>
      </c>
      <c r="X126" s="3">
        <v>40</v>
      </c>
      <c r="Y126" s="7">
        <v>0</v>
      </c>
      <c r="Z126" s="4">
        <f>GroDB[[#This Row],[Unit_Price]]*GroDB[[#This Row],[Sales_Volume]]</f>
        <v>336</v>
      </c>
      <c r="AA126" s="22">
        <f>GroDB[[#This Row],[ADU]]/GroDB[[#Totals],[ADU]]</f>
        <v>9.7598002773061304E-4</v>
      </c>
      <c r="AB126" s="1">
        <f>GroDB[[#This Row],[Sales_Volume]]*GroDB[[#This Row],[Ordering Cost]]</f>
        <v>268.80000000000007</v>
      </c>
    </row>
    <row r="127" spans="1:28" x14ac:dyDescent="0.35">
      <c r="A127" s="5" t="s">
        <v>582</v>
      </c>
      <c r="B127" s="3" t="s">
        <v>32</v>
      </c>
      <c r="C127" s="3" t="s">
        <v>583</v>
      </c>
      <c r="D127" s="3" t="s">
        <v>584</v>
      </c>
      <c r="E127" s="3" t="s">
        <v>21</v>
      </c>
      <c r="F127" s="3" t="s">
        <v>585</v>
      </c>
      <c r="G127" s="3" t="s">
        <v>586</v>
      </c>
      <c r="H127" s="43">
        <v>45601</v>
      </c>
      <c r="I127" s="43">
        <v>45480</v>
      </c>
      <c r="J127" s="47" t="str">
        <f>IF(GroDB[[#This Row],[Last_Order_Date]]&lt;=GroDB[[#This Row],[Date_Received]], "Yes", "No")</f>
        <v>Yes</v>
      </c>
      <c r="K127" s="43">
        <f>IF(GroDB[[#This Row],[Column1]]="No",GroDB[[#This Row],[Last_Order_Date]],GroDB[[#This Row],[Date_Received]])</f>
        <v>45601</v>
      </c>
      <c r="L127" s="43">
        <f>IF(GroDB[[#This Row],[Column1]]="No",GroDB[[#This Row],[Date_Received]],GroDB[[#This Row],[Last_Order_Date]])</f>
        <v>45480</v>
      </c>
      <c r="M127" s="45">
        <f>GroDB[[#This Row],[Date_Received1]]-GroDB[[#This Row],[Procurement_Date]]</f>
        <v>121</v>
      </c>
      <c r="N127" s="43">
        <v>45469</v>
      </c>
      <c r="O127" s="91">
        <f>GroDB[[#This Row],[Expiration_Date]]-GroDB[[#This Row],[Date_Received1]]</f>
        <v>-132</v>
      </c>
      <c r="P127" s="4">
        <v>0.64000000000000012</v>
      </c>
      <c r="Q127" s="3">
        <v>97</v>
      </c>
      <c r="R127" s="3">
        <v>88</v>
      </c>
      <c r="S127" s="3">
        <v>81</v>
      </c>
      <c r="T127" s="4">
        <v>0.8</v>
      </c>
      <c r="U127" s="3">
        <v>97</v>
      </c>
      <c r="V127" s="51">
        <f>IF(GroDB[[#This Row],[LeadTime]]=0,GroDB[[#This Row],[Sales_Volume]],GroDB[[#This Row],[Sales_Volume]]/GroDB[[#This Row],[LeadTime]])</f>
        <v>0.80165289256198347</v>
      </c>
      <c r="W127" s="51">
        <f>_xlfn.STDEV.S(GroDB[Daily Sales])</f>
        <v>5.1999899792654221</v>
      </c>
      <c r="X127" s="3">
        <v>18</v>
      </c>
      <c r="Y127" s="7">
        <v>-0.43</v>
      </c>
      <c r="Z127" s="4">
        <f>GroDB[[#This Row],[Unit_Price]]*GroDB[[#This Row],[Sales_Volume]]</f>
        <v>77.600000000000009</v>
      </c>
      <c r="AA127" s="22">
        <f>GroDB[[#This Row],[ADU]]/GroDB[[#Totals],[ADU]]</f>
        <v>2.2540491116635589E-4</v>
      </c>
      <c r="AB127" s="1">
        <f>GroDB[[#This Row],[Sales_Volume]]*GroDB[[#This Row],[Ordering Cost]]</f>
        <v>62.080000000000013</v>
      </c>
    </row>
    <row r="128" spans="1:28" x14ac:dyDescent="0.35">
      <c r="A128" s="5" t="s">
        <v>587</v>
      </c>
      <c r="B128" s="3" t="s">
        <v>127</v>
      </c>
      <c r="C128" s="3" t="s">
        <v>588</v>
      </c>
      <c r="D128" s="3" t="s">
        <v>589</v>
      </c>
      <c r="E128" s="3" t="s">
        <v>21</v>
      </c>
      <c r="F128" s="3" t="s">
        <v>590</v>
      </c>
      <c r="G128" s="3" t="s">
        <v>591</v>
      </c>
      <c r="H128" s="43">
        <v>45601</v>
      </c>
      <c r="I128" s="43">
        <v>45523</v>
      </c>
      <c r="J128" s="47" t="str">
        <f>IF(GroDB[[#This Row],[Last_Order_Date]]&lt;=GroDB[[#This Row],[Date_Received]], "Yes", "No")</f>
        <v>Yes</v>
      </c>
      <c r="K128" s="43">
        <f>IF(GroDB[[#This Row],[Column1]]="No",GroDB[[#This Row],[Last_Order_Date]],GroDB[[#This Row],[Date_Received]])</f>
        <v>45601</v>
      </c>
      <c r="L128" s="43">
        <f>IF(GroDB[[#This Row],[Column1]]="No",GroDB[[#This Row],[Date_Received]],GroDB[[#This Row],[Last_Order_Date]])</f>
        <v>45523</v>
      </c>
      <c r="M128" s="45">
        <f>GroDB[[#This Row],[Date_Received1]]-GroDB[[#This Row],[Procurement_Date]]</f>
        <v>78</v>
      </c>
      <c r="N128" s="43">
        <v>45466</v>
      </c>
      <c r="O128" s="91">
        <f>GroDB[[#This Row],[Expiration_Date]]-GroDB[[#This Row],[Date_Received1]]</f>
        <v>-135</v>
      </c>
      <c r="P128" s="4">
        <v>24</v>
      </c>
      <c r="Q128" s="3">
        <v>77</v>
      </c>
      <c r="R128" s="3">
        <v>45</v>
      </c>
      <c r="S128" s="3">
        <v>75</v>
      </c>
      <c r="T128" s="4">
        <v>30</v>
      </c>
      <c r="U128" s="3">
        <v>25</v>
      </c>
      <c r="V128" s="51">
        <f>IF(GroDB[[#This Row],[LeadTime]]=0,GroDB[[#This Row],[Sales_Volume]],GroDB[[#This Row],[Sales_Volume]]/GroDB[[#This Row],[LeadTime]])</f>
        <v>0.32051282051282054</v>
      </c>
      <c r="W128" s="51">
        <f>_xlfn.STDEV.S(GroDB[Daily Sales])</f>
        <v>5.1999899792654221</v>
      </c>
      <c r="X128" s="3">
        <v>37</v>
      </c>
      <c r="Y128" s="7">
        <v>0.81</v>
      </c>
      <c r="Z128" s="4">
        <f>GroDB[[#This Row],[Unit_Price]]*GroDB[[#This Row],[Sales_Volume]]</f>
        <v>750</v>
      </c>
      <c r="AA128" s="22">
        <f>GroDB[[#This Row],[ADU]]/GroDB[[#Totals],[ADU]]</f>
        <v>2.1785268476129755E-3</v>
      </c>
      <c r="AB128" s="1">
        <f>GroDB[[#This Row],[Sales_Volume]]*GroDB[[#This Row],[Ordering Cost]]</f>
        <v>600</v>
      </c>
    </row>
    <row r="129" spans="1:28" x14ac:dyDescent="0.35">
      <c r="A129" s="5" t="s">
        <v>592</v>
      </c>
      <c r="B129" s="3" t="s">
        <v>25</v>
      </c>
      <c r="C129" s="3" t="s">
        <v>364</v>
      </c>
      <c r="D129" s="3" t="s">
        <v>593</v>
      </c>
      <c r="E129" s="3" t="s">
        <v>21</v>
      </c>
      <c r="F129" s="3" t="s">
        <v>594</v>
      </c>
      <c r="G129" s="3" t="s">
        <v>595</v>
      </c>
      <c r="H129" s="43">
        <v>45601</v>
      </c>
      <c r="I129" s="43">
        <v>45484</v>
      </c>
      <c r="J129" s="47" t="str">
        <f>IF(GroDB[[#This Row],[Last_Order_Date]]&lt;=GroDB[[#This Row],[Date_Received]], "Yes", "No")</f>
        <v>Yes</v>
      </c>
      <c r="K129" s="43">
        <f>IF(GroDB[[#This Row],[Column1]]="No",GroDB[[#This Row],[Last_Order_Date]],GroDB[[#This Row],[Date_Received]])</f>
        <v>45601</v>
      </c>
      <c r="L129" s="43">
        <f>IF(GroDB[[#This Row],[Column1]]="No",GroDB[[#This Row],[Date_Received]],GroDB[[#This Row],[Last_Order_Date]])</f>
        <v>45484</v>
      </c>
      <c r="M129" s="45">
        <f>GroDB[[#This Row],[Date_Received1]]-GroDB[[#This Row],[Procurement_Date]]</f>
        <v>117</v>
      </c>
      <c r="N129" s="43">
        <v>45403</v>
      </c>
      <c r="O129" s="91">
        <f>GroDB[[#This Row],[Expiration_Date]]-GroDB[[#This Row],[Date_Received1]]</f>
        <v>-198</v>
      </c>
      <c r="P129" s="4">
        <v>4</v>
      </c>
      <c r="Q129" s="3">
        <v>33</v>
      </c>
      <c r="R129" s="3">
        <v>78</v>
      </c>
      <c r="S129" s="3">
        <v>79</v>
      </c>
      <c r="T129" s="4">
        <v>5</v>
      </c>
      <c r="U129" s="3">
        <v>60</v>
      </c>
      <c r="V129" s="51">
        <f>IF(GroDB[[#This Row],[LeadTime]]=0,GroDB[[#This Row],[Sales_Volume]],GroDB[[#This Row],[Sales_Volume]]/GroDB[[#This Row],[LeadTime]])</f>
        <v>0.51282051282051277</v>
      </c>
      <c r="W129" s="51">
        <f>_xlfn.STDEV.S(GroDB[Daily Sales])</f>
        <v>5.1999899792654221</v>
      </c>
      <c r="X129" s="3">
        <v>25</v>
      </c>
      <c r="Y129" s="7">
        <v>-0.48</v>
      </c>
      <c r="Z129" s="4">
        <f>GroDB[[#This Row],[Unit_Price]]*GroDB[[#This Row],[Sales_Volume]]</f>
        <v>300</v>
      </c>
      <c r="AA129" s="22">
        <f>GroDB[[#This Row],[ADU]]/GroDB[[#Totals],[ADU]]</f>
        <v>8.7141073904519026E-4</v>
      </c>
      <c r="AB129" s="1">
        <f>GroDB[[#This Row],[Sales_Volume]]*GroDB[[#This Row],[Ordering Cost]]</f>
        <v>240</v>
      </c>
    </row>
    <row r="130" spans="1:28" x14ac:dyDescent="0.35">
      <c r="A130" s="5" t="s">
        <v>272</v>
      </c>
      <c r="B130" s="3" t="s">
        <v>32</v>
      </c>
      <c r="C130" s="3" t="s">
        <v>596</v>
      </c>
      <c r="D130" s="3" t="s">
        <v>597</v>
      </c>
      <c r="E130" s="3" t="s">
        <v>21</v>
      </c>
      <c r="F130" s="3" t="s">
        <v>598</v>
      </c>
      <c r="G130" s="3" t="s">
        <v>599</v>
      </c>
      <c r="H130" s="43">
        <v>45601</v>
      </c>
      <c r="I130" s="43">
        <v>45693</v>
      </c>
      <c r="J130" s="47" t="str">
        <f>IF(GroDB[[#This Row],[Last_Order_Date]]&lt;=GroDB[[#This Row],[Date_Received]], "Yes", "No")</f>
        <v>No</v>
      </c>
      <c r="K130" s="43">
        <f>IF(GroDB[[#This Row],[Column1]]="No",GroDB[[#This Row],[Last_Order_Date]],GroDB[[#This Row],[Date_Received]])</f>
        <v>45693</v>
      </c>
      <c r="L130" s="43">
        <f>IF(GroDB[[#This Row],[Column1]]="No",GroDB[[#This Row],[Date_Received]],GroDB[[#This Row],[Last_Order_Date]])</f>
        <v>45601</v>
      </c>
      <c r="M130" s="45">
        <f>GroDB[[#This Row],[Date_Received1]]-GroDB[[#This Row],[Procurement_Date]]</f>
        <v>92</v>
      </c>
      <c r="N130" s="43">
        <v>45372</v>
      </c>
      <c r="O130" s="91">
        <f>GroDB[[#This Row],[Expiration_Date]]-GroDB[[#This Row],[Date_Received1]]</f>
        <v>-321</v>
      </c>
      <c r="P130" s="4">
        <v>0.8</v>
      </c>
      <c r="Q130" s="3">
        <v>77</v>
      </c>
      <c r="R130" s="3">
        <v>1</v>
      </c>
      <c r="S130" s="3">
        <v>41</v>
      </c>
      <c r="T130" s="4">
        <v>1</v>
      </c>
      <c r="U130" s="3">
        <v>58</v>
      </c>
      <c r="V130" s="51">
        <f>IF(GroDB[[#This Row],[LeadTime]]=0,GroDB[[#This Row],[Sales_Volume]],GroDB[[#This Row],[Sales_Volume]]/GroDB[[#This Row],[LeadTime]])</f>
        <v>0.63043478260869568</v>
      </c>
      <c r="W130" s="51">
        <f>_xlfn.STDEV.S(GroDB[Daily Sales])</f>
        <v>5.1999899792654221</v>
      </c>
      <c r="X130" s="3">
        <v>55</v>
      </c>
      <c r="Y130" s="7">
        <v>0.57999999999999996</v>
      </c>
      <c r="Z130" s="4">
        <f>GroDB[[#This Row],[Unit_Price]]*GroDB[[#This Row],[Sales_Volume]]</f>
        <v>58</v>
      </c>
      <c r="AA130" s="22">
        <f>GroDB[[#This Row],[ADU]]/GroDB[[#Totals],[ADU]]</f>
        <v>1.6847274288207012E-4</v>
      </c>
      <c r="AB130" s="1">
        <f>GroDB[[#This Row],[Sales_Volume]]*GroDB[[#This Row],[Ordering Cost]]</f>
        <v>46.400000000000006</v>
      </c>
    </row>
    <row r="131" spans="1:28" x14ac:dyDescent="0.35">
      <c r="A131" s="5" t="s">
        <v>600</v>
      </c>
      <c r="B131" s="3" t="s">
        <v>32</v>
      </c>
      <c r="C131" s="3" t="s">
        <v>601</v>
      </c>
      <c r="D131" s="3" t="s">
        <v>602</v>
      </c>
      <c r="E131" s="3" t="s">
        <v>56</v>
      </c>
      <c r="F131" s="3" t="s">
        <v>603</v>
      </c>
      <c r="G131" s="3" t="s">
        <v>604</v>
      </c>
      <c r="H131" s="43">
        <v>45601</v>
      </c>
      <c r="I131" s="43">
        <v>45702</v>
      </c>
      <c r="J131" s="47" t="str">
        <f>IF(GroDB[[#This Row],[Last_Order_Date]]&lt;=GroDB[[#This Row],[Date_Received]], "Yes", "No")</f>
        <v>No</v>
      </c>
      <c r="K131" s="43">
        <f>IF(GroDB[[#This Row],[Column1]]="No",GroDB[[#This Row],[Last_Order_Date]],GroDB[[#This Row],[Date_Received]])</f>
        <v>45702</v>
      </c>
      <c r="L131" s="43">
        <f>IF(GroDB[[#This Row],[Column1]]="No",GroDB[[#This Row],[Date_Received]],GroDB[[#This Row],[Last_Order_Date]])</f>
        <v>45601</v>
      </c>
      <c r="M131" s="45">
        <f>GroDB[[#This Row],[Date_Received1]]-GroDB[[#This Row],[Procurement_Date]]</f>
        <v>101</v>
      </c>
      <c r="N131" s="43">
        <v>45685</v>
      </c>
      <c r="O131" s="91">
        <f>GroDB[[#This Row],[Expiration_Date]]-GroDB[[#This Row],[Date_Received1]]</f>
        <v>-17</v>
      </c>
      <c r="P131" s="4">
        <v>1.9600000000000002</v>
      </c>
      <c r="Q131" s="3">
        <v>28</v>
      </c>
      <c r="R131" s="3">
        <v>90</v>
      </c>
      <c r="S131" s="3">
        <v>70</v>
      </c>
      <c r="T131" s="4">
        <v>2.4500000000000002</v>
      </c>
      <c r="U131" s="3">
        <v>76</v>
      </c>
      <c r="V131" s="51">
        <f>IF(GroDB[[#This Row],[LeadTime]]=0,GroDB[[#This Row],[Sales_Volume]],GroDB[[#This Row],[Sales_Volume]]/GroDB[[#This Row],[LeadTime]])</f>
        <v>0.75247524752475248</v>
      </c>
      <c r="W131" s="51">
        <f>_xlfn.STDEV.S(GroDB[Daily Sales])</f>
        <v>5.1999899792654221</v>
      </c>
      <c r="X131" s="3">
        <v>78</v>
      </c>
      <c r="Y131" s="7">
        <v>0.05</v>
      </c>
      <c r="Z131" s="4">
        <f>GroDB[[#This Row],[Unit_Price]]*GroDB[[#This Row],[Sales_Volume]]</f>
        <v>186.20000000000002</v>
      </c>
      <c r="AA131" s="22">
        <f>GroDB[[#This Row],[ADU]]/GroDB[[#Totals],[ADU]]</f>
        <v>5.4085559870071479E-4</v>
      </c>
      <c r="AB131" s="1">
        <f>GroDB[[#This Row],[Sales_Volume]]*GroDB[[#This Row],[Ordering Cost]]</f>
        <v>148.96</v>
      </c>
    </row>
    <row r="132" spans="1:28" x14ac:dyDescent="0.35">
      <c r="A132" s="5" t="s">
        <v>420</v>
      </c>
      <c r="B132" s="3" t="s">
        <v>60</v>
      </c>
      <c r="C132" s="3" t="s">
        <v>264</v>
      </c>
      <c r="D132" s="3" t="s">
        <v>605</v>
      </c>
      <c r="E132" s="3" t="s">
        <v>21</v>
      </c>
      <c r="F132" s="3" t="s">
        <v>606</v>
      </c>
      <c r="G132" s="3" t="s">
        <v>607</v>
      </c>
      <c r="H132" s="43">
        <v>45601</v>
      </c>
      <c r="I132" s="43">
        <v>45475</v>
      </c>
      <c r="J132" s="47" t="str">
        <f>IF(GroDB[[#This Row],[Last_Order_Date]]&lt;=GroDB[[#This Row],[Date_Received]], "Yes", "No")</f>
        <v>Yes</v>
      </c>
      <c r="K132" s="43">
        <f>IF(GroDB[[#This Row],[Column1]]="No",GroDB[[#This Row],[Last_Order_Date]],GroDB[[#This Row],[Date_Received]])</f>
        <v>45601</v>
      </c>
      <c r="L132" s="43">
        <f>IF(GroDB[[#This Row],[Column1]]="No",GroDB[[#This Row],[Date_Received]],GroDB[[#This Row],[Last_Order_Date]])</f>
        <v>45475</v>
      </c>
      <c r="M132" s="45">
        <f>GroDB[[#This Row],[Date_Received1]]-GroDB[[#This Row],[Procurement_Date]]</f>
        <v>126</v>
      </c>
      <c r="N132" s="43">
        <v>45390</v>
      </c>
      <c r="O132" s="91">
        <f>GroDB[[#This Row],[Expiration_Date]]-GroDB[[#This Row],[Date_Received1]]</f>
        <v>-211</v>
      </c>
      <c r="P132" s="4">
        <v>14.4</v>
      </c>
      <c r="Q132" s="3">
        <v>85</v>
      </c>
      <c r="R132" s="3">
        <v>17</v>
      </c>
      <c r="S132" s="3">
        <v>96</v>
      </c>
      <c r="T132" s="4">
        <v>18</v>
      </c>
      <c r="U132" s="3">
        <v>92</v>
      </c>
      <c r="V132" s="51">
        <f>IF(GroDB[[#This Row],[LeadTime]]=0,GroDB[[#This Row],[Sales_Volume]],GroDB[[#This Row],[Sales_Volume]]/GroDB[[#This Row],[LeadTime]])</f>
        <v>0.73015873015873012</v>
      </c>
      <c r="W132" s="51">
        <f>_xlfn.STDEV.S(GroDB[Daily Sales])</f>
        <v>5.1999899792654221</v>
      </c>
      <c r="X132" s="3">
        <v>34</v>
      </c>
      <c r="Y132" s="7">
        <v>-0.03</v>
      </c>
      <c r="Z132" s="4">
        <f>GroDB[[#This Row],[Unit_Price]]*GroDB[[#This Row],[Sales_Volume]]</f>
        <v>1656</v>
      </c>
      <c r="AA132" s="22">
        <f>GroDB[[#This Row],[ADU]]/GroDB[[#Totals],[ADU]]</f>
        <v>4.8101872795294504E-3</v>
      </c>
      <c r="AB132" s="1">
        <f>GroDB[[#This Row],[Sales_Volume]]*GroDB[[#This Row],[Ordering Cost]]</f>
        <v>1324.8</v>
      </c>
    </row>
    <row r="133" spans="1:28" x14ac:dyDescent="0.35">
      <c r="A133" s="5" t="s">
        <v>137</v>
      </c>
      <c r="B133" s="3" t="s">
        <v>18</v>
      </c>
      <c r="C133" s="3" t="s">
        <v>608</v>
      </c>
      <c r="D133" s="3" t="s">
        <v>609</v>
      </c>
      <c r="E133" s="3" t="s">
        <v>56</v>
      </c>
      <c r="F133" s="3" t="s">
        <v>610</v>
      </c>
      <c r="G133" s="3" t="s">
        <v>611</v>
      </c>
      <c r="H133" s="43">
        <v>45601</v>
      </c>
      <c r="I133" s="43">
        <v>45426</v>
      </c>
      <c r="J133" s="47" t="str">
        <f>IF(GroDB[[#This Row],[Last_Order_Date]]&lt;=GroDB[[#This Row],[Date_Received]], "Yes", "No")</f>
        <v>Yes</v>
      </c>
      <c r="K133" s="43">
        <f>IF(GroDB[[#This Row],[Column1]]="No",GroDB[[#This Row],[Last_Order_Date]],GroDB[[#This Row],[Date_Received]])</f>
        <v>45601</v>
      </c>
      <c r="L133" s="43">
        <f>IF(GroDB[[#This Row],[Column1]]="No",GroDB[[#This Row],[Date_Received]],GroDB[[#This Row],[Last_Order_Date]])</f>
        <v>45426</v>
      </c>
      <c r="M133" s="45">
        <f>GroDB[[#This Row],[Date_Received1]]-GroDB[[#This Row],[Procurement_Date]]</f>
        <v>175</v>
      </c>
      <c r="N133" s="43">
        <v>45552</v>
      </c>
      <c r="O133" s="91">
        <f>GroDB[[#This Row],[Expiration_Date]]-GroDB[[#This Row],[Date_Received1]]</f>
        <v>-49</v>
      </c>
      <c r="P133" s="4">
        <v>4</v>
      </c>
      <c r="Q133" s="3">
        <v>73</v>
      </c>
      <c r="R133" s="3">
        <v>69</v>
      </c>
      <c r="S133" s="3">
        <v>1</v>
      </c>
      <c r="T133" s="4">
        <v>5</v>
      </c>
      <c r="U133" s="3">
        <v>50</v>
      </c>
      <c r="V133" s="51">
        <f>IF(GroDB[[#This Row],[LeadTime]]=0,GroDB[[#This Row],[Sales_Volume]],GroDB[[#This Row],[Sales_Volume]]/GroDB[[#This Row],[LeadTime]])</f>
        <v>0.2857142857142857</v>
      </c>
      <c r="W133" s="51">
        <f>_xlfn.STDEV.S(GroDB[Daily Sales])</f>
        <v>5.1999899792654221</v>
      </c>
      <c r="X133" s="3">
        <v>67</v>
      </c>
      <c r="Y133" s="7">
        <v>0.63</v>
      </c>
      <c r="Z133" s="4">
        <f>GroDB[[#This Row],[Unit_Price]]*GroDB[[#This Row],[Sales_Volume]]</f>
        <v>250</v>
      </c>
      <c r="AA133" s="22">
        <f>GroDB[[#This Row],[ADU]]/GroDB[[#Totals],[ADU]]</f>
        <v>7.2617561587099192E-4</v>
      </c>
      <c r="AB133" s="1">
        <f>GroDB[[#This Row],[Sales_Volume]]*GroDB[[#This Row],[Ordering Cost]]</f>
        <v>200</v>
      </c>
    </row>
    <row r="134" spans="1:28" x14ac:dyDescent="0.35">
      <c r="A134" s="5" t="s">
        <v>342</v>
      </c>
      <c r="B134" s="3" t="s">
        <v>18</v>
      </c>
      <c r="C134" s="3" t="s">
        <v>316</v>
      </c>
      <c r="D134" s="3" t="s">
        <v>612</v>
      </c>
      <c r="E134" s="3" t="s">
        <v>28</v>
      </c>
      <c r="F134" s="3" t="s">
        <v>613</v>
      </c>
      <c r="G134" s="3" t="s">
        <v>614</v>
      </c>
      <c r="H134" s="43">
        <v>45601</v>
      </c>
      <c r="I134" s="43">
        <v>45604</v>
      </c>
      <c r="J134" s="47" t="str">
        <f>IF(GroDB[[#This Row],[Last_Order_Date]]&lt;=GroDB[[#This Row],[Date_Received]], "Yes", "No")</f>
        <v>No</v>
      </c>
      <c r="K134" s="43">
        <f>IF(GroDB[[#This Row],[Column1]]="No",GroDB[[#This Row],[Last_Order_Date]],GroDB[[#This Row],[Date_Received]])</f>
        <v>45604</v>
      </c>
      <c r="L134" s="43">
        <f>IF(GroDB[[#This Row],[Column1]]="No",GroDB[[#This Row],[Date_Received]],GroDB[[#This Row],[Last_Order_Date]])</f>
        <v>45601</v>
      </c>
      <c r="M134" s="45">
        <f>GroDB[[#This Row],[Date_Received1]]-GroDB[[#This Row],[Procurement_Date]]</f>
        <v>3</v>
      </c>
      <c r="N134" s="43">
        <v>45644</v>
      </c>
      <c r="O134" s="91">
        <f>GroDB[[#This Row],[Expiration_Date]]-GroDB[[#This Row],[Date_Received1]]</f>
        <v>40</v>
      </c>
      <c r="P134" s="4">
        <v>4.8000000000000007</v>
      </c>
      <c r="Q134" s="3">
        <v>88</v>
      </c>
      <c r="R134" s="3">
        <v>24</v>
      </c>
      <c r="S134" s="3">
        <v>44</v>
      </c>
      <c r="T134" s="4">
        <v>6</v>
      </c>
      <c r="U134" s="3">
        <v>72</v>
      </c>
      <c r="V134" s="51">
        <f>IF(GroDB[[#This Row],[LeadTime]]=0,GroDB[[#This Row],[Sales_Volume]],GroDB[[#This Row],[Sales_Volume]]/GroDB[[#This Row],[LeadTime]])</f>
        <v>24</v>
      </c>
      <c r="W134" s="51">
        <f>_xlfn.STDEV.S(GroDB[Daily Sales])</f>
        <v>5.1999899792654221</v>
      </c>
      <c r="X134" s="3">
        <v>88</v>
      </c>
      <c r="Y134" s="7">
        <v>-0.34</v>
      </c>
      <c r="Z134" s="4">
        <f>GroDB[[#This Row],[Unit_Price]]*GroDB[[#This Row],[Sales_Volume]]</f>
        <v>432</v>
      </c>
      <c r="AA134" s="22">
        <f>GroDB[[#This Row],[ADU]]/GroDB[[#Totals],[ADU]]</f>
        <v>1.2548314642250741E-3</v>
      </c>
      <c r="AB134" s="1">
        <f>GroDB[[#This Row],[Sales_Volume]]*GroDB[[#This Row],[Ordering Cost]]</f>
        <v>345.6</v>
      </c>
    </row>
    <row r="135" spans="1:28" x14ac:dyDescent="0.35">
      <c r="A135" s="5" t="s">
        <v>615</v>
      </c>
      <c r="B135" s="3" t="s">
        <v>32</v>
      </c>
      <c r="C135" s="3" t="s">
        <v>616</v>
      </c>
      <c r="D135" s="3" t="s">
        <v>617</v>
      </c>
      <c r="E135" s="3" t="s">
        <v>56</v>
      </c>
      <c r="F135" s="3" t="s">
        <v>618</v>
      </c>
      <c r="G135" s="3" t="s">
        <v>619</v>
      </c>
      <c r="H135" s="43">
        <v>45601</v>
      </c>
      <c r="I135" s="43">
        <v>45603</v>
      </c>
      <c r="J135" s="47" t="str">
        <f>IF(GroDB[[#This Row],[Last_Order_Date]]&lt;=GroDB[[#This Row],[Date_Received]], "Yes", "No")</f>
        <v>No</v>
      </c>
      <c r="K135" s="43">
        <f>IF(GroDB[[#This Row],[Column1]]="No",GroDB[[#This Row],[Last_Order_Date]],GroDB[[#This Row],[Date_Received]])</f>
        <v>45603</v>
      </c>
      <c r="L135" s="43">
        <f>IF(GroDB[[#This Row],[Column1]]="No",GroDB[[#This Row],[Date_Received]],GroDB[[#This Row],[Last_Order_Date]])</f>
        <v>45601</v>
      </c>
      <c r="M135" s="45">
        <f>GroDB[[#This Row],[Date_Received1]]-GroDB[[#This Row],[Procurement_Date]]</f>
        <v>2</v>
      </c>
      <c r="N135" s="43">
        <v>45349</v>
      </c>
      <c r="O135" s="91">
        <f>GroDB[[#This Row],[Expiration_Date]]-GroDB[[#This Row],[Date_Received1]]</f>
        <v>-254</v>
      </c>
      <c r="P135" s="4">
        <v>1.6</v>
      </c>
      <c r="Q135" s="3">
        <v>64</v>
      </c>
      <c r="R135" s="3">
        <v>28</v>
      </c>
      <c r="S135" s="3">
        <v>35</v>
      </c>
      <c r="T135" s="4">
        <v>2</v>
      </c>
      <c r="U135" s="3">
        <v>74</v>
      </c>
      <c r="V135" s="51">
        <f>IF(GroDB[[#This Row],[LeadTime]]=0,GroDB[[#This Row],[Sales_Volume]],GroDB[[#This Row],[Sales_Volume]]/GroDB[[#This Row],[LeadTime]])</f>
        <v>37</v>
      </c>
      <c r="W135" s="51">
        <f>_xlfn.STDEV.S(GroDB[Daily Sales])</f>
        <v>5.1999899792654221</v>
      </c>
      <c r="X135" s="3">
        <v>50</v>
      </c>
      <c r="Y135" s="7">
        <v>-0.22</v>
      </c>
      <c r="Z135" s="4">
        <f>GroDB[[#This Row],[Unit_Price]]*GroDB[[#This Row],[Sales_Volume]]</f>
        <v>148</v>
      </c>
      <c r="AA135" s="22">
        <f>GroDB[[#This Row],[ADU]]/GroDB[[#Totals],[ADU]]</f>
        <v>4.2989596459562719E-4</v>
      </c>
      <c r="AB135" s="1">
        <f>GroDB[[#This Row],[Sales_Volume]]*GroDB[[#This Row],[Ordering Cost]]</f>
        <v>118.4</v>
      </c>
    </row>
    <row r="136" spans="1:28" x14ac:dyDescent="0.35">
      <c r="A136" s="5" t="s">
        <v>220</v>
      </c>
      <c r="B136" s="3" t="s">
        <v>127</v>
      </c>
      <c r="C136" s="3" t="s">
        <v>620</v>
      </c>
      <c r="D136" s="3" t="s">
        <v>621</v>
      </c>
      <c r="E136" s="3" t="s">
        <v>28</v>
      </c>
      <c r="F136" s="3" t="s">
        <v>622</v>
      </c>
      <c r="G136" s="3" t="s">
        <v>623</v>
      </c>
      <c r="H136" s="43">
        <v>45631</v>
      </c>
      <c r="I136" s="43">
        <v>45709</v>
      </c>
      <c r="J136" s="47" t="str">
        <f>IF(GroDB[[#This Row],[Last_Order_Date]]&lt;=GroDB[[#This Row],[Date_Received]], "Yes", "No")</f>
        <v>No</v>
      </c>
      <c r="K136" s="43">
        <f>IF(GroDB[[#This Row],[Column1]]="No",GroDB[[#This Row],[Last_Order_Date]],GroDB[[#This Row],[Date_Received]])</f>
        <v>45709</v>
      </c>
      <c r="L136" s="43">
        <f>IF(GroDB[[#This Row],[Column1]]="No",GroDB[[#This Row],[Date_Received]],GroDB[[#This Row],[Last_Order_Date]])</f>
        <v>45631</v>
      </c>
      <c r="M136" s="45">
        <f>GroDB[[#This Row],[Date_Received1]]-GroDB[[#This Row],[Procurement_Date]]</f>
        <v>78</v>
      </c>
      <c r="N136" s="43">
        <v>45648</v>
      </c>
      <c r="O136" s="91">
        <f>GroDB[[#This Row],[Expiration_Date]]-GroDB[[#This Row],[Date_Received1]]</f>
        <v>-61</v>
      </c>
      <c r="P136" s="4">
        <v>8</v>
      </c>
      <c r="Q136" s="3">
        <v>68</v>
      </c>
      <c r="R136" s="3">
        <v>12</v>
      </c>
      <c r="S136" s="3">
        <v>42</v>
      </c>
      <c r="T136" s="4">
        <v>10</v>
      </c>
      <c r="U136" s="3">
        <v>39</v>
      </c>
      <c r="V136" s="51">
        <f>IF(GroDB[[#This Row],[LeadTime]]=0,GroDB[[#This Row],[Sales_Volume]],GroDB[[#This Row],[Sales_Volume]]/GroDB[[#This Row],[LeadTime]])</f>
        <v>0.5</v>
      </c>
      <c r="W136" s="51">
        <f>_xlfn.STDEV.S(GroDB[Daily Sales])</f>
        <v>5.1999899792654221</v>
      </c>
      <c r="X136" s="3">
        <v>6</v>
      </c>
      <c r="Y136" s="7">
        <v>0.32</v>
      </c>
      <c r="Z136" s="4">
        <f>GroDB[[#This Row],[Unit_Price]]*GroDB[[#This Row],[Sales_Volume]]</f>
        <v>390</v>
      </c>
      <c r="AA136" s="22">
        <f>GroDB[[#This Row],[ADU]]/GroDB[[#Totals],[ADU]]</f>
        <v>1.1328339607587473E-3</v>
      </c>
      <c r="AB136" s="1">
        <f>GroDB[[#This Row],[Sales_Volume]]*GroDB[[#This Row],[Ordering Cost]]</f>
        <v>312</v>
      </c>
    </row>
    <row r="137" spans="1:28" x14ac:dyDescent="0.35">
      <c r="A137" s="5" t="s">
        <v>180</v>
      </c>
      <c r="B137" s="3" t="s">
        <v>18</v>
      </c>
      <c r="C137" s="3" t="s">
        <v>486</v>
      </c>
      <c r="D137" s="3" t="s">
        <v>624</v>
      </c>
      <c r="E137" s="3" t="s">
        <v>21</v>
      </c>
      <c r="F137" s="3" t="s">
        <v>625</v>
      </c>
      <c r="G137" s="3" t="s">
        <v>626</v>
      </c>
      <c r="H137" s="43">
        <v>45357</v>
      </c>
      <c r="I137" s="43">
        <v>45488</v>
      </c>
      <c r="J137" s="47" t="str">
        <f>IF(GroDB[[#This Row],[Last_Order_Date]]&lt;=GroDB[[#This Row],[Date_Received]], "Yes", "No")</f>
        <v>No</v>
      </c>
      <c r="K137" s="43">
        <f>IF(GroDB[[#This Row],[Column1]]="No",GroDB[[#This Row],[Last_Order_Date]],GroDB[[#This Row],[Date_Received]])</f>
        <v>45488</v>
      </c>
      <c r="L137" s="43">
        <f>IF(GroDB[[#This Row],[Column1]]="No",GroDB[[#This Row],[Date_Received]],GroDB[[#This Row],[Last_Order_Date]])</f>
        <v>45357</v>
      </c>
      <c r="M137" s="45">
        <f>GroDB[[#This Row],[Date_Received1]]-GroDB[[#This Row],[Procurement_Date]]</f>
        <v>131</v>
      </c>
      <c r="N137" s="43">
        <v>45678</v>
      </c>
      <c r="O137" s="91">
        <f>GroDB[[#This Row],[Expiration_Date]]-GroDB[[#This Row],[Date_Received1]]</f>
        <v>190</v>
      </c>
      <c r="P137" s="4">
        <v>1.4400000000000002</v>
      </c>
      <c r="Q137" s="3">
        <v>85</v>
      </c>
      <c r="R137" s="3">
        <v>33</v>
      </c>
      <c r="S137" s="3">
        <v>50</v>
      </c>
      <c r="T137" s="4">
        <v>1.8</v>
      </c>
      <c r="U137" s="3">
        <v>64</v>
      </c>
      <c r="V137" s="51">
        <f>IF(GroDB[[#This Row],[LeadTime]]=0,GroDB[[#This Row],[Sales_Volume]],GroDB[[#This Row],[Sales_Volume]]/GroDB[[#This Row],[LeadTime]])</f>
        <v>0.48854961832061067</v>
      </c>
      <c r="W137" s="51">
        <f>_xlfn.STDEV.S(GroDB[Daily Sales])</f>
        <v>5.1999899792654221</v>
      </c>
      <c r="X137" s="3">
        <v>38</v>
      </c>
      <c r="Y137" s="7">
        <v>0.85</v>
      </c>
      <c r="Z137" s="4">
        <f>GroDB[[#This Row],[Unit_Price]]*GroDB[[#This Row],[Sales_Volume]]</f>
        <v>115.2</v>
      </c>
      <c r="AA137" s="22">
        <f>GroDB[[#This Row],[ADU]]/GroDB[[#Totals],[ADU]]</f>
        <v>3.3462172379335306E-4</v>
      </c>
      <c r="AB137" s="1">
        <f>GroDB[[#This Row],[Sales_Volume]]*GroDB[[#This Row],[Ordering Cost]]</f>
        <v>92.160000000000011</v>
      </c>
    </row>
    <row r="138" spans="1:28" x14ac:dyDescent="0.35">
      <c r="A138" s="5" t="s">
        <v>627</v>
      </c>
      <c r="B138" s="3" t="s">
        <v>53</v>
      </c>
      <c r="C138" s="3" t="s">
        <v>628</v>
      </c>
      <c r="D138" s="3" t="s">
        <v>629</v>
      </c>
      <c r="E138" s="3" t="s">
        <v>28</v>
      </c>
      <c r="F138" s="3" t="s">
        <v>630</v>
      </c>
      <c r="G138" s="3" t="s">
        <v>631</v>
      </c>
      <c r="H138" s="43">
        <v>45357</v>
      </c>
      <c r="I138" s="43">
        <v>45351</v>
      </c>
      <c r="J138" s="47" t="str">
        <f>IF(GroDB[[#This Row],[Last_Order_Date]]&lt;=GroDB[[#This Row],[Date_Received]], "Yes", "No")</f>
        <v>Yes</v>
      </c>
      <c r="K138" s="43">
        <f>IF(GroDB[[#This Row],[Column1]]="No",GroDB[[#This Row],[Last_Order_Date]],GroDB[[#This Row],[Date_Received]])</f>
        <v>45357</v>
      </c>
      <c r="L138" s="43">
        <f>IF(GroDB[[#This Row],[Column1]]="No",GroDB[[#This Row],[Date_Received]],GroDB[[#This Row],[Last_Order_Date]])</f>
        <v>45351</v>
      </c>
      <c r="M138" s="45">
        <f>GroDB[[#This Row],[Date_Received1]]-GroDB[[#This Row],[Procurement_Date]]</f>
        <v>6</v>
      </c>
      <c r="N138" s="43">
        <v>45548</v>
      </c>
      <c r="O138" s="91">
        <f>GroDB[[#This Row],[Expiration_Date]]-GroDB[[#This Row],[Date_Received1]]</f>
        <v>191</v>
      </c>
      <c r="P138" s="4">
        <v>2</v>
      </c>
      <c r="Q138" s="3">
        <v>46</v>
      </c>
      <c r="R138" s="3">
        <v>20</v>
      </c>
      <c r="S138" s="3">
        <v>30</v>
      </c>
      <c r="T138" s="4">
        <v>2.5</v>
      </c>
      <c r="U138" s="3">
        <v>54</v>
      </c>
      <c r="V138" s="51">
        <f>IF(GroDB[[#This Row],[LeadTime]]=0,GroDB[[#This Row],[Sales_Volume]],GroDB[[#This Row],[Sales_Volume]]/GroDB[[#This Row],[LeadTime]])</f>
        <v>9</v>
      </c>
      <c r="W138" s="51">
        <f>_xlfn.STDEV.S(GroDB[Daily Sales])</f>
        <v>5.1999899792654221</v>
      </c>
      <c r="X138" s="3">
        <v>24</v>
      </c>
      <c r="Y138" s="7">
        <v>0.41</v>
      </c>
      <c r="Z138" s="4">
        <f>GroDB[[#This Row],[Unit_Price]]*GroDB[[#This Row],[Sales_Volume]]</f>
        <v>135</v>
      </c>
      <c r="AA138" s="22">
        <f>GroDB[[#This Row],[ADU]]/GroDB[[#Totals],[ADU]]</f>
        <v>3.9213483257033563E-4</v>
      </c>
      <c r="AB138" s="1">
        <f>GroDB[[#This Row],[Sales_Volume]]*GroDB[[#This Row],[Ordering Cost]]</f>
        <v>108</v>
      </c>
    </row>
    <row r="139" spans="1:28" x14ac:dyDescent="0.35">
      <c r="A139" s="5" t="s">
        <v>632</v>
      </c>
      <c r="B139" s="3" t="s">
        <v>60</v>
      </c>
      <c r="C139" s="3" t="s">
        <v>633</v>
      </c>
      <c r="D139" s="3" t="s">
        <v>634</v>
      </c>
      <c r="E139" s="3" t="s">
        <v>21</v>
      </c>
      <c r="F139" s="3" t="s">
        <v>635</v>
      </c>
      <c r="G139" s="3" t="s">
        <v>636</v>
      </c>
      <c r="H139" s="43">
        <v>45357</v>
      </c>
      <c r="I139" s="43">
        <v>45389</v>
      </c>
      <c r="J139" s="47" t="str">
        <f>IF(GroDB[[#This Row],[Last_Order_Date]]&lt;=GroDB[[#This Row],[Date_Received]], "Yes", "No")</f>
        <v>No</v>
      </c>
      <c r="K139" s="43">
        <f>IF(GroDB[[#This Row],[Column1]]="No",GroDB[[#This Row],[Last_Order_Date]],GroDB[[#This Row],[Date_Received]])</f>
        <v>45389</v>
      </c>
      <c r="L139" s="43">
        <f>IF(GroDB[[#This Row],[Column1]]="No",GroDB[[#This Row],[Date_Received]],GroDB[[#This Row],[Last_Order_Date]])</f>
        <v>45357</v>
      </c>
      <c r="M139" s="45">
        <f>GroDB[[#This Row],[Date_Received1]]-GroDB[[#This Row],[Procurement_Date]]</f>
        <v>32</v>
      </c>
      <c r="N139" s="43">
        <v>45375</v>
      </c>
      <c r="O139" s="91">
        <f>GroDB[[#This Row],[Expiration_Date]]-GroDB[[#This Row],[Date_Received1]]</f>
        <v>-14</v>
      </c>
      <c r="P139" s="4">
        <v>6.4</v>
      </c>
      <c r="Q139" s="3">
        <v>72</v>
      </c>
      <c r="R139" s="3">
        <v>29</v>
      </c>
      <c r="S139" s="3">
        <v>10</v>
      </c>
      <c r="T139" s="4">
        <v>8</v>
      </c>
      <c r="U139" s="3">
        <v>54</v>
      </c>
      <c r="V139" s="51">
        <f>IF(GroDB[[#This Row],[LeadTime]]=0,GroDB[[#This Row],[Sales_Volume]],GroDB[[#This Row],[Sales_Volume]]/GroDB[[#This Row],[LeadTime]])</f>
        <v>1.6875</v>
      </c>
      <c r="W139" s="51">
        <f>_xlfn.STDEV.S(GroDB[Daily Sales])</f>
        <v>5.1999899792654221</v>
      </c>
      <c r="X139" s="3">
        <v>38</v>
      </c>
      <c r="Y139" s="7">
        <v>0.56000000000000005</v>
      </c>
      <c r="Z139" s="4">
        <f>GroDB[[#This Row],[Unit_Price]]*GroDB[[#This Row],[Sales_Volume]]</f>
        <v>432</v>
      </c>
      <c r="AA139" s="22">
        <f>GroDB[[#This Row],[ADU]]/GroDB[[#Totals],[ADU]]</f>
        <v>1.2548314642250741E-3</v>
      </c>
      <c r="AB139" s="1">
        <f>GroDB[[#This Row],[Sales_Volume]]*GroDB[[#This Row],[Ordering Cost]]</f>
        <v>345.6</v>
      </c>
    </row>
    <row r="140" spans="1:28" x14ac:dyDescent="0.35">
      <c r="A140" s="5" t="s">
        <v>531</v>
      </c>
      <c r="B140" s="3" t="s">
        <v>53</v>
      </c>
      <c r="C140" s="3" t="s">
        <v>637</v>
      </c>
      <c r="D140" s="3" t="s">
        <v>638</v>
      </c>
      <c r="E140" s="3" t="s">
        <v>21</v>
      </c>
      <c r="F140" s="3" t="s">
        <v>639</v>
      </c>
      <c r="G140" s="3" t="s">
        <v>640</v>
      </c>
      <c r="H140" s="43">
        <v>45388</v>
      </c>
      <c r="I140" s="43">
        <v>45413</v>
      </c>
      <c r="J140" s="47" t="str">
        <f>IF(GroDB[[#This Row],[Last_Order_Date]]&lt;=GroDB[[#This Row],[Date_Received]], "Yes", "No")</f>
        <v>No</v>
      </c>
      <c r="K140" s="43">
        <f>IF(GroDB[[#This Row],[Column1]]="No",GroDB[[#This Row],[Last_Order_Date]],GroDB[[#This Row],[Date_Received]])</f>
        <v>45413</v>
      </c>
      <c r="L140" s="43">
        <f>IF(GroDB[[#This Row],[Column1]]="No",GroDB[[#This Row],[Date_Received]],GroDB[[#This Row],[Last_Order_Date]])</f>
        <v>45388</v>
      </c>
      <c r="M140" s="45">
        <f>GroDB[[#This Row],[Date_Received1]]-GroDB[[#This Row],[Procurement_Date]]</f>
        <v>25</v>
      </c>
      <c r="N140" s="43">
        <v>45613</v>
      </c>
      <c r="O140" s="91">
        <f>GroDB[[#This Row],[Expiration_Date]]-GroDB[[#This Row],[Date_Received1]]</f>
        <v>200</v>
      </c>
      <c r="P140" s="4">
        <v>1.2000000000000002</v>
      </c>
      <c r="Q140" s="3">
        <v>67</v>
      </c>
      <c r="R140" s="3">
        <v>88</v>
      </c>
      <c r="S140" s="3">
        <v>32</v>
      </c>
      <c r="T140" s="4">
        <v>1.5</v>
      </c>
      <c r="U140" s="3">
        <v>66</v>
      </c>
      <c r="V140" s="51">
        <f>IF(GroDB[[#This Row],[LeadTime]]=0,GroDB[[#This Row],[Sales_Volume]],GroDB[[#This Row],[Sales_Volume]]/GroDB[[#This Row],[LeadTime]])</f>
        <v>2.64</v>
      </c>
      <c r="W140" s="51">
        <f>_xlfn.STDEV.S(GroDB[Daily Sales])</f>
        <v>5.1999899792654221</v>
      </c>
      <c r="X140" s="3">
        <v>42</v>
      </c>
      <c r="Y140" s="7">
        <v>0.3</v>
      </c>
      <c r="Z140" s="4">
        <f>GroDB[[#This Row],[Unit_Price]]*GroDB[[#This Row],[Sales_Volume]]</f>
        <v>99</v>
      </c>
      <c r="AA140" s="22">
        <f>GroDB[[#This Row],[ADU]]/GroDB[[#Totals],[ADU]]</f>
        <v>2.8756554388491279E-4</v>
      </c>
      <c r="AB140" s="1">
        <f>GroDB[[#This Row],[Sales_Volume]]*GroDB[[#This Row],[Ordering Cost]]</f>
        <v>79.200000000000017</v>
      </c>
    </row>
    <row r="141" spans="1:28" x14ac:dyDescent="0.35">
      <c r="A141" s="5" t="s">
        <v>101</v>
      </c>
      <c r="B141" s="3" t="s">
        <v>18</v>
      </c>
      <c r="C141" s="3" t="s">
        <v>641</v>
      </c>
      <c r="D141" s="3" t="s">
        <v>642</v>
      </c>
      <c r="E141" s="3" t="s">
        <v>28</v>
      </c>
      <c r="F141" s="3" t="s">
        <v>643</v>
      </c>
      <c r="G141" s="3" t="s">
        <v>644</v>
      </c>
      <c r="H141" s="43">
        <v>45388</v>
      </c>
      <c r="I141" s="43">
        <v>45406</v>
      </c>
      <c r="J141" s="47" t="str">
        <f>IF(GroDB[[#This Row],[Last_Order_Date]]&lt;=GroDB[[#This Row],[Date_Received]], "Yes", "No")</f>
        <v>No</v>
      </c>
      <c r="K141" s="43">
        <f>IF(GroDB[[#This Row],[Column1]]="No",GroDB[[#This Row],[Last_Order_Date]],GroDB[[#This Row],[Date_Received]])</f>
        <v>45406</v>
      </c>
      <c r="L141" s="43">
        <f>IF(GroDB[[#This Row],[Column1]]="No",GroDB[[#This Row],[Date_Received]],GroDB[[#This Row],[Last_Order_Date]])</f>
        <v>45388</v>
      </c>
      <c r="M141" s="45">
        <f>GroDB[[#This Row],[Date_Received1]]-GroDB[[#This Row],[Procurement_Date]]</f>
        <v>18</v>
      </c>
      <c r="N141" s="43">
        <v>45578</v>
      </c>
      <c r="O141" s="91">
        <f>GroDB[[#This Row],[Expiration_Date]]-GroDB[[#This Row],[Date_Received1]]</f>
        <v>172</v>
      </c>
      <c r="P141" s="4">
        <v>3.6</v>
      </c>
      <c r="Q141" s="3">
        <v>41</v>
      </c>
      <c r="R141" s="3">
        <v>52</v>
      </c>
      <c r="S141" s="3">
        <v>75</v>
      </c>
      <c r="T141" s="4">
        <v>4.5</v>
      </c>
      <c r="U141" s="3">
        <v>57</v>
      </c>
      <c r="V141" s="51">
        <f>IF(GroDB[[#This Row],[LeadTime]]=0,GroDB[[#This Row],[Sales_Volume]],GroDB[[#This Row],[Sales_Volume]]/GroDB[[#This Row],[LeadTime]])</f>
        <v>3.1666666666666665</v>
      </c>
      <c r="W141" s="51">
        <f>_xlfn.STDEV.S(GroDB[Daily Sales])</f>
        <v>5.1999899792654221</v>
      </c>
      <c r="X141" s="3">
        <v>62</v>
      </c>
      <c r="Y141" s="7">
        <v>0.36</v>
      </c>
      <c r="Z141" s="4">
        <f>GroDB[[#This Row],[Unit_Price]]*GroDB[[#This Row],[Sales_Volume]]</f>
        <v>256.5</v>
      </c>
      <c r="AA141" s="22">
        <f>GroDB[[#This Row],[ADU]]/GroDB[[#Totals],[ADU]]</f>
        <v>7.4505618188363762E-4</v>
      </c>
      <c r="AB141" s="1">
        <f>GroDB[[#This Row],[Sales_Volume]]*GroDB[[#This Row],[Ordering Cost]]</f>
        <v>205.20000000000002</v>
      </c>
    </row>
    <row r="142" spans="1:28" x14ac:dyDescent="0.35">
      <c r="A142" s="5" t="s">
        <v>96</v>
      </c>
      <c r="B142" s="3" t="s">
        <v>18</v>
      </c>
      <c r="C142" s="3" t="s">
        <v>254</v>
      </c>
      <c r="D142" s="3" t="s">
        <v>645</v>
      </c>
      <c r="E142" s="3" t="s">
        <v>28</v>
      </c>
      <c r="F142" s="3" t="s">
        <v>646</v>
      </c>
      <c r="G142" s="3" t="s">
        <v>647</v>
      </c>
      <c r="H142" s="43">
        <v>45388</v>
      </c>
      <c r="I142" s="43">
        <v>45654</v>
      </c>
      <c r="J142" s="47" t="str">
        <f>IF(GroDB[[#This Row],[Last_Order_Date]]&lt;=GroDB[[#This Row],[Date_Received]], "Yes", "No")</f>
        <v>No</v>
      </c>
      <c r="K142" s="43">
        <f>IF(GroDB[[#This Row],[Column1]]="No",GroDB[[#This Row],[Last_Order_Date]],GroDB[[#This Row],[Date_Received]])</f>
        <v>45654</v>
      </c>
      <c r="L142" s="43">
        <f>IF(GroDB[[#This Row],[Column1]]="No",GroDB[[#This Row],[Date_Received]],GroDB[[#This Row],[Last_Order_Date]])</f>
        <v>45388</v>
      </c>
      <c r="M142" s="45">
        <f>GroDB[[#This Row],[Date_Received1]]-GroDB[[#This Row],[Procurement_Date]]</f>
        <v>266</v>
      </c>
      <c r="N142" s="43">
        <v>45390</v>
      </c>
      <c r="O142" s="91">
        <f>GroDB[[#This Row],[Expiration_Date]]-GroDB[[#This Row],[Date_Received1]]</f>
        <v>-264</v>
      </c>
      <c r="P142" s="4">
        <v>2</v>
      </c>
      <c r="Q142" s="3">
        <v>66</v>
      </c>
      <c r="R142" s="3">
        <v>31</v>
      </c>
      <c r="S142" s="3">
        <v>18</v>
      </c>
      <c r="T142" s="4">
        <v>2.5</v>
      </c>
      <c r="U142" s="3">
        <v>85</v>
      </c>
      <c r="V142" s="51">
        <f>IF(GroDB[[#This Row],[LeadTime]]=0,GroDB[[#This Row],[Sales_Volume]],GroDB[[#This Row],[Sales_Volume]]/GroDB[[#This Row],[LeadTime]])</f>
        <v>0.31954887218045114</v>
      </c>
      <c r="W142" s="51">
        <f>_xlfn.STDEV.S(GroDB[Daily Sales])</f>
        <v>5.1999899792654221</v>
      </c>
      <c r="X142" s="3">
        <v>39</v>
      </c>
      <c r="Y142" s="7">
        <v>-0.09</v>
      </c>
      <c r="Z142" s="4">
        <f>GroDB[[#This Row],[Unit_Price]]*GroDB[[#This Row],[Sales_Volume]]</f>
        <v>212.5</v>
      </c>
      <c r="AA142" s="22">
        <f>GroDB[[#This Row],[ADU]]/GroDB[[#Totals],[ADU]]</f>
        <v>6.1724927349034306E-4</v>
      </c>
      <c r="AB142" s="1">
        <f>GroDB[[#This Row],[Sales_Volume]]*GroDB[[#This Row],[Ordering Cost]]</f>
        <v>170</v>
      </c>
    </row>
    <row r="143" spans="1:28" x14ac:dyDescent="0.35">
      <c r="A143" s="5" t="s">
        <v>566</v>
      </c>
      <c r="B143" s="3" t="s">
        <v>127</v>
      </c>
      <c r="C143" s="3" t="s">
        <v>26</v>
      </c>
      <c r="D143" s="3" t="s">
        <v>648</v>
      </c>
      <c r="E143" s="3" t="s">
        <v>56</v>
      </c>
      <c r="F143" s="3" t="s">
        <v>649</v>
      </c>
      <c r="G143" s="3" t="s">
        <v>650</v>
      </c>
      <c r="H143" s="43">
        <v>45388</v>
      </c>
      <c r="I143" s="43">
        <v>45482</v>
      </c>
      <c r="J143" s="47" t="str">
        <f>IF(GroDB[[#This Row],[Last_Order_Date]]&lt;=GroDB[[#This Row],[Date_Received]], "Yes", "No")</f>
        <v>No</v>
      </c>
      <c r="K143" s="43">
        <f>IF(GroDB[[#This Row],[Column1]]="No",GroDB[[#This Row],[Last_Order_Date]],GroDB[[#This Row],[Date_Received]])</f>
        <v>45482</v>
      </c>
      <c r="L143" s="43">
        <f>IF(GroDB[[#This Row],[Column1]]="No",GroDB[[#This Row],[Date_Received]],GroDB[[#This Row],[Last_Order_Date]])</f>
        <v>45388</v>
      </c>
      <c r="M143" s="45">
        <f>GroDB[[#This Row],[Date_Received1]]-GroDB[[#This Row],[Procurement_Date]]</f>
        <v>94</v>
      </c>
      <c r="N143" s="43">
        <v>45547</v>
      </c>
      <c r="O143" s="91">
        <f>GroDB[[#This Row],[Expiration_Date]]-GroDB[[#This Row],[Date_Received1]]</f>
        <v>65</v>
      </c>
      <c r="P143" s="4">
        <v>12</v>
      </c>
      <c r="Q143" s="3">
        <v>78</v>
      </c>
      <c r="R143" s="3">
        <v>38</v>
      </c>
      <c r="S143" s="3">
        <v>27</v>
      </c>
      <c r="T143" s="4">
        <v>15</v>
      </c>
      <c r="U143" s="3">
        <v>54</v>
      </c>
      <c r="V143" s="51">
        <f>IF(GroDB[[#This Row],[LeadTime]]=0,GroDB[[#This Row],[Sales_Volume]],GroDB[[#This Row],[Sales_Volume]]/GroDB[[#This Row],[LeadTime]])</f>
        <v>0.57446808510638303</v>
      </c>
      <c r="W143" s="51">
        <f>_xlfn.STDEV.S(GroDB[Daily Sales])</f>
        <v>5.1999899792654221</v>
      </c>
      <c r="X143" s="3">
        <v>42</v>
      </c>
      <c r="Y143" s="7">
        <v>0.54</v>
      </c>
      <c r="Z143" s="4">
        <f>GroDB[[#This Row],[Unit_Price]]*GroDB[[#This Row],[Sales_Volume]]</f>
        <v>810</v>
      </c>
      <c r="AA143" s="22">
        <f>GroDB[[#This Row],[ADU]]/GroDB[[#Totals],[ADU]]</f>
        <v>2.3528089954220135E-3</v>
      </c>
      <c r="AB143" s="1">
        <f>GroDB[[#This Row],[Sales_Volume]]*GroDB[[#This Row],[Ordering Cost]]</f>
        <v>648</v>
      </c>
    </row>
    <row r="144" spans="1:28" x14ac:dyDescent="0.35">
      <c r="A144" s="5" t="s">
        <v>121</v>
      </c>
      <c r="B144" s="3" t="s">
        <v>53</v>
      </c>
      <c r="C144" s="3" t="s">
        <v>203</v>
      </c>
      <c r="D144" s="3" t="s">
        <v>651</v>
      </c>
      <c r="E144" s="3" t="s">
        <v>28</v>
      </c>
      <c r="F144" s="3" t="s">
        <v>652</v>
      </c>
      <c r="G144" s="3" t="s">
        <v>653</v>
      </c>
      <c r="H144" s="43">
        <v>45388</v>
      </c>
      <c r="I144" s="43">
        <v>45440</v>
      </c>
      <c r="J144" s="47" t="str">
        <f>IF(GroDB[[#This Row],[Last_Order_Date]]&lt;=GroDB[[#This Row],[Date_Received]], "Yes", "No")</f>
        <v>No</v>
      </c>
      <c r="K144" s="43">
        <f>IF(GroDB[[#This Row],[Column1]]="No",GroDB[[#This Row],[Last_Order_Date]],GroDB[[#This Row],[Date_Received]])</f>
        <v>45440</v>
      </c>
      <c r="L144" s="43">
        <f>IF(GroDB[[#This Row],[Column1]]="No",GroDB[[#This Row],[Date_Received]],GroDB[[#This Row],[Last_Order_Date]])</f>
        <v>45388</v>
      </c>
      <c r="M144" s="45">
        <f>GroDB[[#This Row],[Date_Received1]]-GroDB[[#This Row],[Procurement_Date]]</f>
        <v>52</v>
      </c>
      <c r="N144" s="43">
        <v>45693</v>
      </c>
      <c r="O144" s="91">
        <f>GroDB[[#This Row],[Expiration_Date]]-GroDB[[#This Row],[Date_Received1]]</f>
        <v>253</v>
      </c>
      <c r="P144" s="4">
        <v>2.2000000000000002</v>
      </c>
      <c r="Q144" s="3">
        <v>86</v>
      </c>
      <c r="R144" s="3">
        <v>100</v>
      </c>
      <c r="S144" s="3">
        <v>78</v>
      </c>
      <c r="T144" s="4">
        <v>2.75</v>
      </c>
      <c r="U144" s="3">
        <v>52</v>
      </c>
      <c r="V144" s="51">
        <f>IF(GroDB[[#This Row],[LeadTime]]=0,GroDB[[#This Row],[Sales_Volume]],GroDB[[#This Row],[Sales_Volume]]/GroDB[[#This Row],[LeadTime]])</f>
        <v>1</v>
      </c>
      <c r="W144" s="51">
        <f>_xlfn.STDEV.S(GroDB[Daily Sales])</f>
        <v>5.1999899792654221</v>
      </c>
      <c r="X144" s="3">
        <v>91</v>
      </c>
      <c r="Y144" s="7">
        <v>0.22</v>
      </c>
      <c r="Z144" s="4">
        <f>GroDB[[#This Row],[Unit_Price]]*GroDB[[#This Row],[Sales_Volume]]</f>
        <v>143</v>
      </c>
      <c r="AA144" s="22">
        <f>GroDB[[#This Row],[ADU]]/GroDB[[#Totals],[ADU]]</f>
        <v>4.1537245227820735E-4</v>
      </c>
      <c r="AB144" s="1">
        <f>GroDB[[#This Row],[Sales_Volume]]*GroDB[[#This Row],[Ordering Cost]]</f>
        <v>114.4</v>
      </c>
    </row>
    <row r="145" spans="1:28" x14ac:dyDescent="0.35">
      <c r="A145" s="5" t="s">
        <v>549</v>
      </c>
      <c r="B145" s="3" t="s">
        <v>32</v>
      </c>
      <c r="C145" s="3" t="s">
        <v>608</v>
      </c>
      <c r="D145" s="3" t="s">
        <v>654</v>
      </c>
      <c r="E145" s="3" t="s">
        <v>21</v>
      </c>
      <c r="F145" s="3" t="s">
        <v>655</v>
      </c>
      <c r="G145" s="3" t="s">
        <v>656</v>
      </c>
      <c r="H145" s="43">
        <v>45418</v>
      </c>
      <c r="I145" s="43">
        <v>45415</v>
      </c>
      <c r="J145" s="47" t="str">
        <f>IF(GroDB[[#This Row],[Last_Order_Date]]&lt;=GroDB[[#This Row],[Date_Received]], "Yes", "No")</f>
        <v>Yes</v>
      </c>
      <c r="K145" s="43">
        <f>IF(GroDB[[#This Row],[Column1]]="No",GroDB[[#This Row],[Last_Order_Date]],GroDB[[#This Row],[Date_Received]])</f>
        <v>45418</v>
      </c>
      <c r="L145" s="43">
        <f>IF(GroDB[[#This Row],[Column1]]="No",GroDB[[#This Row],[Date_Received]],GroDB[[#This Row],[Last_Order_Date]])</f>
        <v>45415</v>
      </c>
      <c r="M145" s="45">
        <f>GroDB[[#This Row],[Date_Received1]]-GroDB[[#This Row],[Procurement_Date]]</f>
        <v>3</v>
      </c>
      <c r="N145" s="43">
        <v>45701</v>
      </c>
      <c r="O145" s="91">
        <f>GroDB[[#This Row],[Expiration_Date]]-GroDB[[#This Row],[Date_Received1]]</f>
        <v>283</v>
      </c>
      <c r="P145" s="4">
        <v>2</v>
      </c>
      <c r="Q145" s="3">
        <v>90</v>
      </c>
      <c r="R145" s="3">
        <v>3</v>
      </c>
      <c r="S145" s="3">
        <v>49</v>
      </c>
      <c r="T145" s="4">
        <v>2.5</v>
      </c>
      <c r="U145" s="3">
        <v>51</v>
      </c>
      <c r="V145" s="51">
        <f>IF(GroDB[[#This Row],[LeadTime]]=0,GroDB[[#This Row],[Sales_Volume]],GroDB[[#This Row],[Sales_Volume]]/GroDB[[#This Row],[LeadTime]])</f>
        <v>17</v>
      </c>
      <c r="W145" s="51">
        <f>_xlfn.STDEV.S(GroDB[Daily Sales])</f>
        <v>5.1999899792654221</v>
      </c>
      <c r="X145" s="3">
        <v>87</v>
      </c>
      <c r="Y145" s="7">
        <v>-0.75</v>
      </c>
      <c r="Z145" s="4">
        <f>GroDB[[#This Row],[Unit_Price]]*GroDB[[#This Row],[Sales_Volume]]</f>
        <v>127.5</v>
      </c>
      <c r="AA145" s="22">
        <f>GroDB[[#This Row],[ADU]]/GroDB[[#Totals],[ADU]]</f>
        <v>3.7034956409420588E-4</v>
      </c>
      <c r="AB145" s="1">
        <f>GroDB[[#This Row],[Sales_Volume]]*GroDB[[#This Row],[Ordering Cost]]</f>
        <v>102</v>
      </c>
    </row>
    <row r="146" spans="1:28" x14ac:dyDescent="0.35">
      <c r="A146" s="5" t="s">
        <v>333</v>
      </c>
      <c r="B146" s="3" t="s">
        <v>53</v>
      </c>
      <c r="C146" s="3" t="s">
        <v>657</v>
      </c>
      <c r="D146" s="3" t="s">
        <v>658</v>
      </c>
      <c r="E146" s="3" t="s">
        <v>56</v>
      </c>
      <c r="F146" s="3" t="s">
        <v>659</v>
      </c>
      <c r="G146" s="3" t="s">
        <v>660</v>
      </c>
      <c r="H146" s="43">
        <v>45418</v>
      </c>
      <c r="I146" s="43">
        <v>45621</v>
      </c>
      <c r="J146" s="47" t="str">
        <f>IF(GroDB[[#This Row],[Last_Order_Date]]&lt;=GroDB[[#This Row],[Date_Received]], "Yes", "No")</f>
        <v>No</v>
      </c>
      <c r="K146" s="43">
        <f>IF(GroDB[[#This Row],[Column1]]="No",GroDB[[#This Row],[Last_Order_Date]],GroDB[[#This Row],[Date_Received]])</f>
        <v>45621</v>
      </c>
      <c r="L146" s="43">
        <f>IF(GroDB[[#This Row],[Column1]]="No",GroDB[[#This Row],[Date_Received]],GroDB[[#This Row],[Last_Order_Date]])</f>
        <v>45418</v>
      </c>
      <c r="M146" s="45">
        <f>GroDB[[#This Row],[Date_Received1]]-GroDB[[#This Row],[Procurement_Date]]</f>
        <v>203</v>
      </c>
      <c r="N146" s="43">
        <v>45351</v>
      </c>
      <c r="O146" s="91">
        <f>GroDB[[#This Row],[Expiration_Date]]-GroDB[[#This Row],[Date_Received1]]</f>
        <v>-270</v>
      </c>
      <c r="P146" s="4">
        <v>7.8000000000000007</v>
      </c>
      <c r="Q146" s="3">
        <v>41</v>
      </c>
      <c r="R146" s="3">
        <v>56</v>
      </c>
      <c r="S146" s="3">
        <v>12</v>
      </c>
      <c r="T146" s="4">
        <v>9.75</v>
      </c>
      <c r="U146" s="3">
        <v>93</v>
      </c>
      <c r="V146" s="51">
        <f>IF(GroDB[[#This Row],[LeadTime]]=0,GroDB[[#This Row],[Sales_Volume]],GroDB[[#This Row],[Sales_Volume]]/GroDB[[#This Row],[LeadTime]])</f>
        <v>0.45812807881773399</v>
      </c>
      <c r="W146" s="51">
        <f>_xlfn.STDEV.S(GroDB[Daily Sales])</f>
        <v>5.1999899792654221</v>
      </c>
      <c r="X146" s="3">
        <v>88</v>
      </c>
      <c r="Y146" s="7">
        <v>-0.71</v>
      </c>
      <c r="Z146" s="4">
        <f>GroDB[[#This Row],[Unit_Price]]*GroDB[[#This Row],[Sales_Volume]]</f>
        <v>906.75</v>
      </c>
      <c r="AA146" s="22">
        <f>GroDB[[#This Row],[ADU]]/GroDB[[#Totals],[ADU]]</f>
        <v>2.6338389587640875E-3</v>
      </c>
      <c r="AB146" s="1">
        <f>GroDB[[#This Row],[Sales_Volume]]*GroDB[[#This Row],[Ordering Cost]]</f>
        <v>725.40000000000009</v>
      </c>
    </row>
    <row r="147" spans="1:28" x14ac:dyDescent="0.35">
      <c r="A147" s="5" t="s">
        <v>329</v>
      </c>
      <c r="B147" s="3" t="s">
        <v>53</v>
      </c>
      <c r="C147" s="3" t="s">
        <v>661</v>
      </c>
      <c r="D147" s="3" t="s">
        <v>662</v>
      </c>
      <c r="E147" s="3" t="s">
        <v>56</v>
      </c>
      <c r="F147" s="3" t="s">
        <v>663</v>
      </c>
      <c r="G147" s="3" t="s">
        <v>664</v>
      </c>
      <c r="H147" s="43">
        <v>45449</v>
      </c>
      <c r="I147" s="43">
        <v>45629</v>
      </c>
      <c r="J147" s="47" t="str">
        <f>IF(GroDB[[#This Row],[Last_Order_Date]]&lt;=GroDB[[#This Row],[Date_Received]], "Yes", "No")</f>
        <v>No</v>
      </c>
      <c r="K147" s="43">
        <f>IF(GroDB[[#This Row],[Column1]]="No",GroDB[[#This Row],[Last_Order_Date]],GroDB[[#This Row],[Date_Received]])</f>
        <v>45629</v>
      </c>
      <c r="L147" s="43">
        <f>IF(GroDB[[#This Row],[Column1]]="No",GroDB[[#This Row],[Date_Received]],GroDB[[#This Row],[Last_Order_Date]])</f>
        <v>45449</v>
      </c>
      <c r="M147" s="45">
        <f>GroDB[[#This Row],[Date_Received1]]-GroDB[[#This Row],[Procurement_Date]]</f>
        <v>180</v>
      </c>
      <c r="N147" s="43">
        <v>45481</v>
      </c>
      <c r="O147" s="91">
        <f>GroDB[[#This Row],[Expiration_Date]]-GroDB[[#This Row],[Date_Received1]]</f>
        <v>-148</v>
      </c>
      <c r="P147" s="4">
        <v>4.9600000000000009</v>
      </c>
      <c r="Q147" s="3">
        <v>11</v>
      </c>
      <c r="R147" s="3">
        <v>58</v>
      </c>
      <c r="S147" s="3">
        <v>26</v>
      </c>
      <c r="T147" s="4">
        <v>6.2</v>
      </c>
      <c r="U147" s="3">
        <v>49</v>
      </c>
      <c r="V147" s="51">
        <f>IF(GroDB[[#This Row],[LeadTime]]=0,GroDB[[#This Row],[Sales_Volume]],GroDB[[#This Row],[Sales_Volume]]/GroDB[[#This Row],[LeadTime]])</f>
        <v>0.2722222222222222</v>
      </c>
      <c r="W147" s="51">
        <f>_xlfn.STDEV.S(GroDB[Daily Sales])</f>
        <v>5.1999899792654221</v>
      </c>
      <c r="X147" s="3">
        <v>34</v>
      </c>
      <c r="Y147" s="7">
        <v>0.05</v>
      </c>
      <c r="Z147" s="4">
        <f>GroDB[[#This Row],[Unit_Price]]*GroDB[[#This Row],[Sales_Volume]]</f>
        <v>303.8</v>
      </c>
      <c r="AA147" s="22">
        <f>GroDB[[#This Row],[ADU]]/GroDB[[#Totals],[ADU]]</f>
        <v>8.8244860840642938E-4</v>
      </c>
      <c r="AB147" s="1">
        <f>GroDB[[#This Row],[Sales_Volume]]*GroDB[[#This Row],[Ordering Cost]]</f>
        <v>243.04000000000005</v>
      </c>
    </row>
    <row r="148" spans="1:28" x14ac:dyDescent="0.35">
      <c r="A148" s="5" t="s">
        <v>665</v>
      </c>
      <c r="B148" s="3" t="s">
        <v>18</v>
      </c>
      <c r="C148" s="3" t="s">
        <v>666</v>
      </c>
      <c r="D148" s="3" t="s">
        <v>667</v>
      </c>
      <c r="E148" s="3" t="s">
        <v>21</v>
      </c>
      <c r="F148" s="3" t="s">
        <v>668</v>
      </c>
      <c r="G148" s="3" t="s">
        <v>669</v>
      </c>
      <c r="H148" s="43">
        <v>45479</v>
      </c>
      <c r="I148" s="43">
        <v>45429</v>
      </c>
      <c r="J148" s="47" t="str">
        <f>IF(GroDB[[#This Row],[Last_Order_Date]]&lt;=GroDB[[#This Row],[Date_Received]], "Yes", "No")</f>
        <v>Yes</v>
      </c>
      <c r="K148" s="43">
        <f>IF(GroDB[[#This Row],[Column1]]="No",GroDB[[#This Row],[Last_Order_Date]],GroDB[[#This Row],[Date_Received]])</f>
        <v>45479</v>
      </c>
      <c r="L148" s="43">
        <f>IF(GroDB[[#This Row],[Column1]]="No",GroDB[[#This Row],[Date_Received]],GroDB[[#This Row],[Last_Order_Date]])</f>
        <v>45429</v>
      </c>
      <c r="M148" s="45">
        <f>GroDB[[#This Row],[Date_Received1]]-GroDB[[#This Row],[Procurement_Date]]</f>
        <v>50</v>
      </c>
      <c r="N148" s="43">
        <v>45680</v>
      </c>
      <c r="O148" s="91">
        <f>GroDB[[#This Row],[Expiration_Date]]-GroDB[[#This Row],[Date_Received1]]</f>
        <v>201</v>
      </c>
      <c r="P148" s="4">
        <v>4.8000000000000007</v>
      </c>
      <c r="Q148" s="3">
        <v>37</v>
      </c>
      <c r="R148" s="3">
        <v>8</v>
      </c>
      <c r="S148" s="3">
        <v>50</v>
      </c>
      <c r="T148" s="4">
        <v>6</v>
      </c>
      <c r="U148" s="3">
        <v>47</v>
      </c>
      <c r="V148" s="51">
        <f>IF(GroDB[[#This Row],[LeadTime]]=0,GroDB[[#This Row],[Sales_Volume]],GroDB[[#This Row],[Sales_Volume]]/GroDB[[#This Row],[LeadTime]])</f>
        <v>0.94</v>
      </c>
      <c r="W148" s="51">
        <f>_xlfn.STDEV.S(GroDB[Daily Sales])</f>
        <v>5.1999899792654221</v>
      </c>
      <c r="X148" s="3">
        <v>62</v>
      </c>
      <c r="Y148" s="7">
        <v>0.31</v>
      </c>
      <c r="Z148" s="4">
        <f>GroDB[[#This Row],[Unit_Price]]*GroDB[[#This Row],[Sales_Volume]]</f>
        <v>282</v>
      </c>
      <c r="AA148" s="22">
        <f>GroDB[[#This Row],[ADU]]/GroDB[[#Totals],[ADU]]</f>
        <v>8.1912609470247881E-4</v>
      </c>
      <c r="AB148" s="1">
        <f>GroDB[[#This Row],[Sales_Volume]]*GroDB[[#This Row],[Ordering Cost]]</f>
        <v>225.60000000000002</v>
      </c>
    </row>
    <row r="149" spans="1:28" x14ac:dyDescent="0.35">
      <c r="A149" s="5" t="s">
        <v>47</v>
      </c>
      <c r="B149" s="3" t="s">
        <v>18</v>
      </c>
      <c r="C149" s="3" t="s">
        <v>670</v>
      </c>
      <c r="D149" s="3" t="s">
        <v>671</v>
      </c>
      <c r="E149" s="3" t="s">
        <v>28</v>
      </c>
      <c r="F149" s="3" t="s">
        <v>672</v>
      </c>
      <c r="G149" s="3" t="s">
        <v>673</v>
      </c>
      <c r="H149" s="43">
        <v>45479</v>
      </c>
      <c r="I149" s="43">
        <v>45613</v>
      </c>
      <c r="J149" s="47" t="str">
        <f>IF(GroDB[[#This Row],[Last_Order_Date]]&lt;=GroDB[[#This Row],[Date_Received]], "Yes", "No")</f>
        <v>No</v>
      </c>
      <c r="K149" s="43">
        <f>IF(GroDB[[#This Row],[Column1]]="No",GroDB[[#This Row],[Last_Order_Date]],GroDB[[#This Row],[Date_Received]])</f>
        <v>45613</v>
      </c>
      <c r="L149" s="43">
        <f>IF(GroDB[[#This Row],[Column1]]="No",GroDB[[#This Row],[Date_Received]],GroDB[[#This Row],[Last_Order_Date]])</f>
        <v>45479</v>
      </c>
      <c r="M149" s="45">
        <f>GroDB[[#This Row],[Date_Received1]]-GroDB[[#This Row],[Procurement_Date]]</f>
        <v>134</v>
      </c>
      <c r="N149" s="43">
        <v>45392</v>
      </c>
      <c r="O149" s="91">
        <f>GroDB[[#This Row],[Expiration_Date]]-GroDB[[#This Row],[Date_Received1]]</f>
        <v>-221</v>
      </c>
      <c r="P149" s="4">
        <v>1.9600000000000002</v>
      </c>
      <c r="Q149" s="3">
        <v>72</v>
      </c>
      <c r="R149" s="3">
        <v>32</v>
      </c>
      <c r="S149" s="3">
        <v>80</v>
      </c>
      <c r="T149" s="4">
        <v>2.4500000000000002</v>
      </c>
      <c r="U149" s="3">
        <v>25</v>
      </c>
      <c r="V149" s="51">
        <f>IF(GroDB[[#This Row],[LeadTime]]=0,GroDB[[#This Row],[Sales_Volume]],GroDB[[#This Row],[Sales_Volume]]/GroDB[[#This Row],[LeadTime]])</f>
        <v>0.18656716417910449</v>
      </c>
      <c r="W149" s="51">
        <f>_xlfn.STDEV.S(GroDB[Daily Sales])</f>
        <v>5.1999899792654221</v>
      </c>
      <c r="X149" s="3">
        <v>9</v>
      </c>
      <c r="Y149" s="7">
        <v>-0.32</v>
      </c>
      <c r="Z149" s="4">
        <f>GroDB[[#This Row],[Unit_Price]]*GroDB[[#This Row],[Sales_Volume]]</f>
        <v>61.250000000000007</v>
      </c>
      <c r="AA149" s="22">
        <f>GroDB[[#This Row],[ADU]]/GroDB[[#Totals],[ADU]]</f>
        <v>1.7791302588839302E-4</v>
      </c>
      <c r="AB149" s="1">
        <f>GroDB[[#This Row],[Sales_Volume]]*GroDB[[#This Row],[Ordering Cost]]</f>
        <v>49.000000000000007</v>
      </c>
    </row>
    <row r="150" spans="1:28" x14ac:dyDescent="0.35">
      <c r="A150" s="5" t="s">
        <v>674</v>
      </c>
      <c r="B150" s="3" t="s">
        <v>60</v>
      </c>
      <c r="C150" s="3" t="s">
        <v>633</v>
      </c>
      <c r="D150" s="3" t="s">
        <v>675</v>
      </c>
      <c r="E150" s="3" t="s">
        <v>28</v>
      </c>
      <c r="F150" s="3" t="s">
        <v>676</v>
      </c>
      <c r="G150" s="3" t="s">
        <v>677</v>
      </c>
      <c r="H150" s="43">
        <v>45479</v>
      </c>
      <c r="I150" s="43">
        <v>45568</v>
      </c>
      <c r="J150" s="47" t="str">
        <f>IF(GroDB[[#This Row],[Last_Order_Date]]&lt;=GroDB[[#This Row],[Date_Received]], "Yes", "No")</f>
        <v>No</v>
      </c>
      <c r="K150" s="43">
        <f>IF(GroDB[[#This Row],[Column1]]="No",GroDB[[#This Row],[Last_Order_Date]],GroDB[[#This Row],[Date_Received]])</f>
        <v>45568</v>
      </c>
      <c r="L150" s="43">
        <f>IF(GroDB[[#This Row],[Column1]]="No",GroDB[[#This Row],[Date_Received]],GroDB[[#This Row],[Last_Order_Date]])</f>
        <v>45479</v>
      </c>
      <c r="M150" s="45">
        <f>GroDB[[#This Row],[Date_Received1]]-GroDB[[#This Row],[Procurement_Date]]</f>
        <v>89</v>
      </c>
      <c r="N150" s="43">
        <v>45528</v>
      </c>
      <c r="O150" s="91">
        <f>GroDB[[#This Row],[Expiration_Date]]-GroDB[[#This Row],[Date_Received1]]</f>
        <v>-40</v>
      </c>
      <c r="P150" s="4">
        <v>7.2</v>
      </c>
      <c r="Q150" s="3">
        <v>75</v>
      </c>
      <c r="R150" s="3">
        <v>80</v>
      </c>
      <c r="S150" s="3">
        <v>87</v>
      </c>
      <c r="T150" s="4">
        <v>9</v>
      </c>
      <c r="U150" s="3">
        <v>49</v>
      </c>
      <c r="V150" s="51">
        <f>IF(GroDB[[#This Row],[LeadTime]]=0,GroDB[[#This Row],[Sales_Volume]],GroDB[[#This Row],[Sales_Volume]]/GroDB[[#This Row],[LeadTime]])</f>
        <v>0.550561797752809</v>
      </c>
      <c r="W150" s="51">
        <f>_xlfn.STDEV.S(GroDB[Daily Sales])</f>
        <v>5.1999899792654221</v>
      </c>
      <c r="X150" s="3">
        <v>40</v>
      </c>
      <c r="Y150" s="7">
        <v>0.64</v>
      </c>
      <c r="Z150" s="4">
        <f>GroDB[[#This Row],[Unit_Price]]*GroDB[[#This Row],[Sales_Volume]]</f>
        <v>441</v>
      </c>
      <c r="AA150" s="22">
        <f>GroDB[[#This Row],[ADU]]/GroDB[[#Totals],[ADU]]</f>
        <v>1.2809737863964297E-3</v>
      </c>
      <c r="AB150" s="1">
        <f>GroDB[[#This Row],[Sales_Volume]]*GroDB[[#This Row],[Ordering Cost]]</f>
        <v>352.8</v>
      </c>
    </row>
    <row r="151" spans="1:28" x14ac:dyDescent="0.35">
      <c r="A151" s="5" t="s">
        <v>126</v>
      </c>
      <c r="B151" s="3" t="s">
        <v>127</v>
      </c>
      <c r="C151" s="3" t="s">
        <v>678</v>
      </c>
      <c r="D151" s="3" t="s">
        <v>679</v>
      </c>
      <c r="E151" s="3" t="s">
        <v>56</v>
      </c>
      <c r="F151" s="3" t="s">
        <v>680</v>
      </c>
      <c r="G151" s="3" t="s">
        <v>681</v>
      </c>
      <c r="H151" s="43">
        <v>45479</v>
      </c>
      <c r="I151" s="43">
        <v>45688</v>
      </c>
      <c r="J151" s="47" t="str">
        <f>IF(GroDB[[#This Row],[Last_Order_Date]]&lt;=GroDB[[#This Row],[Date_Received]], "Yes", "No")</f>
        <v>No</v>
      </c>
      <c r="K151" s="43">
        <f>IF(GroDB[[#This Row],[Column1]]="No",GroDB[[#This Row],[Last_Order_Date]],GroDB[[#This Row],[Date_Received]])</f>
        <v>45688</v>
      </c>
      <c r="L151" s="43">
        <f>IF(GroDB[[#This Row],[Column1]]="No",GroDB[[#This Row],[Date_Received]],GroDB[[#This Row],[Last_Order_Date]])</f>
        <v>45479</v>
      </c>
      <c r="M151" s="45">
        <f>GroDB[[#This Row],[Date_Received1]]-GroDB[[#This Row],[Procurement_Date]]</f>
        <v>209</v>
      </c>
      <c r="N151" s="43">
        <v>45652</v>
      </c>
      <c r="O151" s="91">
        <f>GroDB[[#This Row],[Expiration_Date]]-GroDB[[#This Row],[Date_Received1]]</f>
        <v>-36</v>
      </c>
      <c r="P151" s="4">
        <v>16</v>
      </c>
      <c r="Q151" s="3">
        <v>98</v>
      </c>
      <c r="R151" s="3">
        <v>83</v>
      </c>
      <c r="S151" s="3">
        <v>5</v>
      </c>
      <c r="T151" s="4">
        <v>20</v>
      </c>
      <c r="U151" s="3">
        <v>39</v>
      </c>
      <c r="V151" s="51">
        <f>IF(GroDB[[#This Row],[LeadTime]]=0,GroDB[[#This Row],[Sales_Volume]],GroDB[[#This Row],[Sales_Volume]]/GroDB[[#This Row],[LeadTime]])</f>
        <v>0.18660287081339713</v>
      </c>
      <c r="W151" s="51">
        <f>_xlfn.STDEV.S(GroDB[Daily Sales])</f>
        <v>5.1999899792654221</v>
      </c>
      <c r="X151" s="3">
        <v>79</v>
      </c>
      <c r="Y151" s="7">
        <v>0.18</v>
      </c>
      <c r="Z151" s="4">
        <f>GroDB[[#This Row],[Unit_Price]]*GroDB[[#This Row],[Sales_Volume]]</f>
        <v>780</v>
      </c>
      <c r="AA151" s="22">
        <f>GroDB[[#This Row],[ADU]]/GroDB[[#Totals],[ADU]]</f>
        <v>2.2656679215174945E-3</v>
      </c>
      <c r="AB151" s="1">
        <f>GroDB[[#This Row],[Sales_Volume]]*GroDB[[#This Row],[Ordering Cost]]</f>
        <v>624</v>
      </c>
    </row>
    <row r="152" spans="1:28" x14ac:dyDescent="0.35">
      <c r="A152" s="5" t="s">
        <v>592</v>
      </c>
      <c r="B152" s="3" t="s">
        <v>25</v>
      </c>
      <c r="C152" s="3" t="s">
        <v>682</v>
      </c>
      <c r="D152" s="3" t="s">
        <v>683</v>
      </c>
      <c r="E152" s="3" t="s">
        <v>56</v>
      </c>
      <c r="F152" s="3" t="s">
        <v>684</v>
      </c>
      <c r="G152" s="3" t="s">
        <v>685</v>
      </c>
      <c r="H152" s="43">
        <v>45479</v>
      </c>
      <c r="I152" s="43">
        <v>45658</v>
      </c>
      <c r="J152" s="47" t="str">
        <f>IF(GroDB[[#This Row],[Last_Order_Date]]&lt;=GroDB[[#This Row],[Date_Received]], "Yes", "No")</f>
        <v>No</v>
      </c>
      <c r="K152" s="43">
        <f>IF(GroDB[[#This Row],[Column1]]="No",GroDB[[#This Row],[Last_Order_Date]],GroDB[[#This Row],[Date_Received]])</f>
        <v>45658</v>
      </c>
      <c r="L152" s="43">
        <f>IF(GroDB[[#This Row],[Column1]]="No",GroDB[[#This Row],[Date_Received]],GroDB[[#This Row],[Last_Order_Date]])</f>
        <v>45479</v>
      </c>
      <c r="M152" s="45">
        <f>GroDB[[#This Row],[Date_Received1]]-GroDB[[#This Row],[Procurement_Date]]</f>
        <v>179</v>
      </c>
      <c r="N152" s="43">
        <v>45535</v>
      </c>
      <c r="O152" s="91">
        <f>GroDB[[#This Row],[Expiration_Date]]-GroDB[[#This Row],[Date_Received1]]</f>
        <v>-123</v>
      </c>
      <c r="P152" s="4">
        <v>4</v>
      </c>
      <c r="Q152" s="3">
        <v>90</v>
      </c>
      <c r="R152" s="3">
        <v>75</v>
      </c>
      <c r="S152" s="3">
        <v>6</v>
      </c>
      <c r="T152" s="4">
        <v>5</v>
      </c>
      <c r="U152" s="3">
        <v>55</v>
      </c>
      <c r="V152" s="51">
        <f>IF(GroDB[[#This Row],[LeadTime]]=0,GroDB[[#This Row],[Sales_Volume]],GroDB[[#This Row],[Sales_Volume]]/GroDB[[#This Row],[LeadTime]])</f>
        <v>0.30726256983240224</v>
      </c>
      <c r="W152" s="51">
        <f>_xlfn.STDEV.S(GroDB[Daily Sales])</f>
        <v>5.1999899792654221</v>
      </c>
      <c r="X152" s="3">
        <v>64</v>
      </c>
      <c r="Y152" s="7">
        <v>-1.03</v>
      </c>
      <c r="Z152" s="4">
        <f>GroDB[[#This Row],[Unit_Price]]*GroDB[[#This Row],[Sales_Volume]]</f>
        <v>275</v>
      </c>
      <c r="AA152" s="22">
        <f>GroDB[[#This Row],[ADU]]/GroDB[[#Totals],[ADU]]</f>
        <v>7.9879317745809109E-4</v>
      </c>
      <c r="AB152" s="1">
        <f>GroDB[[#This Row],[Sales_Volume]]*GroDB[[#This Row],[Ordering Cost]]</f>
        <v>220</v>
      </c>
    </row>
    <row r="153" spans="1:28" x14ac:dyDescent="0.35">
      <c r="A153" s="5" t="s">
        <v>686</v>
      </c>
      <c r="B153" s="3" t="s">
        <v>18</v>
      </c>
      <c r="C153" s="3" t="s">
        <v>687</v>
      </c>
      <c r="D153" s="3" t="s">
        <v>688</v>
      </c>
      <c r="E153" s="3" t="s">
        <v>21</v>
      </c>
      <c r="F153" s="3" t="s">
        <v>689</v>
      </c>
      <c r="G153" s="3" t="s">
        <v>690</v>
      </c>
      <c r="H153" s="43">
        <v>45479</v>
      </c>
      <c r="I153" s="43">
        <v>45404</v>
      </c>
      <c r="J153" s="47" t="str">
        <f>IF(GroDB[[#This Row],[Last_Order_Date]]&lt;=GroDB[[#This Row],[Date_Received]], "Yes", "No")</f>
        <v>Yes</v>
      </c>
      <c r="K153" s="43">
        <f>IF(GroDB[[#This Row],[Column1]]="No",GroDB[[#This Row],[Last_Order_Date]],GroDB[[#This Row],[Date_Received]])</f>
        <v>45479</v>
      </c>
      <c r="L153" s="43">
        <f>IF(GroDB[[#This Row],[Column1]]="No",GroDB[[#This Row],[Date_Received]],GroDB[[#This Row],[Last_Order_Date]])</f>
        <v>45404</v>
      </c>
      <c r="M153" s="45">
        <f>GroDB[[#This Row],[Date_Received1]]-GroDB[[#This Row],[Procurement_Date]]</f>
        <v>75</v>
      </c>
      <c r="N153" s="43">
        <v>45439</v>
      </c>
      <c r="O153" s="91">
        <f>GroDB[[#This Row],[Expiration_Date]]-GroDB[[#This Row],[Date_Received1]]</f>
        <v>-40</v>
      </c>
      <c r="P153" s="4">
        <v>2</v>
      </c>
      <c r="Q153" s="3">
        <v>32</v>
      </c>
      <c r="R153" s="3">
        <v>49</v>
      </c>
      <c r="S153" s="3">
        <v>73</v>
      </c>
      <c r="T153" s="4">
        <v>2.5</v>
      </c>
      <c r="U153" s="3">
        <v>80</v>
      </c>
      <c r="V153" s="51">
        <f>IF(GroDB[[#This Row],[LeadTime]]=0,GroDB[[#This Row],[Sales_Volume]],GroDB[[#This Row],[Sales_Volume]]/GroDB[[#This Row],[LeadTime]])</f>
        <v>1.0666666666666667</v>
      </c>
      <c r="W153" s="51">
        <f>_xlfn.STDEV.S(GroDB[Daily Sales])</f>
        <v>5.1999899792654221</v>
      </c>
      <c r="X153" s="3">
        <v>36</v>
      </c>
      <c r="Y153" s="7">
        <v>-0.16</v>
      </c>
      <c r="Z153" s="4">
        <f>GroDB[[#This Row],[Unit_Price]]*GroDB[[#This Row],[Sales_Volume]]</f>
        <v>200</v>
      </c>
      <c r="AA153" s="22">
        <f>GroDB[[#This Row],[ADU]]/GroDB[[#Totals],[ADU]]</f>
        <v>5.8094049269679347E-4</v>
      </c>
      <c r="AB153" s="1">
        <f>GroDB[[#This Row],[Sales_Volume]]*GroDB[[#This Row],[Ordering Cost]]</f>
        <v>160</v>
      </c>
    </row>
    <row r="154" spans="1:28" x14ac:dyDescent="0.35">
      <c r="A154" s="5" t="s">
        <v>691</v>
      </c>
      <c r="B154" s="3" t="s">
        <v>32</v>
      </c>
      <c r="C154" s="3" t="s">
        <v>692</v>
      </c>
      <c r="D154" s="3" t="s">
        <v>693</v>
      </c>
      <c r="E154" s="3" t="s">
        <v>28</v>
      </c>
      <c r="F154" s="3" t="s">
        <v>694</v>
      </c>
      <c r="G154" s="3" t="s">
        <v>695</v>
      </c>
      <c r="H154" s="43">
        <v>45510</v>
      </c>
      <c r="I154" s="43">
        <v>45446</v>
      </c>
      <c r="J154" s="47" t="str">
        <f>IF(GroDB[[#This Row],[Last_Order_Date]]&lt;=GroDB[[#This Row],[Date_Received]], "Yes", "No")</f>
        <v>Yes</v>
      </c>
      <c r="K154" s="43">
        <f>IF(GroDB[[#This Row],[Column1]]="No",GroDB[[#This Row],[Last_Order_Date]],GroDB[[#This Row],[Date_Received]])</f>
        <v>45510</v>
      </c>
      <c r="L154" s="43">
        <f>IF(GroDB[[#This Row],[Column1]]="No",GroDB[[#This Row],[Date_Received]],GroDB[[#This Row],[Last_Order_Date]])</f>
        <v>45446</v>
      </c>
      <c r="M154" s="45">
        <f>GroDB[[#This Row],[Date_Received1]]-GroDB[[#This Row],[Procurement_Date]]</f>
        <v>64</v>
      </c>
      <c r="N154" s="43">
        <v>45544</v>
      </c>
      <c r="O154" s="91">
        <f>GroDB[[#This Row],[Expiration_Date]]-GroDB[[#This Row],[Date_Received1]]</f>
        <v>34</v>
      </c>
      <c r="P154" s="4">
        <v>5.6000000000000005</v>
      </c>
      <c r="Q154" s="3">
        <v>68</v>
      </c>
      <c r="R154" s="3">
        <v>29</v>
      </c>
      <c r="S154" s="3">
        <v>31</v>
      </c>
      <c r="T154" s="4">
        <v>7</v>
      </c>
      <c r="U154" s="3">
        <v>53</v>
      </c>
      <c r="V154" s="51">
        <f>IF(GroDB[[#This Row],[LeadTime]]=0,GroDB[[#This Row],[Sales_Volume]],GroDB[[#This Row],[Sales_Volume]]/GroDB[[#This Row],[LeadTime]])</f>
        <v>0.828125</v>
      </c>
      <c r="W154" s="51">
        <f>_xlfn.STDEV.S(GroDB[Daily Sales])</f>
        <v>5.1999899792654221</v>
      </c>
      <c r="X154" s="3">
        <v>20</v>
      </c>
      <c r="Y154" s="7">
        <v>0.55000000000000004</v>
      </c>
      <c r="Z154" s="4">
        <f>GroDB[[#This Row],[Unit_Price]]*GroDB[[#This Row],[Sales_Volume]]</f>
        <v>371</v>
      </c>
      <c r="AA154" s="22">
        <f>GroDB[[#This Row],[ADU]]/GroDB[[#Totals],[ADU]]</f>
        <v>1.077644613952552E-3</v>
      </c>
      <c r="AB154" s="1">
        <f>GroDB[[#This Row],[Sales_Volume]]*GroDB[[#This Row],[Ordering Cost]]</f>
        <v>296.8</v>
      </c>
    </row>
    <row r="155" spans="1:28" x14ac:dyDescent="0.35">
      <c r="A155" s="5" t="s">
        <v>325</v>
      </c>
      <c r="B155" s="3" t="s">
        <v>53</v>
      </c>
      <c r="C155" s="3" t="s">
        <v>696</v>
      </c>
      <c r="D155" s="3" t="s">
        <v>697</v>
      </c>
      <c r="E155" s="3" t="s">
        <v>28</v>
      </c>
      <c r="F155" s="3" t="s">
        <v>698</v>
      </c>
      <c r="G155" s="3" t="s">
        <v>699</v>
      </c>
      <c r="H155" s="43">
        <v>45541</v>
      </c>
      <c r="I155" s="43">
        <v>45599</v>
      </c>
      <c r="J155" s="47" t="str">
        <f>IF(GroDB[[#This Row],[Last_Order_Date]]&lt;=GroDB[[#This Row],[Date_Received]], "Yes", "No")</f>
        <v>No</v>
      </c>
      <c r="K155" s="43">
        <f>IF(GroDB[[#This Row],[Column1]]="No",GroDB[[#This Row],[Last_Order_Date]],GroDB[[#This Row],[Date_Received]])</f>
        <v>45599</v>
      </c>
      <c r="L155" s="43">
        <f>IF(GroDB[[#This Row],[Column1]]="No",GroDB[[#This Row],[Date_Received]],GroDB[[#This Row],[Last_Order_Date]])</f>
        <v>45541</v>
      </c>
      <c r="M155" s="45">
        <f>GroDB[[#This Row],[Date_Received1]]-GroDB[[#This Row],[Procurement_Date]]</f>
        <v>58</v>
      </c>
      <c r="N155" s="43">
        <v>45434</v>
      </c>
      <c r="O155" s="91">
        <f>GroDB[[#This Row],[Expiration_Date]]-GroDB[[#This Row],[Date_Received1]]</f>
        <v>-165</v>
      </c>
      <c r="P155" s="4">
        <v>3.48</v>
      </c>
      <c r="Q155" s="3">
        <v>78</v>
      </c>
      <c r="R155" s="3">
        <v>94</v>
      </c>
      <c r="S155" s="3">
        <v>7</v>
      </c>
      <c r="T155" s="4">
        <v>4.3499999999999996</v>
      </c>
      <c r="U155" s="3">
        <v>69</v>
      </c>
      <c r="V155" s="51">
        <f>IF(GroDB[[#This Row],[LeadTime]]=0,GroDB[[#This Row],[Sales_Volume]],GroDB[[#This Row],[Sales_Volume]]/GroDB[[#This Row],[LeadTime]])</f>
        <v>1.1896551724137931</v>
      </c>
      <c r="W155" s="51">
        <f>_xlfn.STDEV.S(GroDB[Daily Sales])</f>
        <v>5.1999899792654221</v>
      </c>
      <c r="X155" s="3">
        <v>40</v>
      </c>
      <c r="Y155" s="7">
        <v>0.62</v>
      </c>
      <c r="Z155" s="4">
        <f>GroDB[[#This Row],[Unit_Price]]*GroDB[[#This Row],[Sales_Volume]]</f>
        <v>300.14999999999998</v>
      </c>
      <c r="AA155" s="22">
        <f>GroDB[[#This Row],[ADU]]/GroDB[[#Totals],[ADU]]</f>
        <v>8.7184644441471273E-4</v>
      </c>
      <c r="AB155" s="1">
        <f>GroDB[[#This Row],[Sales_Volume]]*GroDB[[#This Row],[Ordering Cost]]</f>
        <v>240.12</v>
      </c>
    </row>
    <row r="156" spans="1:28" x14ac:dyDescent="0.35">
      <c r="A156" s="5" t="s">
        <v>700</v>
      </c>
      <c r="B156" s="3" t="s">
        <v>18</v>
      </c>
      <c r="C156" s="3" t="s">
        <v>207</v>
      </c>
      <c r="D156" s="3" t="s">
        <v>701</v>
      </c>
      <c r="E156" s="3" t="s">
        <v>56</v>
      </c>
      <c r="F156" s="3" t="s">
        <v>702</v>
      </c>
      <c r="G156" s="3" t="s">
        <v>703</v>
      </c>
      <c r="H156" s="43">
        <v>45541</v>
      </c>
      <c r="I156" s="43">
        <v>45654</v>
      </c>
      <c r="J156" s="47" t="str">
        <f>IF(GroDB[[#This Row],[Last_Order_Date]]&lt;=GroDB[[#This Row],[Date_Received]], "Yes", "No")</f>
        <v>No</v>
      </c>
      <c r="K156" s="43">
        <f>IF(GroDB[[#This Row],[Column1]]="No",GroDB[[#This Row],[Last_Order_Date]],GroDB[[#This Row],[Date_Received]])</f>
        <v>45654</v>
      </c>
      <c r="L156" s="43">
        <f>IF(GroDB[[#This Row],[Column1]]="No",GroDB[[#This Row],[Date_Received]],GroDB[[#This Row],[Last_Order_Date]])</f>
        <v>45541</v>
      </c>
      <c r="M156" s="45">
        <f>GroDB[[#This Row],[Date_Received1]]-GroDB[[#This Row],[Procurement_Date]]</f>
        <v>113</v>
      </c>
      <c r="N156" s="43">
        <v>45600</v>
      </c>
      <c r="O156" s="91">
        <f>GroDB[[#This Row],[Expiration_Date]]-GroDB[[#This Row],[Date_Received1]]</f>
        <v>-54</v>
      </c>
      <c r="P156" s="4">
        <v>2</v>
      </c>
      <c r="Q156" s="3">
        <v>88</v>
      </c>
      <c r="R156" s="3">
        <v>78</v>
      </c>
      <c r="S156" s="3">
        <v>17</v>
      </c>
      <c r="T156" s="4">
        <v>2.5</v>
      </c>
      <c r="U156" s="3">
        <v>58</v>
      </c>
      <c r="V156" s="51">
        <f>IF(GroDB[[#This Row],[LeadTime]]=0,GroDB[[#This Row],[Sales_Volume]],GroDB[[#This Row],[Sales_Volume]]/GroDB[[#This Row],[LeadTime]])</f>
        <v>0.51327433628318586</v>
      </c>
      <c r="W156" s="51">
        <f>_xlfn.STDEV.S(GroDB[Daily Sales])</f>
        <v>5.1999899792654221</v>
      </c>
      <c r="X156" s="3">
        <v>21</v>
      </c>
      <c r="Y156" s="7">
        <v>0.42</v>
      </c>
      <c r="Z156" s="4">
        <f>GroDB[[#This Row],[Unit_Price]]*GroDB[[#This Row],[Sales_Volume]]</f>
        <v>145</v>
      </c>
      <c r="AA156" s="22">
        <f>GroDB[[#This Row],[ADU]]/GroDB[[#Totals],[ADU]]</f>
        <v>4.211818572051753E-4</v>
      </c>
      <c r="AB156" s="1">
        <f>GroDB[[#This Row],[Sales_Volume]]*GroDB[[#This Row],[Ordering Cost]]</f>
        <v>116</v>
      </c>
    </row>
    <row r="157" spans="1:28" x14ac:dyDescent="0.35">
      <c r="A157" s="5" t="s">
        <v>225</v>
      </c>
      <c r="B157" s="3" t="s">
        <v>91</v>
      </c>
      <c r="C157" s="3" t="s">
        <v>578</v>
      </c>
      <c r="D157" s="3" t="s">
        <v>704</v>
      </c>
      <c r="E157" s="3" t="s">
        <v>28</v>
      </c>
      <c r="F157" s="3" t="s">
        <v>705</v>
      </c>
      <c r="G157" s="3" t="s">
        <v>706</v>
      </c>
      <c r="H157" s="43">
        <v>45571</v>
      </c>
      <c r="I157" s="43">
        <v>45671</v>
      </c>
      <c r="J157" s="47" t="str">
        <f>IF(GroDB[[#This Row],[Last_Order_Date]]&lt;=GroDB[[#This Row],[Date_Received]], "Yes", "No")</f>
        <v>No</v>
      </c>
      <c r="K157" s="43">
        <f>IF(GroDB[[#This Row],[Column1]]="No",GroDB[[#This Row],[Last_Order_Date]],GroDB[[#This Row],[Date_Received]])</f>
        <v>45671</v>
      </c>
      <c r="L157" s="43">
        <f>IF(GroDB[[#This Row],[Column1]]="No",GroDB[[#This Row],[Date_Received]],GroDB[[#This Row],[Last_Order_Date]])</f>
        <v>45571</v>
      </c>
      <c r="M157" s="45">
        <f>GroDB[[#This Row],[Date_Received1]]-GroDB[[#This Row],[Procurement_Date]]</f>
        <v>100</v>
      </c>
      <c r="N157" s="43">
        <v>45632</v>
      </c>
      <c r="O157" s="91">
        <f>GroDB[[#This Row],[Expiration_Date]]-GroDB[[#This Row],[Date_Received1]]</f>
        <v>-39</v>
      </c>
      <c r="P157" s="4">
        <v>4</v>
      </c>
      <c r="Q157" s="3">
        <v>37</v>
      </c>
      <c r="R157" s="3">
        <v>96</v>
      </c>
      <c r="S157" s="3">
        <v>82</v>
      </c>
      <c r="T157" s="4">
        <v>5</v>
      </c>
      <c r="U157" s="3">
        <v>35</v>
      </c>
      <c r="V157" s="51">
        <f>IF(GroDB[[#This Row],[LeadTime]]=0,GroDB[[#This Row],[Sales_Volume]],GroDB[[#This Row],[Sales_Volume]]/GroDB[[#This Row],[LeadTime]])</f>
        <v>0.35</v>
      </c>
      <c r="W157" s="51">
        <f>_xlfn.STDEV.S(GroDB[Daily Sales])</f>
        <v>5.1999899792654221</v>
      </c>
      <c r="X157" s="3">
        <v>23</v>
      </c>
      <c r="Y157" s="7">
        <v>0.64</v>
      </c>
      <c r="Z157" s="4">
        <f>GroDB[[#This Row],[Unit_Price]]*GroDB[[#This Row],[Sales_Volume]]</f>
        <v>175</v>
      </c>
      <c r="AA157" s="22">
        <f>GroDB[[#This Row],[ADU]]/GroDB[[#Totals],[ADU]]</f>
        <v>5.083229311096943E-4</v>
      </c>
      <c r="AB157" s="1">
        <f>GroDB[[#This Row],[Sales_Volume]]*GroDB[[#This Row],[Ordering Cost]]</f>
        <v>140</v>
      </c>
    </row>
    <row r="158" spans="1:28" x14ac:dyDescent="0.35">
      <c r="A158" s="5" t="s">
        <v>707</v>
      </c>
      <c r="B158" s="3" t="s">
        <v>25</v>
      </c>
      <c r="C158" s="3" t="s">
        <v>393</v>
      </c>
      <c r="D158" s="3" t="s">
        <v>708</v>
      </c>
      <c r="E158" s="3" t="s">
        <v>56</v>
      </c>
      <c r="F158" s="3" t="s">
        <v>709</v>
      </c>
      <c r="G158" s="3" t="s">
        <v>710</v>
      </c>
      <c r="H158" s="43">
        <v>45571</v>
      </c>
      <c r="I158" s="43">
        <v>45415</v>
      </c>
      <c r="J158" s="47" t="str">
        <f>IF(GroDB[[#This Row],[Last_Order_Date]]&lt;=GroDB[[#This Row],[Date_Received]], "Yes", "No")</f>
        <v>Yes</v>
      </c>
      <c r="K158" s="43">
        <f>IF(GroDB[[#This Row],[Column1]]="No",GroDB[[#This Row],[Last_Order_Date]],GroDB[[#This Row],[Date_Received]])</f>
        <v>45571</v>
      </c>
      <c r="L158" s="43">
        <f>IF(GroDB[[#This Row],[Column1]]="No",GroDB[[#This Row],[Date_Received]],GroDB[[#This Row],[Last_Order_Date]])</f>
        <v>45415</v>
      </c>
      <c r="M158" s="45">
        <f>GroDB[[#This Row],[Date_Received1]]-GroDB[[#This Row],[Procurement_Date]]</f>
        <v>156</v>
      </c>
      <c r="N158" s="43">
        <v>45442</v>
      </c>
      <c r="O158" s="91">
        <f>GroDB[[#This Row],[Expiration_Date]]-GroDB[[#This Row],[Date_Received1]]</f>
        <v>-129</v>
      </c>
      <c r="P158" s="4">
        <v>1.8399999999999999</v>
      </c>
      <c r="Q158" s="3">
        <v>97</v>
      </c>
      <c r="R158" s="3">
        <v>32</v>
      </c>
      <c r="S158" s="3">
        <v>43</v>
      </c>
      <c r="T158" s="4">
        <v>2.2999999999999998</v>
      </c>
      <c r="U158" s="3">
        <v>82</v>
      </c>
      <c r="V158" s="51">
        <f>IF(GroDB[[#This Row],[LeadTime]]=0,GroDB[[#This Row],[Sales_Volume]],GroDB[[#This Row],[Sales_Volume]]/GroDB[[#This Row],[LeadTime]])</f>
        <v>0.52564102564102566</v>
      </c>
      <c r="W158" s="51">
        <f>_xlfn.STDEV.S(GroDB[Daily Sales])</f>
        <v>5.1999899792654221</v>
      </c>
      <c r="X158" s="3">
        <v>98</v>
      </c>
      <c r="Y158" s="7">
        <v>0.34</v>
      </c>
      <c r="Z158" s="4">
        <f>GroDB[[#This Row],[Unit_Price]]*GroDB[[#This Row],[Sales_Volume]]</f>
        <v>188.6</v>
      </c>
      <c r="AA158" s="22">
        <f>GroDB[[#This Row],[ADU]]/GroDB[[#Totals],[ADU]]</f>
        <v>5.4782688461307621E-4</v>
      </c>
      <c r="AB158" s="1">
        <f>GroDB[[#This Row],[Sales_Volume]]*GroDB[[#This Row],[Ordering Cost]]</f>
        <v>150.88</v>
      </c>
    </row>
    <row r="159" spans="1:28" x14ac:dyDescent="0.35">
      <c r="A159" s="5" t="s">
        <v>188</v>
      </c>
      <c r="B159" s="3" t="s">
        <v>32</v>
      </c>
      <c r="C159" s="3" t="s">
        <v>504</v>
      </c>
      <c r="D159" s="3" t="s">
        <v>711</v>
      </c>
      <c r="E159" s="3" t="s">
        <v>28</v>
      </c>
      <c r="F159" s="3" t="s">
        <v>712</v>
      </c>
      <c r="G159" s="3" t="s">
        <v>713</v>
      </c>
      <c r="H159" s="43">
        <v>45602</v>
      </c>
      <c r="I159" s="43">
        <v>45646</v>
      </c>
      <c r="J159" s="47" t="str">
        <f>IF(GroDB[[#This Row],[Last_Order_Date]]&lt;=GroDB[[#This Row],[Date_Received]], "Yes", "No")</f>
        <v>No</v>
      </c>
      <c r="K159" s="43">
        <f>IF(GroDB[[#This Row],[Column1]]="No",GroDB[[#This Row],[Last_Order_Date]],GroDB[[#This Row],[Date_Received]])</f>
        <v>45646</v>
      </c>
      <c r="L159" s="43">
        <f>IF(GroDB[[#This Row],[Column1]]="No",GroDB[[#This Row],[Date_Received]],GroDB[[#This Row],[Last_Order_Date]])</f>
        <v>45602</v>
      </c>
      <c r="M159" s="45">
        <f>GroDB[[#This Row],[Date_Received1]]-GroDB[[#This Row],[Procurement_Date]]</f>
        <v>44</v>
      </c>
      <c r="N159" s="43">
        <v>45403</v>
      </c>
      <c r="O159" s="91">
        <f>GroDB[[#This Row],[Expiration_Date]]-GroDB[[#This Row],[Date_Received1]]</f>
        <v>-243</v>
      </c>
      <c r="P159" s="4">
        <v>0.8</v>
      </c>
      <c r="Q159" s="3">
        <v>12</v>
      </c>
      <c r="R159" s="3">
        <v>54</v>
      </c>
      <c r="S159" s="3">
        <v>48</v>
      </c>
      <c r="T159" s="4">
        <v>1</v>
      </c>
      <c r="U159" s="3">
        <v>31</v>
      </c>
      <c r="V159" s="51">
        <f>IF(GroDB[[#This Row],[LeadTime]]=0,GroDB[[#This Row],[Sales_Volume]],GroDB[[#This Row],[Sales_Volume]]/GroDB[[#This Row],[LeadTime]])</f>
        <v>0.70454545454545459</v>
      </c>
      <c r="W159" s="51">
        <f>_xlfn.STDEV.S(GroDB[Daily Sales])</f>
        <v>5.1999899792654221</v>
      </c>
      <c r="X159" s="3">
        <v>88</v>
      </c>
      <c r="Y159" s="7">
        <v>-0.2</v>
      </c>
      <c r="Z159" s="4">
        <f>GroDB[[#This Row],[Unit_Price]]*GroDB[[#This Row],[Sales_Volume]]</f>
        <v>31</v>
      </c>
      <c r="AA159" s="22">
        <f>GroDB[[#This Row],[ADU]]/GroDB[[#Totals],[ADU]]</f>
        <v>9.004577636800299E-5</v>
      </c>
      <c r="AB159" s="1">
        <f>GroDB[[#This Row],[Sales_Volume]]*GroDB[[#This Row],[Ordering Cost]]</f>
        <v>24.8</v>
      </c>
    </row>
    <row r="160" spans="1:28" x14ac:dyDescent="0.35">
      <c r="A160" s="5" t="s">
        <v>368</v>
      </c>
      <c r="B160" s="3" t="s">
        <v>53</v>
      </c>
      <c r="C160" s="3" t="s">
        <v>588</v>
      </c>
      <c r="D160" s="3" t="s">
        <v>714</v>
      </c>
      <c r="E160" s="3" t="s">
        <v>56</v>
      </c>
      <c r="F160" s="3" t="s">
        <v>715</v>
      </c>
      <c r="G160" s="3" t="s">
        <v>716</v>
      </c>
      <c r="H160" s="43">
        <v>45602</v>
      </c>
      <c r="I160" s="43">
        <v>45707</v>
      </c>
      <c r="J160" s="47" t="str">
        <f>IF(GroDB[[#This Row],[Last_Order_Date]]&lt;=GroDB[[#This Row],[Date_Received]], "Yes", "No")</f>
        <v>No</v>
      </c>
      <c r="K160" s="43">
        <f>IF(GroDB[[#This Row],[Column1]]="No",GroDB[[#This Row],[Last_Order_Date]],GroDB[[#This Row],[Date_Received]])</f>
        <v>45707</v>
      </c>
      <c r="L160" s="43">
        <f>IF(GroDB[[#This Row],[Column1]]="No",GroDB[[#This Row],[Date_Received]],GroDB[[#This Row],[Last_Order_Date]])</f>
        <v>45602</v>
      </c>
      <c r="M160" s="45">
        <f>GroDB[[#This Row],[Date_Received1]]-GroDB[[#This Row],[Procurement_Date]]</f>
        <v>105</v>
      </c>
      <c r="N160" s="43">
        <v>45497</v>
      </c>
      <c r="O160" s="91">
        <f>GroDB[[#This Row],[Expiration_Date]]-GroDB[[#This Row],[Date_Received1]]</f>
        <v>-210</v>
      </c>
      <c r="P160" s="4">
        <v>1.4000000000000001</v>
      </c>
      <c r="Q160" s="3">
        <v>50</v>
      </c>
      <c r="R160" s="3">
        <v>42</v>
      </c>
      <c r="S160" s="3">
        <v>20</v>
      </c>
      <c r="T160" s="4">
        <v>1.75</v>
      </c>
      <c r="U160" s="3">
        <v>87</v>
      </c>
      <c r="V160" s="51">
        <f>IF(GroDB[[#This Row],[LeadTime]]=0,GroDB[[#This Row],[Sales_Volume]],GroDB[[#This Row],[Sales_Volume]]/GroDB[[#This Row],[LeadTime]])</f>
        <v>0.82857142857142863</v>
      </c>
      <c r="W160" s="51">
        <f>_xlfn.STDEV.S(GroDB[Daily Sales])</f>
        <v>5.1999899792654221</v>
      </c>
      <c r="X160" s="3">
        <v>59</v>
      </c>
      <c r="Y160" s="7">
        <v>-1.84</v>
      </c>
      <c r="Z160" s="4">
        <f>GroDB[[#This Row],[Unit_Price]]*GroDB[[#This Row],[Sales_Volume]]</f>
        <v>152.25</v>
      </c>
      <c r="AA160" s="22">
        <f>GroDB[[#This Row],[ADU]]/GroDB[[#Totals],[ADU]]</f>
        <v>4.4224095006543403E-4</v>
      </c>
      <c r="AB160" s="1">
        <f>GroDB[[#This Row],[Sales_Volume]]*GroDB[[#This Row],[Ordering Cost]]</f>
        <v>121.80000000000001</v>
      </c>
    </row>
    <row r="161" spans="1:28" x14ac:dyDescent="0.35">
      <c r="A161" s="5" t="s">
        <v>717</v>
      </c>
      <c r="B161" s="3" t="s">
        <v>53</v>
      </c>
      <c r="C161" s="3" t="s">
        <v>181</v>
      </c>
      <c r="D161" s="3" t="s">
        <v>718</v>
      </c>
      <c r="E161" s="3" t="s">
        <v>21</v>
      </c>
      <c r="F161" s="3" t="s">
        <v>719</v>
      </c>
      <c r="G161" s="3" t="s">
        <v>720</v>
      </c>
      <c r="H161" s="43">
        <v>45632</v>
      </c>
      <c r="I161" s="43">
        <v>45457</v>
      </c>
      <c r="J161" s="47" t="str">
        <f>IF(GroDB[[#This Row],[Last_Order_Date]]&lt;=GroDB[[#This Row],[Date_Received]], "Yes", "No")</f>
        <v>Yes</v>
      </c>
      <c r="K161" s="43">
        <f>IF(GroDB[[#This Row],[Column1]]="No",GroDB[[#This Row],[Last_Order_Date]],GroDB[[#This Row],[Date_Received]])</f>
        <v>45632</v>
      </c>
      <c r="L161" s="43">
        <f>IF(GroDB[[#This Row],[Column1]]="No",GroDB[[#This Row],[Date_Received]],GroDB[[#This Row],[Last_Order_Date]])</f>
        <v>45457</v>
      </c>
      <c r="M161" s="45">
        <f>GroDB[[#This Row],[Date_Received1]]-GroDB[[#This Row],[Procurement_Date]]</f>
        <v>175</v>
      </c>
      <c r="N161" s="43">
        <v>45549</v>
      </c>
      <c r="O161" s="91">
        <f>GroDB[[#This Row],[Expiration_Date]]-GroDB[[#This Row],[Date_Received1]]</f>
        <v>-83</v>
      </c>
      <c r="P161" s="4">
        <v>3.6</v>
      </c>
      <c r="Q161" s="3">
        <v>15</v>
      </c>
      <c r="R161" s="3">
        <v>49</v>
      </c>
      <c r="S161" s="3">
        <v>40</v>
      </c>
      <c r="T161" s="4">
        <v>4.5</v>
      </c>
      <c r="U161" s="3">
        <v>68</v>
      </c>
      <c r="V161" s="51">
        <f>IF(GroDB[[#This Row],[LeadTime]]=0,GroDB[[#This Row],[Sales_Volume]],GroDB[[#This Row],[Sales_Volume]]/GroDB[[#This Row],[LeadTime]])</f>
        <v>0.38857142857142857</v>
      </c>
      <c r="W161" s="51">
        <f>_xlfn.STDEV.S(GroDB[Daily Sales])</f>
        <v>5.1999899792654221</v>
      </c>
      <c r="X161" s="3">
        <v>74</v>
      </c>
      <c r="Y161" s="7">
        <v>0.32</v>
      </c>
      <c r="Z161" s="4">
        <f>GroDB[[#This Row],[Unit_Price]]*GroDB[[#This Row],[Sales_Volume]]</f>
        <v>306</v>
      </c>
      <c r="AA161" s="22">
        <f>GroDB[[#This Row],[ADU]]/GroDB[[#Totals],[ADU]]</f>
        <v>8.8883895382609404E-4</v>
      </c>
      <c r="AB161" s="1">
        <f>GroDB[[#This Row],[Sales_Volume]]*GroDB[[#This Row],[Ordering Cost]]</f>
        <v>244.8</v>
      </c>
    </row>
    <row r="162" spans="1:28" x14ac:dyDescent="0.35">
      <c r="A162" s="5" t="s">
        <v>508</v>
      </c>
      <c r="B162" s="3" t="s">
        <v>127</v>
      </c>
      <c r="C162" s="3" t="s">
        <v>721</v>
      </c>
      <c r="D162" s="3" t="s">
        <v>722</v>
      </c>
      <c r="E162" s="3" t="s">
        <v>21</v>
      </c>
      <c r="F162" s="3" t="s">
        <v>723</v>
      </c>
      <c r="G162" s="3" t="s">
        <v>724</v>
      </c>
      <c r="H162" s="43">
        <v>45632</v>
      </c>
      <c r="I162" s="43">
        <v>45473</v>
      </c>
      <c r="J162" s="47" t="str">
        <f>IF(GroDB[[#This Row],[Last_Order_Date]]&lt;=GroDB[[#This Row],[Date_Received]], "Yes", "No")</f>
        <v>Yes</v>
      </c>
      <c r="K162" s="43">
        <f>IF(GroDB[[#This Row],[Column1]]="No",GroDB[[#This Row],[Last_Order_Date]],GroDB[[#This Row],[Date_Received]])</f>
        <v>45632</v>
      </c>
      <c r="L162" s="43">
        <f>IF(GroDB[[#This Row],[Column1]]="No",GroDB[[#This Row],[Date_Received]],GroDB[[#This Row],[Last_Order_Date]])</f>
        <v>45473</v>
      </c>
      <c r="M162" s="45">
        <f>GroDB[[#This Row],[Date_Received1]]-GroDB[[#This Row],[Procurement_Date]]</f>
        <v>159</v>
      </c>
      <c r="N162" s="43">
        <v>45455</v>
      </c>
      <c r="O162" s="91">
        <f>GroDB[[#This Row],[Expiration_Date]]-GroDB[[#This Row],[Date_Received1]]</f>
        <v>-177</v>
      </c>
      <c r="P162" s="4">
        <v>4</v>
      </c>
      <c r="Q162" s="3">
        <v>59</v>
      </c>
      <c r="R162" s="3">
        <v>20</v>
      </c>
      <c r="S162" s="3">
        <v>17</v>
      </c>
      <c r="T162" s="4">
        <v>5</v>
      </c>
      <c r="U162" s="3">
        <v>45</v>
      </c>
      <c r="V162" s="51">
        <f>IF(GroDB[[#This Row],[LeadTime]]=0,GroDB[[#This Row],[Sales_Volume]],GroDB[[#This Row],[Sales_Volume]]/GroDB[[#This Row],[LeadTime]])</f>
        <v>0.28301886792452829</v>
      </c>
      <c r="W162" s="51">
        <f>_xlfn.STDEV.S(GroDB[Daily Sales])</f>
        <v>5.1999899792654221</v>
      </c>
      <c r="X162" s="3">
        <v>15</v>
      </c>
      <c r="Y162" s="7">
        <v>-0.09</v>
      </c>
      <c r="Z162" s="4">
        <f>GroDB[[#This Row],[Unit_Price]]*GroDB[[#This Row],[Sales_Volume]]</f>
        <v>225</v>
      </c>
      <c r="AA162" s="22">
        <f>GroDB[[#This Row],[ADU]]/GroDB[[#Totals],[ADU]]</f>
        <v>6.5355805428389264E-4</v>
      </c>
      <c r="AB162" s="1">
        <f>GroDB[[#This Row],[Sales_Volume]]*GroDB[[#This Row],[Ordering Cost]]</f>
        <v>180</v>
      </c>
    </row>
    <row r="163" spans="1:28" x14ac:dyDescent="0.35">
      <c r="A163" s="5" t="s">
        <v>554</v>
      </c>
      <c r="B163" s="3" t="s">
        <v>53</v>
      </c>
      <c r="C163" s="3" t="s">
        <v>725</v>
      </c>
      <c r="D163" s="3" t="s">
        <v>726</v>
      </c>
      <c r="E163" s="3" t="s">
        <v>56</v>
      </c>
      <c r="F163" s="3" t="s">
        <v>727</v>
      </c>
      <c r="G163" s="3" t="s">
        <v>728</v>
      </c>
      <c r="H163" s="43">
        <v>45632</v>
      </c>
      <c r="I163" s="43">
        <v>45357</v>
      </c>
      <c r="J163" s="47" t="str">
        <f>IF(GroDB[[#This Row],[Last_Order_Date]]&lt;=GroDB[[#This Row],[Date_Received]], "Yes", "No")</f>
        <v>Yes</v>
      </c>
      <c r="K163" s="43">
        <f>IF(GroDB[[#This Row],[Column1]]="No",GroDB[[#This Row],[Last_Order_Date]],GroDB[[#This Row],[Date_Received]])</f>
        <v>45632</v>
      </c>
      <c r="L163" s="43">
        <f>IF(GroDB[[#This Row],[Column1]]="No",GroDB[[#This Row],[Date_Received]],GroDB[[#This Row],[Last_Order_Date]])</f>
        <v>45357</v>
      </c>
      <c r="M163" s="45">
        <f>GroDB[[#This Row],[Date_Received1]]-GroDB[[#This Row],[Procurement_Date]]</f>
        <v>275</v>
      </c>
      <c r="N163" s="43">
        <v>45515</v>
      </c>
      <c r="O163" s="91">
        <f>GroDB[[#This Row],[Expiration_Date]]-GroDB[[#This Row],[Date_Received1]]</f>
        <v>-117</v>
      </c>
      <c r="P163" s="4">
        <v>2</v>
      </c>
      <c r="Q163" s="3">
        <v>39</v>
      </c>
      <c r="R163" s="3">
        <v>57</v>
      </c>
      <c r="S163" s="3">
        <v>54</v>
      </c>
      <c r="T163" s="4">
        <v>2.5</v>
      </c>
      <c r="U163" s="3">
        <v>77</v>
      </c>
      <c r="V163" s="51">
        <f>IF(GroDB[[#This Row],[LeadTime]]=0,GroDB[[#This Row],[Sales_Volume]],GroDB[[#This Row],[Sales_Volume]]/GroDB[[#This Row],[LeadTime]])</f>
        <v>0.28000000000000003</v>
      </c>
      <c r="W163" s="51">
        <f>_xlfn.STDEV.S(GroDB[Daily Sales])</f>
        <v>5.1999899792654221</v>
      </c>
      <c r="X163" s="3">
        <v>32</v>
      </c>
      <c r="Y163" s="7">
        <v>0.67</v>
      </c>
      <c r="Z163" s="4">
        <f>GroDB[[#This Row],[Unit_Price]]*GroDB[[#This Row],[Sales_Volume]]</f>
        <v>192.5</v>
      </c>
      <c r="AA163" s="22">
        <f>GroDB[[#This Row],[ADU]]/GroDB[[#Totals],[ADU]]</f>
        <v>5.5915522422066372E-4</v>
      </c>
      <c r="AB163" s="1">
        <f>GroDB[[#This Row],[Sales_Volume]]*GroDB[[#This Row],[Ordering Cost]]</f>
        <v>154</v>
      </c>
    </row>
    <row r="164" spans="1:28" x14ac:dyDescent="0.35">
      <c r="A164" s="5" t="s">
        <v>193</v>
      </c>
      <c r="B164" s="3" t="s">
        <v>18</v>
      </c>
      <c r="C164" s="3" t="s">
        <v>729</v>
      </c>
      <c r="D164" s="3" t="s">
        <v>730</v>
      </c>
      <c r="E164" s="3" t="s">
        <v>28</v>
      </c>
      <c r="F164" s="3" t="s">
        <v>731</v>
      </c>
      <c r="G164" s="3" t="s">
        <v>732</v>
      </c>
      <c r="H164" s="43">
        <v>45632</v>
      </c>
      <c r="I164" s="43">
        <v>45466</v>
      </c>
      <c r="J164" s="47" t="str">
        <f>IF(GroDB[[#This Row],[Last_Order_Date]]&lt;=GroDB[[#This Row],[Date_Received]], "Yes", "No")</f>
        <v>Yes</v>
      </c>
      <c r="K164" s="43">
        <f>IF(GroDB[[#This Row],[Column1]]="No",GroDB[[#This Row],[Last_Order_Date]],GroDB[[#This Row],[Date_Received]])</f>
        <v>45632</v>
      </c>
      <c r="L164" s="43">
        <f>IF(GroDB[[#This Row],[Column1]]="No",GroDB[[#This Row],[Date_Received]],GroDB[[#This Row],[Last_Order_Date]])</f>
        <v>45466</v>
      </c>
      <c r="M164" s="45">
        <f>GroDB[[#This Row],[Date_Received1]]-GroDB[[#This Row],[Procurement_Date]]</f>
        <v>166</v>
      </c>
      <c r="N164" s="43">
        <v>45520</v>
      </c>
      <c r="O164" s="91">
        <f>GroDB[[#This Row],[Expiration_Date]]-GroDB[[#This Row],[Date_Received1]]</f>
        <v>-112</v>
      </c>
      <c r="P164" s="4">
        <v>1.6</v>
      </c>
      <c r="Q164" s="3">
        <v>76</v>
      </c>
      <c r="R164" s="3">
        <v>39</v>
      </c>
      <c r="S164" s="3">
        <v>15</v>
      </c>
      <c r="T164" s="4">
        <v>2</v>
      </c>
      <c r="U164" s="3">
        <v>77</v>
      </c>
      <c r="V164" s="51">
        <f>IF(GroDB[[#This Row],[LeadTime]]=0,GroDB[[#This Row],[Sales_Volume]],GroDB[[#This Row],[Sales_Volume]]/GroDB[[#This Row],[LeadTime]])</f>
        <v>0.46385542168674698</v>
      </c>
      <c r="W164" s="51">
        <f>_xlfn.STDEV.S(GroDB[Daily Sales])</f>
        <v>5.1999899792654221</v>
      </c>
      <c r="X164" s="3">
        <v>70</v>
      </c>
      <c r="Y164" s="7">
        <v>0.57999999999999996</v>
      </c>
      <c r="Z164" s="4">
        <f>GroDB[[#This Row],[Unit_Price]]*GroDB[[#This Row],[Sales_Volume]]</f>
        <v>154</v>
      </c>
      <c r="AA164" s="22">
        <f>GroDB[[#This Row],[ADU]]/GroDB[[#Totals],[ADU]]</f>
        <v>4.4732417937653102E-4</v>
      </c>
      <c r="AB164" s="1">
        <f>GroDB[[#This Row],[Sales_Volume]]*GroDB[[#This Row],[Ordering Cost]]</f>
        <v>123.2</v>
      </c>
    </row>
    <row r="165" spans="1:28" x14ac:dyDescent="0.35">
      <c r="A165" s="5" t="s">
        <v>470</v>
      </c>
      <c r="B165" s="3" t="s">
        <v>18</v>
      </c>
      <c r="C165" s="3" t="s">
        <v>562</v>
      </c>
      <c r="D165" s="3" t="s">
        <v>733</v>
      </c>
      <c r="E165" s="3" t="s">
        <v>28</v>
      </c>
      <c r="F165" s="3" t="s">
        <v>734</v>
      </c>
      <c r="G165" s="3" t="s">
        <v>735</v>
      </c>
      <c r="H165" s="43">
        <v>45632</v>
      </c>
      <c r="I165" s="43">
        <v>45469</v>
      </c>
      <c r="J165" s="47" t="str">
        <f>IF(GroDB[[#This Row],[Last_Order_Date]]&lt;=GroDB[[#This Row],[Date_Received]], "Yes", "No")</f>
        <v>Yes</v>
      </c>
      <c r="K165" s="43">
        <f>IF(GroDB[[#This Row],[Column1]]="No",GroDB[[#This Row],[Last_Order_Date]],GroDB[[#This Row],[Date_Received]])</f>
        <v>45632</v>
      </c>
      <c r="L165" s="43">
        <f>IF(GroDB[[#This Row],[Column1]]="No",GroDB[[#This Row],[Date_Received]],GroDB[[#This Row],[Last_Order_Date]])</f>
        <v>45469</v>
      </c>
      <c r="M165" s="45">
        <f>GroDB[[#This Row],[Date_Received1]]-GroDB[[#This Row],[Procurement_Date]]</f>
        <v>163</v>
      </c>
      <c r="N165" s="43">
        <v>45611</v>
      </c>
      <c r="O165" s="91">
        <f>GroDB[[#This Row],[Expiration_Date]]-GroDB[[#This Row],[Date_Received1]]</f>
        <v>-21</v>
      </c>
      <c r="P165" s="4">
        <v>3.2</v>
      </c>
      <c r="Q165" s="3">
        <v>45</v>
      </c>
      <c r="R165" s="3">
        <v>79</v>
      </c>
      <c r="S165" s="3">
        <v>95</v>
      </c>
      <c r="T165" s="4">
        <v>4</v>
      </c>
      <c r="U165" s="3">
        <v>84</v>
      </c>
      <c r="V165" s="51">
        <f>IF(GroDB[[#This Row],[LeadTime]]=0,GroDB[[#This Row],[Sales_Volume]],GroDB[[#This Row],[Sales_Volume]]/GroDB[[#This Row],[LeadTime]])</f>
        <v>0.51533742331288346</v>
      </c>
      <c r="W165" s="51">
        <f>_xlfn.STDEV.S(GroDB[Daily Sales])</f>
        <v>5.1999899792654221</v>
      </c>
      <c r="X165" s="3">
        <v>62</v>
      </c>
      <c r="Y165" s="7">
        <v>0.09</v>
      </c>
      <c r="Z165" s="4">
        <f>GroDB[[#This Row],[Unit_Price]]*GroDB[[#This Row],[Sales_Volume]]</f>
        <v>336</v>
      </c>
      <c r="AA165" s="22">
        <f>GroDB[[#This Row],[ADU]]/GroDB[[#Totals],[ADU]]</f>
        <v>9.7598002773061304E-4</v>
      </c>
      <c r="AB165" s="1">
        <f>GroDB[[#This Row],[Sales_Volume]]*GroDB[[#This Row],[Ordering Cost]]</f>
        <v>268.8</v>
      </c>
    </row>
    <row r="166" spans="1:28" x14ac:dyDescent="0.35">
      <c r="A166" s="5" t="s">
        <v>736</v>
      </c>
      <c r="B166" s="3" t="s">
        <v>91</v>
      </c>
      <c r="C166" s="3" t="s">
        <v>633</v>
      </c>
      <c r="D166" s="3" t="s">
        <v>737</v>
      </c>
      <c r="E166" s="3" t="s">
        <v>56</v>
      </c>
      <c r="F166" s="3" t="s">
        <v>738</v>
      </c>
      <c r="G166" s="3" t="s">
        <v>739</v>
      </c>
      <c r="H166" s="43">
        <v>45358</v>
      </c>
      <c r="I166" s="43">
        <v>45658</v>
      </c>
      <c r="J166" s="47" t="str">
        <f>IF(GroDB[[#This Row],[Last_Order_Date]]&lt;=GroDB[[#This Row],[Date_Received]], "Yes", "No")</f>
        <v>No</v>
      </c>
      <c r="K166" s="43">
        <f>IF(GroDB[[#This Row],[Column1]]="No",GroDB[[#This Row],[Last_Order_Date]],GroDB[[#This Row],[Date_Received]])</f>
        <v>45658</v>
      </c>
      <c r="L166" s="43">
        <f>IF(GroDB[[#This Row],[Column1]]="No",GroDB[[#This Row],[Date_Received]],GroDB[[#This Row],[Last_Order_Date]])</f>
        <v>45358</v>
      </c>
      <c r="M166" s="45">
        <f>GroDB[[#This Row],[Date_Received1]]-GroDB[[#This Row],[Procurement_Date]]</f>
        <v>300</v>
      </c>
      <c r="N166" s="43">
        <v>45408</v>
      </c>
      <c r="O166" s="91">
        <f>GroDB[[#This Row],[Expiration_Date]]-GroDB[[#This Row],[Date_Received1]]</f>
        <v>-250</v>
      </c>
      <c r="P166" s="4">
        <v>4</v>
      </c>
      <c r="Q166" s="3">
        <v>41</v>
      </c>
      <c r="R166" s="3">
        <v>21</v>
      </c>
      <c r="S166" s="3">
        <v>47</v>
      </c>
      <c r="T166" s="4">
        <v>5</v>
      </c>
      <c r="U166" s="3">
        <v>50</v>
      </c>
      <c r="V166" s="51">
        <f>IF(GroDB[[#This Row],[LeadTime]]=0,GroDB[[#This Row],[Sales_Volume]],GroDB[[#This Row],[Sales_Volume]]/GroDB[[#This Row],[LeadTime]])</f>
        <v>0.16666666666666666</v>
      </c>
      <c r="W166" s="51">
        <f>_xlfn.STDEV.S(GroDB[Daily Sales])</f>
        <v>5.1999899792654221</v>
      </c>
      <c r="X166" s="3">
        <v>99</v>
      </c>
      <c r="Y166" s="7">
        <v>0.26</v>
      </c>
      <c r="Z166" s="4">
        <f>GroDB[[#This Row],[Unit_Price]]*GroDB[[#This Row],[Sales_Volume]]</f>
        <v>250</v>
      </c>
      <c r="AA166" s="22">
        <f>GroDB[[#This Row],[ADU]]/GroDB[[#Totals],[ADU]]</f>
        <v>7.2617561587099192E-4</v>
      </c>
      <c r="AB166" s="1">
        <f>GroDB[[#This Row],[Sales_Volume]]*GroDB[[#This Row],[Ordering Cost]]</f>
        <v>200</v>
      </c>
    </row>
    <row r="167" spans="1:28" x14ac:dyDescent="0.35">
      <c r="A167" s="5" t="s">
        <v>587</v>
      </c>
      <c r="B167" s="3" t="s">
        <v>127</v>
      </c>
      <c r="C167" s="3" t="s">
        <v>740</v>
      </c>
      <c r="D167" s="3" t="s">
        <v>741</v>
      </c>
      <c r="E167" s="3" t="s">
        <v>56</v>
      </c>
      <c r="F167" s="3" t="s">
        <v>742</v>
      </c>
      <c r="G167" s="3" t="s">
        <v>743</v>
      </c>
      <c r="H167" s="43">
        <v>45358</v>
      </c>
      <c r="I167" s="43">
        <v>45567</v>
      </c>
      <c r="J167" s="47" t="str">
        <f>IF(GroDB[[#This Row],[Last_Order_Date]]&lt;=GroDB[[#This Row],[Date_Received]], "Yes", "No")</f>
        <v>No</v>
      </c>
      <c r="K167" s="43">
        <f>IF(GroDB[[#This Row],[Column1]]="No",GroDB[[#This Row],[Last_Order_Date]],GroDB[[#This Row],[Date_Received]])</f>
        <v>45567</v>
      </c>
      <c r="L167" s="43">
        <f>IF(GroDB[[#This Row],[Column1]]="No",GroDB[[#This Row],[Date_Received]],GroDB[[#This Row],[Last_Order_Date]])</f>
        <v>45358</v>
      </c>
      <c r="M167" s="45">
        <f>GroDB[[#This Row],[Date_Received1]]-GroDB[[#This Row],[Procurement_Date]]</f>
        <v>209</v>
      </c>
      <c r="N167" s="43">
        <v>45605</v>
      </c>
      <c r="O167" s="91">
        <f>GroDB[[#This Row],[Expiration_Date]]-GroDB[[#This Row],[Date_Received1]]</f>
        <v>38</v>
      </c>
      <c r="P167" s="4">
        <v>24</v>
      </c>
      <c r="Q167" s="3">
        <v>61</v>
      </c>
      <c r="R167" s="3">
        <v>22</v>
      </c>
      <c r="S167" s="3">
        <v>98</v>
      </c>
      <c r="T167" s="4">
        <v>30</v>
      </c>
      <c r="U167" s="3">
        <v>90</v>
      </c>
      <c r="V167" s="51">
        <f>IF(GroDB[[#This Row],[LeadTime]]=0,GroDB[[#This Row],[Sales_Volume]],GroDB[[#This Row],[Sales_Volume]]/GroDB[[#This Row],[LeadTime]])</f>
        <v>0.43062200956937802</v>
      </c>
      <c r="W167" s="51">
        <f>_xlfn.STDEV.S(GroDB[Daily Sales])</f>
        <v>5.1999899792654221</v>
      </c>
      <c r="X167" s="3">
        <v>11</v>
      </c>
      <c r="Y167" s="7">
        <v>-0.98</v>
      </c>
      <c r="Z167" s="4">
        <f>GroDB[[#This Row],[Unit_Price]]*GroDB[[#This Row],[Sales_Volume]]</f>
        <v>2700</v>
      </c>
      <c r="AA167" s="22">
        <f>GroDB[[#This Row],[ADU]]/GroDB[[#Totals],[ADU]]</f>
        <v>7.842696651406713E-3</v>
      </c>
      <c r="AB167" s="1">
        <f>GroDB[[#This Row],[Sales_Volume]]*GroDB[[#This Row],[Ordering Cost]]</f>
        <v>2160</v>
      </c>
    </row>
    <row r="168" spans="1:28" x14ac:dyDescent="0.35">
      <c r="A168" s="5" t="s">
        <v>495</v>
      </c>
      <c r="B168" s="3" t="s">
        <v>18</v>
      </c>
      <c r="C168" s="3" t="s">
        <v>434</v>
      </c>
      <c r="D168" s="3" t="s">
        <v>744</v>
      </c>
      <c r="E168" s="3" t="s">
        <v>56</v>
      </c>
      <c r="F168" s="3" t="s">
        <v>745</v>
      </c>
      <c r="G168" s="3" t="s">
        <v>746</v>
      </c>
      <c r="H168" s="43">
        <v>45389</v>
      </c>
      <c r="I168" s="43">
        <v>45379</v>
      </c>
      <c r="J168" s="47" t="str">
        <f>IF(GroDB[[#This Row],[Last_Order_Date]]&lt;=GroDB[[#This Row],[Date_Received]], "Yes", "No")</f>
        <v>Yes</v>
      </c>
      <c r="K168" s="43">
        <f>IF(GroDB[[#This Row],[Column1]]="No",GroDB[[#This Row],[Last_Order_Date]],GroDB[[#This Row],[Date_Received]])</f>
        <v>45389</v>
      </c>
      <c r="L168" s="43">
        <f>IF(GroDB[[#This Row],[Column1]]="No",GroDB[[#This Row],[Date_Received]],GroDB[[#This Row],[Last_Order_Date]])</f>
        <v>45379</v>
      </c>
      <c r="M168" s="45">
        <f>GroDB[[#This Row],[Date_Received1]]-GroDB[[#This Row],[Procurement_Date]]</f>
        <v>10</v>
      </c>
      <c r="N168" s="43">
        <v>45672</v>
      </c>
      <c r="O168" s="91">
        <f>GroDB[[#This Row],[Expiration_Date]]-GroDB[[#This Row],[Date_Received1]]</f>
        <v>283</v>
      </c>
      <c r="P168" s="4">
        <v>4.8000000000000007</v>
      </c>
      <c r="Q168" s="3">
        <v>51</v>
      </c>
      <c r="R168" s="3">
        <v>62</v>
      </c>
      <c r="S168" s="3">
        <v>95</v>
      </c>
      <c r="T168" s="4">
        <v>6</v>
      </c>
      <c r="U168" s="3">
        <v>52</v>
      </c>
      <c r="V168" s="51">
        <f>IF(GroDB[[#This Row],[LeadTime]]=0,GroDB[[#This Row],[Sales_Volume]],GroDB[[#This Row],[Sales_Volume]]/GroDB[[#This Row],[LeadTime]])</f>
        <v>5.2</v>
      </c>
      <c r="W168" s="51">
        <f>_xlfn.STDEV.S(GroDB[Daily Sales])</f>
        <v>5.1999899792654221</v>
      </c>
      <c r="X168" s="3">
        <v>21</v>
      </c>
      <c r="Y168" s="7">
        <v>0.88</v>
      </c>
      <c r="Z168" s="4">
        <f>GroDB[[#This Row],[Unit_Price]]*GroDB[[#This Row],[Sales_Volume]]</f>
        <v>312</v>
      </c>
      <c r="AA168" s="22">
        <f>GroDB[[#This Row],[ADU]]/GroDB[[#Totals],[ADU]]</f>
        <v>9.0626716860699782E-4</v>
      </c>
      <c r="AB168" s="1">
        <f>GroDB[[#This Row],[Sales_Volume]]*GroDB[[#This Row],[Ordering Cost]]</f>
        <v>249.60000000000002</v>
      </c>
    </row>
    <row r="169" spans="1:28" x14ac:dyDescent="0.35">
      <c r="A169" s="5" t="s">
        <v>526</v>
      </c>
      <c r="B169" s="3" t="s">
        <v>53</v>
      </c>
      <c r="C169" s="3" t="s">
        <v>747</v>
      </c>
      <c r="D169" s="3" t="s">
        <v>748</v>
      </c>
      <c r="E169" s="3" t="s">
        <v>28</v>
      </c>
      <c r="F169" s="3" t="s">
        <v>749</v>
      </c>
      <c r="G169" s="3" t="s">
        <v>750</v>
      </c>
      <c r="H169" s="43">
        <v>45389</v>
      </c>
      <c r="I169" s="43">
        <v>45674</v>
      </c>
      <c r="J169" s="47" t="str">
        <f>IF(GroDB[[#This Row],[Last_Order_Date]]&lt;=GroDB[[#This Row],[Date_Received]], "Yes", "No")</f>
        <v>No</v>
      </c>
      <c r="K169" s="43">
        <f>IF(GroDB[[#This Row],[Column1]]="No",GroDB[[#This Row],[Last_Order_Date]],GroDB[[#This Row],[Date_Received]])</f>
        <v>45674</v>
      </c>
      <c r="L169" s="43">
        <f>IF(GroDB[[#This Row],[Column1]]="No",GroDB[[#This Row],[Date_Received]],GroDB[[#This Row],[Last_Order_Date]])</f>
        <v>45389</v>
      </c>
      <c r="M169" s="45">
        <f>GroDB[[#This Row],[Date_Received1]]-GroDB[[#This Row],[Procurement_Date]]</f>
        <v>285</v>
      </c>
      <c r="N169" s="43">
        <v>45478</v>
      </c>
      <c r="O169" s="91">
        <f>GroDB[[#This Row],[Expiration_Date]]-GroDB[[#This Row],[Date_Received1]]</f>
        <v>-196</v>
      </c>
      <c r="P169" s="4">
        <v>1.4400000000000002</v>
      </c>
      <c r="Q169" s="3">
        <v>54</v>
      </c>
      <c r="R169" s="3">
        <v>53</v>
      </c>
      <c r="S169" s="3">
        <v>33</v>
      </c>
      <c r="T169" s="4">
        <v>1.8</v>
      </c>
      <c r="U169" s="3">
        <v>94</v>
      </c>
      <c r="V169" s="51">
        <f>IF(GroDB[[#This Row],[LeadTime]]=0,GroDB[[#This Row],[Sales_Volume]],GroDB[[#This Row],[Sales_Volume]]/GroDB[[#This Row],[LeadTime]])</f>
        <v>0.3298245614035088</v>
      </c>
      <c r="W169" s="51">
        <f>_xlfn.STDEV.S(GroDB[Daily Sales])</f>
        <v>5.1999899792654221</v>
      </c>
      <c r="X169" s="3">
        <v>82</v>
      </c>
      <c r="Y169" s="7">
        <v>0.6</v>
      </c>
      <c r="Z169" s="4">
        <f>GroDB[[#This Row],[Unit_Price]]*GroDB[[#This Row],[Sales_Volume]]</f>
        <v>169.20000000000002</v>
      </c>
      <c r="AA169" s="22">
        <f>GroDB[[#This Row],[ADU]]/GroDB[[#Totals],[ADU]]</f>
        <v>4.914756568214874E-4</v>
      </c>
      <c r="AB169" s="1">
        <f>GroDB[[#This Row],[Sales_Volume]]*GroDB[[#This Row],[Ordering Cost]]</f>
        <v>135.36000000000001</v>
      </c>
    </row>
    <row r="170" spans="1:28" x14ac:dyDescent="0.35">
      <c r="A170" s="5" t="s">
        <v>47</v>
      </c>
      <c r="B170" s="3" t="s">
        <v>18</v>
      </c>
      <c r="C170" s="3" t="s">
        <v>751</v>
      </c>
      <c r="D170" s="3" t="s">
        <v>752</v>
      </c>
      <c r="E170" s="3" t="s">
        <v>21</v>
      </c>
      <c r="F170" s="3" t="s">
        <v>753</v>
      </c>
      <c r="G170" s="3" t="s">
        <v>754</v>
      </c>
      <c r="H170" s="43">
        <v>45389</v>
      </c>
      <c r="I170" s="43">
        <v>45572</v>
      </c>
      <c r="J170" s="47" t="str">
        <f>IF(GroDB[[#This Row],[Last_Order_Date]]&lt;=GroDB[[#This Row],[Date_Received]], "Yes", "No")</f>
        <v>No</v>
      </c>
      <c r="K170" s="43">
        <f>IF(GroDB[[#This Row],[Column1]]="No",GroDB[[#This Row],[Last_Order_Date]],GroDB[[#This Row],[Date_Received]])</f>
        <v>45572</v>
      </c>
      <c r="L170" s="43">
        <f>IF(GroDB[[#This Row],[Column1]]="No",GroDB[[#This Row],[Date_Received]],GroDB[[#This Row],[Last_Order_Date]])</f>
        <v>45389</v>
      </c>
      <c r="M170" s="45">
        <f>GroDB[[#This Row],[Date_Received1]]-GroDB[[#This Row],[Procurement_Date]]</f>
        <v>183</v>
      </c>
      <c r="N170" s="43">
        <v>45492</v>
      </c>
      <c r="O170" s="91">
        <f>GroDB[[#This Row],[Expiration_Date]]-GroDB[[#This Row],[Date_Received1]]</f>
        <v>-80</v>
      </c>
      <c r="P170" s="4">
        <v>2</v>
      </c>
      <c r="Q170" s="3">
        <v>87</v>
      </c>
      <c r="R170" s="3">
        <v>1</v>
      </c>
      <c r="S170" s="3">
        <v>98</v>
      </c>
      <c r="T170" s="4">
        <v>2.5</v>
      </c>
      <c r="U170" s="3">
        <v>61</v>
      </c>
      <c r="V170" s="51">
        <f>IF(GroDB[[#This Row],[LeadTime]]=0,GroDB[[#This Row],[Sales_Volume]],GroDB[[#This Row],[Sales_Volume]]/GroDB[[#This Row],[LeadTime]])</f>
        <v>0.33333333333333331</v>
      </c>
      <c r="W170" s="51">
        <f>_xlfn.STDEV.S(GroDB[Daily Sales])</f>
        <v>5.1999899792654221</v>
      </c>
      <c r="X170" s="3">
        <v>84</v>
      </c>
      <c r="Y170" s="7">
        <v>0.13</v>
      </c>
      <c r="Z170" s="4">
        <f>GroDB[[#This Row],[Unit_Price]]*GroDB[[#This Row],[Sales_Volume]]</f>
        <v>152.5</v>
      </c>
      <c r="AA170" s="22">
        <f>GroDB[[#This Row],[ADU]]/GroDB[[#Totals],[ADU]]</f>
        <v>4.4296712568130505E-4</v>
      </c>
      <c r="AB170" s="1">
        <f>GroDB[[#This Row],[Sales_Volume]]*GroDB[[#This Row],[Ordering Cost]]</f>
        <v>122</v>
      </c>
    </row>
    <row r="171" spans="1:28" x14ac:dyDescent="0.35">
      <c r="A171" s="5" t="s">
        <v>707</v>
      </c>
      <c r="B171" s="3" t="s">
        <v>25</v>
      </c>
      <c r="C171" s="3" t="s">
        <v>755</v>
      </c>
      <c r="D171" s="3" t="s">
        <v>756</v>
      </c>
      <c r="E171" s="3" t="s">
        <v>21</v>
      </c>
      <c r="F171" s="3" t="s">
        <v>757</v>
      </c>
      <c r="G171" s="3" t="s">
        <v>758</v>
      </c>
      <c r="H171" s="43">
        <v>45419</v>
      </c>
      <c r="I171" s="43">
        <v>45650</v>
      </c>
      <c r="J171" s="47" t="str">
        <f>IF(GroDB[[#This Row],[Last_Order_Date]]&lt;=GroDB[[#This Row],[Date_Received]], "Yes", "No")</f>
        <v>No</v>
      </c>
      <c r="K171" s="43">
        <f>IF(GroDB[[#This Row],[Column1]]="No",GroDB[[#This Row],[Last_Order_Date]],GroDB[[#This Row],[Date_Received]])</f>
        <v>45650</v>
      </c>
      <c r="L171" s="43">
        <f>IF(GroDB[[#This Row],[Column1]]="No",GroDB[[#This Row],[Date_Received]],GroDB[[#This Row],[Last_Order_Date]])</f>
        <v>45419</v>
      </c>
      <c r="M171" s="45">
        <f>GroDB[[#This Row],[Date_Received1]]-GroDB[[#This Row],[Procurement_Date]]</f>
        <v>231</v>
      </c>
      <c r="N171" s="43">
        <v>45452</v>
      </c>
      <c r="O171" s="91">
        <f>GroDB[[#This Row],[Expiration_Date]]-GroDB[[#This Row],[Date_Received1]]</f>
        <v>-198</v>
      </c>
      <c r="P171" s="4">
        <v>1.8399999999999999</v>
      </c>
      <c r="Q171" s="3">
        <v>46</v>
      </c>
      <c r="R171" s="3">
        <v>51</v>
      </c>
      <c r="S171" s="3">
        <v>92</v>
      </c>
      <c r="T171" s="4">
        <v>2.2999999999999998</v>
      </c>
      <c r="U171" s="3">
        <v>47</v>
      </c>
      <c r="V171" s="51">
        <f>IF(GroDB[[#This Row],[LeadTime]]=0,GroDB[[#This Row],[Sales_Volume]],GroDB[[#This Row],[Sales_Volume]]/GroDB[[#This Row],[LeadTime]])</f>
        <v>0.20346320346320346</v>
      </c>
      <c r="W171" s="51">
        <f>_xlfn.STDEV.S(GroDB[Daily Sales])</f>
        <v>5.1999899792654221</v>
      </c>
      <c r="X171" s="3">
        <v>25</v>
      </c>
      <c r="Y171" s="7">
        <v>-0.38</v>
      </c>
      <c r="Z171" s="4">
        <f>GroDB[[#This Row],[Unit_Price]]*GroDB[[#This Row],[Sales_Volume]]</f>
        <v>108.1</v>
      </c>
      <c r="AA171" s="22">
        <f>GroDB[[#This Row],[ADU]]/GroDB[[#Totals],[ADU]]</f>
        <v>3.1399833630261684E-4</v>
      </c>
      <c r="AB171" s="1">
        <f>GroDB[[#This Row],[Sales_Volume]]*GroDB[[#This Row],[Ordering Cost]]</f>
        <v>86.47999999999999</v>
      </c>
    </row>
    <row r="172" spans="1:28" x14ac:dyDescent="0.35">
      <c r="A172" s="5" t="s">
        <v>574</v>
      </c>
      <c r="B172" s="3" t="s">
        <v>53</v>
      </c>
      <c r="C172" s="3" t="s">
        <v>759</v>
      </c>
      <c r="D172" s="3" t="s">
        <v>760</v>
      </c>
      <c r="E172" s="3" t="s">
        <v>21</v>
      </c>
      <c r="F172" s="3" t="s">
        <v>761</v>
      </c>
      <c r="G172" s="3" t="s">
        <v>762</v>
      </c>
      <c r="H172" s="43">
        <v>45419</v>
      </c>
      <c r="I172" s="43">
        <v>45704</v>
      </c>
      <c r="J172" s="47" t="str">
        <f>IF(GroDB[[#This Row],[Last_Order_Date]]&lt;=GroDB[[#This Row],[Date_Received]], "Yes", "No")</f>
        <v>No</v>
      </c>
      <c r="K172" s="43">
        <f>IF(GroDB[[#This Row],[Column1]]="No",GroDB[[#This Row],[Last_Order_Date]],GroDB[[#This Row],[Date_Received]])</f>
        <v>45704</v>
      </c>
      <c r="L172" s="43">
        <f>IF(GroDB[[#This Row],[Column1]]="No",GroDB[[#This Row],[Date_Received]],GroDB[[#This Row],[Last_Order_Date]])</f>
        <v>45419</v>
      </c>
      <c r="M172" s="45">
        <f>GroDB[[#This Row],[Date_Received1]]-GroDB[[#This Row],[Procurement_Date]]</f>
        <v>285</v>
      </c>
      <c r="N172" s="43">
        <v>45576</v>
      </c>
      <c r="O172" s="91">
        <f>GroDB[[#This Row],[Expiration_Date]]-GroDB[[#This Row],[Date_Received1]]</f>
        <v>-128</v>
      </c>
      <c r="P172" s="4">
        <v>1.6</v>
      </c>
      <c r="Q172" s="3">
        <v>13</v>
      </c>
      <c r="R172" s="3">
        <v>32</v>
      </c>
      <c r="S172" s="3">
        <v>79</v>
      </c>
      <c r="T172" s="4">
        <v>2</v>
      </c>
      <c r="U172" s="3">
        <v>38</v>
      </c>
      <c r="V172" s="51">
        <f>IF(GroDB[[#This Row],[LeadTime]]=0,GroDB[[#This Row],[Sales_Volume]],GroDB[[#This Row],[Sales_Volume]]/GroDB[[#This Row],[LeadTime]])</f>
        <v>0.13333333333333333</v>
      </c>
      <c r="W172" s="51">
        <f>_xlfn.STDEV.S(GroDB[Daily Sales])</f>
        <v>5.1999899792654221</v>
      </c>
      <c r="X172" s="3">
        <v>61</v>
      </c>
      <c r="Y172" s="7">
        <v>0.47</v>
      </c>
      <c r="Z172" s="4">
        <f>GroDB[[#This Row],[Unit_Price]]*GroDB[[#This Row],[Sales_Volume]]</f>
        <v>76</v>
      </c>
      <c r="AA172" s="22">
        <f>GroDB[[#This Row],[ADU]]/GroDB[[#Totals],[ADU]]</f>
        <v>2.2075738722478154E-4</v>
      </c>
      <c r="AB172" s="1">
        <f>GroDB[[#This Row],[Sales_Volume]]*GroDB[[#This Row],[Ordering Cost]]</f>
        <v>60.800000000000004</v>
      </c>
    </row>
    <row r="173" spans="1:28" x14ac:dyDescent="0.35">
      <c r="A173" s="5" t="s">
        <v>392</v>
      </c>
      <c r="B173" s="3" t="s">
        <v>18</v>
      </c>
      <c r="C173" s="3" t="s">
        <v>763</v>
      </c>
      <c r="D173" s="3" t="s">
        <v>764</v>
      </c>
      <c r="E173" s="3" t="s">
        <v>21</v>
      </c>
      <c r="F173" s="3" t="s">
        <v>765</v>
      </c>
      <c r="G173" s="3" t="s">
        <v>766</v>
      </c>
      <c r="H173" s="43">
        <v>45450</v>
      </c>
      <c r="I173" s="43">
        <v>45633</v>
      </c>
      <c r="J173" s="47" t="str">
        <f>IF(GroDB[[#This Row],[Last_Order_Date]]&lt;=GroDB[[#This Row],[Date_Received]], "Yes", "No")</f>
        <v>No</v>
      </c>
      <c r="K173" s="43">
        <f>IF(GroDB[[#This Row],[Column1]]="No",GroDB[[#This Row],[Last_Order_Date]],GroDB[[#This Row],[Date_Received]])</f>
        <v>45633</v>
      </c>
      <c r="L173" s="43">
        <f>IF(GroDB[[#This Row],[Column1]]="No",GroDB[[#This Row],[Date_Received]],GroDB[[#This Row],[Last_Order_Date]])</f>
        <v>45450</v>
      </c>
      <c r="M173" s="45">
        <f>GroDB[[#This Row],[Date_Received1]]-GroDB[[#This Row],[Procurement_Date]]</f>
        <v>183</v>
      </c>
      <c r="N173" s="43">
        <v>45630</v>
      </c>
      <c r="O173" s="91">
        <f>GroDB[[#This Row],[Expiration_Date]]-GroDB[[#This Row],[Date_Received1]]</f>
        <v>-3</v>
      </c>
      <c r="P173" s="4">
        <v>4.4000000000000004</v>
      </c>
      <c r="Q173" s="3">
        <v>25</v>
      </c>
      <c r="R173" s="3">
        <v>74</v>
      </c>
      <c r="S173" s="3">
        <v>100</v>
      </c>
      <c r="T173" s="4">
        <v>5.5</v>
      </c>
      <c r="U173" s="3">
        <v>41</v>
      </c>
      <c r="V173" s="51">
        <f>IF(GroDB[[#This Row],[LeadTime]]=0,GroDB[[#This Row],[Sales_Volume]],GroDB[[#This Row],[Sales_Volume]]/GroDB[[#This Row],[LeadTime]])</f>
        <v>0.22404371584699453</v>
      </c>
      <c r="W173" s="51">
        <f>_xlfn.STDEV.S(GroDB[Daily Sales])</f>
        <v>5.1999899792654221</v>
      </c>
      <c r="X173" s="3">
        <v>59</v>
      </c>
      <c r="Y173" s="7">
        <v>-0.61</v>
      </c>
      <c r="Z173" s="4">
        <f>GroDB[[#This Row],[Unit_Price]]*GroDB[[#This Row],[Sales_Volume]]</f>
        <v>225.5</v>
      </c>
      <c r="AA173" s="22">
        <f>GroDB[[#This Row],[ADU]]/GroDB[[#Totals],[ADU]]</f>
        <v>6.5501040551563467E-4</v>
      </c>
      <c r="AB173" s="1">
        <f>GroDB[[#This Row],[Sales_Volume]]*GroDB[[#This Row],[Ordering Cost]]</f>
        <v>180.4</v>
      </c>
    </row>
    <row r="174" spans="1:28" x14ac:dyDescent="0.35">
      <c r="A174" s="5" t="s">
        <v>142</v>
      </c>
      <c r="B174" s="3" t="s">
        <v>18</v>
      </c>
      <c r="C174" s="3" t="s">
        <v>92</v>
      </c>
      <c r="D174" s="3" t="s">
        <v>767</v>
      </c>
      <c r="E174" s="3" t="s">
        <v>21</v>
      </c>
      <c r="F174" s="3" t="s">
        <v>768</v>
      </c>
      <c r="G174" s="3" t="s">
        <v>769</v>
      </c>
      <c r="H174" s="43">
        <v>45450</v>
      </c>
      <c r="I174" s="43">
        <v>45709</v>
      </c>
      <c r="J174" s="47" t="str">
        <f>IF(GroDB[[#This Row],[Last_Order_Date]]&lt;=GroDB[[#This Row],[Date_Received]], "Yes", "No")</f>
        <v>No</v>
      </c>
      <c r="K174" s="43">
        <f>IF(GroDB[[#This Row],[Column1]]="No",GroDB[[#This Row],[Last_Order_Date]],GroDB[[#This Row],[Date_Received]])</f>
        <v>45709</v>
      </c>
      <c r="L174" s="43">
        <f>IF(GroDB[[#This Row],[Column1]]="No",GroDB[[#This Row],[Date_Received]],GroDB[[#This Row],[Last_Order_Date]])</f>
        <v>45450</v>
      </c>
      <c r="M174" s="45">
        <f>GroDB[[#This Row],[Date_Received1]]-GroDB[[#This Row],[Procurement_Date]]</f>
        <v>259</v>
      </c>
      <c r="N174" s="43">
        <v>45393</v>
      </c>
      <c r="O174" s="91">
        <f>GroDB[[#This Row],[Expiration_Date]]-GroDB[[#This Row],[Date_Received1]]</f>
        <v>-316</v>
      </c>
      <c r="P174" s="4">
        <v>3.2</v>
      </c>
      <c r="Q174" s="3">
        <v>60</v>
      </c>
      <c r="R174" s="3">
        <v>15</v>
      </c>
      <c r="S174" s="3">
        <v>89</v>
      </c>
      <c r="T174" s="4">
        <v>4</v>
      </c>
      <c r="U174" s="3">
        <v>21</v>
      </c>
      <c r="V174" s="51">
        <f>IF(GroDB[[#This Row],[LeadTime]]=0,GroDB[[#This Row],[Sales_Volume]],GroDB[[#This Row],[Sales_Volume]]/GroDB[[#This Row],[LeadTime]])</f>
        <v>8.1081081081081086E-2</v>
      </c>
      <c r="W174" s="51">
        <f>_xlfn.STDEV.S(GroDB[Daily Sales])</f>
        <v>5.1999899792654221</v>
      </c>
      <c r="X174" s="3">
        <v>29</v>
      </c>
      <c r="Y174" s="7">
        <v>-0.44</v>
      </c>
      <c r="Z174" s="4">
        <f>GroDB[[#This Row],[Unit_Price]]*GroDB[[#This Row],[Sales_Volume]]</f>
        <v>84</v>
      </c>
      <c r="AA174" s="22">
        <f>GroDB[[#This Row],[ADU]]/GroDB[[#Totals],[ADU]]</f>
        <v>2.4399500693265326E-4</v>
      </c>
      <c r="AB174" s="1">
        <f>GroDB[[#This Row],[Sales_Volume]]*GroDB[[#This Row],[Ordering Cost]]</f>
        <v>67.2</v>
      </c>
    </row>
    <row r="175" spans="1:28" x14ac:dyDescent="0.35">
      <c r="A175" s="5" t="s">
        <v>531</v>
      </c>
      <c r="B175" s="3" t="s">
        <v>53</v>
      </c>
      <c r="C175" s="3" t="s">
        <v>770</v>
      </c>
      <c r="D175" s="3" t="s">
        <v>771</v>
      </c>
      <c r="E175" s="3" t="s">
        <v>21</v>
      </c>
      <c r="F175" s="3" t="s">
        <v>772</v>
      </c>
      <c r="G175" s="3" t="s">
        <v>773</v>
      </c>
      <c r="H175" s="43">
        <v>45480</v>
      </c>
      <c r="I175" s="43">
        <v>45411</v>
      </c>
      <c r="J175" s="47" t="str">
        <f>IF(GroDB[[#This Row],[Last_Order_Date]]&lt;=GroDB[[#This Row],[Date_Received]], "Yes", "No")</f>
        <v>Yes</v>
      </c>
      <c r="K175" s="43">
        <f>IF(GroDB[[#This Row],[Column1]]="No",GroDB[[#This Row],[Last_Order_Date]],GroDB[[#This Row],[Date_Received]])</f>
        <v>45480</v>
      </c>
      <c r="L175" s="43">
        <f>IF(GroDB[[#This Row],[Column1]]="No",GroDB[[#This Row],[Date_Received]],GroDB[[#This Row],[Last_Order_Date]])</f>
        <v>45411</v>
      </c>
      <c r="M175" s="45">
        <f>GroDB[[#This Row],[Date_Received1]]-GroDB[[#This Row],[Procurement_Date]]</f>
        <v>69</v>
      </c>
      <c r="N175" s="43">
        <v>45412</v>
      </c>
      <c r="O175" s="91">
        <f>GroDB[[#This Row],[Expiration_Date]]-GroDB[[#This Row],[Date_Received1]]</f>
        <v>-68</v>
      </c>
      <c r="P175" s="4">
        <v>1.2000000000000002</v>
      </c>
      <c r="Q175" s="3">
        <v>69</v>
      </c>
      <c r="R175" s="3">
        <v>82</v>
      </c>
      <c r="S175" s="3">
        <v>58</v>
      </c>
      <c r="T175" s="4">
        <v>1.5</v>
      </c>
      <c r="U175" s="3">
        <v>34</v>
      </c>
      <c r="V175" s="51">
        <f>IF(GroDB[[#This Row],[LeadTime]]=0,GroDB[[#This Row],[Sales_Volume]],GroDB[[#This Row],[Sales_Volume]]/GroDB[[#This Row],[LeadTime]])</f>
        <v>0.49275362318840582</v>
      </c>
      <c r="W175" s="51">
        <f>_xlfn.STDEV.S(GroDB[Daily Sales])</f>
        <v>5.1999899792654221</v>
      </c>
      <c r="X175" s="3">
        <v>22</v>
      </c>
      <c r="Y175" s="7">
        <v>-0.38</v>
      </c>
      <c r="Z175" s="4">
        <f>GroDB[[#This Row],[Unit_Price]]*GroDB[[#This Row],[Sales_Volume]]</f>
        <v>51</v>
      </c>
      <c r="AA175" s="22">
        <f>GroDB[[#This Row],[ADU]]/GroDB[[#Totals],[ADU]]</f>
        <v>1.4813982563768234E-4</v>
      </c>
      <c r="AB175" s="1">
        <f>GroDB[[#This Row],[Sales_Volume]]*GroDB[[#This Row],[Ordering Cost]]</f>
        <v>40.800000000000004</v>
      </c>
    </row>
    <row r="176" spans="1:28" x14ac:dyDescent="0.35">
      <c r="A176" s="5" t="s">
        <v>325</v>
      </c>
      <c r="B176" s="3" t="s">
        <v>53</v>
      </c>
      <c r="C176" s="3" t="s">
        <v>774</v>
      </c>
      <c r="D176" s="3" t="s">
        <v>775</v>
      </c>
      <c r="E176" s="3" t="s">
        <v>21</v>
      </c>
      <c r="F176" s="3" t="s">
        <v>776</v>
      </c>
      <c r="G176" s="3" t="s">
        <v>777</v>
      </c>
      <c r="H176" s="43">
        <v>45480</v>
      </c>
      <c r="I176" s="43">
        <v>45646</v>
      </c>
      <c r="J176" s="47" t="str">
        <f>IF(GroDB[[#This Row],[Last_Order_Date]]&lt;=GroDB[[#This Row],[Date_Received]], "Yes", "No")</f>
        <v>No</v>
      </c>
      <c r="K176" s="43">
        <f>IF(GroDB[[#This Row],[Column1]]="No",GroDB[[#This Row],[Last_Order_Date]],GroDB[[#This Row],[Date_Received]])</f>
        <v>45646</v>
      </c>
      <c r="L176" s="43">
        <f>IF(GroDB[[#This Row],[Column1]]="No",GroDB[[#This Row],[Date_Received]],GroDB[[#This Row],[Last_Order_Date]])</f>
        <v>45480</v>
      </c>
      <c r="M176" s="45">
        <f>GroDB[[#This Row],[Date_Received1]]-GroDB[[#This Row],[Procurement_Date]]</f>
        <v>166</v>
      </c>
      <c r="N176" s="43">
        <v>45535</v>
      </c>
      <c r="O176" s="91">
        <f>GroDB[[#This Row],[Expiration_Date]]-GroDB[[#This Row],[Date_Received1]]</f>
        <v>-111</v>
      </c>
      <c r="P176" s="4">
        <v>3.8000000000000003</v>
      </c>
      <c r="Q176" s="3">
        <v>36</v>
      </c>
      <c r="R176" s="3">
        <v>81</v>
      </c>
      <c r="S176" s="3">
        <v>54</v>
      </c>
      <c r="T176" s="4">
        <v>4.75</v>
      </c>
      <c r="U176" s="3">
        <v>73</v>
      </c>
      <c r="V176" s="51">
        <f>IF(GroDB[[#This Row],[LeadTime]]=0,GroDB[[#This Row],[Sales_Volume]],GroDB[[#This Row],[Sales_Volume]]/GroDB[[#This Row],[LeadTime]])</f>
        <v>0.43975903614457829</v>
      </c>
      <c r="W176" s="51">
        <f>_xlfn.STDEV.S(GroDB[Daily Sales])</f>
        <v>5.1999899792654221</v>
      </c>
      <c r="X176" s="3">
        <v>60</v>
      </c>
      <c r="Y176" s="7">
        <v>0.35</v>
      </c>
      <c r="Z176" s="4">
        <f>GroDB[[#This Row],[Unit_Price]]*GroDB[[#This Row],[Sales_Volume]]</f>
        <v>346.75</v>
      </c>
      <c r="AA176" s="22">
        <f>GroDB[[#This Row],[ADU]]/GroDB[[#Totals],[ADU]]</f>
        <v>1.0072055792130657E-3</v>
      </c>
      <c r="AB176" s="1">
        <f>GroDB[[#This Row],[Sales_Volume]]*GroDB[[#This Row],[Ordering Cost]]</f>
        <v>277.40000000000003</v>
      </c>
    </row>
    <row r="177" spans="1:28" x14ac:dyDescent="0.35">
      <c r="A177" s="5" t="s">
        <v>216</v>
      </c>
      <c r="B177" s="3" t="s">
        <v>91</v>
      </c>
      <c r="C177" s="3" t="s">
        <v>778</v>
      </c>
      <c r="D177" s="3" t="s">
        <v>779</v>
      </c>
      <c r="E177" s="3" t="s">
        <v>28</v>
      </c>
      <c r="F177" s="3" t="s">
        <v>780</v>
      </c>
      <c r="G177" s="3" t="s">
        <v>781</v>
      </c>
      <c r="H177" s="43">
        <v>45480</v>
      </c>
      <c r="I177" s="43">
        <v>45444</v>
      </c>
      <c r="J177" s="47" t="str">
        <f>IF(GroDB[[#This Row],[Last_Order_Date]]&lt;=GroDB[[#This Row],[Date_Received]], "Yes", "No")</f>
        <v>Yes</v>
      </c>
      <c r="K177" s="43">
        <f>IF(GroDB[[#This Row],[Column1]]="No",GroDB[[#This Row],[Last_Order_Date]],GroDB[[#This Row],[Date_Received]])</f>
        <v>45480</v>
      </c>
      <c r="L177" s="43">
        <f>IF(GroDB[[#This Row],[Column1]]="No",GroDB[[#This Row],[Date_Received]],GroDB[[#This Row],[Last_Order_Date]])</f>
        <v>45444</v>
      </c>
      <c r="M177" s="45">
        <f>GroDB[[#This Row],[Date_Received1]]-GroDB[[#This Row],[Procurement_Date]]</f>
        <v>36</v>
      </c>
      <c r="N177" s="43">
        <v>45373</v>
      </c>
      <c r="O177" s="91">
        <f>GroDB[[#This Row],[Expiration_Date]]-GroDB[[#This Row],[Date_Received1]]</f>
        <v>-107</v>
      </c>
      <c r="P177" s="4">
        <v>2.8000000000000003</v>
      </c>
      <c r="Q177" s="3">
        <v>36</v>
      </c>
      <c r="R177" s="3">
        <v>53</v>
      </c>
      <c r="S177" s="3">
        <v>92</v>
      </c>
      <c r="T177" s="4">
        <v>3.5</v>
      </c>
      <c r="U177" s="3">
        <v>67</v>
      </c>
      <c r="V177" s="51">
        <f>IF(GroDB[[#This Row],[LeadTime]]=0,GroDB[[#This Row],[Sales_Volume]],GroDB[[#This Row],[Sales_Volume]]/GroDB[[#This Row],[LeadTime]])</f>
        <v>1.8611111111111112</v>
      </c>
      <c r="W177" s="51">
        <f>_xlfn.STDEV.S(GroDB[Daily Sales])</f>
        <v>5.1999899792654221</v>
      </c>
      <c r="X177" s="3">
        <v>43</v>
      </c>
      <c r="Y177" s="7">
        <v>0.18</v>
      </c>
      <c r="Z177" s="4">
        <f>GroDB[[#This Row],[Unit_Price]]*GroDB[[#This Row],[Sales_Volume]]</f>
        <v>234.5</v>
      </c>
      <c r="AA177" s="22">
        <f>GroDB[[#This Row],[ADU]]/GroDB[[#Totals],[ADU]]</f>
        <v>6.8115272768699039E-4</v>
      </c>
      <c r="AB177" s="1">
        <f>GroDB[[#This Row],[Sales_Volume]]*GroDB[[#This Row],[Ordering Cost]]</f>
        <v>187.60000000000002</v>
      </c>
    </row>
    <row r="178" spans="1:28" x14ac:dyDescent="0.35">
      <c r="A178" s="5" t="s">
        <v>142</v>
      </c>
      <c r="B178" s="3" t="s">
        <v>18</v>
      </c>
      <c r="C178" s="3" t="s">
        <v>782</v>
      </c>
      <c r="D178" s="3" t="s">
        <v>783</v>
      </c>
      <c r="E178" s="3" t="s">
        <v>28</v>
      </c>
      <c r="F178" s="3" t="s">
        <v>784</v>
      </c>
      <c r="G178" s="3" t="s">
        <v>785</v>
      </c>
      <c r="H178" s="43">
        <v>45511</v>
      </c>
      <c r="I178" s="43">
        <v>45391</v>
      </c>
      <c r="J178" s="47" t="str">
        <f>IF(GroDB[[#This Row],[Last_Order_Date]]&lt;=GroDB[[#This Row],[Date_Received]], "Yes", "No")</f>
        <v>Yes</v>
      </c>
      <c r="K178" s="43">
        <f>IF(GroDB[[#This Row],[Column1]]="No",GroDB[[#This Row],[Last_Order_Date]],GroDB[[#This Row],[Date_Received]])</f>
        <v>45511</v>
      </c>
      <c r="L178" s="43">
        <f>IF(GroDB[[#This Row],[Column1]]="No",GroDB[[#This Row],[Date_Received]],GroDB[[#This Row],[Last_Order_Date]])</f>
        <v>45391</v>
      </c>
      <c r="M178" s="45">
        <f>GroDB[[#This Row],[Date_Received1]]-GroDB[[#This Row],[Procurement_Date]]</f>
        <v>120</v>
      </c>
      <c r="N178" s="43">
        <v>45583</v>
      </c>
      <c r="O178" s="91">
        <f>GroDB[[#This Row],[Expiration_Date]]-GroDB[[#This Row],[Date_Received1]]</f>
        <v>72</v>
      </c>
      <c r="P178" s="4">
        <v>3.2</v>
      </c>
      <c r="Q178" s="3">
        <v>79</v>
      </c>
      <c r="R178" s="3">
        <v>74</v>
      </c>
      <c r="S178" s="3">
        <v>87</v>
      </c>
      <c r="T178" s="4">
        <v>4</v>
      </c>
      <c r="U178" s="3">
        <v>80</v>
      </c>
      <c r="V178" s="51">
        <f>IF(GroDB[[#This Row],[LeadTime]]=0,GroDB[[#This Row],[Sales_Volume]],GroDB[[#This Row],[Sales_Volume]]/GroDB[[#This Row],[LeadTime]])</f>
        <v>0.66666666666666663</v>
      </c>
      <c r="W178" s="51">
        <f>_xlfn.STDEV.S(GroDB[Daily Sales])</f>
        <v>5.1999899792654221</v>
      </c>
      <c r="X178" s="3">
        <v>26</v>
      </c>
      <c r="Y178" s="7">
        <v>0.36</v>
      </c>
      <c r="Z178" s="4">
        <f>GroDB[[#This Row],[Unit_Price]]*GroDB[[#This Row],[Sales_Volume]]</f>
        <v>320</v>
      </c>
      <c r="AA178" s="22">
        <f>GroDB[[#This Row],[ADU]]/GroDB[[#Totals],[ADU]]</f>
        <v>9.295047883148696E-4</v>
      </c>
      <c r="AB178" s="1">
        <f>GroDB[[#This Row],[Sales_Volume]]*GroDB[[#This Row],[Ordering Cost]]</f>
        <v>256</v>
      </c>
    </row>
    <row r="179" spans="1:28" x14ac:dyDescent="0.35">
      <c r="A179" s="5" t="s">
        <v>106</v>
      </c>
      <c r="B179" s="3" t="s">
        <v>32</v>
      </c>
      <c r="C179" s="3" t="s">
        <v>43</v>
      </c>
      <c r="D179" s="3" t="s">
        <v>786</v>
      </c>
      <c r="E179" s="3" t="s">
        <v>56</v>
      </c>
      <c r="F179" s="3" t="s">
        <v>787</v>
      </c>
      <c r="G179" s="3" t="s">
        <v>788</v>
      </c>
      <c r="H179" s="43">
        <v>45542</v>
      </c>
      <c r="I179" s="43">
        <v>45618</v>
      </c>
      <c r="J179" s="47" t="str">
        <f>IF(GroDB[[#This Row],[Last_Order_Date]]&lt;=GroDB[[#This Row],[Date_Received]], "Yes", "No")</f>
        <v>No</v>
      </c>
      <c r="K179" s="43">
        <f>IF(GroDB[[#This Row],[Column1]]="No",GroDB[[#This Row],[Last_Order_Date]],GroDB[[#This Row],[Date_Received]])</f>
        <v>45618</v>
      </c>
      <c r="L179" s="43">
        <f>IF(GroDB[[#This Row],[Column1]]="No",GroDB[[#This Row],[Date_Received]],GroDB[[#This Row],[Last_Order_Date]])</f>
        <v>45542</v>
      </c>
      <c r="M179" s="45">
        <f>GroDB[[#This Row],[Date_Received1]]-GroDB[[#This Row],[Procurement_Date]]</f>
        <v>76</v>
      </c>
      <c r="N179" s="43">
        <v>45582</v>
      </c>
      <c r="O179" s="91">
        <f>GroDB[[#This Row],[Expiration_Date]]-GroDB[[#This Row],[Date_Received1]]</f>
        <v>-36</v>
      </c>
      <c r="P179" s="4">
        <v>1.8800000000000001</v>
      </c>
      <c r="Q179" s="3">
        <v>63</v>
      </c>
      <c r="R179" s="3">
        <v>7</v>
      </c>
      <c r="S179" s="3">
        <v>23</v>
      </c>
      <c r="T179" s="4">
        <v>2.35</v>
      </c>
      <c r="U179" s="3">
        <v>78</v>
      </c>
      <c r="V179" s="51">
        <f>IF(GroDB[[#This Row],[LeadTime]]=0,GroDB[[#This Row],[Sales_Volume]],GroDB[[#This Row],[Sales_Volume]]/GroDB[[#This Row],[LeadTime]])</f>
        <v>1.0263157894736843</v>
      </c>
      <c r="W179" s="51">
        <f>_xlfn.STDEV.S(GroDB[Daily Sales])</f>
        <v>5.1999899792654221</v>
      </c>
      <c r="X179" s="3">
        <v>100</v>
      </c>
      <c r="Y179" s="7">
        <v>0.68</v>
      </c>
      <c r="Z179" s="4">
        <f>GroDB[[#This Row],[Unit_Price]]*GroDB[[#This Row],[Sales_Volume]]</f>
        <v>183.3</v>
      </c>
      <c r="AA179" s="22">
        <f>GroDB[[#This Row],[ADU]]/GroDB[[#Totals],[ADU]]</f>
        <v>5.3243196155661123E-4</v>
      </c>
      <c r="AB179" s="1">
        <f>GroDB[[#This Row],[Sales_Volume]]*GroDB[[#This Row],[Ordering Cost]]</f>
        <v>146.64000000000001</v>
      </c>
    </row>
    <row r="180" spans="1:28" x14ac:dyDescent="0.35">
      <c r="A180" s="5" t="s">
        <v>789</v>
      </c>
      <c r="B180" s="3" t="s">
        <v>18</v>
      </c>
      <c r="C180" s="3" t="s">
        <v>555</v>
      </c>
      <c r="D180" s="3" t="s">
        <v>790</v>
      </c>
      <c r="E180" s="3" t="s">
        <v>21</v>
      </c>
      <c r="F180" s="3" t="s">
        <v>791</v>
      </c>
      <c r="G180" s="3" t="s">
        <v>792</v>
      </c>
      <c r="H180" s="43">
        <v>45542</v>
      </c>
      <c r="I180" s="43">
        <v>45361</v>
      </c>
      <c r="J180" s="47" t="str">
        <f>IF(GroDB[[#This Row],[Last_Order_Date]]&lt;=GroDB[[#This Row],[Date_Received]], "Yes", "No")</f>
        <v>Yes</v>
      </c>
      <c r="K180" s="43">
        <f>IF(GroDB[[#This Row],[Column1]]="No",GroDB[[#This Row],[Last_Order_Date]],GroDB[[#This Row],[Date_Received]])</f>
        <v>45542</v>
      </c>
      <c r="L180" s="43">
        <f>IF(GroDB[[#This Row],[Column1]]="No",GroDB[[#This Row],[Date_Received]],GroDB[[#This Row],[Last_Order_Date]])</f>
        <v>45361</v>
      </c>
      <c r="M180" s="45">
        <f>GroDB[[#This Row],[Date_Received1]]-GroDB[[#This Row],[Procurement_Date]]</f>
        <v>181</v>
      </c>
      <c r="N180" s="43">
        <v>45599</v>
      </c>
      <c r="O180" s="91">
        <f>GroDB[[#This Row],[Expiration_Date]]-GroDB[[#This Row],[Date_Received1]]</f>
        <v>57</v>
      </c>
      <c r="P180" s="4">
        <v>1.6</v>
      </c>
      <c r="Q180" s="3">
        <v>26</v>
      </c>
      <c r="R180" s="3">
        <v>70</v>
      </c>
      <c r="S180" s="3">
        <v>52</v>
      </c>
      <c r="T180" s="4">
        <v>2</v>
      </c>
      <c r="U180" s="3">
        <v>36</v>
      </c>
      <c r="V180" s="51">
        <f>IF(GroDB[[#This Row],[LeadTime]]=0,GroDB[[#This Row],[Sales_Volume]],GroDB[[#This Row],[Sales_Volume]]/GroDB[[#This Row],[LeadTime]])</f>
        <v>0.19889502762430938</v>
      </c>
      <c r="W180" s="51">
        <f>_xlfn.STDEV.S(GroDB[Daily Sales])</f>
        <v>5.1999899792654221</v>
      </c>
      <c r="X180" s="3">
        <v>10</v>
      </c>
      <c r="Y180" s="7">
        <v>-0.28000000000000003</v>
      </c>
      <c r="Z180" s="4">
        <f>GroDB[[#This Row],[Unit_Price]]*GroDB[[#This Row],[Sales_Volume]]</f>
        <v>72</v>
      </c>
      <c r="AA180" s="22">
        <f>GroDB[[#This Row],[ADU]]/GroDB[[#Totals],[ADU]]</f>
        <v>2.0913857737084565E-4</v>
      </c>
      <c r="AB180" s="1">
        <f>GroDB[[#This Row],[Sales_Volume]]*GroDB[[#This Row],[Ordering Cost]]</f>
        <v>57.6</v>
      </c>
    </row>
    <row r="181" spans="1:28" x14ac:dyDescent="0.35">
      <c r="A181" s="5" t="s">
        <v>700</v>
      </c>
      <c r="B181" s="3" t="s">
        <v>18</v>
      </c>
      <c r="C181" s="3" t="s">
        <v>92</v>
      </c>
      <c r="D181" s="3" t="s">
        <v>793</v>
      </c>
      <c r="E181" s="3" t="s">
        <v>21</v>
      </c>
      <c r="F181" s="3" t="s">
        <v>794</v>
      </c>
      <c r="G181" s="3" t="s">
        <v>795</v>
      </c>
      <c r="H181" s="43">
        <v>45572</v>
      </c>
      <c r="I181" s="43">
        <v>45440</v>
      </c>
      <c r="J181" s="47" t="str">
        <f>IF(GroDB[[#This Row],[Last_Order_Date]]&lt;=GroDB[[#This Row],[Date_Received]], "Yes", "No")</f>
        <v>Yes</v>
      </c>
      <c r="K181" s="43">
        <f>IF(GroDB[[#This Row],[Column1]]="No",GroDB[[#This Row],[Last_Order_Date]],GroDB[[#This Row],[Date_Received]])</f>
        <v>45572</v>
      </c>
      <c r="L181" s="43">
        <f>IF(GroDB[[#This Row],[Column1]]="No",GroDB[[#This Row],[Date_Received]],GroDB[[#This Row],[Last_Order_Date]])</f>
        <v>45440</v>
      </c>
      <c r="M181" s="45">
        <f>GroDB[[#This Row],[Date_Received1]]-GroDB[[#This Row],[Procurement_Date]]</f>
        <v>132</v>
      </c>
      <c r="N181" s="43">
        <v>45465</v>
      </c>
      <c r="O181" s="91">
        <f>GroDB[[#This Row],[Expiration_Date]]-GroDB[[#This Row],[Date_Received1]]</f>
        <v>-107</v>
      </c>
      <c r="P181" s="4">
        <v>2</v>
      </c>
      <c r="Q181" s="3">
        <v>72</v>
      </c>
      <c r="R181" s="3">
        <v>70</v>
      </c>
      <c r="S181" s="3">
        <v>99</v>
      </c>
      <c r="T181" s="4">
        <v>2.5</v>
      </c>
      <c r="U181" s="3">
        <v>82</v>
      </c>
      <c r="V181" s="51">
        <f>IF(GroDB[[#This Row],[LeadTime]]=0,GroDB[[#This Row],[Sales_Volume]],GroDB[[#This Row],[Sales_Volume]]/GroDB[[#This Row],[LeadTime]])</f>
        <v>0.62121212121212122</v>
      </c>
      <c r="W181" s="51">
        <f>_xlfn.STDEV.S(GroDB[Daily Sales])</f>
        <v>5.1999899792654221</v>
      </c>
      <c r="X181" s="3">
        <v>32</v>
      </c>
      <c r="Y181" s="7">
        <v>0.72</v>
      </c>
      <c r="Z181" s="4">
        <f>GroDB[[#This Row],[Unit_Price]]*GroDB[[#This Row],[Sales_Volume]]</f>
        <v>205</v>
      </c>
      <c r="AA181" s="22">
        <f>GroDB[[#This Row],[ADU]]/GroDB[[#Totals],[ADU]]</f>
        <v>5.954640050142133E-4</v>
      </c>
      <c r="AB181" s="1">
        <f>GroDB[[#This Row],[Sales_Volume]]*GroDB[[#This Row],[Ordering Cost]]</f>
        <v>164</v>
      </c>
    </row>
    <row r="182" spans="1:28" x14ac:dyDescent="0.35">
      <c r="A182" s="5" t="s">
        <v>253</v>
      </c>
      <c r="B182" s="3" t="s">
        <v>18</v>
      </c>
      <c r="C182" s="3" t="s">
        <v>388</v>
      </c>
      <c r="D182" s="3" t="s">
        <v>796</v>
      </c>
      <c r="E182" s="3" t="s">
        <v>56</v>
      </c>
      <c r="F182" s="3" t="s">
        <v>797</v>
      </c>
      <c r="G182" s="3" t="s">
        <v>798</v>
      </c>
      <c r="H182" s="43">
        <v>45572</v>
      </c>
      <c r="I182" s="43">
        <v>45428</v>
      </c>
      <c r="J182" s="47" t="str">
        <f>IF(GroDB[[#This Row],[Last_Order_Date]]&lt;=GroDB[[#This Row],[Date_Received]], "Yes", "No")</f>
        <v>Yes</v>
      </c>
      <c r="K182" s="43">
        <f>IF(GroDB[[#This Row],[Column1]]="No",GroDB[[#This Row],[Last_Order_Date]],GroDB[[#This Row],[Date_Received]])</f>
        <v>45572</v>
      </c>
      <c r="L182" s="43">
        <f>IF(GroDB[[#This Row],[Column1]]="No",GroDB[[#This Row],[Date_Received]],GroDB[[#This Row],[Last_Order_Date]])</f>
        <v>45428</v>
      </c>
      <c r="M182" s="45">
        <f>GroDB[[#This Row],[Date_Received1]]-GroDB[[#This Row],[Procurement_Date]]</f>
        <v>144</v>
      </c>
      <c r="N182" s="43">
        <v>45420</v>
      </c>
      <c r="O182" s="91">
        <f>GroDB[[#This Row],[Expiration_Date]]-GroDB[[#This Row],[Date_Received1]]</f>
        <v>-152</v>
      </c>
      <c r="P182" s="4">
        <v>4</v>
      </c>
      <c r="Q182" s="3">
        <v>38</v>
      </c>
      <c r="R182" s="3">
        <v>22</v>
      </c>
      <c r="S182" s="3">
        <v>71</v>
      </c>
      <c r="T182" s="4">
        <v>5</v>
      </c>
      <c r="U182" s="3">
        <v>33</v>
      </c>
      <c r="V182" s="51">
        <f>IF(GroDB[[#This Row],[LeadTime]]=0,GroDB[[#This Row],[Sales_Volume]],GroDB[[#This Row],[Sales_Volume]]/GroDB[[#This Row],[LeadTime]])</f>
        <v>0.22916666666666666</v>
      </c>
      <c r="W182" s="51">
        <f>_xlfn.STDEV.S(GroDB[Daily Sales])</f>
        <v>5.1999899792654221</v>
      </c>
      <c r="X182" s="3">
        <v>62</v>
      </c>
      <c r="Y182" s="7">
        <v>0.61</v>
      </c>
      <c r="Z182" s="4">
        <f>GroDB[[#This Row],[Unit_Price]]*GroDB[[#This Row],[Sales_Volume]]</f>
        <v>165</v>
      </c>
      <c r="AA182" s="22">
        <f>GroDB[[#This Row],[ADU]]/GroDB[[#Totals],[ADU]]</f>
        <v>4.7927590647485463E-4</v>
      </c>
      <c r="AB182" s="1">
        <f>GroDB[[#This Row],[Sales_Volume]]*GroDB[[#This Row],[Ordering Cost]]</f>
        <v>132</v>
      </c>
    </row>
    <row r="183" spans="1:28" x14ac:dyDescent="0.35">
      <c r="A183" s="5" t="s">
        <v>736</v>
      </c>
      <c r="B183" s="3" t="s">
        <v>91</v>
      </c>
      <c r="C183" s="3" t="s">
        <v>458</v>
      </c>
      <c r="D183" s="3" t="s">
        <v>799</v>
      </c>
      <c r="E183" s="3" t="s">
        <v>56</v>
      </c>
      <c r="F183" s="3" t="s">
        <v>800</v>
      </c>
      <c r="G183" s="3" t="s">
        <v>801</v>
      </c>
      <c r="H183" s="43">
        <v>45603</v>
      </c>
      <c r="I183" s="43">
        <v>45411</v>
      </c>
      <c r="J183" s="47" t="str">
        <f>IF(GroDB[[#This Row],[Last_Order_Date]]&lt;=GroDB[[#This Row],[Date_Received]], "Yes", "No")</f>
        <v>Yes</v>
      </c>
      <c r="K183" s="43">
        <f>IF(GroDB[[#This Row],[Column1]]="No",GroDB[[#This Row],[Last_Order_Date]],GroDB[[#This Row],[Date_Received]])</f>
        <v>45603</v>
      </c>
      <c r="L183" s="43">
        <f>IF(GroDB[[#This Row],[Column1]]="No",GroDB[[#This Row],[Date_Received]],GroDB[[#This Row],[Last_Order_Date]])</f>
        <v>45411</v>
      </c>
      <c r="M183" s="45">
        <f>GroDB[[#This Row],[Date_Received1]]-GroDB[[#This Row],[Procurement_Date]]</f>
        <v>192</v>
      </c>
      <c r="N183" s="43">
        <v>45421</v>
      </c>
      <c r="O183" s="91">
        <f>GroDB[[#This Row],[Expiration_Date]]-GroDB[[#This Row],[Date_Received1]]</f>
        <v>-182</v>
      </c>
      <c r="P183" s="4">
        <v>4</v>
      </c>
      <c r="Q183" s="3">
        <v>82</v>
      </c>
      <c r="R183" s="3">
        <v>6</v>
      </c>
      <c r="S183" s="3">
        <v>53</v>
      </c>
      <c r="T183" s="4">
        <v>5</v>
      </c>
      <c r="U183" s="3">
        <v>21</v>
      </c>
      <c r="V183" s="51">
        <f>IF(GroDB[[#This Row],[LeadTime]]=0,GroDB[[#This Row],[Sales_Volume]],GroDB[[#This Row],[Sales_Volume]]/GroDB[[#This Row],[LeadTime]])</f>
        <v>0.109375</v>
      </c>
      <c r="W183" s="51">
        <f>_xlfn.STDEV.S(GroDB[Daily Sales])</f>
        <v>5.1999899792654221</v>
      </c>
      <c r="X183" s="3">
        <v>58</v>
      </c>
      <c r="Y183" s="7">
        <v>-0.88</v>
      </c>
      <c r="Z183" s="4">
        <f>GroDB[[#This Row],[Unit_Price]]*GroDB[[#This Row],[Sales_Volume]]</f>
        <v>105</v>
      </c>
      <c r="AA183" s="22">
        <f>GroDB[[#This Row],[ADU]]/GroDB[[#Totals],[ADU]]</f>
        <v>3.0499375866581657E-4</v>
      </c>
      <c r="AB183" s="1">
        <f>GroDB[[#This Row],[Sales_Volume]]*GroDB[[#This Row],[Ordering Cost]]</f>
        <v>84</v>
      </c>
    </row>
    <row r="184" spans="1:28" x14ac:dyDescent="0.35">
      <c r="A184" s="5" t="s">
        <v>333</v>
      </c>
      <c r="B184" s="3" t="s">
        <v>53</v>
      </c>
      <c r="C184" s="3" t="s">
        <v>451</v>
      </c>
      <c r="D184" s="3" t="s">
        <v>802</v>
      </c>
      <c r="E184" s="3" t="s">
        <v>56</v>
      </c>
      <c r="F184" s="3" t="s">
        <v>803</v>
      </c>
      <c r="G184" s="3" t="s">
        <v>804</v>
      </c>
      <c r="H184" s="43">
        <v>45603</v>
      </c>
      <c r="I184" s="43">
        <v>45704</v>
      </c>
      <c r="J184" s="47" t="str">
        <f>IF(GroDB[[#This Row],[Last_Order_Date]]&lt;=GroDB[[#This Row],[Date_Received]], "Yes", "No")</f>
        <v>No</v>
      </c>
      <c r="K184" s="43">
        <f>IF(GroDB[[#This Row],[Column1]]="No",GroDB[[#This Row],[Last_Order_Date]],GroDB[[#This Row],[Date_Received]])</f>
        <v>45704</v>
      </c>
      <c r="L184" s="43">
        <f>IF(GroDB[[#This Row],[Column1]]="No",GroDB[[#This Row],[Date_Received]],GroDB[[#This Row],[Last_Order_Date]])</f>
        <v>45603</v>
      </c>
      <c r="M184" s="45">
        <f>GroDB[[#This Row],[Date_Received1]]-GroDB[[#This Row],[Procurement_Date]]</f>
        <v>101</v>
      </c>
      <c r="N184" s="43">
        <v>45529</v>
      </c>
      <c r="O184" s="91">
        <f>GroDB[[#This Row],[Expiration_Date]]-GroDB[[#This Row],[Date_Received1]]</f>
        <v>-175</v>
      </c>
      <c r="P184" s="4">
        <v>8</v>
      </c>
      <c r="Q184" s="3">
        <v>19</v>
      </c>
      <c r="R184" s="3">
        <v>77</v>
      </c>
      <c r="S184" s="3">
        <v>66</v>
      </c>
      <c r="T184" s="4">
        <v>10</v>
      </c>
      <c r="U184" s="3">
        <v>62</v>
      </c>
      <c r="V184" s="51">
        <f>IF(GroDB[[#This Row],[LeadTime]]=0,GroDB[[#This Row],[Sales_Volume]],GroDB[[#This Row],[Sales_Volume]]/GroDB[[#This Row],[LeadTime]])</f>
        <v>0.61386138613861385</v>
      </c>
      <c r="W184" s="51">
        <f>_xlfn.STDEV.S(GroDB[Daily Sales])</f>
        <v>5.1999899792654221</v>
      </c>
      <c r="X184" s="3">
        <v>100</v>
      </c>
      <c r="Y184" s="7">
        <v>-1.76</v>
      </c>
      <c r="Z184" s="4">
        <f>GroDB[[#This Row],[Unit_Price]]*GroDB[[#This Row],[Sales_Volume]]</f>
        <v>620</v>
      </c>
      <c r="AA184" s="22">
        <f>GroDB[[#This Row],[ADU]]/GroDB[[#Totals],[ADU]]</f>
        <v>1.8009155273600599E-3</v>
      </c>
      <c r="AB184" s="1">
        <f>GroDB[[#This Row],[Sales_Volume]]*GroDB[[#This Row],[Ordering Cost]]</f>
        <v>496</v>
      </c>
    </row>
    <row r="185" spans="1:28" x14ac:dyDescent="0.35">
      <c r="A185" s="5" t="s">
        <v>216</v>
      </c>
      <c r="B185" s="3" t="s">
        <v>91</v>
      </c>
      <c r="C185" s="3" t="s">
        <v>312</v>
      </c>
      <c r="D185" s="3" t="s">
        <v>805</v>
      </c>
      <c r="E185" s="3" t="s">
        <v>56</v>
      </c>
      <c r="F185" s="3" t="s">
        <v>806</v>
      </c>
      <c r="G185" s="3" t="s">
        <v>807</v>
      </c>
      <c r="H185" s="43">
        <v>45633</v>
      </c>
      <c r="I185" s="43">
        <v>45507</v>
      </c>
      <c r="J185" s="47" t="str">
        <f>IF(GroDB[[#This Row],[Last_Order_Date]]&lt;=GroDB[[#This Row],[Date_Received]], "Yes", "No")</f>
        <v>Yes</v>
      </c>
      <c r="K185" s="43">
        <f>IF(GroDB[[#This Row],[Column1]]="No",GroDB[[#This Row],[Last_Order_Date]],GroDB[[#This Row],[Date_Received]])</f>
        <v>45633</v>
      </c>
      <c r="L185" s="43">
        <f>IF(GroDB[[#This Row],[Column1]]="No",GroDB[[#This Row],[Date_Received]],GroDB[[#This Row],[Last_Order_Date]])</f>
        <v>45507</v>
      </c>
      <c r="M185" s="45">
        <f>GroDB[[#This Row],[Date_Received1]]-GroDB[[#This Row],[Procurement_Date]]</f>
        <v>126</v>
      </c>
      <c r="N185" s="43">
        <v>45370</v>
      </c>
      <c r="O185" s="91">
        <f>GroDB[[#This Row],[Expiration_Date]]-GroDB[[#This Row],[Date_Received1]]</f>
        <v>-263</v>
      </c>
      <c r="P185" s="4">
        <v>2.8000000000000003</v>
      </c>
      <c r="Q185" s="3">
        <v>58</v>
      </c>
      <c r="R185" s="3">
        <v>48</v>
      </c>
      <c r="S185" s="3">
        <v>9</v>
      </c>
      <c r="T185" s="4">
        <v>3.5</v>
      </c>
      <c r="U185" s="3">
        <v>98</v>
      </c>
      <c r="V185" s="51">
        <f>IF(GroDB[[#This Row],[LeadTime]]=0,GroDB[[#This Row],[Sales_Volume]],GroDB[[#This Row],[Sales_Volume]]/GroDB[[#This Row],[LeadTime]])</f>
        <v>0.77777777777777779</v>
      </c>
      <c r="W185" s="51">
        <f>_xlfn.STDEV.S(GroDB[Daily Sales])</f>
        <v>5.1999899792654221</v>
      </c>
      <c r="X185" s="3">
        <v>69</v>
      </c>
      <c r="Y185" s="7">
        <v>-0.61</v>
      </c>
      <c r="Z185" s="4">
        <f>GroDB[[#This Row],[Unit_Price]]*GroDB[[#This Row],[Sales_Volume]]</f>
        <v>343</v>
      </c>
      <c r="AA185" s="22">
        <f>GroDB[[#This Row],[ADU]]/GroDB[[#Totals],[ADU]]</f>
        <v>9.9631294497500088E-4</v>
      </c>
      <c r="AB185" s="1">
        <f>GroDB[[#This Row],[Sales_Volume]]*GroDB[[#This Row],[Ordering Cost]]</f>
        <v>274.40000000000003</v>
      </c>
    </row>
    <row r="186" spans="1:28" x14ac:dyDescent="0.35">
      <c r="A186" s="5" t="s">
        <v>380</v>
      </c>
      <c r="B186" s="3" t="s">
        <v>32</v>
      </c>
      <c r="C186" s="3" t="s">
        <v>808</v>
      </c>
      <c r="D186" s="3" t="s">
        <v>809</v>
      </c>
      <c r="E186" s="3" t="s">
        <v>56</v>
      </c>
      <c r="F186" s="3" t="s">
        <v>810</v>
      </c>
      <c r="G186" s="3" t="s">
        <v>811</v>
      </c>
      <c r="H186" s="43">
        <v>45359</v>
      </c>
      <c r="I186" s="43">
        <v>45647</v>
      </c>
      <c r="J186" s="47" t="str">
        <f>IF(GroDB[[#This Row],[Last_Order_Date]]&lt;=GroDB[[#This Row],[Date_Received]], "Yes", "No")</f>
        <v>No</v>
      </c>
      <c r="K186" s="43">
        <f>IF(GroDB[[#This Row],[Column1]]="No",GroDB[[#This Row],[Last_Order_Date]],GroDB[[#This Row],[Date_Received]])</f>
        <v>45647</v>
      </c>
      <c r="L186" s="43">
        <f>IF(GroDB[[#This Row],[Column1]]="No",GroDB[[#This Row],[Date_Received]],GroDB[[#This Row],[Last_Order_Date]])</f>
        <v>45359</v>
      </c>
      <c r="M186" s="45">
        <f>GroDB[[#This Row],[Date_Received1]]-GroDB[[#This Row],[Procurement_Date]]</f>
        <v>288</v>
      </c>
      <c r="N186" s="43">
        <v>45435</v>
      </c>
      <c r="O186" s="91">
        <f>GroDB[[#This Row],[Expiration_Date]]-GroDB[[#This Row],[Date_Received1]]</f>
        <v>-212</v>
      </c>
      <c r="P186" s="4">
        <v>3.28</v>
      </c>
      <c r="Q186" s="3">
        <v>98</v>
      </c>
      <c r="R186" s="3">
        <v>24</v>
      </c>
      <c r="S186" s="3">
        <v>4</v>
      </c>
      <c r="T186" s="4">
        <v>4.0999999999999996</v>
      </c>
      <c r="U186" s="3">
        <v>89</v>
      </c>
      <c r="V186" s="51">
        <f>IF(GroDB[[#This Row],[LeadTime]]=0,GroDB[[#This Row],[Sales_Volume]],GroDB[[#This Row],[Sales_Volume]]/GroDB[[#This Row],[LeadTime]])</f>
        <v>0.30902777777777779</v>
      </c>
      <c r="W186" s="51">
        <f>_xlfn.STDEV.S(GroDB[Daily Sales])</f>
        <v>5.1999899792654221</v>
      </c>
      <c r="X186" s="3">
        <v>80</v>
      </c>
      <c r="Y186" s="7">
        <v>0.3</v>
      </c>
      <c r="Z186" s="4">
        <f>GroDB[[#This Row],[Unit_Price]]*GroDB[[#This Row],[Sales_Volume]]</f>
        <v>364.9</v>
      </c>
      <c r="AA186" s="22">
        <f>GroDB[[#This Row],[ADU]]/GroDB[[#Totals],[ADU]]</f>
        <v>1.0599259289252997E-3</v>
      </c>
      <c r="AB186" s="1">
        <f>GroDB[[#This Row],[Sales_Volume]]*GroDB[[#This Row],[Ordering Cost]]</f>
        <v>291.91999999999996</v>
      </c>
    </row>
    <row r="187" spans="1:28" x14ac:dyDescent="0.35">
      <c r="A187" s="5" t="s">
        <v>812</v>
      </c>
      <c r="B187" s="3" t="s">
        <v>18</v>
      </c>
      <c r="C187" s="3" t="s">
        <v>813</v>
      </c>
      <c r="D187" s="3" t="s">
        <v>814</v>
      </c>
      <c r="E187" s="3" t="s">
        <v>56</v>
      </c>
      <c r="F187" s="3" t="s">
        <v>815</v>
      </c>
      <c r="G187" s="3" t="s">
        <v>816</v>
      </c>
      <c r="H187" s="43">
        <v>45359</v>
      </c>
      <c r="I187" s="43">
        <v>45668</v>
      </c>
      <c r="J187" s="47" t="str">
        <f>IF(GroDB[[#This Row],[Last_Order_Date]]&lt;=GroDB[[#This Row],[Date_Received]], "Yes", "No")</f>
        <v>No</v>
      </c>
      <c r="K187" s="43">
        <f>IF(GroDB[[#This Row],[Column1]]="No",GroDB[[#This Row],[Last_Order_Date]],GroDB[[#This Row],[Date_Received]])</f>
        <v>45668</v>
      </c>
      <c r="L187" s="43">
        <f>IF(GroDB[[#This Row],[Column1]]="No",GroDB[[#This Row],[Date_Received]],GroDB[[#This Row],[Last_Order_Date]])</f>
        <v>45359</v>
      </c>
      <c r="M187" s="45">
        <f>GroDB[[#This Row],[Date_Received1]]-GroDB[[#This Row],[Procurement_Date]]</f>
        <v>309</v>
      </c>
      <c r="N187" s="43">
        <v>45560</v>
      </c>
      <c r="O187" s="91">
        <f>GroDB[[#This Row],[Expiration_Date]]-GroDB[[#This Row],[Date_Received1]]</f>
        <v>-108</v>
      </c>
      <c r="P187" s="4">
        <v>2.8000000000000003</v>
      </c>
      <c r="Q187" s="3">
        <v>44</v>
      </c>
      <c r="R187" s="3">
        <v>92</v>
      </c>
      <c r="S187" s="3">
        <v>92</v>
      </c>
      <c r="T187" s="4">
        <v>3.5</v>
      </c>
      <c r="U187" s="3">
        <v>41</v>
      </c>
      <c r="V187" s="51">
        <f>IF(GroDB[[#This Row],[LeadTime]]=0,GroDB[[#This Row],[Sales_Volume]],GroDB[[#This Row],[Sales_Volume]]/GroDB[[#This Row],[LeadTime]])</f>
        <v>0.13268608414239483</v>
      </c>
      <c r="W187" s="51">
        <f>_xlfn.STDEV.S(GroDB[Daily Sales])</f>
        <v>5.1999899792654221</v>
      </c>
      <c r="X187" s="3">
        <v>61</v>
      </c>
      <c r="Y187" s="7">
        <v>0.1</v>
      </c>
      <c r="Z187" s="4">
        <f>GroDB[[#This Row],[Unit_Price]]*GroDB[[#This Row],[Sales_Volume]]</f>
        <v>143.5</v>
      </c>
      <c r="AA187" s="22">
        <f>GroDB[[#This Row],[ADU]]/GroDB[[#Totals],[ADU]]</f>
        <v>4.1682480350994932E-4</v>
      </c>
      <c r="AB187" s="1">
        <f>GroDB[[#This Row],[Sales_Volume]]*GroDB[[#This Row],[Ordering Cost]]</f>
        <v>114.80000000000001</v>
      </c>
    </row>
    <row r="188" spans="1:28" x14ac:dyDescent="0.35">
      <c r="A188" s="5" t="s">
        <v>817</v>
      </c>
      <c r="B188" s="3" t="s">
        <v>18</v>
      </c>
      <c r="C188" s="3" t="s">
        <v>818</v>
      </c>
      <c r="D188" s="3" t="s">
        <v>819</v>
      </c>
      <c r="E188" s="3" t="s">
        <v>28</v>
      </c>
      <c r="F188" s="3" t="s">
        <v>820</v>
      </c>
      <c r="G188" s="3" t="s">
        <v>821</v>
      </c>
      <c r="H188" s="43">
        <v>45359</v>
      </c>
      <c r="I188" s="43">
        <v>45625</v>
      </c>
      <c r="J188" s="47" t="str">
        <f>IF(GroDB[[#This Row],[Last_Order_Date]]&lt;=GroDB[[#This Row],[Date_Received]], "Yes", "No")</f>
        <v>No</v>
      </c>
      <c r="K188" s="43">
        <f>IF(GroDB[[#This Row],[Column1]]="No",GroDB[[#This Row],[Last_Order_Date]],GroDB[[#This Row],[Date_Received]])</f>
        <v>45625</v>
      </c>
      <c r="L188" s="43">
        <f>IF(GroDB[[#This Row],[Column1]]="No",GroDB[[#This Row],[Date_Received]],GroDB[[#This Row],[Last_Order_Date]])</f>
        <v>45359</v>
      </c>
      <c r="M188" s="45">
        <f>GroDB[[#This Row],[Date_Received1]]-GroDB[[#This Row],[Procurement_Date]]</f>
        <v>266</v>
      </c>
      <c r="N188" s="43">
        <v>45582</v>
      </c>
      <c r="O188" s="91">
        <f>GroDB[[#This Row],[Expiration_Date]]-GroDB[[#This Row],[Date_Received1]]</f>
        <v>-43</v>
      </c>
      <c r="P188" s="4">
        <v>2.4000000000000004</v>
      </c>
      <c r="Q188" s="3">
        <v>100</v>
      </c>
      <c r="R188" s="3">
        <v>52</v>
      </c>
      <c r="S188" s="3">
        <v>2</v>
      </c>
      <c r="T188" s="4">
        <v>3</v>
      </c>
      <c r="U188" s="3">
        <v>86</v>
      </c>
      <c r="V188" s="51">
        <f>IF(GroDB[[#This Row],[LeadTime]]=0,GroDB[[#This Row],[Sales_Volume]],GroDB[[#This Row],[Sales_Volume]]/GroDB[[#This Row],[LeadTime]])</f>
        <v>0.32330827067669171</v>
      </c>
      <c r="W188" s="51">
        <f>_xlfn.STDEV.S(GroDB[Daily Sales])</f>
        <v>5.1999899792654221</v>
      </c>
      <c r="X188" s="3">
        <v>70</v>
      </c>
      <c r="Y188" s="7">
        <v>-0.49</v>
      </c>
      <c r="Z188" s="4">
        <f>GroDB[[#This Row],[Unit_Price]]*GroDB[[#This Row],[Sales_Volume]]</f>
        <v>258</v>
      </c>
      <c r="AA188" s="22">
        <f>GroDB[[#This Row],[ADU]]/GroDB[[#Totals],[ADU]]</f>
        <v>7.4941323557886359E-4</v>
      </c>
      <c r="AB188" s="1">
        <f>GroDB[[#This Row],[Sales_Volume]]*GroDB[[#This Row],[Ordering Cost]]</f>
        <v>206.40000000000003</v>
      </c>
    </row>
    <row r="189" spans="1:28" x14ac:dyDescent="0.35">
      <c r="A189" s="5" t="s">
        <v>220</v>
      </c>
      <c r="B189" s="3" t="s">
        <v>127</v>
      </c>
      <c r="C189" s="3" t="s">
        <v>398</v>
      </c>
      <c r="D189" s="3" t="s">
        <v>822</v>
      </c>
      <c r="E189" s="3" t="s">
        <v>21</v>
      </c>
      <c r="F189" s="3" t="s">
        <v>823</v>
      </c>
      <c r="G189" s="3" t="s">
        <v>824</v>
      </c>
      <c r="H189" s="43">
        <v>45390</v>
      </c>
      <c r="I189" s="43">
        <v>45533</v>
      </c>
      <c r="J189" s="47" t="str">
        <f>IF(GroDB[[#This Row],[Last_Order_Date]]&lt;=GroDB[[#This Row],[Date_Received]], "Yes", "No")</f>
        <v>No</v>
      </c>
      <c r="K189" s="43">
        <f>IF(GroDB[[#This Row],[Column1]]="No",GroDB[[#This Row],[Last_Order_Date]],GroDB[[#This Row],[Date_Received]])</f>
        <v>45533</v>
      </c>
      <c r="L189" s="43">
        <f>IF(GroDB[[#This Row],[Column1]]="No",GroDB[[#This Row],[Date_Received]],GroDB[[#This Row],[Last_Order_Date]])</f>
        <v>45390</v>
      </c>
      <c r="M189" s="45">
        <f>GroDB[[#This Row],[Date_Received1]]-GroDB[[#This Row],[Procurement_Date]]</f>
        <v>143</v>
      </c>
      <c r="N189" s="43">
        <v>45377</v>
      </c>
      <c r="O189" s="91">
        <f>GroDB[[#This Row],[Expiration_Date]]-GroDB[[#This Row],[Date_Received1]]</f>
        <v>-156</v>
      </c>
      <c r="P189" s="4">
        <v>8</v>
      </c>
      <c r="Q189" s="3">
        <v>62</v>
      </c>
      <c r="R189" s="3">
        <v>78</v>
      </c>
      <c r="S189" s="3">
        <v>97</v>
      </c>
      <c r="T189" s="4">
        <v>10</v>
      </c>
      <c r="U189" s="3">
        <v>62</v>
      </c>
      <c r="V189" s="51">
        <f>IF(GroDB[[#This Row],[LeadTime]]=0,GroDB[[#This Row],[Sales_Volume]],GroDB[[#This Row],[Sales_Volume]]/GroDB[[#This Row],[LeadTime]])</f>
        <v>0.43356643356643354</v>
      </c>
      <c r="W189" s="51">
        <f>_xlfn.STDEV.S(GroDB[Daily Sales])</f>
        <v>5.1999899792654221</v>
      </c>
      <c r="X189" s="3">
        <v>97</v>
      </c>
      <c r="Y189" s="7">
        <v>0.19</v>
      </c>
      <c r="Z189" s="4">
        <f>GroDB[[#This Row],[Unit_Price]]*GroDB[[#This Row],[Sales_Volume]]</f>
        <v>620</v>
      </c>
      <c r="AA189" s="22">
        <f>GroDB[[#This Row],[ADU]]/GroDB[[#Totals],[ADU]]</f>
        <v>1.8009155273600599E-3</v>
      </c>
      <c r="AB189" s="1">
        <f>GroDB[[#This Row],[Sales_Volume]]*GroDB[[#This Row],[Ordering Cost]]</f>
        <v>496</v>
      </c>
    </row>
    <row r="190" spans="1:28" x14ac:dyDescent="0.35">
      <c r="A190" s="5" t="s">
        <v>686</v>
      </c>
      <c r="B190" s="3" t="s">
        <v>18</v>
      </c>
      <c r="C190" s="3" t="s">
        <v>199</v>
      </c>
      <c r="D190" s="3" t="s">
        <v>825</v>
      </c>
      <c r="E190" s="3" t="s">
        <v>28</v>
      </c>
      <c r="F190" s="3" t="s">
        <v>826</v>
      </c>
      <c r="G190" s="3" t="s">
        <v>827</v>
      </c>
      <c r="H190" s="43">
        <v>45390</v>
      </c>
      <c r="I190" s="43">
        <v>45667</v>
      </c>
      <c r="J190" s="47" t="str">
        <f>IF(GroDB[[#This Row],[Last_Order_Date]]&lt;=GroDB[[#This Row],[Date_Received]], "Yes", "No")</f>
        <v>No</v>
      </c>
      <c r="K190" s="43">
        <f>IF(GroDB[[#This Row],[Column1]]="No",GroDB[[#This Row],[Last_Order_Date]],GroDB[[#This Row],[Date_Received]])</f>
        <v>45667</v>
      </c>
      <c r="L190" s="43">
        <f>IF(GroDB[[#This Row],[Column1]]="No",GroDB[[#This Row],[Date_Received]],GroDB[[#This Row],[Last_Order_Date]])</f>
        <v>45390</v>
      </c>
      <c r="M190" s="45">
        <f>GroDB[[#This Row],[Date_Received1]]-GroDB[[#This Row],[Procurement_Date]]</f>
        <v>277</v>
      </c>
      <c r="N190" s="43">
        <v>45384</v>
      </c>
      <c r="O190" s="91">
        <f>GroDB[[#This Row],[Expiration_Date]]-GroDB[[#This Row],[Date_Received1]]</f>
        <v>-283</v>
      </c>
      <c r="P190" s="4">
        <v>2</v>
      </c>
      <c r="Q190" s="3">
        <v>84</v>
      </c>
      <c r="R190" s="3">
        <v>20</v>
      </c>
      <c r="S190" s="3">
        <v>58</v>
      </c>
      <c r="T190" s="4">
        <v>2.5</v>
      </c>
      <c r="U190" s="3">
        <v>86</v>
      </c>
      <c r="V190" s="51">
        <f>IF(GroDB[[#This Row],[LeadTime]]=0,GroDB[[#This Row],[Sales_Volume]],GroDB[[#This Row],[Sales_Volume]]/GroDB[[#This Row],[LeadTime]])</f>
        <v>0.31046931407942241</v>
      </c>
      <c r="W190" s="51">
        <f>_xlfn.STDEV.S(GroDB[Daily Sales])</f>
        <v>5.1999899792654221</v>
      </c>
      <c r="X190" s="3">
        <v>64</v>
      </c>
      <c r="Y190" s="7">
        <v>-0.56000000000000005</v>
      </c>
      <c r="Z190" s="4">
        <f>GroDB[[#This Row],[Unit_Price]]*GroDB[[#This Row],[Sales_Volume]]</f>
        <v>215</v>
      </c>
      <c r="AA190" s="22">
        <f>GroDB[[#This Row],[ADU]]/GroDB[[#Totals],[ADU]]</f>
        <v>6.2451102964905297E-4</v>
      </c>
      <c r="AB190" s="1">
        <f>GroDB[[#This Row],[Sales_Volume]]*GroDB[[#This Row],[Ordering Cost]]</f>
        <v>172</v>
      </c>
    </row>
    <row r="191" spans="1:28" x14ac:dyDescent="0.35">
      <c r="A191" s="5" t="s">
        <v>828</v>
      </c>
      <c r="B191" s="3" t="s">
        <v>32</v>
      </c>
      <c r="C191" s="3" t="s">
        <v>128</v>
      </c>
      <c r="D191" s="3" t="s">
        <v>829</v>
      </c>
      <c r="E191" s="3" t="s">
        <v>28</v>
      </c>
      <c r="F191" s="3" t="s">
        <v>830</v>
      </c>
      <c r="G191" s="3" t="s">
        <v>831</v>
      </c>
      <c r="H191" s="43">
        <v>45390</v>
      </c>
      <c r="I191" s="43">
        <v>45528</v>
      </c>
      <c r="J191" s="47" t="str">
        <f>IF(GroDB[[#This Row],[Last_Order_Date]]&lt;=GroDB[[#This Row],[Date_Received]], "Yes", "No")</f>
        <v>No</v>
      </c>
      <c r="K191" s="43">
        <f>IF(GroDB[[#This Row],[Column1]]="No",GroDB[[#This Row],[Last_Order_Date]],GroDB[[#This Row],[Date_Received]])</f>
        <v>45528</v>
      </c>
      <c r="L191" s="43">
        <f>IF(GroDB[[#This Row],[Column1]]="No",GroDB[[#This Row],[Date_Received]],GroDB[[#This Row],[Last_Order_Date]])</f>
        <v>45390</v>
      </c>
      <c r="M191" s="45">
        <f>GroDB[[#This Row],[Date_Received1]]-GroDB[[#This Row],[Procurement_Date]]</f>
        <v>138</v>
      </c>
      <c r="N191" s="43">
        <v>45387</v>
      </c>
      <c r="O191" s="91">
        <f>GroDB[[#This Row],[Expiration_Date]]-GroDB[[#This Row],[Date_Received1]]</f>
        <v>-141</v>
      </c>
      <c r="P191" s="4">
        <v>3.84</v>
      </c>
      <c r="Q191" s="3">
        <v>68</v>
      </c>
      <c r="R191" s="3">
        <v>82</v>
      </c>
      <c r="S191" s="3">
        <v>58</v>
      </c>
      <c r="T191" s="4">
        <v>4.8</v>
      </c>
      <c r="U191" s="3">
        <v>90</v>
      </c>
      <c r="V191" s="51">
        <f>IF(GroDB[[#This Row],[LeadTime]]=0,GroDB[[#This Row],[Sales_Volume]],GroDB[[#This Row],[Sales_Volume]]/GroDB[[#This Row],[LeadTime]])</f>
        <v>0.65217391304347827</v>
      </c>
      <c r="W191" s="51">
        <f>_xlfn.STDEV.S(GroDB[Daily Sales])</f>
        <v>5.1999899792654221</v>
      </c>
      <c r="X191" s="3">
        <v>2</v>
      </c>
      <c r="Y191" s="7">
        <v>0.26</v>
      </c>
      <c r="Z191" s="4">
        <f>GroDB[[#This Row],[Unit_Price]]*GroDB[[#This Row],[Sales_Volume]]</f>
        <v>432</v>
      </c>
      <c r="AA191" s="22">
        <f>GroDB[[#This Row],[ADU]]/GroDB[[#Totals],[ADU]]</f>
        <v>1.2548314642250741E-3</v>
      </c>
      <c r="AB191" s="1">
        <f>GroDB[[#This Row],[Sales_Volume]]*GroDB[[#This Row],[Ordering Cost]]</f>
        <v>345.59999999999997</v>
      </c>
    </row>
    <row r="192" spans="1:28" x14ac:dyDescent="0.35">
      <c r="A192" s="5" t="s">
        <v>276</v>
      </c>
      <c r="B192" s="3" t="s">
        <v>18</v>
      </c>
      <c r="C192" s="3" t="s">
        <v>832</v>
      </c>
      <c r="D192" s="3" t="s">
        <v>833</v>
      </c>
      <c r="E192" s="3" t="s">
        <v>56</v>
      </c>
      <c r="F192" s="3" t="s">
        <v>834</v>
      </c>
      <c r="G192" s="3" t="s">
        <v>835</v>
      </c>
      <c r="H192" s="43">
        <v>45420</v>
      </c>
      <c r="I192" s="43">
        <v>45434</v>
      </c>
      <c r="J192" s="47" t="str">
        <f>IF(GroDB[[#This Row],[Last_Order_Date]]&lt;=GroDB[[#This Row],[Date_Received]], "Yes", "No")</f>
        <v>No</v>
      </c>
      <c r="K192" s="43">
        <f>IF(GroDB[[#This Row],[Column1]]="No",GroDB[[#This Row],[Last_Order_Date]],GroDB[[#This Row],[Date_Received]])</f>
        <v>45434</v>
      </c>
      <c r="L192" s="43">
        <f>IF(GroDB[[#This Row],[Column1]]="No",GroDB[[#This Row],[Date_Received]],GroDB[[#This Row],[Last_Order_Date]])</f>
        <v>45420</v>
      </c>
      <c r="M192" s="45">
        <f>GroDB[[#This Row],[Date_Received1]]-GroDB[[#This Row],[Procurement_Date]]</f>
        <v>14</v>
      </c>
      <c r="N192" s="43">
        <v>45705</v>
      </c>
      <c r="O192" s="91">
        <f>GroDB[[#This Row],[Expiration_Date]]-GroDB[[#This Row],[Date_Received1]]</f>
        <v>271</v>
      </c>
      <c r="P192" s="4">
        <v>2.8000000000000003</v>
      </c>
      <c r="Q192" s="3">
        <v>55</v>
      </c>
      <c r="R192" s="3">
        <v>91</v>
      </c>
      <c r="S192" s="3">
        <v>35</v>
      </c>
      <c r="T192" s="4">
        <v>3.5</v>
      </c>
      <c r="U192" s="3">
        <v>81</v>
      </c>
      <c r="V192" s="51">
        <f>IF(GroDB[[#This Row],[LeadTime]]=0,GroDB[[#This Row],[Sales_Volume]],GroDB[[#This Row],[Sales_Volume]]/GroDB[[#This Row],[LeadTime]])</f>
        <v>5.7857142857142856</v>
      </c>
      <c r="W192" s="51">
        <f>_xlfn.STDEV.S(GroDB[Daily Sales])</f>
        <v>5.1999899792654221</v>
      </c>
      <c r="X192" s="3">
        <v>19</v>
      </c>
      <c r="Y192" s="7">
        <v>0.98</v>
      </c>
      <c r="Z192" s="4">
        <f>GroDB[[#This Row],[Unit_Price]]*GroDB[[#This Row],[Sales_Volume]]</f>
        <v>283.5</v>
      </c>
      <c r="AA192" s="22">
        <f>GroDB[[#This Row],[ADU]]/GroDB[[#Totals],[ADU]]</f>
        <v>8.2348314839770479E-4</v>
      </c>
      <c r="AB192" s="1">
        <f>GroDB[[#This Row],[Sales_Volume]]*GroDB[[#This Row],[Ordering Cost]]</f>
        <v>226.8</v>
      </c>
    </row>
    <row r="193" spans="1:28" x14ac:dyDescent="0.35">
      <c r="A193" s="5" t="s">
        <v>836</v>
      </c>
      <c r="B193" s="3" t="s">
        <v>91</v>
      </c>
      <c r="C193" s="3" t="s">
        <v>147</v>
      </c>
      <c r="D193" s="3" t="s">
        <v>837</v>
      </c>
      <c r="E193" s="3" t="s">
        <v>56</v>
      </c>
      <c r="F193" s="3" t="s">
        <v>838</v>
      </c>
      <c r="G193" s="3" t="s">
        <v>839</v>
      </c>
      <c r="H193" s="43">
        <v>45420</v>
      </c>
      <c r="I193" s="43">
        <v>45349</v>
      </c>
      <c r="J193" s="47" t="str">
        <f>IF(GroDB[[#This Row],[Last_Order_Date]]&lt;=GroDB[[#This Row],[Date_Received]], "Yes", "No")</f>
        <v>Yes</v>
      </c>
      <c r="K193" s="43">
        <f>IF(GroDB[[#This Row],[Column1]]="No",GroDB[[#This Row],[Last_Order_Date]],GroDB[[#This Row],[Date_Received]])</f>
        <v>45420</v>
      </c>
      <c r="L193" s="43">
        <f>IF(GroDB[[#This Row],[Column1]]="No",GroDB[[#This Row],[Date_Received]],GroDB[[#This Row],[Last_Order_Date]])</f>
        <v>45349</v>
      </c>
      <c r="M193" s="45">
        <f>GroDB[[#This Row],[Date_Received1]]-GroDB[[#This Row],[Procurement_Date]]</f>
        <v>71</v>
      </c>
      <c r="N193" s="43">
        <v>45690</v>
      </c>
      <c r="O193" s="91">
        <f>GroDB[[#This Row],[Expiration_Date]]-GroDB[[#This Row],[Date_Received1]]</f>
        <v>270</v>
      </c>
      <c r="P193" s="4">
        <v>2.5600000000000005</v>
      </c>
      <c r="Q193" s="3">
        <v>87</v>
      </c>
      <c r="R193" s="3">
        <v>70</v>
      </c>
      <c r="S193" s="3">
        <v>77</v>
      </c>
      <c r="T193" s="4">
        <v>3.2</v>
      </c>
      <c r="U193" s="3">
        <v>73</v>
      </c>
      <c r="V193" s="51">
        <f>IF(GroDB[[#This Row],[LeadTime]]=0,GroDB[[#This Row],[Sales_Volume]],GroDB[[#This Row],[Sales_Volume]]/GroDB[[#This Row],[LeadTime]])</f>
        <v>1.028169014084507</v>
      </c>
      <c r="W193" s="51">
        <f>_xlfn.STDEV.S(GroDB[Daily Sales])</f>
        <v>5.1999899792654221</v>
      </c>
      <c r="X193" s="3">
        <v>44</v>
      </c>
      <c r="Y193" s="7">
        <v>0.77</v>
      </c>
      <c r="Z193" s="4">
        <f>GroDB[[#This Row],[Unit_Price]]*GroDB[[#This Row],[Sales_Volume]]</f>
        <v>233.60000000000002</v>
      </c>
      <c r="AA193" s="22">
        <f>GroDB[[#This Row],[ADU]]/GroDB[[#Totals],[ADU]]</f>
        <v>6.7853849546985483E-4</v>
      </c>
      <c r="AB193" s="1">
        <f>GroDB[[#This Row],[Sales_Volume]]*GroDB[[#This Row],[Ordering Cost]]</f>
        <v>186.88000000000002</v>
      </c>
    </row>
    <row r="194" spans="1:28" x14ac:dyDescent="0.35">
      <c r="A194" s="5" t="s">
        <v>446</v>
      </c>
      <c r="B194" s="3" t="s">
        <v>53</v>
      </c>
      <c r="C194" s="3" t="s">
        <v>207</v>
      </c>
      <c r="D194" s="3" t="s">
        <v>840</v>
      </c>
      <c r="E194" s="3" t="s">
        <v>56</v>
      </c>
      <c r="F194" s="3" t="s">
        <v>841</v>
      </c>
      <c r="G194" s="3" t="s">
        <v>842</v>
      </c>
      <c r="H194" s="43">
        <v>45420</v>
      </c>
      <c r="I194" s="43">
        <v>45641</v>
      </c>
      <c r="J194" s="47" t="str">
        <f>IF(GroDB[[#This Row],[Last_Order_Date]]&lt;=GroDB[[#This Row],[Date_Received]], "Yes", "No")</f>
        <v>No</v>
      </c>
      <c r="K194" s="43">
        <f>IF(GroDB[[#This Row],[Column1]]="No",GroDB[[#This Row],[Last_Order_Date]],GroDB[[#This Row],[Date_Received]])</f>
        <v>45641</v>
      </c>
      <c r="L194" s="43">
        <f>IF(GroDB[[#This Row],[Column1]]="No",GroDB[[#This Row],[Date_Received]],GroDB[[#This Row],[Last_Order_Date]])</f>
        <v>45420</v>
      </c>
      <c r="M194" s="45">
        <f>GroDB[[#This Row],[Date_Received1]]-GroDB[[#This Row],[Procurement_Date]]</f>
        <v>221</v>
      </c>
      <c r="N194" s="43">
        <v>45425</v>
      </c>
      <c r="O194" s="91">
        <f>GroDB[[#This Row],[Expiration_Date]]-GroDB[[#This Row],[Date_Received1]]</f>
        <v>-216</v>
      </c>
      <c r="P194" s="4">
        <v>7.6000000000000005</v>
      </c>
      <c r="Q194" s="3">
        <v>12</v>
      </c>
      <c r="R194" s="3">
        <v>56</v>
      </c>
      <c r="S194" s="3">
        <v>92</v>
      </c>
      <c r="T194" s="4">
        <v>9.5</v>
      </c>
      <c r="U194" s="3">
        <v>56</v>
      </c>
      <c r="V194" s="51">
        <f>IF(GroDB[[#This Row],[LeadTime]]=0,GroDB[[#This Row],[Sales_Volume]],GroDB[[#This Row],[Sales_Volume]]/GroDB[[#This Row],[LeadTime]])</f>
        <v>0.25339366515837103</v>
      </c>
      <c r="W194" s="51">
        <f>_xlfn.STDEV.S(GroDB[Daily Sales])</f>
        <v>5.1999899792654221</v>
      </c>
      <c r="X194" s="3">
        <v>6</v>
      </c>
      <c r="Y194" s="7">
        <v>0.4</v>
      </c>
      <c r="Z194" s="4">
        <f>GroDB[[#This Row],[Unit_Price]]*GroDB[[#This Row],[Sales_Volume]]</f>
        <v>532</v>
      </c>
      <c r="AA194" s="22">
        <f>GroDB[[#This Row],[ADU]]/GroDB[[#Totals],[ADU]]</f>
        <v>1.5453017105734707E-3</v>
      </c>
      <c r="AB194" s="1">
        <f>GroDB[[#This Row],[Sales_Volume]]*GroDB[[#This Row],[Ordering Cost]]</f>
        <v>425.6</v>
      </c>
    </row>
    <row r="195" spans="1:28" x14ac:dyDescent="0.35">
      <c r="A195" s="5" t="s">
        <v>96</v>
      </c>
      <c r="B195" s="3" t="s">
        <v>18</v>
      </c>
      <c r="C195" s="3" t="s">
        <v>778</v>
      </c>
      <c r="D195" s="3" t="s">
        <v>843</v>
      </c>
      <c r="E195" s="3" t="s">
        <v>28</v>
      </c>
      <c r="F195" s="3" t="s">
        <v>844</v>
      </c>
      <c r="G195" s="3" t="s">
        <v>845</v>
      </c>
      <c r="H195" s="43">
        <v>45451</v>
      </c>
      <c r="I195" s="43">
        <v>45379</v>
      </c>
      <c r="J195" s="47" t="str">
        <f>IF(GroDB[[#This Row],[Last_Order_Date]]&lt;=GroDB[[#This Row],[Date_Received]], "Yes", "No")</f>
        <v>Yes</v>
      </c>
      <c r="K195" s="43">
        <f>IF(GroDB[[#This Row],[Column1]]="No",GroDB[[#This Row],[Last_Order_Date]],GroDB[[#This Row],[Date_Received]])</f>
        <v>45451</v>
      </c>
      <c r="L195" s="43">
        <f>IF(GroDB[[#This Row],[Column1]]="No",GroDB[[#This Row],[Date_Received]],GroDB[[#This Row],[Last_Order_Date]])</f>
        <v>45379</v>
      </c>
      <c r="M195" s="45">
        <f>GroDB[[#This Row],[Date_Received1]]-GroDB[[#This Row],[Procurement_Date]]</f>
        <v>72</v>
      </c>
      <c r="N195" s="43">
        <v>45692</v>
      </c>
      <c r="O195" s="91">
        <f>GroDB[[#This Row],[Expiration_Date]]-GroDB[[#This Row],[Date_Received1]]</f>
        <v>241</v>
      </c>
      <c r="P195" s="4">
        <v>1.984</v>
      </c>
      <c r="Q195" s="3">
        <v>95</v>
      </c>
      <c r="R195" s="3">
        <v>66</v>
      </c>
      <c r="S195" s="3">
        <v>69</v>
      </c>
      <c r="T195" s="4">
        <v>2.48</v>
      </c>
      <c r="U195" s="3">
        <v>92</v>
      </c>
      <c r="V195" s="51">
        <f>IF(GroDB[[#This Row],[LeadTime]]=0,GroDB[[#This Row],[Sales_Volume]],GroDB[[#This Row],[Sales_Volume]]/GroDB[[#This Row],[LeadTime]])</f>
        <v>1.2777777777777777</v>
      </c>
      <c r="W195" s="51">
        <f>_xlfn.STDEV.S(GroDB[Daily Sales])</f>
        <v>5.1999899792654221</v>
      </c>
      <c r="X195" s="3">
        <v>72</v>
      </c>
      <c r="Y195" s="7">
        <v>0.89</v>
      </c>
      <c r="Z195" s="4">
        <f>GroDB[[#This Row],[Unit_Price]]*GroDB[[#This Row],[Sales_Volume]]</f>
        <v>228.16</v>
      </c>
      <c r="AA195" s="22">
        <f>GroDB[[#This Row],[ADU]]/GroDB[[#Totals],[ADU]]</f>
        <v>6.6273691406850202E-4</v>
      </c>
      <c r="AB195" s="1">
        <f>GroDB[[#This Row],[Sales_Volume]]*GroDB[[#This Row],[Ordering Cost]]</f>
        <v>182.52799999999999</v>
      </c>
    </row>
    <row r="196" spans="1:28" x14ac:dyDescent="0.35">
      <c r="A196" s="5" t="s">
        <v>137</v>
      </c>
      <c r="B196" s="3" t="s">
        <v>18</v>
      </c>
      <c r="C196" s="3" t="s">
        <v>759</v>
      </c>
      <c r="D196" s="3" t="s">
        <v>846</v>
      </c>
      <c r="E196" s="3" t="s">
        <v>28</v>
      </c>
      <c r="F196" s="3" t="s">
        <v>847</v>
      </c>
      <c r="G196" s="3" t="s">
        <v>848</v>
      </c>
      <c r="H196" s="43">
        <v>45451</v>
      </c>
      <c r="I196" s="43">
        <v>45431</v>
      </c>
      <c r="J196" s="47" t="str">
        <f>IF(GroDB[[#This Row],[Last_Order_Date]]&lt;=GroDB[[#This Row],[Date_Received]], "Yes", "No")</f>
        <v>Yes</v>
      </c>
      <c r="K196" s="43">
        <f>IF(GroDB[[#This Row],[Column1]]="No",GroDB[[#This Row],[Last_Order_Date]],GroDB[[#This Row],[Date_Received]])</f>
        <v>45451</v>
      </c>
      <c r="L196" s="43">
        <f>IF(GroDB[[#This Row],[Column1]]="No",GroDB[[#This Row],[Date_Received]],GroDB[[#This Row],[Last_Order_Date]])</f>
        <v>45431</v>
      </c>
      <c r="M196" s="45">
        <f>GroDB[[#This Row],[Date_Received1]]-GroDB[[#This Row],[Procurement_Date]]</f>
        <v>20</v>
      </c>
      <c r="N196" s="43">
        <v>45636</v>
      </c>
      <c r="O196" s="91">
        <f>GroDB[[#This Row],[Expiration_Date]]-GroDB[[#This Row],[Date_Received1]]</f>
        <v>185</v>
      </c>
      <c r="P196" s="4">
        <v>4</v>
      </c>
      <c r="Q196" s="3">
        <v>84</v>
      </c>
      <c r="R196" s="3">
        <v>9</v>
      </c>
      <c r="S196" s="3">
        <v>46</v>
      </c>
      <c r="T196" s="4">
        <v>5</v>
      </c>
      <c r="U196" s="3">
        <v>30</v>
      </c>
      <c r="V196" s="51">
        <f>IF(GroDB[[#This Row],[LeadTime]]=0,GroDB[[#This Row],[Sales_Volume]],GroDB[[#This Row],[Sales_Volume]]/GroDB[[#This Row],[LeadTime]])</f>
        <v>1.5</v>
      </c>
      <c r="W196" s="51">
        <f>_xlfn.STDEV.S(GroDB[Daily Sales])</f>
        <v>5.1999899792654221</v>
      </c>
      <c r="X196" s="3">
        <v>68</v>
      </c>
      <c r="Y196" s="7">
        <v>0.22</v>
      </c>
      <c r="Z196" s="4">
        <f>GroDB[[#This Row],[Unit_Price]]*GroDB[[#This Row],[Sales_Volume]]</f>
        <v>150</v>
      </c>
      <c r="AA196" s="22">
        <f>GroDB[[#This Row],[ADU]]/GroDB[[#Totals],[ADU]]</f>
        <v>4.3570536952259513E-4</v>
      </c>
      <c r="AB196" s="1">
        <f>GroDB[[#This Row],[Sales_Volume]]*GroDB[[#This Row],[Ordering Cost]]</f>
        <v>120</v>
      </c>
    </row>
    <row r="197" spans="1:28" x14ac:dyDescent="0.35">
      <c r="A197" s="5" t="s">
        <v>329</v>
      </c>
      <c r="B197" s="3" t="s">
        <v>53</v>
      </c>
      <c r="C197" s="3" t="s">
        <v>849</v>
      </c>
      <c r="D197" s="3" t="s">
        <v>850</v>
      </c>
      <c r="E197" s="3" t="s">
        <v>21</v>
      </c>
      <c r="F197" s="3" t="s">
        <v>851</v>
      </c>
      <c r="G197" s="3" t="s">
        <v>852</v>
      </c>
      <c r="H197" s="43">
        <v>45481</v>
      </c>
      <c r="I197" s="43">
        <v>45488</v>
      </c>
      <c r="J197" s="47" t="str">
        <f>IF(GroDB[[#This Row],[Last_Order_Date]]&lt;=GroDB[[#This Row],[Date_Received]], "Yes", "No")</f>
        <v>No</v>
      </c>
      <c r="K197" s="43">
        <f>IF(GroDB[[#This Row],[Column1]]="No",GroDB[[#This Row],[Last_Order_Date]],GroDB[[#This Row],[Date_Received]])</f>
        <v>45488</v>
      </c>
      <c r="L197" s="43">
        <f>IF(GroDB[[#This Row],[Column1]]="No",GroDB[[#This Row],[Date_Received]],GroDB[[#This Row],[Last_Order_Date]])</f>
        <v>45481</v>
      </c>
      <c r="M197" s="45">
        <f>GroDB[[#This Row],[Date_Received1]]-GroDB[[#This Row],[Procurement_Date]]</f>
        <v>7</v>
      </c>
      <c r="N197" s="43">
        <v>45466</v>
      </c>
      <c r="O197" s="91">
        <f>GroDB[[#This Row],[Expiration_Date]]-GroDB[[#This Row],[Date_Received1]]</f>
        <v>-22</v>
      </c>
      <c r="P197" s="4">
        <v>4.8000000000000007</v>
      </c>
      <c r="Q197" s="3">
        <v>68</v>
      </c>
      <c r="R197" s="3">
        <v>68</v>
      </c>
      <c r="S197" s="3">
        <v>97</v>
      </c>
      <c r="T197" s="4">
        <v>6</v>
      </c>
      <c r="U197" s="3">
        <v>37</v>
      </c>
      <c r="V197" s="51">
        <f>IF(GroDB[[#This Row],[LeadTime]]=0,GroDB[[#This Row],[Sales_Volume]],GroDB[[#This Row],[Sales_Volume]]/GroDB[[#This Row],[LeadTime]])</f>
        <v>5.2857142857142856</v>
      </c>
      <c r="W197" s="51">
        <f>_xlfn.STDEV.S(GroDB[Daily Sales])</f>
        <v>5.1999899792654221</v>
      </c>
      <c r="X197" s="3">
        <v>31</v>
      </c>
      <c r="Y197" s="7">
        <v>-1.27</v>
      </c>
      <c r="Z197" s="4">
        <f>GroDB[[#This Row],[Unit_Price]]*GroDB[[#This Row],[Sales_Volume]]</f>
        <v>222</v>
      </c>
      <c r="AA197" s="22">
        <f>GroDB[[#This Row],[ADU]]/GroDB[[#Totals],[ADU]]</f>
        <v>6.4484394689344081E-4</v>
      </c>
      <c r="AB197" s="1">
        <f>GroDB[[#This Row],[Sales_Volume]]*GroDB[[#This Row],[Ordering Cost]]</f>
        <v>177.60000000000002</v>
      </c>
    </row>
    <row r="198" spans="1:28" x14ac:dyDescent="0.35">
      <c r="A198" s="5" t="s">
        <v>566</v>
      </c>
      <c r="B198" s="3" t="s">
        <v>127</v>
      </c>
      <c r="C198" s="3" t="s">
        <v>434</v>
      </c>
      <c r="D198" s="3" t="s">
        <v>853</v>
      </c>
      <c r="E198" s="3" t="s">
        <v>56</v>
      </c>
      <c r="F198" s="3" t="s">
        <v>854</v>
      </c>
      <c r="G198" s="3" t="s">
        <v>855</v>
      </c>
      <c r="H198" s="43">
        <v>45481</v>
      </c>
      <c r="I198" s="43">
        <v>45576</v>
      </c>
      <c r="J198" s="47" t="str">
        <f>IF(GroDB[[#This Row],[Last_Order_Date]]&lt;=GroDB[[#This Row],[Date_Received]], "Yes", "No")</f>
        <v>No</v>
      </c>
      <c r="K198" s="43">
        <f>IF(GroDB[[#This Row],[Column1]]="No",GroDB[[#This Row],[Last_Order_Date]],GroDB[[#This Row],[Date_Received]])</f>
        <v>45576</v>
      </c>
      <c r="L198" s="43">
        <f>IF(GroDB[[#This Row],[Column1]]="No",GroDB[[#This Row],[Date_Received]],GroDB[[#This Row],[Last_Order_Date]])</f>
        <v>45481</v>
      </c>
      <c r="M198" s="45">
        <f>GroDB[[#This Row],[Date_Received1]]-GroDB[[#This Row],[Procurement_Date]]</f>
        <v>95</v>
      </c>
      <c r="N198" s="43">
        <v>45699</v>
      </c>
      <c r="O198" s="91">
        <f>GroDB[[#This Row],[Expiration_Date]]-GroDB[[#This Row],[Date_Received1]]</f>
        <v>123</v>
      </c>
      <c r="P198" s="4">
        <v>12</v>
      </c>
      <c r="Q198" s="3">
        <v>11</v>
      </c>
      <c r="R198" s="3">
        <v>72</v>
      </c>
      <c r="S198" s="3">
        <v>5</v>
      </c>
      <c r="T198" s="4">
        <v>15</v>
      </c>
      <c r="U198" s="3">
        <v>89</v>
      </c>
      <c r="V198" s="51">
        <f>IF(GroDB[[#This Row],[LeadTime]]=0,GroDB[[#This Row],[Sales_Volume]],GroDB[[#This Row],[Sales_Volume]]/GroDB[[#This Row],[LeadTime]])</f>
        <v>0.93684210526315792</v>
      </c>
      <c r="W198" s="51">
        <f>_xlfn.STDEV.S(GroDB[Daily Sales])</f>
        <v>5.1999899792654221</v>
      </c>
      <c r="X198" s="3">
        <v>4</v>
      </c>
      <c r="Y198" s="7">
        <v>0.16</v>
      </c>
      <c r="Z198" s="4">
        <f>GroDB[[#This Row],[Unit_Price]]*GroDB[[#This Row],[Sales_Volume]]</f>
        <v>1335</v>
      </c>
      <c r="AA198" s="22">
        <f>GroDB[[#This Row],[ADU]]/GroDB[[#Totals],[ADU]]</f>
        <v>3.8777777887510968E-3</v>
      </c>
      <c r="AB198" s="1">
        <f>GroDB[[#This Row],[Sales_Volume]]*GroDB[[#This Row],[Ordering Cost]]</f>
        <v>1068</v>
      </c>
    </row>
    <row r="199" spans="1:28" x14ac:dyDescent="0.35">
      <c r="A199" s="5" t="s">
        <v>230</v>
      </c>
      <c r="B199" s="3" t="s">
        <v>25</v>
      </c>
      <c r="C199" s="3" t="s">
        <v>661</v>
      </c>
      <c r="D199" s="3" t="s">
        <v>856</v>
      </c>
      <c r="E199" s="3" t="s">
        <v>21</v>
      </c>
      <c r="F199" s="3" t="s">
        <v>857</v>
      </c>
      <c r="G199" s="3" t="s">
        <v>858</v>
      </c>
      <c r="H199" s="43">
        <v>45481</v>
      </c>
      <c r="I199" s="43">
        <v>45664</v>
      </c>
      <c r="J199" s="47" t="str">
        <f>IF(GroDB[[#This Row],[Last_Order_Date]]&lt;=GroDB[[#This Row],[Date_Received]], "Yes", "No")</f>
        <v>No</v>
      </c>
      <c r="K199" s="43">
        <f>IF(GroDB[[#This Row],[Column1]]="No",GroDB[[#This Row],[Last_Order_Date]],GroDB[[#This Row],[Date_Received]])</f>
        <v>45664</v>
      </c>
      <c r="L199" s="43">
        <f>IF(GroDB[[#This Row],[Column1]]="No",GroDB[[#This Row],[Date_Received]],GroDB[[#This Row],[Last_Order_Date]])</f>
        <v>45481</v>
      </c>
      <c r="M199" s="45">
        <f>GroDB[[#This Row],[Date_Received1]]-GroDB[[#This Row],[Procurement_Date]]</f>
        <v>183</v>
      </c>
      <c r="N199" s="43">
        <v>45524</v>
      </c>
      <c r="O199" s="91">
        <f>GroDB[[#This Row],[Expiration_Date]]-GroDB[[#This Row],[Date_Received1]]</f>
        <v>-140</v>
      </c>
      <c r="P199" s="4">
        <v>1.4400000000000002</v>
      </c>
      <c r="Q199" s="3">
        <v>44</v>
      </c>
      <c r="R199" s="3">
        <v>83</v>
      </c>
      <c r="S199" s="3">
        <v>78</v>
      </c>
      <c r="T199" s="4">
        <v>1.8</v>
      </c>
      <c r="U199" s="3">
        <v>46</v>
      </c>
      <c r="V199" s="51">
        <f>IF(GroDB[[#This Row],[LeadTime]]=0,GroDB[[#This Row],[Sales_Volume]],GroDB[[#This Row],[Sales_Volume]]/GroDB[[#This Row],[LeadTime]])</f>
        <v>0.25136612021857924</v>
      </c>
      <c r="W199" s="51">
        <f>_xlfn.STDEV.S(GroDB[Daily Sales])</f>
        <v>5.1999899792654221</v>
      </c>
      <c r="X199" s="3">
        <v>4</v>
      </c>
      <c r="Y199" s="7">
        <v>0.96</v>
      </c>
      <c r="Z199" s="4">
        <f>GroDB[[#This Row],[Unit_Price]]*GroDB[[#This Row],[Sales_Volume]]</f>
        <v>82.8</v>
      </c>
      <c r="AA199" s="22">
        <f>GroDB[[#This Row],[ADU]]/GroDB[[#Totals],[ADU]]</f>
        <v>2.4050936397647249E-4</v>
      </c>
      <c r="AB199" s="1">
        <f>GroDB[[#This Row],[Sales_Volume]]*GroDB[[#This Row],[Ordering Cost]]</f>
        <v>66.240000000000009</v>
      </c>
    </row>
    <row r="200" spans="1:28" x14ac:dyDescent="0.35">
      <c r="A200" s="5" t="s">
        <v>85</v>
      </c>
      <c r="B200" s="3" t="s">
        <v>18</v>
      </c>
      <c r="C200" s="3" t="s">
        <v>442</v>
      </c>
      <c r="D200" s="3" t="s">
        <v>859</v>
      </c>
      <c r="E200" s="3" t="s">
        <v>21</v>
      </c>
      <c r="F200" s="3" t="s">
        <v>860</v>
      </c>
      <c r="G200" s="3" t="s">
        <v>861</v>
      </c>
      <c r="H200" s="43">
        <v>45481</v>
      </c>
      <c r="I200" s="43">
        <v>45635</v>
      </c>
      <c r="J200" s="47" t="str">
        <f>IF(GroDB[[#This Row],[Last_Order_Date]]&lt;=GroDB[[#This Row],[Date_Received]], "Yes", "No")</f>
        <v>No</v>
      </c>
      <c r="K200" s="43">
        <f>IF(GroDB[[#This Row],[Column1]]="No",GroDB[[#This Row],[Last_Order_Date]],GroDB[[#This Row],[Date_Received]])</f>
        <v>45635</v>
      </c>
      <c r="L200" s="43">
        <f>IF(GroDB[[#This Row],[Column1]]="No",GroDB[[#This Row],[Date_Received]],GroDB[[#This Row],[Last_Order_Date]])</f>
        <v>45481</v>
      </c>
      <c r="M200" s="45">
        <f>GroDB[[#This Row],[Date_Received1]]-GroDB[[#This Row],[Procurement_Date]]</f>
        <v>154</v>
      </c>
      <c r="N200" s="43">
        <v>45607</v>
      </c>
      <c r="O200" s="91">
        <f>GroDB[[#This Row],[Expiration_Date]]-GroDB[[#This Row],[Date_Received1]]</f>
        <v>-28</v>
      </c>
      <c r="P200" s="4">
        <v>2.4000000000000004</v>
      </c>
      <c r="Q200" s="3">
        <v>36</v>
      </c>
      <c r="R200" s="3">
        <v>59</v>
      </c>
      <c r="S200" s="3">
        <v>90</v>
      </c>
      <c r="T200" s="4">
        <v>3</v>
      </c>
      <c r="U200" s="3">
        <v>25</v>
      </c>
      <c r="V200" s="51">
        <f>IF(GroDB[[#This Row],[LeadTime]]=0,GroDB[[#This Row],[Sales_Volume]],GroDB[[#This Row],[Sales_Volume]]/GroDB[[#This Row],[LeadTime]])</f>
        <v>0.16233766233766234</v>
      </c>
      <c r="W200" s="51">
        <f>_xlfn.STDEV.S(GroDB[Daily Sales])</f>
        <v>5.1999899792654221</v>
      </c>
      <c r="X200" s="3">
        <v>60</v>
      </c>
      <c r="Y200" s="7">
        <v>0.91</v>
      </c>
      <c r="Z200" s="4">
        <f>GroDB[[#This Row],[Unit_Price]]*GroDB[[#This Row],[Sales_Volume]]</f>
        <v>75</v>
      </c>
      <c r="AA200" s="22">
        <f>GroDB[[#This Row],[ADU]]/GroDB[[#Totals],[ADU]]</f>
        <v>2.1785268476129756E-4</v>
      </c>
      <c r="AB200" s="1">
        <f>GroDB[[#This Row],[Sales_Volume]]*GroDB[[#This Row],[Ordering Cost]]</f>
        <v>60.000000000000007</v>
      </c>
    </row>
    <row r="201" spans="1:28" x14ac:dyDescent="0.35">
      <c r="A201" s="5" t="s">
        <v>470</v>
      </c>
      <c r="B201" s="3" t="s">
        <v>18</v>
      </c>
      <c r="C201" s="3" t="s">
        <v>117</v>
      </c>
      <c r="D201" s="3" t="s">
        <v>862</v>
      </c>
      <c r="E201" s="3" t="s">
        <v>21</v>
      </c>
      <c r="F201" s="3" t="s">
        <v>863</v>
      </c>
      <c r="G201" s="3" t="s">
        <v>864</v>
      </c>
      <c r="H201" s="43">
        <v>45481</v>
      </c>
      <c r="I201" s="43">
        <v>45673</v>
      </c>
      <c r="J201" s="47" t="str">
        <f>IF(GroDB[[#This Row],[Last_Order_Date]]&lt;=GroDB[[#This Row],[Date_Received]], "Yes", "No")</f>
        <v>No</v>
      </c>
      <c r="K201" s="43">
        <f>IF(GroDB[[#This Row],[Column1]]="No",GroDB[[#This Row],[Last_Order_Date]],GroDB[[#This Row],[Date_Received]])</f>
        <v>45673</v>
      </c>
      <c r="L201" s="43">
        <f>IF(GroDB[[#This Row],[Column1]]="No",GroDB[[#This Row],[Date_Received]],GroDB[[#This Row],[Last_Order_Date]])</f>
        <v>45481</v>
      </c>
      <c r="M201" s="45">
        <f>GroDB[[#This Row],[Date_Received1]]-GroDB[[#This Row],[Procurement_Date]]</f>
        <v>192</v>
      </c>
      <c r="N201" s="43">
        <v>45701</v>
      </c>
      <c r="O201" s="91">
        <f>GroDB[[#This Row],[Expiration_Date]]-GroDB[[#This Row],[Date_Received1]]</f>
        <v>28</v>
      </c>
      <c r="P201" s="4">
        <v>3.2</v>
      </c>
      <c r="Q201" s="3">
        <v>94</v>
      </c>
      <c r="R201" s="3">
        <v>69</v>
      </c>
      <c r="S201" s="3">
        <v>68</v>
      </c>
      <c r="T201" s="4">
        <v>4</v>
      </c>
      <c r="U201" s="3">
        <v>24</v>
      </c>
      <c r="V201" s="51">
        <f>IF(GroDB[[#This Row],[LeadTime]]=0,GroDB[[#This Row],[Sales_Volume]],GroDB[[#This Row],[Sales_Volume]]/GroDB[[#This Row],[LeadTime]])</f>
        <v>0.125</v>
      </c>
      <c r="W201" s="51">
        <f>_xlfn.STDEV.S(GroDB[Daily Sales])</f>
        <v>5.1999899792654221</v>
      </c>
      <c r="X201" s="3">
        <v>20</v>
      </c>
      <c r="Y201" s="7">
        <v>-1.4</v>
      </c>
      <c r="Z201" s="4">
        <f>GroDB[[#This Row],[Unit_Price]]*GroDB[[#This Row],[Sales_Volume]]</f>
        <v>96</v>
      </c>
      <c r="AA201" s="22">
        <f>GroDB[[#This Row],[ADU]]/GroDB[[#Totals],[ADU]]</f>
        <v>2.788514364944609E-4</v>
      </c>
      <c r="AB201" s="1">
        <f>GroDB[[#This Row],[Sales_Volume]]*GroDB[[#This Row],[Ordering Cost]]</f>
        <v>76.800000000000011</v>
      </c>
    </row>
    <row r="202" spans="1:28" x14ac:dyDescent="0.35">
      <c r="A202" s="5" t="s">
        <v>627</v>
      </c>
      <c r="B202" s="3" t="s">
        <v>53</v>
      </c>
      <c r="C202" s="3" t="s">
        <v>343</v>
      </c>
      <c r="D202" s="3" t="s">
        <v>865</v>
      </c>
      <c r="E202" s="3" t="s">
        <v>21</v>
      </c>
      <c r="F202" s="3" t="s">
        <v>866</v>
      </c>
      <c r="G202" s="3" t="s">
        <v>867</v>
      </c>
      <c r="H202" s="43">
        <v>45512</v>
      </c>
      <c r="I202" s="43">
        <v>45393</v>
      </c>
      <c r="J202" s="47" t="str">
        <f>IF(GroDB[[#This Row],[Last_Order_Date]]&lt;=GroDB[[#This Row],[Date_Received]], "Yes", "No")</f>
        <v>Yes</v>
      </c>
      <c r="K202" s="43">
        <f>IF(GroDB[[#This Row],[Column1]]="No",GroDB[[#This Row],[Last_Order_Date]],GroDB[[#This Row],[Date_Received]])</f>
        <v>45512</v>
      </c>
      <c r="L202" s="43">
        <f>IF(GroDB[[#This Row],[Column1]]="No",GroDB[[#This Row],[Date_Received]],GroDB[[#This Row],[Last_Order_Date]])</f>
        <v>45393</v>
      </c>
      <c r="M202" s="45">
        <f>GroDB[[#This Row],[Date_Received1]]-GroDB[[#This Row],[Procurement_Date]]</f>
        <v>119</v>
      </c>
      <c r="N202" s="43">
        <v>45654</v>
      </c>
      <c r="O202" s="91">
        <f>GroDB[[#This Row],[Expiration_Date]]-GroDB[[#This Row],[Date_Received1]]</f>
        <v>142</v>
      </c>
      <c r="P202" s="4">
        <v>2</v>
      </c>
      <c r="Q202" s="3">
        <v>68</v>
      </c>
      <c r="R202" s="3">
        <v>7</v>
      </c>
      <c r="S202" s="3">
        <v>37</v>
      </c>
      <c r="T202" s="4">
        <v>2.5</v>
      </c>
      <c r="U202" s="3">
        <v>69</v>
      </c>
      <c r="V202" s="51">
        <f>IF(GroDB[[#This Row],[LeadTime]]=0,GroDB[[#This Row],[Sales_Volume]],GroDB[[#This Row],[Sales_Volume]]/GroDB[[#This Row],[LeadTime]])</f>
        <v>0.57983193277310929</v>
      </c>
      <c r="W202" s="51">
        <f>_xlfn.STDEV.S(GroDB[Daily Sales])</f>
        <v>5.1999899792654221</v>
      </c>
      <c r="X202" s="3">
        <v>1</v>
      </c>
      <c r="Y202" s="7">
        <v>0.17</v>
      </c>
      <c r="Z202" s="4">
        <f>GroDB[[#This Row],[Unit_Price]]*GroDB[[#This Row],[Sales_Volume]]</f>
        <v>172.5</v>
      </c>
      <c r="AA202" s="22">
        <f>GroDB[[#This Row],[ADU]]/GroDB[[#Totals],[ADU]]</f>
        <v>5.0106117495098438E-4</v>
      </c>
      <c r="AB202" s="1">
        <f>GroDB[[#This Row],[Sales_Volume]]*GroDB[[#This Row],[Ordering Cost]]</f>
        <v>138</v>
      </c>
    </row>
    <row r="203" spans="1:28" x14ac:dyDescent="0.35">
      <c r="A203" s="5" t="s">
        <v>165</v>
      </c>
      <c r="B203" s="3" t="s">
        <v>60</v>
      </c>
      <c r="C203" s="3" t="s">
        <v>868</v>
      </c>
      <c r="D203" s="3" t="s">
        <v>869</v>
      </c>
      <c r="E203" s="3" t="s">
        <v>56</v>
      </c>
      <c r="F203" s="3" t="s">
        <v>870</v>
      </c>
      <c r="G203" s="3" t="s">
        <v>871</v>
      </c>
      <c r="H203" s="43">
        <v>45512</v>
      </c>
      <c r="I203" s="43">
        <v>45644</v>
      </c>
      <c r="J203" s="47" t="str">
        <f>IF(GroDB[[#This Row],[Last_Order_Date]]&lt;=GroDB[[#This Row],[Date_Received]], "Yes", "No")</f>
        <v>No</v>
      </c>
      <c r="K203" s="43">
        <f>IF(GroDB[[#This Row],[Column1]]="No",GroDB[[#This Row],[Last_Order_Date]],GroDB[[#This Row],[Date_Received]])</f>
        <v>45644</v>
      </c>
      <c r="L203" s="43">
        <f>IF(GroDB[[#This Row],[Column1]]="No",GroDB[[#This Row],[Date_Received]],GroDB[[#This Row],[Last_Order_Date]])</f>
        <v>45512</v>
      </c>
      <c r="M203" s="45">
        <f>GroDB[[#This Row],[Date_Received1]]-GroDB[[#This Row],[Procurement_Date]]</f>
        <v>132</v>
      </c>
      <c r="N203" s="43">
        <v>45478</v>
      </c>
      <c r="O203" s="91">
        <f>GroDB[[#This Row],[Expiration_Date]]-GroDB[[#This Row],[Date_Received1]]</f>
        <v>-166</v>
      </c>
      <c r="P203" s="4">
        <v>5.6000000000000005</v>
      </c>
      <c r="Q203" s="3">
        <v>78</v>
      </c>
      <c r="R203" s="3">
        <v>75</v>
      </c>
      <c r="S203" s="3">
        <v>3</v>
      </c>
      <c r="T203" s="4">
        <v>7</v>
      </c>
      <c r="U203" s="3">
        <v>63</v>
      </c>
      <c r="V203" s="51">
        <f>IF(GroDB[[#This Row],[LeadTime]]=0,GroDB[[#This Row],[Sales_Volume]],GroDB[[#This Row],[Sales_Volume]]/GroDB[[#This Row],[LeadTime]])</f>
        <v>0.47727272727272729</v>
      </c>
      <c r="W203" s="51">
        <f>_xlfn.STDEV.S(GroDB[Daily Sales])</f>
        <v>5.1999899792654221</v>
      </c>
      <c r="X203" s="3">
        <v>100</v>
      </c>
      <c r="Y203" s="7">
        <v>0.99</v>
      </c>
      <c r="Z203" s="4">
        <f>GroDB[[#This Row],[Unit_Price]]*GroDB[[#This Row],[Sales_Volume]]</f>
        <v>441</v>
      </c>
      <c r="AA203" s="22">
        <f>GroDB[[#This Row],[ADU]]/GroDB[[#Totals],[ADU]]</f>
        <v>1.2809737863964297E-3</v>
      </c>
      <c r="AB203" s="1">
        <f>GroDB[[#This Row],[Sales_Volume]]*GroDB[[#This Row],[Ordering Cost]]</f>
        <v>352.8</v>
      </c>
    </row>
    <row r="204" spans="1:28" x14ac:dyDescent="0.35">
      <c r="A204" s="5" t="s">
        <v>433</v>
      </c>
      <c r="B204" s="3" t="s">
        <v>18</v>
      </c>
      <c r="C204" s="3" t="s">
        <v>254</v>
      </c>
      <c r="D204" s="3" t="s">
        <v>872</v>
      </c>
      <c r="E204" s="3" t="s">
        <v>28</v>
      </c>
      <c r="F204" s="3" t="s">
        <v>873</v>
      </c>
      <c r="G204" s="3" t="s">
        <v>874</v>
      </c>
      <c r="H204" s="43">
        <v>45512</v>
      </c>
      <c r="I204" s="43">
        <v>45369</v>
      </c>
      <c r="J204" s="47" t="str">
        <f>IF(GroDB[[#This Row],[Last_Order_Date]]&lt;=GroDB[[#This Row],[Date_Received]], "Yes", "No")</f>
        <v>Yes</v>
      </c>
      <c r="K204" s="43">
        <f>IF(GroDB[[#This Row],[Column1]]="No",GroDB[[#This Row],[Last_Order_Date]],GroDB[[#This Row],[Date_Received]])</f>
        <v>45512</v>
      </c>
      <c r="L204" s="43">
        <f>IF(GroDB[[#This Row],[Column1]]="No",GroDB[[#This Row],[Date_Received]],GroDB[[#This Row],[Last_Order_Date]])</f>
        <v>45369</v>
      </c>
      <c r="M204" s="45">
        <f>GroDB[[#This Row],[Date_Received1]]-GroDB[[#This Row],[Procurement_Date]]</f>
        <v>143</v>
      </c>
      <c r="N204" s="43">
        <v>45635</v>
      </c>
      <c r="O204" s="91">
        <f>GroDB[[#This Row],[Expiration_Date]]-GroDB[[#This Row],[Date_Received1]]</f>
        <v>123</v>
      </c>
      <c r="P204" s="4">
        <v>12.248000000000001</v>
      </c>
      <c r="Q204" s="3">
        <v>82</v>
      </c>
      <c r="R204" s="3">
        <v>29</v>
      </c>
      <c r="S204" s="3">
        <v>62</v>
      </c>
      <c r="T204" s="4">
        <v>15.31</v>
      </c>
      <c r="U204" s="3">
        <v>77</v>
      </c>
      <c r="V204" s="51">
        <f>IF(GroDB[[#This Row],[LeadTime]]=0,GroDB[[#This Row],[Sales_Volume]],GroDB[[#This Row],[Sales_Volume]]/GroDB[[#This Row],[LeadTime]])</f>
        <v>0.53846153846153844</v>
      </c>
      <c r="W204" s="51">
        <f>_xlfn.STDEV.S(GroDB[Daily Sales])</f>
        <v>5.1999899792654221</v>
      </c>
      <c r="X204" s="3">
        <v>27</v>
      </c>
      <c r="Y204" s="7">
        <v>-0.59</v>
      </c>
      <c r="Z204" s="4">
        <f>GroDB[[#This Row],[Unit_Price]]*GroDB[[#This Row],[Sales_Volume]]</f>
        <v>1178.8700000000001</v>
      </c>
      <c r="AA204" s="22">
        <f>GroDB[[#This Row],[ADU]]/GroDB[[#Totals],[ADU]]</f>
        <v>3.424266593127345E-3</v>
      </c>
      <c r="AB204" s="1">
        <f>GroDB[[#This Row],[Sales_Volume]]*GroDB[[#This Row],[Ordering Cost]]</f>
        <v>943.09600000000012</v>
      </c>
    </row>
    <row r="205" spans="1:28" x14ac:dyDescent="0.35">
      <c r="A205" s="5" t="s">
        <v>325</v>
      </c>
      <c r="B205" s="3" t="s">
        <v>53</v>
      </c>
      <c r="C205" s="3" t="s">
        <v>875</v>
      </c>
      <c r="D205" s="3" t="s">
        <v>876</v>
      </c>
      <c r="E205" s="3" t="s">
        <v>56</v>
      </c>
      <c r="F205" s="3" t="s">
        <v>877</v>
      </c>
      <c r="G205" s="3" t="s">
        <v>878</v>
      </c>
      <c r="H205" s="43">
        <v>45512</v>
      </c>
      <c r="I205" s="43">
        <v>45591</v>
      </c>
      <c r="J205" s="47" t="str">
        <f>IF(GroDB[[#This Row],[Last_Order_Date]]&lt;=GroDB[[#This Row],[Date_Received]], "Yes", "No")</f>
        <v>No</v>
      </c>
      <c r="K205" s="43">
        <f>IF(GroDB[[#This Row],[Column1]]="No",GroDB[[#This Row],[Last_Order_Date]],GroDB[[#This Row],[Date_Received]])</f>
        <v>45591</v>
      </c>
      <c r="L205" s="43">
        <f>IF(GroDB[[#This Row],[Column1]]="No",GroDB[[#This Row],[Date_Received]],GroDB[[#This Row],[Last_Order_Date]])</f>
        <v>45512</v>
      </c>
      <c r="M205" s="45">
        <f>GroDB[[#This Row],[Date_Received1]]-GroDB[[#This Row],[Procurement_Date]]</f>
        <v>79</v>
      </c>
      <c r="N205" s="43">
        <v>45396</v>
      </c>
      <c r="O205" s="91">
        <f>GroDB[[#This Row],[Expiration_Date]]-GroDB[[#This Row],[Date_Received1]]</f>
        <v>-195</v>
      </c>
      <c r="P205" s="4">
        <v>3.4000000000000004</v>
      </c>
      <c r="Q205" s="3">
        <v>22</v>
      </c>
      <c r="R205" s="3">
        <v>10</v>
      </c>
      <c r="S205" s="3">
        <v>53</v>
      </c>
      <c r="T205" s="4">
        <v>4.25</v>
      </c>
      <c r="U205" s="3">
        <v>64</v>
      </c>
      <c r="V205" s="51">
        <f>IF(GroDB[[#This Row],[LeadTime]]=0,GroDB[[#This Row],[Sales_Volume]],GroDB[[#This Row],[Sales_Volume]]/GroDB[[#This Row],[LeadTime]])</f>
        <v>0.810126582278481</v>
      </c>
      <c r="W205" s="51">
        <f>_xlfn.STDEV.S(GroDB[Daily Sales])</f>
        <v>5.1999899792654221</v>
      </c>
      <c r="X205" s="3">
        <v>7</v>
      </c>
      <c r="Y205" s="7">
        <v>0.65</v>
      </c>
      <c r="Z205" s="4">
        <f>GroDB[[#This Row],[Unit_Price]]*GroDB[[#This Row],[Sales_Volume]]</f>
        <v>272</v>
      </c>
      <c r="AA205" s="22">
        <f>GroDB[[#This Row],[ADU]]/GroDB[[#Totals],[ADU]]</f>
        <v>7.9007907006763915E-4</v>
      </c>
      <c r="AB205" s="1">
        <f>GroDB[[#This Row],[Sales_Volume]]*GroDB[[#This Row],[Ordering Cost]]</f>
        <v>217.60000000000002</v>
      </c>
    </row>
    <row r="206" spans="1:28" x14ac:dyDescent="0.35">
      <c r="A206" s="5" t="s">
        <v>126</v>
      </c>
      <c r="B206" s="3" t="s">
        <v>127</v>
      </c>
      <c r="C206" s="3" t="s">
        <v>478</v>
      </c>
      <c r="D206" s="3" t="s">
        <v>879</v>
      </c>
      <c r="E206" s="3" t="s">
        <v>21</v>
      </c>
      <c r="F206" s="3" t="s">
        <v>880</v>
      </c>
      <c r="G206" s="3" t="s">
        <v>881</v>
      </c>
      <c r="H206" s="43">
        <v>45543</v>
      </c>
      <c r="I206" s="43">
        <v>45449</v>
      </c>
      <c r="J206" s="47" t="str">
        <f>IF(GroDB[[#This Row],[Last_Order_Date]]&lt;=GroDB[[#This Row],[Date_Received]], "Yes", "No")</f>
        <v>Yes</v>
      </c>
      <c r="K206" s="43">
        <f>IF(GroDB[[#This Row],[Column1]]="No",GroDB[[#This Row],[Last_Order_Date]],GroDB[[#This Row],[Date_Received]])</f>
        <v>45543</v>
      </c>
      <c r="L206" s="43">
        <f>IF(GroDB[[#This Row],[Column1]]="No",GroDB[[#This Row],[Date_Received]],GroDB[[#This Row],[Last_Order_Date]])</f>
        <v>45449</v>
      </c>
      <c r="M206" s="45">
        <f>GroDB[[#This Row],[Date_Received1]]-GroDB[[#This Row],[Procurement_Date]]</f>
        <v>94</v>
      </c>
      <c r="N206" s="43">
        <v>45672</v>
      </c>
      <c r="O206" s="91">
        <f>GroDB[[#This Row],[Expiration_Date]]-GroDB[[#This Row],[Date_Received1]]</f>
        <v>129</v>
      </c>
      <c r="P206" s="4">
        <v>16</v>
      </c>
      <c r="Q206" s="3">
        <v>62</v>
      </c>
      <c r="R206" s="3">
        <v>89</v>
      </c>
      <c r="S206" s="3">
        <v>6</v>
      </c>
      <c r="T206" s="4">
        <v>20</v>
      </c>
      <c r="U206" s="3">
        <v>23</v>
      </c>
      <c r="V206" s="51">
        <f>IF(GroDB[[#This Row],[LeadTime]]=0,GroDB[[#This Row],[Sales_Volume]],GroDB[[#This Row],[Sales_Volume]]/GroDB[[#This Row],[LeadTime]])</f>
        <v>0.24468085106382978</v>
      </c>
      <c r="W206" s="51">
        <f>_xlfn.STDEV.S(GroDB[Daily Sales])</f>
        <v>5.1999899792654221</v>
      </c>
      <c r="X206" s="3">
        <v>11</v>
      </c>
      <c r="Y206" s="7">
        <v>0.89</v>
      </c>
      <c r="Z206" s="4">
        <f>GroDB[[#This Row],[Unit_Price]]*GroDB[[#This Row],[Sales_Volume]]</f>
        <v>460</v>
      </c>
      <c r="AA206" s="22">
        <f>GroDB[[#This Row],[ADU]]/GroDB[[#Totals],[ADU]]</f>
        <v>1.3361631332026249E-3</v>
      </c>
      <c r="AB206" s="1">
        <f>GroDB[[#This Row],[Sales_Volume]]*GroDB[[#This Row],[Ordering Cost]]</f>
        <v>368</v>
      </c>
    </row>
    <row r="207" spans="1:28" x14ac:dyDescent="0.35">
      <c r="A207" s="5" t="s">
        <v>615</v>
      </c>
      <c r="B207" s="3" t="s">
        <v>32</v>
      </c>
      <c r="C207" s="3" t="s">
        <v>882</v>
      </c>
      <c r="D207" s="3" t="s">
        <v>883</v>
      </c>
      <c r="E207" s="3" t="s">
        <v>28</v>
      </c>
      <c r="F207" s="3" t="s">
        <v>884</v>
      </c>
      <c r="G207" s="3" t="s">
        <v>885</v>
      </c>
      <c r="H207" s="43">
        <v>45543</v>
      </c>
      <c r="I207" s="43">
        <v>45349</v>
      </c>
      <c r="J207" s="47" t="str">
        <f>IF(GroDB[[#This Row],[Last_Order_Date]]&lt;=GroDB[[#This Row],[Date_Received]], "Yes", "No")</f>
        <v>Yes</v>
      </c>
      <c r="K207" s="43">
        <f>IF(GroDB[[#This Row],[Column1]]="No",GroDB[[#This Row],[Last_Order_Date]],GroDB[[#This Row],[Date_Received]])</f>
        <v>45543</v>
      </c>
      <c r="L207" s="43">
        <f>IF(GroDB[[#This Row],[Column1]]="No",GroDB[[#This Row],[Date_Received]],GroDB[[#This Row],[Last_Order_Date]])</f>
        <v>45349</v>
      </c>
      <c r="M207" s="45">
        <f>GroDB[[#This Row],[Date_Received1]]-GroDB[[#This Row],[Procurement_Date]]</f>
        <v>194</v>
      </c>
      <c r="N207" s="43">
        <v>45351</v>
      </c>
      <c r="O207" s="91">
        <f>GroDB[[#This Row],[Expiration_Date]]-GroDB[[#This Row],[Date_Received1]]</f>
        <v>-192</v>
      </c>
      <c r="P207" s="4">
        <v>1.6</v>
      </c>
      <c r="Q207" s="3">
        <v>70</v>
      </c>
      <c r="R207" s="3">
        <v>81</v>
      </c>
      <c r="S207" s="3">
        <v>75</v>
      </c>
      <c r="T207" s="4">
        <v>2</v>
      </c>
      <c r="U207" s="3">
        <v>24</v>
      </c>
      <c r="V207" s="51">
        <f>IF(GroDB[[#This Row],[LeadTime]]=0,GroDB[[#This Row],[Sales_Volume]],GroDB[[#This Row],[Sales_Volume]]/GroDB[[#This Row],[LeadTime]])</f>
        <v>0.12371134020618557</v>
      </c>
      <c r="W207" s="51">
        <f>_xlfn.STDEV.S(GroDB[Daily Sales])</f>
        <v>5.1999899792654221</v>
      </c>
      <c r="X207" s="3">
        <v>54</v>
      </c>
      <c r="Y207" s="7">
        <v>0.52</v>
      </c>
      <c r="Z207" s="4">
        <f>GroDB[[#This Row],[Unit_Price]]*GroDB[[#This Row],[Sales_Volume]]</f>
        <v>48</v>
      </c>
      <c r="AA207" s="22">
        <f>GroDB[[#This Row],[ADU]]/GroDB[[#Totals],[ADU]]</f>
        <v>1.3942571824723045E-4</v>
      </c>
      <c r="AB207" s="1">
        <f>GroDB[[#This Row],[Sales_Volume]]*GroDB[[#This Row],[Ordering Cost]]</f>
        <v>38.400000000000006</v>
      </c>
    </row>
    <row r="208" spans="1:28" x14ac:dyDescent="0.35">
      <c r="A208" s="5" t="s">
        <v>175</v>
      </c>
      <c r="B208" s="3" t="s">
        <v>53</v>
      </c>
      <c r="C208" s="3" t="s">
        <v>886</v>
      </c>
      <c r="D208" s="3" t="s">
        <v>887</v>
      </c>
      <c r="E208" s="3" t="s">
        <v>21</v>
      </c>
      <c r="F208" s="3" t="s">
        <v>888</v>
      </c>
      <c r="G208" s="3" t="s">
        <v>889</v>
      </c>
      <c r="H208" s="43">
        <v>45573</v>
      </c>
      <c r="I208" s="43">
        <v>45606</v>
      </c>
      <c r="J208" s="47" t="str">
        <f>IF(GroDB[[#This Row],[Last_Order_Date]]&lt;=GroDB[[#This Row],[Date_Received]], "Yes", "No")</f>
        <v>No</v>
      </c>
      <c r="K208" s="43">
        <f>IF(GroDB[[#This Row],[Column1]]="No",GroDB[[#This Row],[Last_Order_Date]],GroDB[[#This Row],[Date_Received]])</f>
        <v>45606</v>
      </c>
      <c r="L208" s="43">
        <f>IF(GroDB[[#This Row],[Column1]]="No",GroDB[[#This Row],[Date_Received]],GroDB[[#This Row],[Last_Order_Date]])</f>
        <v>45573</v>
      </c>
      <c r="M208" s="45">
        <f>GroDB[[#This Row],[Date_Received1]]-GroDB[[#This Row],[Procurement_Date]]</f>
        <v>33</v>
      </c>
      <c r="N208" s="43">
        <v>45710</v>
      </c>
      <c r="O208" s="91">
        <f>GroDB[[#This Row],[Expiration_Date]]-GroDB[[#This Row],[Date_Received1]]</f>
        <v>104</v>
      </c>
      <c r="P208" s="4">
        <v>1.2000000000000002</v>
      </c>
      <c r="Q208" s="3">
        <v>21</v>
      </c>
      <c r="R208" s="3">
        <v>63</v>
      </c>
      <c r="S208" s="3">
        <v>65</v>
      </c>
      <c r="T208" s="4">
        <v>1.5</v>
      </c>
      <c r="U208" s="3">
        <v>38</v>
      </c>
      <c r="V208" s="51">
        <f>IF(GroDB[[#This Row],[LeadTime]]=0,GroDB[[#This Row],[Sales_Volume]],GroDB[[#This Row],[Sales_Volume]]/GroDB[[#This Row],[LeadTime]])</f>
        <v>1.1515151515151516</v>
      </c>
      <c r="W208" s="51">
        <f>_xlfn.STDEV.S(GroDB[Daily Sales])</f>
        <v>5.1999899792654221</v>
      </c>
      <c r="X208" s="3">
        <v>73</v>
      </c>
      <c r="Y208" s="7">
        <v>-1.25</v>
      </c>
      <c r="Z208" s="4">
        <f>GroDB[[#This Row],[Unit_Price]]*GroDB[[#This Row],[Sales_Volume]]</f>
        <v>57</v>
      </c>
      <c r="AA208" s="22">
        <f>GroDB[[#This Row],[ADU]]/GroDB[[#Totals],[ADU]]</f>
        <v>1.6556804041858615E-4</v>
      </c>
      <c r="AB208" s="1">
        <f>GroDB[[#This Row],[Sales_Volume]]*GroDB[[#This Row],[Ordering Cost]]</f>
        <v>45.600000000000009</v>
      </c>
    </row>
    <row r="209" spans="1:28" x14ac:dyDescent="0.35">
      <c r="A209" s="5" t="s">
        <v>101</v>
      </c>
      <c r="B209" s="3" t="s">
        <v>18</v>
      </c>
      <c r="C209" s="3" t="s">
        <v>763</v>
      </c>
      <c r="D209" s="3" t="s">
        <v>890</v>
      </c>
      <c r="E209" s="3" t="s">
        <v>56</v>
      </c>
      <c r="F209" s="3" t="s">
        <v>891</v>
      </c>
      <c r="G209" s="3" t="s">
        <v>892</v>
      </c>
      <c r="H209" s="43">
        <v>45573</v>
      </c>
      <c r="I209" s="43">
        <v>45348</v>
      </c>
      <c r="J209" s="47" t="str">
        <f>IF(GroDB[[#This Row],[Last_Order_Date]]&lt;=GroDB[[#This Row],[Date_Received]], "Yes", "No")</f>
        <v>Yes</v>
      </c>
      <c r="K209" s="43">
        <f>IF(GroDB[[#This Row],[Column1]]="No",GroDB[[#This Row],[Last_Order_Date]],GroDB[[#This Row],[Date_Received]])</f>
        <v>45573</v>
      </c>
      <c r="L209" s="43">
        <f>IF(GroDB[[#This Row],[Column1]]="No",GroDB[[#This Row],[Date_Received]],GroDB[[#This Row],[Last_Order_Date]])</f>
        <v>45348</v>
      </c>
      <c r="M209" s="45">
        <f>GroDB[[#This Row],[Date_Received1]]-GroDB[[#This Row],[Procurement_Date]]</f>
        <v>225</v>
      </c>
      <c r="N209" s="43">
        <v>45676</v>
      </c>
      <c r="O209" s="91">
        <f>GroDB[[#This Row],[Expiration_Date]]-GroDB[[#This Row],[Date_Received1]]</f>
        <v>103</v>
      </c>
      <c r="P209" s="4">
        <v>3.6</v>
      </c>
      <c r="Q209" s="3">
        <v>61</v>
      </c>
      <c r="R209" s="3">
        <v>50</v>
      </c>
      <c r="S209" s="3">
        <v>9</v>
      </c>
      <c r="T209" s="4">
        <v>4.5</v>
      </c>
      <c r="U209" s="3">
        <v>24</v>
      </c>
      <c r="V209" s="51">
        <f>IF(GroDB[[#This Row],[LeadTime]]=0,GroDB[[#This Row],[Sales_Volume]],GroDB[[#This Row],[Sales_Volume]]/GroDB[[#This Row],[LeadTime]])</f>
        <v>0.10666666666666667</v>
      </c>
      <c r="W209" s="51">
        <f>_xlfn.STDEV.S(GroDB[Daily Sales])</f>
        <v>5.1999899792654221</v>
      </c>
      <c r="X209" s="3">
        <v>92</v>
      </c>
      <c r="Y209" s="7">
        <v>-0.92</v>
      </c>
      <c r="Z209" s="4">
        <f>GroDB[[#This Row],[Unit_Price]]*GroDB[[#This Row],[Sales_Volume]]</f>
        <v>108</v>
      </c>
      <c r="AA209" s="22">
        <f>GroDB[[#This Row],[ADU]]/GroDB[[#Totals],[ADU]]</f>
        <v>3.1370786605626851E-4</v>
      </c>
      <c r="AB209" s="1">
        <f>GroDB[[#This Row],[Sales_Volume]]*GroDB[[#This Row],[Ordering Cost]]</f>
        <v>86.4</v>
      </c>
    </row>
    <row r="210" spans="1:28" x14ac:dyDescent="0.35">
      <c r="A210" s="5" t="s">
        <v>490</v>
      </c>
      <c r="B210" s="3" t="s">
        <v>18</v>
      </c>
      <c r="C210" s="3" t="s">
        <v>893</v>
      </c>
      <c r="D210" s="3" t="s">
        <v>894</v>
      </c>
      <c r="E210" s="3" t="s">
        <v>28</v>
      </c>
      <c r="F210" s="3" t="s">
        <v>895</v>
      </c>
      <c r="G210" s="3" t="s">
        <v>896</v>
      </c>
      <c r="H210" s="43">
        <v>45573</v>
      </c>
      <c r="I210" s="43">
        <v>45634</v>
      </c>
      <c r="J210" s="47" t="str">
        <f>IF(GroDB[[#This Row],[Last_Order_Date]]&lt;=GroDB[[#This Row],[Date_Received]], "Yes", "No")</f>
        <v>No</v>
      </c>
      <c r="K210" s="43">
        <f>IF(GroDB[[#This Row],[Column1]]="No",GroDB[[#This Row],[Last_Order_Date]],GroDB[[#This Row],[Date_Received]])</f>
        <v>45634</v>
      </c>
      <c r="L210" s="43">
        <f>IF(GroDB[[#This Row],[Column1]]="No",GroDB[[#This Row],[Date_Received]],GroDB[[#This Row],[Last_Order_Date]])</f>
        <v>45573</v>
      </c>
      <c r="M210" s="45">
        <f>GroDB[[#This Row],[Date_Received1]]-GroDB[[#This Row],[Procurement_Date]]</f>
        <v>61</v>
      </c>
      <c r="N210" s="43">
        <v>45383</v>
      </c>
      <c r="O210" s="91">
        <f>GroDB[[#This Row],[Expiration_Date]]-GroDB[[#This Row],[Date_Received1]]</f>
        <v>-251</v>
      </c>
      <c r="P210" s="4">
        <v>3.84</v>
      </c>
      <c r="Q210" s="3">
        <v>46</v>
      </c>
      <c r="R210" s="3">
        <v>88</v>
      </c>
      <c r="S210" s="3">
        <v>20</v>
      </c>
      <c r="T210" s="4">
        <v>4.8</v>
      </c>
      <c r="U210" s="3">
        <v>59</v>
      </c>
      <c r="V210" s="51">
        <f>IF(GroDB[[#This Row],[LeadTime]]=0,GroDB[[#This Row],[Sales_Volume]],GroDB[[#This Row],[Sales_Volume]]/GroDB[[#This Row],[LeadTime]])</f>
        <v>0.96721311475409832</v>
      </c>
      <c r="W210" s="51">
        <f>_xlfn.STDEV.S(GroDB[Daily Sales])</f>
        <v>5.1999899792654221</v>
      </c>
      <c r="X210" s="3">
        <v>79</v>
      </c>
      <c r="Y210" s="7">
        <v>-2.83</v>
      </c>
      <c r="Z210" s="4">
        <f>GroDB[[#This Row],[Unit_Price]]*GroDB[[#This Row],[Sales_Volume]]</f>
        <v>283.2</v>
      </c>
      <c r="AA210" s="22">
        <f>GroDB[[#This Row],[ADU]]/GroDB[[#Totals],[ADU]]</f>
        <v>8.2261173765865953E-4</v>
      </c>
      <c r="AB210" s="1">
        <f>GroDB[[#This Row],[Sales_Volume]]*GroDB[[#This Row],[Ordering Cost]]</f>
        <v>226.56</v>
      </c>
    </row>
    <row r="211" spans="1:28" x14ac:dyDescent="0.35">
      <c r="A211" s="5" t="s">
        <v>146</v>
      </c>
      <c r="B211" s="3" t="s">
        <v>53</v>
      </c>
      <c r="C211" s="3" t="s">
        <v>527</v>
      </c>
      <c r="D211" s="3" t="s">
        <v>897</v>
      </c>
      <c r="E211" s="3" t="s">
        <v>21</v>
      </c>
      <c r="F211" s="3" t="s">
        <v>898</v>
      </c>
      <c r="G211" s="3" t="s">
        <v>899</v>
      </c>
      <c r="H211" s="43">
        <v>45573</v>
      </c>
      <c r="I211" s="43">
        <v>45475</v>
      </c>
      <c r="J211" s="47" t="str">
        <f>IF(GroDB[[#This Row],[Last_Order_Date]]&lt;=GroDB[[#This Row],[Date_Received]], "Yes", "No")</f>
        <v>Yes</v>
      </c>
      <c r="K211" s="43">
        <f>IF(GroDB[[#This Row],[Column1]]="No",GroDB[[#This Row],[Last_Order_Date]],GroDB[[#This Row],[Date_Received]])</f>
        <v>45573</v>
      </c>
      <c r="L211" s="43">
        <f>IF(GroDB[[#This Row],[Column1]]="No",GroDB[[#This Row],[Date_Received]],GroDB[[#This Row],[Last_Order_Date]])</f>
        <v>45475</v>
      </c>
      <c r="M211" s="45">
        <f>GroDB[[#This Row],[Date_Received1]]-GroDB[[#This Row],[Procurement_Date]]</f>
        <v>98</v>
      </c>
      <c r="N211" s="43">
        <v>45560</v>
      </c>
      <c r="O211" s="91">
        <f>GroDB[[#This Row],[Expiration_Date]]-GroDB[[#This Row],[Date_Received1]]</f>
        <v>-13</v>
      </c>
      <c r="P211" s="4">
        <v>3.8000000000000003</v>
      </c>
      <c r="Q211" s="3">
        <v>20</v>
      </c>
      <c r="R211" s="3">
        <v>25</v>
      </c>
      <c r="S211" s="3">
        <v>73</v>
      </c>
      <c r="T211" s="4">
        <v>4.75</v>
      </c>
      <c r="U211" s="3">
        <v>78</v>
      </c>
      <c r="V211" s="51">
        <f>IF(GroDB[[#This Row],[LeadTime]]=0,GroDB[[#This Row],[Sales_Volume]],GroDB[[#This Row],[Sales_Volume]]/GroDB[[#This Row],[LeadTime]])</f>
        <v>0.79591836734693877</v>
      </c>
      <c r="W211" s="51">
        <f>_xlfn.STDEV.S(GroDB[Daily Sales])</f>
        <v>5.1999899792654221</v>
      </c>
      <c r="X211" s="3">
        <v>1</v>
      </c>
      <c r="Y211" s="7">
        <v>-0.34</v>
      </c>
      <c r="Z211" s="4">
        <f>GroDB[[#This Row],[Unit_Price]]*GroDB[[#This Row],[Sales_Volume]]</f>
        <v>370.5</v>
      </c>
      <c r="AA211" s="22">
        <f>GroDB[[#This Row],[ADU]]/GroDB[[#Totals],[ADU]]</f>
        <v>1.0761922627208099E-3</v>
      </c>
      <c r="AB211" s="1">
        <f>GroDB[[#This Row],[Sales_Volume]]*GroDB[[#This Row],[Ordering Cost]]</f>
        <v>296.40000000000003</v>
      </c>
    </row>
    <row r="212" spans="1:28" x14ac:dyDescent="0.35">
      <c r="A212" s="5" t="s">
        <v>132</v>
      </c>
      <c r="B212" s="3" t="s">
        <v>18</v>
      </c>
      <c r="C212" s="3" t="s">
        <v>900</v>
      </c>
      <c r="D212" s="3" t="s">
        <v>901</v>
      </c>
      <c r="E212" s="3" t="s">
        <v>56</v>
      </c>
      <c r="F212" s="3" t="s">
        <v>902</v>
      </c>
      <c r="G212" s="3" t="s">
        <v>903</v>
      </c>
      <c r="H212" s="43">
        <v>45573</v>
      </c>
      <c r="I212" s="43">
        <v>45458</v>
      </c>
      <c r="J212" s="47" t="str">
        <f>IF(GroDB[[#This Row],[Last_Order_Date]]&lt;=GroDB[[#This Row],[Date_Received]], "Yes", "No")</f>
        <v>Yes</v>
      </c>
      <c r="K212" s="43">
        <f>IF(GroDB[[#This Row],[Column1]]="No",GroDB[[#This Row],[Last_Order_Date]],GroDB[[#This Row],[Date_Received]])</f>
        <v>45573</v>
      </c>
      <c r="L212" s="43">
        <f>IF(GroDB[[#This Row],[Column1]]="No",GroDB[[#This Row],[Date_Received]],GroDB[[#This Row],[Last_Order_Date]])</f>
        <v>45458</v>
      </c>
      <c r="M212" s="45">
        <f>GroDB[[#This Row],[Date_Received1]]-GroDB[[#This Row],[Procurement_Date]]</f>
        <v>115</v>
      </c>
      <c r="N212" s="43">
        <v>45521</v>
      </c>
      <c r="O212" s="91">
        <f>GroDB[[#This Row],[Expiration_Date]]-GroDB[[#This Row],[Date_Received1]]</f>
        <v>-52</v>
      </c>
      <c r="P212" s="4">
        <v>1.6</v>
      </c>
      <c r="Q212" s="3">
        <v>80</v>
      </c>
      <c r="R212" s="3">
        <v>60</v>
      </c>
      <c r="S212" s="3">
        <v>71</v>
      </c>
      <c r="T212" s="4">
        <v>2</v>
      </c>
      <c r="U212" s="3">
        <v>98</v>
      </c>
      <c r="V212" s="51">
        <f>IF(GroDB[[#This Row],[LeadTime]]=0,GroDB[[#This Row],[Sales_Volume]],GroDB[[#This Row],[Sales_Volume]]/GroDB[[#This Row],[LeadTime]])</f>
        <v>0.85217391304347823</v>
      </c>
      <c r="W212" s="51">
        <f>_xlfn.STDEV.S(GroDB[Daily Sales])</f>
        <v>5.1999899792654221</v>
      </c>
      <c r="X212" s="3">
        <v>13</v>
      </c>
      <c r="Y212" s="7">
        <v>0.99</v>
      </c>
      <c r="Z212" s="4">
        <f>GroDB[[#This Row],[Unit_Price]]*GroDB[[#This Row],[Sales_Volume]]</f>
        <v>196</v>
      </c>
      <c r="AA212" s="22">
        <f>GroDB[[#This Row],[ADU]]/GroDB[[#Totals],[ADU]]</f>
        <v>5.6932168284285758E-4</v>
      </c>
      <c r="AB212" s="1">
        <f>GroDB[[#This Row],[Sales_Volume]]*GroDB[[#This Row],[Ordering Cost]]</f>
        <v>156.80000000000001</v>
      </c>
    </row>
    <row r="213" spans="1:28" x14ac:dyDescent="0.35">
      <c r="A213" s="5" t="s">
        <v>380</v>
      </c>
      <c r="B213" s="3" t="s">
        <v>32</v>
      </c>
      <c r="C213" s="3" t="s">
        <v>904</v>
      </c>
      <c r="D213" s="3" t="s">
        <v>905</v>
      </c>
      <c r="E213" s="3" t="s">
        <v>28</v>
      </c>
      <c r="F213" s="3" t="s">
        <v>906</v>
      </c>
      <c r="G213" s="3" t="s">
        <v>907</v>
      </c>
      <c r="H213" s="43">
        <v>45604</v>
      </c>
      <c r="I213" s="43">
        <v>45381</v>
      </c>
      <c r="J213" s="47" t="str">
        <f>IF(GroDB[[#This Row],[Last_Order_Date]]&lt;=GroDB[[#This Row],[Date_Received]], "Yes", "No")</f>
        <v>Yes</v>
      </c>
      <c r="K213" s="43">
        <f>IF(GroDB[[#This Row],[Column1]]="No",GroDB[[#This Row],[Last_Order_Date]],GroDB[[#This Row],[Date_Received]])</f>
        <v>45604</v>
      </c>
      <c r="L213" s="43">
        <f>IF(GroDB[[#This Row],[Column1]]="No",GroDB[[#This Row],[Date_Received]],GroDB[[#This Row],[Last_Order_Date]])</f>
        <v>45381</v>
      </c>
      <c r="M213" s="45">
        <f>GroDB[[#This Row],[Date_Received1]]-GroDB[[#This Row],[Procurement_Date]]</f>
        <v>223</v>
      </c>
      <c r="N213" s="43">
        <v>45542</v>
      </c>
      <c r="O213" s="91">
        <f>GroDB[[#This Row],[Expiration_Date]]-GroDB[[#This Row],[Date_Received1]]</f>
        <v>-62</v>
      </c>
      <c r="P213" s="4">
        <v>3.2</v>
      </c>
      <c r="Q213" s="3">
        <v>29</v>
      </c>
      <c r="R213" s="3">
        <v>36</v>
      </c>
      <c r="S213" s="3">
        <v>40</v>
      </c>
      <c r="T213" s="4">
        <v>4</v>
      </c>
      <c r="U213" s="3">
        <v>60</v>
      </c>
      <c r="V213" s="51">
        <f>IF(GroDB[[#This Row],[LeadTime]]=0,GroDB[[#This Row],[Sales_Volume]],GroDB[[#This Row],[Sales_Volume]]/GroDB[[#This Row],[LeadTime]])</f>
        <v>0.26905829596412556</v>
      </c>
      <c r="W213" s="51">
        <f>_xlfn.STDEV.S(GroDB[Daily Sales])</f>
        <v>5.1999899792654221</v>
      </c>
      <c r="X213" s="3">
        <v>96</v>
      </c>
      <c r="Y213" s="7">
        <v>0.87</v>
      </c>
      <c r="Z213" s="4">
        <f>GroDB[[#This Row],[Unit_Price]]*GroDB[[#This Row],[Sales_Volume]]</f>
        <v>240</v>
      </c>
      <c r="AA213" s="22">
        <f>GroDB[[#This Row],[ADU]]/GroDB[[#Totals],[ADU]]</f>
        <v>6.9712859123615225E-4</v>
      </c>
      <c r="AB213" s="1">
        <f>GroDB[[#This Row],[Sales_Volume]]*GroDB[[#This Row],[Ordering Cost]]</f>
        <v>192</v>
      </c>
    </row>
    <row r="214" spans="1:28" x14ac:dyDescent="0.35">
      <c r="A214" s="5" t="s">
        <v>812</v>
      </c>
      <c r="B214" s="3" t="s">
        <v>18</v>
      </c>
      <c r="C214" s="3" t="s">
        <v>908</v>
      </c>
      <c r="D214" s="3" t="s">
        <v>909</v>
      </c>
      <c r="E214" s="3" t="s">
        <v>21</v>
      </c>
      <c r="F214" s="3" t="s">
        <v>910</v>
      </c>
      <c r="G214" s="3" t="s">
        <v>911</v>
      </c>
      <c r="H214" s="43">
        <v>45604</v>
      </c>
      <c r="I214" s="43">
        <v>45639</v>
      </c>
      <c r="J214" s="47" t="str">
        <f>IF(GroDB[[#This Row],[Last_Order_Date]]&lt;=GroDB[[#This Row],[Date_Received]], "Yes", "No")</f>
        <v>No</v>
      </c>
      <c r="K214" s="43">
        <f>IF(GroDB[[#This Row],[Column1]]="No",GroDB[[#This Row],[Last_Order_Date]],GroDB[[#This Row],[Date_Received]])</f>
        <v>45639</v>
      </c>
      <c r="L214" s="43">
        <f>IF(GroDB[[#This Row],[Column1]]="No",GroDB[[#This Row],[Date_Received]],GroDB[[#This Row],[Last_Order_Date]])</f>
        <v>45604</v>
      </c>
      <c r="M214" s="45">
        <f>GroDB[[#This Row],[Date_Received1]]-GroDB[[#This Row],[Procurement_Date]]</f>
        <v>35</v>
      </c>
      <c r="N214" s="43">
        <v>45669</v>
      </c>
      <c r="O214" s="91">
        <f>GroDB[[#This Row],[Expiration_Date]]-GroDB[[#This Row],[Date_Received1]]</f>
        <v>30</v>
      </c>
      <c r="P214" s="4">
        <v>2.8000000000000003</v>
      </c>
      <c r="Q214" s="3">
        <v>43</v>
      </c>
      <c r="R214" s="3">
        <v>63</v>
      </c>
      <c r="S214" s="3">
        <v>99</v>
      </c>
      <c r="T214" s="4">
        <v>3.5</v>
      </c>
      <c r="U214" s="3">
        <v>39</v>
      </c>
      <c r="V214" s="51">
        <f>IF(GroDB[[#This Row],[LeadTime]]=0,GroDB[[#This Row],[Sales_Volume]],GroDB[[#This Row],[Sales_Volume]]/GroDB[[#This Row],[LeadTime]])</f>
        <v>1.1142857142857143</v>
      </c>
      <c r="W214" s="51">
        <f>_xlfn.STDEV.S(GroDB[Daily Sales])</f>
        <v>5.1999899792654221</v>
      </c>
      <c r="X214" s="3">
        <v>77</v>
      </c>
      <c r="Y214" s="7">
        <v>-0.6</v>
      </c>
      <c r="Z214" s="4">
        <f>GroDB[[#This Row],[Unit_Price]]*GroDB[[#This Row],[Sales_Volume]]</f>
        <v>136.5</v>
      </c>
      <c r="AA214" s="22">
        <f>GroDB[[#This Row],[ADU]]/GroDB[[#Totals],[ADU]]</f>
        <v>3.9649188626556155E-4</v>
      </c>
      <c r="AB214" s="1">
        <f>GroDB[[#This Row],[Sales_Volume]]*GroDB[[#This Row],[Ordering Cost]]</f>
        <v>109.20000000000002</v>
      </c>
    </row>
    <row r="215" spans="1:28" x14ac:dyDescent="0.35">
      <c r="A215" s="5" t="s">
        <v>397</v>
      </c>
      <c r="B215" s="3" t="s">
        <v>25</v>
      </c>
      <c r="C215" s="3" t="s">
        <v>912</v>
      </c>
      <c r="D215" s="3" t="s">
        <v>913</v>
      </c>
      <c r="E215" s="3" t="s">
        <v>21</v>
      </c>
      <c r="F215" s="3" t="s">
        <v>914</v>
      </c>
      <c r="G215" s="3" t="s">
        <v>915</v>
      </c>
      <c r="H215" s="43">
        <v>45604</v>
      </c>
      <c r="I215" s="43">
        <v>45596</v>
      </c>
      <c r="J215" s="47" t="str">
        <f>IF(GroDB[[#This Row],[Last_Order_Date]]&lt;=GroDB[[#This Row],[Date_Received]], "Yes", "No")</f>
        <v>Yes</v>
      </c>
      <c r="K215" s="43">
        <f>IF(GroDB[[#This Row],[Column1]]="No",GroDB[[#This Row],[Last_Order_Date]],GroDB[[#This Row],[Date_Received]])</f>
        <v>45604</v>
      </c>
      <c r="L215" s="43">
        <f>IF(GroDB[[#This Row],[Column1]]="No",GroDB[[#This Row],[Date_Received]],GroDB[[#This Row],[Last_Order_Date]])</f>
        <v>45596</v>
      </c>
      <c r="M215" s="45">
        <f>GroDB[[#This Row],[Date_Received1]]-GroDB[[#This Row],[Procurement_Date]]</f>
        <v>8</v>
      </c>
      <c r="N215" s="43">
        <v>45385</v>
      </c>
      <c r="O215" s="91">
        <f>GroDB[[#This Row],[Expiration_Date]]-GroDB[[#This Row],[Date_Received1]]</f>
        <v>-219</v>
      </c>
      <c r="P215" s="4">
        <v>2</v>
      </c>
      <c r="Q215" s="3">
        <v>23</v>
      </c>
      <c r="R215" s="3">
        <v>43</v>
      </c>
      <c r="S215" s="3">
        <v>75</v>
      </c>
      <c r="T215" s="4">
        <v>2.5</v>
      </c>
      <c r="U215" s="3">
        <v>91</v>
      </c>
      <c r="V215" s="51">
        <f>IF(GroDB[[#This Row],[LeadTime]]=0,GroDB[[#This Row],[Sales_Volume]],GroDB[[#This Row],[Sales_Volume]]/GroDB[[#This Row],[LeadTime]])</f>
        <v>11.375</v>
      </c>
      <c r="W215" s="51">
        <f>_xlfn.STDEV.S(GroDB[Daily Sales])</f>
        <v>5.1999899792654221</v>
      </c>
      <c r="X215" s="3">
        <v>86</v>
      </c>
      <c r="Y215" s="7">
        <v>-0.97</v>
      </c>
      <c r="Z215" s="4">
        <f>GroDB[[#This Row],[Unit_Price]]*GroDB[[#This Row],[Sales_Volume]]</f>
        <v>227.5</v>
      </c>
      <c r="AA215" s="22">
        <f>GroDB[[#This Row],[ADU]]/GroDB[[#Totals],[ADU]]</f>
        <v>6.6081981044260256E-4</v>
      </c>
      <c r="AB215" s="1">
        <f>GroDB[[#This Row],[Sales_Volume]]*GroDB[[#This Row],[Ordering Cost]]</f>
        <v>182</v>
      </c>
    </row>
    <row r="216" spans="1:28" x14ac:dyDescent="0.35">
      <c r="A216" s="5" t="s">
        <v>531</v>
      </c>
      <c r="B216" s="3" t="s">
        <v>53</v>
      </c>
      <c r="C216" s="3" t="s">
        <v>518</v>
      </c>
      <c r="D216" s="3" t="s">
        <v>916</v>
      </c>
      <c r="E216" s="3" t="s">
        <v>56</v>
      </c>
      <c r="F216" s="3" t="s">
        <v>917</v>
      </c>
      <c r="G216" s="3" t="s">
        <v>918</v>
      </c>
      <c r="H216" s="43">
        <v>45634</v>
      </c>
      <c r="I216" s="43">
        <v>45707</v>
      </c>
      <c r="J216" s="47" t="str">
        <f>IF(GroDB[[#This Row],[Last_Order_Date]]&lt;=GroDB[[#This Row],[Date_Received]], "Yes", "No")</f>
        <v>No</v>
      </c>
      <c r="K216" s="43">
        <f>IF(GroDB[[#This Row],[Column1]]="No",GroDB[[#This Row],[Last_Order_Date]],GroDB[[#This Row],[Date_Received]])</f>
        <v>45707</v>
      </c>
      <c r="L216" s="43">
        <f>IF(GroDB[[#This Row],[Column1]]="No",GroDB[[#This Row],[Date_Received]],GroDB[[#This Row],[Last_Order_Date]])</f>
        <v>45634</v>
      </c>
      <c r="M216" s="45">
        <f>GroDB[[#This Row],[Date_Received1]]-GroDB[[#This Row],[Procurement_Date]]</f>
        <v>73</v>
      </c>
      <c r="N216" s="43">
        <v>45399</v>
      </c>
      <c r="O216" s="91">
        <f>GroDB[[#This Row],[Expiration_Date]]-GroDB[[#This Row],[Date_Received1]]</f>
        <v>-308</v>
      </c>
      <c r="P216" s="4">
        <v>1.2000000000000002</v>
      </c>
      <c r="Q216" s="3">
        <v>12</v>
      </c>
      <c r="R216" s="3">
        <v>59</v>
      </c>
      <c r="S216" s="3">
        <v>62</v>
      </c>
      <c r="T216" s="4">
        <v>1.5</v>
      </c>
      <c r="U216" s="3">
        <v>95</v>
      </c>
      <c r="V216" s="51">
        <f>IF(GroDB[[#This Row],[LeadTime]]=0,GroDB[[#This Row],[Sales_Volume]],GroDB[[#This Row],[Sales_Volume]]/GroDB[[#This Row],[LeadTime]])</f>
        <v>1.3013698630136987</v>
      </c>
      <c r="W216" s="51">
        <f>_xlfn.STDEV.S(GroDB[Daily Sales])</f>
        <v>5.1999899792654221</v>
      </c>
      <c r="X216" s="3">
        <v>99</v>
      </c>
      <c r="Y216" s="7">
        <v>0.05</v>
      </c>
      <c r="Z216" s="4">
        <f>GroDB[[#This Row],[Unit_Price]]*GroDB[[#This Row],[Sales_Volume]]</f>
        <v>142.5</v>
      </c>
      <c r="AA216" s="22">
        <f>GroDB[[#This Row],[ADU]]/GroDB[[#Totals],[ADU]]</f>
        <v>4.1392010104646538E-4</v>
      </c>
      <c r="AB216" s="1">
        <f>GroDB[[#This Row],[Sales_Volume]]*GroDB[[#This Row],[Ordering Cost]]</f>
        <v>114.00000000000001</v>
      </c>
    </row>
    <row r="217" spans="1:28" x14ac:dyDescent="0.35">
      <c r="A217" s="5" t="s">
        <v>517</v>
      </c>
      <c r="B217" s="3" t="s">
        <v>127</v>
      </c>
      <c r="C217" s="3" t="s">
        <v>231</v>
      </c>
      <c r="D217" s="3" t="s">
        <v>919</v>
      </c>
      <c r="E217" s="3" t="s">
        <v>56</v>
      </c>
      <c r="F217" s="3" t="s">
        <v>920</v>
      </c>
      <c r="G217" s="3" t="s">
        <v>921</v>
      </c>
      <c r="H217" s="43">
        <v>45634</v>
      </c>
      <c r="I217" s="43">
        <v>45351</v>
      </c>
      <c r="J217" s="47" t="str">
        <f>IF(GroDB[[#This Row],[Last_Order_Date]]&lt;=GroDB[[#This Row],[Date_Received]], "Yes", "No")</f>
        <v>Yes</v>
      </c>
      <c r="K217" s="43">
        <f>IF(GroDB[[#This Row],[Column1]]="No",GroDB[[#This Row],[Last_Order_Date]],GroDB[[#This Row],[Date_Received]])</f>
        <v>45634</v>
      </c>
      <c r="L217" s="43">
        <f>IF(GroDB[[#This Row],[Column1]]="No",GroDB[[#This Row],[Date_Received]],GroDB[[#This Row],[Last_Order_Date]])</f>
        <v>45351</v>
      </c>
      <c r="M217" s="45">
        <f>GroDB[[#This Row],[Date_Received1]]-GroDB[[#This Row],[Procurement_Date]]</f>
        <v>283</v>
      </c>
      <c r="N217" s="43">
        <v>45368</v>
      </c>
      <c r="O217" s="91">
        <f>GroDB[[#This Row],[Expiration_Date]]-GroDB[[#This Row],[Date_Received1]]</f>
        <v>-266</v>
      </c>
      <c r="P217" s="4">
        <v>20</v>
      </c>
      <c r="Q217" s="3">
        <v>99</v>
      </c>
      <c r="R217" s="3">
        <v>87</v>
      </c>
      <c r="S217" s="3">
        <v>10</v>
      </c>
      <c r="T217" s="4">
        <v>25</v>
      </c>
      <c r="U217" s="3">
        <v>93</v>
      </c>
      <c r="V217" s="51">
        <f>IF(GroDB[[#This Row],[LeadTime]]=0,GroDB[[#This Row],[Sales_Volume]],GroDB[[#This Row],[Sales_Volume]]/GroDB[[#This Row],[LeadTime]])</f>
        <v>0.32862190812720848</v>
      </c>
      <c r="W217" s="51">
        <f>_xlfn.STDEV.S(GroDB[Daily Sales])</f>
        <v>5.1999899792654221</v>
      </c>
      <c r="X217" s="3">
        <v>70</v>
      </c>
      <c r="Y217" s="7">
        <v>-0.04</v>
      </c>
      <c r="Z217" s="4">
        <f>GroDB[[#This Row],[Unit_Price]]*GroDB[[#This Row],[Sales_Volume]]</f>
        <v>2325</v>
      </c>
      <c r="AA217" s="22">
        <f>GroDB[[#This Row],[ADU]]/GroDB[[#Totals],[ADU]]</f>
        <v>6.7534332276002248E-3</v>
      </c>
      <c r="AB217" s="1">
        <f>GroDB[[#This Row],[Sales_Volume]]*GroDB[[#This Row],[Ordering Cost]]</f>
        <v>1860</v>
      </c>
    </row>
    <row r="218" spans="1:28" x14ac:dyDescent="0.35">
      <c r="A218" s="5" t="s">
        <v>392</v>
      </c>
      <c r="B218" s="3" t="s">
        <v>18</v>
      </c>
      <c r="C218" s="3" t="s">
        <v>922</v>
      </c>
      <c r="D218" s="3" t="s">
        <v>923</v>
      </c>
      <c r="E218" s="3" t="s">
        <v>28</v>
      </c>
      <c r="F218" s="3" t="s">
        <v>924</v>
      </c>
      <c r="G218" s="3" t="s">
        <v>925</v>
      </c>
      <c r="H218" s="43">
        <v>45634</v>
      </c>
      <c r="I218" s="43">
        <v>45669</v>
      </c>
      <c r="J218" s="47" t="str">
        <f>IF(GroDB[[#This Row],[Last_Order_Date]]&lt;=GroDB[[#This Row],[Date_Received]], "Yes", "No")</f>
        <v>No</v>
      </c>
      <c r="K218" s="43">
        <f>IF(GroDB[[#This Row],[Column1]]="No",GroDB[[#This Row],[Last_Order_Date]],GroDB[[#This Row],[Date_Received]])</f>
        <v>45669</v>
      </c>
      <c r="L218" s="43">
        <f>IF(GroDB[[#This Row],[Column1]]="No",GroDB[[#This Row],[Date_Received]],GroDB[[#This Row],[Last_Order_Date]])</f>
        <v>45634</v>
      </c>
      <c r="M218" s="45">
        <f>GroDB[[#This Row],[Date_Received1]]-GroDB[[#This Row],[Procurement_Date]]</f>
        <v>35</v>
      </c>
      <c r="N218" s="43">
        <v>45402</v>
      </c>
      <c r="O218" s="91">
        <f>GroDB[[#This Row],[Expiration_Date]]-GroDB[[#This Row],[Date_Received1]]</f>
        <v>-267</v>
      </c>
      <c r="P218" s="4">
        <v>4.4000000000000004</v>
      </c>
      <c r="Q218" s="3">
        <v>37</v>
      </c>
      <c r="R218" s="3">
        <v>45</v>
      </c>
      <c r="S218" s="3">
        <v>62</v>
      </c>
      <c r="T218" s="4">
        <v>5.5</v>
      </c>
      <c r="U218" s="3">
        <v>34</v>
      </c>
      <c r="V218" s="51">
        <f>IF(GroDB[[#This Row],[LeadTime]]=0,GroDB[[#This Row],[Sales_Volume]],GroDB[[#This Row],[Sales_Volume]]/GroDB[[#This Row],[LeadTime]])</f>
        <v>0.97142857142857142</v>
      </c>
      <c r="W218" s="51">
        <f>_xlfn.STDEV.S(GroDB[Daily Sales])</f>
        <v>5.1999899792654221</v>
      </c>
      <c r="X218" s="3">
        <v>23</v>
      </c>
      <c r="Y218" s="7">
        <v>0.25</v>
      </c>
      <c r="Z218" s="4">
        <f>GroDB[[#This Row],[Unit_Price]]*GroDB[[#This Row],[Sales_Volume]]</f>
        <v>187</v>
      </c>
      <c r="AA218" s="22">
        <f>GroDB[[#This Row],[ADU]]/GroDB[[#Totals],[ADU]]</f>
        <v>5.4317936067150197E-4</v>
      </c>
      <c r="AB218" s="1">
        <f>GroDB[[#This Row],[Sales_Volume]]*GroDB[[#This Row],[Ordering Cost]]</f>
        <v>149.60000000000002</v>
      </c>
    </row>
    <row r="219" spans="1:28" x14ac:dyDescent="0.35">
      <c r="A219" s="5" t="s">
        <v>717</v>
      </c>
      <c r="B219" s="3" t="s">
        <v>53</v>
      </c>
      <c r="C219" s="3" t="s">
        <v>926</v>
      </c>
      <c r="D219" s="3" t="s">
        <v>927</v>
      </c>
      <c r="E219" s="3" t="s">
        <v>28</v>
      </c>
      <c r="F219" s="3" t="s">
        <v>928</v>
      </c>
      <c r="G219" s="3" t="s">
        <v>929</v>
      </c>
      <c r="H219" s="43">
        <v>45634</v>
      </c>
      <c r="I219" s="43">
        <v>45547</v>
      </c>
      <c r="J219" s="47" t="str">
        <f>IF(GroDB[[#This Row],[Last_Order_Date]]&lt;=GroDB[[#This Row],[Date_Received]], "Yes", "No")</f>
        <v>Yes</v>
      </c>
      <c r="K219" s="43">
        <f>IF(GroDB[[#This Row],[Column1]]="No",GroDB[[#This Row],[Last_Order_Date]],GroDB[[#This Row],[Date_Received]])</f>
        <v>45634</v>
      </c>
      <c r="L219" s="43">
        <f>IF(GroDB[[#This Row],[Column1]]="No",GroDB[[#This Row],[Date_Received]],GroDB[[#This Row],[Last_Order_Date]])</f>
        <v>45547</v>
      </c>
      <c r="M219" s="45">
        <f>GroDB[[#This Row],[Date_Received1]]-GroDB[[#This Row],[Procurement_Date]]</f>
        <v>87</v>
      </c>
      <c r="N219" s="43">
        <v>45386</v>
      </c>
      <c r="O219" s="91">
        <f>GroDB[[#This Row],[Expiration_Date]]-GroDB[[#This Row],[Date_Received1]]</f>
        <v>-248</v>
      </c>
      <c r="P219" s="4">
        <v>3.5200000000000005</v>
      </c>
      <c r="Q219" s="3">
        <v>26</v>
      </c>
      <c r="R219" s="3">
        <v>67</v>
      </c>
      <c r="S219" s="3">
        <v>46</v>
      </c>
      <c r="T219" s="4">
        <v>4.4000000000000004</v>
      </c>
      <c r="U219" s="3">
        <v>54</v>
      </c>
      <c r="V219" s="51">
        <f>IF(GroDB[[#This Row],[LeadTime]]=0,GroDB[[#This Row],[Sales_Volume]],GroDB[[#This Row],[Sales_Volume]]/GroDB[[#This Row],[LeadTime]])</f>
        <v>0.62068965517241381</v>
      </c>
      <c r="W219" s="51">
        <f>_xlfn.STDEV.S(GroDB[Daily Sales])</f>
        <v>5.1999899792654221</v>
      </c>
      <c r="X219" s="3">
        <v>46</v>
      </c>
      <c r="Y219" s="7">
        <v>0.32</v>
      </c>
      <c r="Z219" s="4">
        <f>GroDB[[#This Row],[Unit_Price]]*GroDB[[#This Row],[Sales_Volume]]</f>
        <v>237.60000000000002</v>
      </c>
      <c r="AA219" s="22">
        <f>GroDB[[#This Row],[ADU]]/GroDB[[#Totals],[ADU]]</f>
        <v>6.9015730532379072E-4</v>
      </c>
      <c r="AB219" s="1">
        <f>GroDB[[#This Row],[Sales_Volume]]*GroDB[[#This Row],[Ordering Cost]]</f>
        <v>190.08</v>
      </c>
    </row>
    <row r="220" spans="1:28" x14ac:dyDescent="0.35">
      <c r="A220" s="5" t="s">
        <v>582</v>
      </c>
      <c r="B220" s="3" t="s">
        <v>32</v>
      </c>
      <c r="C220" s="3" t="s">
        <v>458</v>
      </c>
      <c r="D220" s="3" t="s">
        <v>930</v>
      </c>
      <c r="E220" s="3" t="s">
        <v>56</v>
      </c>
      <c r="F220" s="3" t="s">
        <v>931</v>
      </c>
      <c r="G220" s="3" t="s">
        <v>932</v>
      </c>
      <c r="H220" s="43">
        <v>45634</v>
      </c>
      <c r="I220" s="43">
        <v>45358</v>
      </c>
      <c r="J220" s="47" t="str">
        <f>IF(GroDB[[#This Row],[Last_Order_Date]]&lt;=GroDB[[#This Row],[Date_Received]], "Yes", "No")</f>
        <v>Yes</v>
      </c>
      <c r="K220" s="43">
        <f>IF(GroDB[[#This Row],[Column1]]="No",GroDB[[#This Row],[Last_Order_Date]],GroDB[[#This Row],[Date_Received]])</f>
        <v>45634</v>
      </c>
      <c r="L220" s="43">
        <f>IF(GroDB[[#This Row],[Column1]]="No",GroDB[[#This Row],[Date_Received]],GroDB[[#This Row],[Last_Order_Date]])</f>
        <v>45358</v>
      </c>
      <c r="M220" s="45">
        <f>GroDB[[#This Row],[Date_Received1]]-GroDB[[#This Row],[Procurement_Date]]</f>
        <v>276</v>
      </c>
      <c r="N220" s="43">
        <v>45555</v>
      </c>
      <c r="O220" s="91">
        <f>GroDB[[#This Row],[Expiration_Date]]-GroDB[[#This Row],[Date_Received1]]</f>
        <v>-79</v>
      </c>
      <c r="P220" s="4">
        <v>0.64000000000000012</v>
      </c>
      <c r="Q220" s="3">
        <v>94</v>
      </c>
      <c r="R220" s="3">
        <v>60</v>
      </c>
      <c r="S220" s="3">
        <v>78</v>
      </c>
      <c r="T220" s="4">
        <v>0.8</v>
      </c>
      <c r="U220" s="3">
        <v>100</v>
      </c>
      <c r="V220" s="51">
        <f>IF(GroDB[[#This Row],[LeadTime]]=0,GroDB[[#This Row],[Sales_Volume]],GroDB[[#This Row],[Sales_Volume]]/GroDB[[#This Row],[LeadTime]])</f>
        <v>0.36231884057971014</v>
      </c>
      <c r="W220" s="51">
        <f>_xlfn.STDEV.S(GroDB[Daily Sales])</f>
        <v>5.1999899792654221</v>
      </c>
      <c r="X220" s="3">
        <v>42</v>
      </c>
      <c r="Y220" s="7">
        <v>0.15</v>
      </c>
      <c r="Z220" s="4">
        <f>GroDB[[#This Row],[Unit_Price]]*GroDB[[#This Row],[Sales_Volume]]</f>
        <v>80</v>
      </c>
      <c r="AA220" s="22">
        <f>GroDB[[#This Row],[ADU]]/GroDB[[#Totals],[ADU]]</f>
        <v>2.323761970787174E-4</v>
      </c>
      <c r="AB220" s="1">
        <f>GroDB[[#This Row],[Sales_Volume]]*GroDB[[#This Row],[Ordering Cost]]</f>
        <v>64.000000000000014</v>
      </c>
    </row>
    <row r="221" spans="1:28" x14ac:dyDescent="0.35">
      <c r="A221" s="5" t="s">
        <v>549</v>
      </c>
      <c r="B221" s="3" t="s">
        <v>32</v>
      </c>
      <c r="C221" s="3" t="s">
        <v>933</v>
      </c>
      <c r="D221" s="3" t="s">
        <v>934</v>
      </c>
      <c r="E221" s="3" t="s">
        <v>28</v>
      </c>
      <c r="F221" s="3" t="s">
        <v>935</v>
      </c>
      <c r="G221" s="3" t="s">
        <v>936</v>
      </c>
      <c r="H221" s="43">
        <v>45360</v>
      </c>
      <c r="I221" s="43">
        <v>45534</v>
      </c>
      <c r="J221" s="47" t="str">
        <f>IF(GroDB[[#This Row],[Last_Order_Date]]&lt;=GroDB[[#This Row],[Date_Received]], "Yes", "No")</f>
        <v>No</v>
      </c>
      <c r="K221" s="43">
        <f>IF(GroDB[[#This Row],[Column1]]="No",GroDB[[#This Row],[Last_Order_Date]],GroDB[[#This Row],[Date_Received]])</f>
        <v>45534</v>
      </c>
      <c r="L221" s="43">
        <f>IF(GroDB[[#This Row],[Column1]]="No",GroDB[[#This Row],[Date_Received]],GroDB[[#This Row],[Last_Order_Date]])</f>
        <v>45360</v>
      </c>
      <c r="M221" s="45">
        <f>GroDB[[#This Row],[Date_Received1]]-GroDB[[#This Row],[Procurement_Date]]</f>
        <v>174</v>
      </c>
      <c r="N221" s="43">
        <v>45465</v>
      </c>
      <c r="O221" s="91">
        <f>GroDB[[#This Row],[Expiration_Date]]-GroDB[[#This Row],[Date_Received1]]</f>
        <v>-69</v>
      </c>
      <c r="P221" s="4">
        <v>2</v>
      </c>
      <c r="Q221" s="3">
        <v>43</v>
      </c>
      <c r="R221" s="3">
        <v>78</v>
      </c>
      <c r="S221" s="3">
        <v>85</v>
      </c>
      <c r="T221" s="4">
        <v>2.5</v>
      </c>
      <c r="U221" s="3">
        <v>48</v>
      </c>
      <c r="V221" s="51">
        <f>IF(GroDB[[#This Row],[LeadTime]]=0,GroDB[[#This Row],[Sales_Volume]],GroDB[[#This Row],[Sales_Volume]]/GroDB[[#This Row],[LeadTime]])</f>
        <v>0.27586206896551724</v>
      </c>
      <c r="W221" s="51">
        <f>_xlfn.STDEV.S(GroDB[Daily Sales])</f>
        <v>5.1999899792654221</v>
      </c>
      <c r="X221" s="3">
        <v>98</v>
      </c>
      <c r="Y221" s="7">
        <v>0.57999999999999996</v>
      </c>
      <c r="Z221" s="4">
        <f>GroDB[[#This Row],[Unit_Price]]*GroDB[[#This Row],[Sales_Volume]]</f>
        <v>120</v>
      </c>
      <c r="AA221" s="22">
        <f>GroDB[[#This Row],[ADU]]/GroDB[[#Totals],[ADU]]</f>
        <v>3.4856429561807613E-4</v>
      </c>
      <c r="AB221" s="1">
        <f>GroDB[[#This Row],[Sales_Volume]]*GroDB[[#This Row],[Ordering Cost]]</f>
        <v>96</v>
      </c>
    </row>
    <row r="222" spans="1:28" x14ac:dyDescent="0.35">
      <c r="A222" s="5" t="s">
        <v>90</v>
      </c>
      <c r="B222" s="3" t="s">
        <v>91</v>
      </c>
      <c r="C222" s="3" t="s">
        <v>19</v>
      </c>
      <c r="D222" s="3" t="s">
        <v>937</v>
      </c>
      <c r="E222" s="3" t="s">
        <v>21</v>
      </c>
      <c r="F222" s="3" t="s">
        <v>938</v>
      </c>
      <c r="G222" s="3" t="s">
        <v>939</v>
      </c>
      <c r="H222" s="43">
        <v>45360</v>
      </c>
      <c r="I222" s="43">
        <v>45620</v>
      </c>
      <c r="J222" s="47" t="str">
        <f>IF(GroDB[[#This Row],[Last_Order_Date]]&lt;=GroDB[[#This Row],[Date_Received]], "Yes", "No")</f>
        <v>No</v>
      </c>
      <c r="K222" s="43">
        <f>IF(GroDB[[#This Row],[Column1]]="No",GroDB[[#This Row],[Last_Order_Date]],GroDB[[#This Row],[Date_Received]])</f>
        <v>45620</v>
      </c>
      <c r="L222" s="43">
        <f>IF(GroDB[[#This Row],[Column1]]="No",GroDB[[#This Row],[Date_Received]],GroDB[[#This Row],[Last_Order_Date]])</f>
        <v>45360</v>
      </c>
      <c r="M222" s="45">
        <f>GroDB[[#This Row],[Date_Received1]]-GroDB[[#This Row],[Procurement_Date]]</f>
        <v>260</v>
      </c>
      <c r="N222" s="43">
        <v>45701</v>
      </c>
      <c r="O222" s="91">
        <f>GroDB[[#This Row],[Expiration_Date]]-GroDB[[#This Row],[Date_Received1]]</f>
        <v>81</v>
      </c>
      <c r="P222" s="4">
        <v>3.2</v>
      </c>
      <c r="Q222" s="3">
        <v>34</v>
      </c>
      <c r="R222" s="3">
        <v>49</v>
      </c>
      <c r="S222" s="3">
        <v>27</v>
      </c>
      <c r="T222" s="4">
        <v>4</v>
      </c>
      <c r="U222" s="3">
        <v>78</v>
      </c>
      <c r="V222" s="51">
        <f>IF(GroDB[[#This Row],[LeadTime]]=0,GroDB[[#This Row],[Sales_Volume]],GroDB[[#This Row],[Sales_Volume]]/GroDB[[#This Row],[LeadTime]])</f>
        <v>0.3</v>
      </c>
      <c r="W222" s="51">
        <f>_xlfn.STDEV.S(GroDB[Daily Sales])</f>
        <v>5.1999899792654221</v>
      </c>
      <c r="X222" s="3">
        <v>20</v>
      </c>
      <c r="Y222" s="7">
        <v>-1.04</v>
      </c>
      <c r="Z222" s="4">
        <f>GroDB[[#This Row],[Unit_Price]]*GroDB[[#This Row],[Sales_Volume]]</f>
        <v>312</v>
      </c>
      <c r="AA222" s="22">
        <f>GroDB[[#This Row],[ADU]]/GroDB[[#Totals],[ADU]]</f>
        <v>9.0626716860699782E-4</v>
      </c>
      <c r="AB222" s="1">
        <f>GroDB[[#This Row],[Sales_Volume]]*GroDB[[#This Row],[Ordering Cost]]</f>
        <v>249.60000000000002</v>
      </c>
    </row>
    <row r="223" spans="1:28" x14ac:dyDescent="0.35">
      <c r="A223" s="5" t="s">
        <v>355</v>
      </c>
      <c r="B223" s="3" t="s">
        <v>18</v>
      </c>
      <c r="C223" s="3" t="s">
        <v>482</v>
      </c>
      <c r="D223" s="3" t="s">
        <v>940</v>
      </c>
      <c r="E223" s="3" t="s">
        <v>56</v>
      </c>
      <c r="F223" s="3" t="s">
        <v>941</v>
      </c>
      <c r="G223" s="3" t="s">
        <v>942</v>
      </c>
      <c r="H223" s="43">
        <v>45391</v>
      </c>
      <c r="I223" s="43">
        <v>45357</v>
      </c>
      <c r="J223" s="47" t="str">
        <f>IF(GroDB[[#This Row],[Last_Order_Date]]&lt;=GroDB[[#This Row],[Date_Received]], "Yes", "No")</f>
        <v>Yes</v>
      </c>
      <c r="K223" s="43">
        <f>IF(GroDB[[#This Row],[Column1]]="No",GroDB[[#This Row],[Last_Order_Date]],GroDB[[#This Row],[Date_Received]])</f>
        <v>45391</v>
      </c>
      <c r="L223" s="43">
        <f>IF(GroDB[[#This Row],[Column1]]="No",GroDB[[#This Row],[Date_Received]],GroDB[[#This Row],[Last_Order_Date]])</f>
        <v>45357</v>
      </c>
      <c r="M223" s="45">
        <f>GroDB[[#This Row],[Date_Received1]]-GroDB[[#This Row],[Procurement_Date]]</f>
        <v>34</v>
      </c>
      <c r="N223" s="43">
        <v>45516</v>
      </c>
      <c r="O223" s="91">
        <f>GroDB[[#This Row],[Expiration_Date]]-GroDB[[#This Row],[Date_Received1]]</f>
        <v>125</v>
      </c>
      <c r="P223" s="4">
        <v>0.8</v>
      </c>
      <c r="Q223" s="3">
        <v>88</v>
      </c>
      <c r="R223" s="3">
        <v>46</v>
      </c>
      <c r="S223" s="3">
        <v>55</v>
      </c>
      <c r="T223" s="4">
        <v>1</v>
      </c>
      <c r="U223" s="3">
        <v>73</v>
      </c>
      <c r="V223" s="51">
        <f>IF(GroDB[[#This Row],[LeadTime]]=0,GroDB[[#This Row],[Sales_Volume]],GroDB[[#This Row],[Sales_Volume]]/GroDB[[#This Row],[LeadTime]])</f>
        <v>2.1470588235294117</v>
      </c>
      <c r="W223" s="51">
        <f>_xlfn.STDEV.S(GroDB[Daily Sales])</f>
        <v>5.1999899792654221</v>
      </c>
      <c r="X223" s="3">
        <v>63</v>
      </c>
      <c r="Y223" s="7">
        <v>0.74</v>
      </c>
      <c r="Z223" s="4">
        <f>GroDB[[#This Row],[Unit_Price]]*GroDB[[#This Row],[Sales_Volume]]</f>
        <v>73</v>
      </c>
      <c r="AA223" s="22">
        <f>GroDB[[#This Row],[ADU]]/GroDB[[#Totals],[ADU]]</f>
        <v>2.1204327983432962E-4</v>
      </c>
      <c r="AB223" s="1">
        <f>GroDB[[#This Row],[Sales_Volume]]*GroDB[[#This Row],[Ordering Cost]]</f>
        <v>58.400000000000006</v>
      </c>
    </row>
    <row r="224" spans="1:28" x14ac:dyDescent="0.35">
      <c r="A224" s="5" t="s">
        <v>320</v>
      </c>
      <c r="B224" s="3" t="s">
        <v>18</v>
      </c>
      <c r="C224" s="3" t="s">
        <v>943</v>
      </c>
      <c r="D224" s="3" t="s">
        <v>944</v>
      </c>
      <c r="E224" s="3" t="s">
        <v>21</v>
      </c>
      <c r="F224" s="3" t="s">
        <v>945</v>
      </c>
      <c r="G224" s="3" t="s">
        <v>946</v>
      </c>
      <c r="H224" s="43">
        <v>45391</v>
      </c>
      <c r="I224" s="43">
        <v>45451</v>
      </c>
      <c r="J224" s="47" t="str">
        <f>IF(GroDB[[#This Row],[Last_Order_Date]]&lt;=GroDB[[#This Row],[Date_Received]], "Yes", "No")</f>
        <v>No</v>
      </c>
      <c r="K224" s="43">
        <f>IF(GroDB[[#This Row],[Column1]]="No",GroDB[[#This Row],[Last_Order_Date]],GroDB[[#This Row],[Date_Received]])</f>
        <v>45451</v>
      </c>
      <c r="L224" s="43">
        <f>IF(GroDB[[#This Row],[Column1]]="No",GroDB[[#This Row],[Date_Received]],GroDB[[#This Row],[Last_Order_Date]])</f>
        <v>45391</v>
      </c>
      <c r="M224" s="45">
        <f>GroDB[[#This Row],[Date_Received1]]-GroDB[[#This Row],[Procurement_Date]]</f>
        <v>60</v>
      </c>
      <c r="N224" s="43">
        <v>45629</v>
      </c>
      <c r="O224" s="91">
        <f>GroDB[[#This Row],[Expiration_Date]]-GroDB[[#This Row],[Date_Received1]]</f>
        <v>178</v>
      </c>
      <c r="P224" s="4">
        <v>3.2</v>
      </c>
      <c r="Q224" s="3">
        <v>22</v>
      </c>
      <c r="R224" s="3">
        <v>56</v>
      </c>
      <c r="S224" s="3">
        <v>72</v>
      </c>
      <c r="T224" s="4">
        <v>4</v>
      </c>
      <c r="U224" s="3">
        <v>70</v>
      </c>
      <c r="V224" s="51">
        <f>IF(GroDB[[#This Row],[LeadTime]]=0,GroDB[[#This Row],[Sales_Volume]],GroDB[[#This Row],[Sales_Volume]]/GroDB[[#This Row],[LeadTime]])</f>
        <v>1.1666666666666667</v>
      </c>
      <c r="W224" s="51">
        <f>_xlfn.STDEV.S(GroDB[Daily Sales])</f>
        <v>5.1999899792654221</v>
      </c>
      <c r="X224" s="3">
        <v>39</v>
      </c>
      <c r="Y224" s="7">
        <v>0.14000000000000001</v>
      </c>
      <c r="Z224" s="4">
        <f>GroDB[[#This Row],[Unit_Price]]*GroDB[[#This Row],[Sales_Volume]]</f>
        <v>280</v>
      </c>
      <c r="AA224" s="22">
        <f>GroDB[[#This Row],[ADU]]/GroDB[[#Totals],[ADU]]</f>
        <v>8.1331668977551092E-4</v>
      </c>
      <c r="AB224" s="1">
        <f>GroDB[[#This Row],[Sales_Volume]]*GroDB[[#This Row],[Ordering Cost]]</f>
        <v>224</v>
      </c>
    </row>
    <row r="225" spans="1:28" x14ac:dyDescent="0.35">
      <c r="A225" s="5" t="s">
        <v>947</v>
      </c>
      <c r="B225" s="3" t="s">
        <v>18</v>
      </c>
      <c r="C225" s="3" t="s">
        <v>948</v>
      </c>
      <c r="D225" s="3" t="s">
        <v>949</v>
      </c>
      <c r="E225" s="3" t="s">
        <v>56</v>
      </c>
      <c r="F225" s="3" t="s">
        <v>950</v>
      </c>
      <c r="G225" s="3" t="s">
        <v>951</v>
      </c>
      <c r="H225" s="43">
        <v>45421</v>
      </c>
      <c r="I225" s="43">
        <v>45351</v>
      </c>
      <c r="J225" s="47" t="str">
        <f>IF(GroDB[[#This Row],[Last_Order_Date]]&lt;=GroDB[[#This Row],[Date_Received]], "Yes", "No")</f>
        <v>Yes</v>
      </c>
      <c r="K225" s="43">
        <f>IF(GroDB[[#This Row],[Column1]]="No",GroDB[[#This Row],[Last_Order_Date]],GroDB[[#This Row],[Date_Received]])</f>
        <v>45421</v>
      </c>
      <c r="L225" s="43">
        <f>IF(GroDB[[#This Row],[Column1]]="No",GroDB[[#This Row],[Date_Received]],GroDB[[#This Row],[Last_Order_Date]])</f>
        <v>45351</v>
      </c>
      <c r="M225" s="45">
        <f>GroDB[[#This Row],[Date_Received1]]-GroDB[[#This Row],[Procurement_Date]]</f>
        <v>70</v>
      </c>
      <c r="N225" s="43">
        <v>45436</v>
      </c>
      <c r="O225" s="91">
        <f>GroDB[[#This Row],[Expiration_Date]]-GroDB[[#This Row],[Date_Received1]]</f>
        <v>15</v>
      </c>
      <c r="P225" s="4">
        <v>0.96</v>
      </c>
      <c r="Q225" s="3">
        <v>26</v>
      </c>
      <c r="R225" s="3">
        <v>63</v>
      </c>
      <c r="S225" s="3">
        <v>88</v>
      </c>
      <c r="T225" s="4">
        <v>1.2</v>
      </c>
      <c r="U225" s="3">
        <v>84</v>
      </c>
      <c r="V225" s="51">
        <f>IF(GroDB[[#This Row],[LeadTime]]=0,GroDB[[#This Row],[Sales_Volume]],GroDB[[#This Row],[Sales_Volume]]/GroDB[[#This Row],[LeadTime]])</f>
        <v>1.2</v>
      </c>
      <c r="W225" s="51">
        <f>_xlfn.STDEV.S(GroDB[Daily Sales])</f>
        <v>5.1999899792654221</v>
      </c>
      <c r="X225" s="3">
        <v>70</v>
      </c>
      <c r="Y225" s="7">
        <v>0.44</v>
      </c>
      <c r="Z225" s="4">
        <f>GroDB[[#This Row],[Unit_Price]]*GroDB[[#This Row],[Sales_Volume]]</f>
        <v>100.8</v>
      </c>
      <c r="AA225" s="22">
        <f>GroDB[[#This Row],[ADU]]/GroDB[[#Totals],[ADU]]</f>
        <v>2.9279400831918391E-4</v>
      </c>
      <c r="AB225" s="1">
        <f>GroDB[[#This Row],[Sales_Volume]]*GroDB[[#This Row],[Ordering Cost]]</f>
        <v>80.64</v>
      </c>
    </row>
    <row r="226" spans="1:28" x14ac:dyDescent="0.35">
      <c r="A226" s="5" t="s">
        <v>674</v>
      </c>
      <c r="B226" s="3" t="s">
        <v>60</v>
      </c>
      <c r="C226" s="3" t="s">
        <v>952</v>
      </c>
      <c r="D226" s="3" t="s">
        <v>953</v>
      </c>
      <c r="E226" s="3" t="s">
        <v>56</v>
      </c>
      <c r="F226" s="3" t="s">
        <v>954</v>
      </c>
      <c r="G226" s="3" t="s">
        <v>955</v>
      </c>
      <c r="H226" s="43">
        <v>45452</v>
      </c>
      <c r="I226" s="43">
        <v>45465</v>
      </c>
      <c r="J226" s="47" t="str">
        <f>IF(GroDB[[#This Row],[Last_Order_Date]]&lt;=GroDB[[#This Row],[Date_Received]], "Yes", "No")</f>
        <v>No</v>
      </c>
      <c r="K226" s="43">
        <f>IF(GroDB[[#This Row],[Column1]]="No",GroDB[[#This Row],[Last_Order_Date]],GroDB[[#This Row],[Date_Received]])</f>
        <v>45465</v>
      </c>
      <c r="L226" s="43">
        <f>IF(GroDB[[#This Row],[Column1]]="No",GroDB[[#This Row],[Date_Received]],GroDB[[#This Row],[Last_Order_Date]])</f>
        <v>45452</v>
      </c>
      <c r="M226" s="45">
        <f>GroDB[[#This Row],[Date_Received1]]-GroDB[[#This Row],[Procurement_Date]]</f>
        <v>13</v>
      </c>
      <c r="N226" s="43">
        <v>45399</v>
      </c>
      <c r="O226" s="91">
        <f>GroDB[[#This Row],[Expiration_Date]]-GroDB[[#This Row],[Date_Received1]]</f>
        <v>-66</v>
      </c>
      <c r="P226" s="4">
        <v>7.2</v>
      </c>
      <c r="Q226" s="3">
        <v>93</v>
      </c>
      <c r="R226" s="3">
        <v>62</v>
      </c>
      <c r="S226" s="3">
        <v>65</v>
      </c>
      <c r="T226" s="4">
        <v>9</v>
      </c>
      <c r="U226" s="3">
        <v>78</v>
      </c>
      <c r="V226" s="51">
        <f>IF(GroDB[[#This Row],[LeadTime]]=0,GroDB[[#This Row],[Sales_Volume]],GroDB[[#This Row],[Sales_Volume]]/GroDB[[#This Row],[LeadTime]])</f>
        <v>6</v>
      </c>
      <c r="W226" s="51">
        <f>_xlfn.STDEV.S(GroDB[Daily Sales])</f>
        <v>5.1999899792654221</v>
      </c>
      <c r="X226" s="3">
        <v>87</v>
      </c>
      <c r="Y226" s="7">
        <v>0.17</v>
      </c>
      <c r="Z226" s="4">
        <f>GroDB[[#This Row],[Unit_Price]]*GroDB[[#This Row],[Sales_Volume]]</f>
        <v>702</v>
      </c>
      <c r="AA226" s="22">
        <f>GroDB[[#This Row],[ADU]]/GroDB[[#Totals],[ADU]]</f>
        <v>2.0391011293657453E-3</v>
      </c>
      <c r="AB226" s="1">
        <f>GroDB[[#This Row],[Sales_Volume]]*GroDB[[#This Row],[Ordering Cost]]</f>
        <v>561.6</v>
      </c>
    </row>
    <row r="227" spans="1:28" x14ac:dyDescent="0.35">
      <c r="A227" s="5" t="s">
        <v>355</v>
      </c>
      <c r="B227" s="3" t="s">
        <v>18</v>
      </c>
      <c r="C227" s="3" t="s">
        <v>138</v>
      </c>
      <c r="D227" s="3" t="s">
        <v>956</v>
      </c>
      <c r="E227" s="3" t="s">
        <v>28</v>
      </c>
      <c r="F227" s="3" t="s">
        <v>957</v>
      </c>
      <c r="G227" s="3" t="s">
        <v>958</v>
      </c>
      <c r="H227" s="43">
        <v>45452</v>
      </c>
      <c r="I227" s="43">
        <v>45456</v>
      </c>
      <c r="J227" s="47" t="str">
        <f>IF(GroDB[[#This Row],[Last_Order_Date]]&lt;=GroDB[[#This Row],[Date_Received]], "Yes", "No")</f>
        <v>No</v>
      </c>
      <c r="K227" s="43">
        <f>IF(GroDB[[#This Row],[Column1]]="No",GroDB[[#This Row],[Last_Order_Date]],GroDB[[#This Row],[Date_Received]])</f>
        <v>45456</v>
      </c>
      <c r="L227" s="43">
        <f>IF(GroDB[[#This Row],[Column1]]="No",GroDB[[#This Row],[Date_Received]],GroDB[[#This Row],[Last_Order_Date]])</f>
        <v>45452</v>
      </c>
      <c r="M227" s="45">
        <f>GroDB[[#This Row],[Date_Received1]]-GroDB[[#This Row],[Procurement_Date]]</f>
        <v>4</v>
      </c>
      <c r="N227" s="43">
        <v>45606</v>
      </c>
      <c r="O227" s="91">
        <f>GroDB[[#This Row],[Expiration_Date]]-GroDB[[#This Row],[Date_Received1]]</f>
        <v>150</v>
      </c>
      <c r="P227" s="4">
        <v>0.8</v>
      </c>
      <c r="Q227" s="3">
        <v>12</v>
      </c>
      <c r="R227" s="3">
        <v>95</v>
      </c>
      <c r="S227" s="3">
        <v>49</v>
      </c>
      <c r="T227" s="4">
        <v>1</v>
      </c>
      <c r="U227" s="3">
        <v>25</v>
      </c>
      <c r="V227" s="51">
        <f>IF(GroDB[[#This Row],[LeadTime]]=0,GroDB[[#This Row],[Sales_Volume]],GroDB[[#This Row],[Sales_Volume]]/GroDB[[#This Row],[LeadTime]])</f>
        <v>6.25</v>
      </c>
      <c r="W227" s="51">
        <f>_xlfn.STDEV.S(GroDB[Daily Sales])</f>
        <v>5.1999899792654221</v>
      </c>
      <c r="X227" s="3">
        <v>23</v>
      </c>
      <c r="Y227" s="7">
        <v>-0.12</v>
      </c>
      <c r="Z227" s="4">
        <f>GroDB[[#This Row],[Unit_Price]]*GroDB[[#This Row],[Sales_Volume]]</f>
        <v>25</v>
      </c>
      <c r="AA227" s="22">
        <f>GroDB[[#This Row],[ADU]]/GroDB[[#Totals],[ADU]]</f>
        <v>7.2617561587099184E-5</v>
      </c>
      <c r="AB227" s="1">
        <f>GroDB[[#This Row],[Sales_Volume]]*GroDB[[#This Row],[Ordering Cost]]</f>
        <v>20</v>
      </c>
    </row>
    <row r="228" spans="1:28" x14ac:dyDescent="0.35">
      <c r="A228" s="5" t="s">
        <v>615</v>
      </c>
      <c r="B228" s="3" t="s">
        <v>32</v>
      </c>
      <c r="C228" s="3" t="s">
        <v>189</v>
      </c>
      <c r="D228" s="3" t="s">
        <v>959</v>
      </c>
      <c r="E228" s="3" t="s">
        <v>21</v>
      </c>
      <c r="F228" s="3" t="s">
        <v>960</v>
      </c>
      <c r="G228" s="3" t="s">
        <v>961</v>
      </c>
      <c r="H228" s="43">
        <v>45452</v>
      </c>
      <c r="I228" s="43">
        <v>45388</v>
      </c>
      <c r="J228" s="47" t="str">
        <f>IF(GroDB[[#This Row],[Last_Order_Date]]&lt;=GroDB[[#This Row],[Date_Received]], "Yes", "No")</f>
        <v>Yes</v>
      </c>
      <c r="K228" s="43">
        <f>IF(GroDB[[#This Row],[Column1]]="No",GroDB[[#This Row],[Last_Order_Date]],GroDB[[#This Row],[Date_Received]])</f>
        <v>45452</v>
      </c>
      <c r="L228" s="43">
        <f>IF(GroDB[[#This Row],[Column1]]="No",GroDB[[#This Row],[Date_Received]],GroDB[[#This Row],[Last_Order_Date]])</f>
        <v>45388</v>
      </c>
      <c r="M228" s="45">
        <f>GroDB[[#This Row],[Date_Received1]]-GroDB[[#This Row],[Procurement_Date]]</f>
        <v>64</v>
      </c>
      <c r="N228" s="43">
        <v>45392</v>
      </c>
      <c r="O228" s="91">
        <f>GroDB[[#This Row],[Expiration_Date]]-GroDB[[#This Row],[Date_Received1]]</f>
        <v>-60</v>
      </c>
      <c r="P228" s="4">
        <v>1.6</v>
      </c>
      <c r="Q228" s="3">
        <v>23</v>
      </c>
      <c r="R228" s="3">
        <v>99</v>
      </c>
      <c r="S228" s="3">
        <v>97</v>
      </c>
      <c r="T228" s="4">
        <v>2</v>
      </c>
      <c r="U228" s="3">
        <v>68</v>
      </c>
      <c r="V228" s="51">
        <f>IF(GroDB[[#This Row],[LeadTime]]=0,GroDB[[#This Row],[Sales_Volume]],GroDB[[#This Row],[Sales_Volume]]/GroDB[[#This Row],[LeadTime]])</f>
        <v>1.0625</v>
      </c>
      <c r="W228" s="51">
        <f>_xlfn.STDEV.S(GroDB[Daily Sales])</f>
        <v>5.1999899792654221</v>
      </c>
      <c r="X228" s="3">
        <v>76</v>
      </c>
      <c r="Y228" s="7">
        <v>0.08</v>
      </c>
      <c r="Z228" s="4">
        <f>GroDB[[#This Row],[Unit_Price]]*GroDB[[#This Row],[Sales_Volume]]</f>
        <v>136</v>
      </c>
      <c r="AA228" s="22">
        <f>GroDB[[#This Row],[ADU]]/GroDB[[#Totals],[ADU]]</f>
        <v>3.9503953503381957E-4</v>
      </c>
      <c r="AB228" s="1">
        <f>GroDB[[#This Row],[Sales_Volume]]*GroDB[[#This Row],[Ordering Cost]]</f>
        <v>108.80000000000001</v>
      </c>
    </row>
    <row r="229" spans="1:28" x14ac:dyDescent="0.35">
      <c r="A229" s="5" t="s">
        <v>225</v>
      </c>
      <c r="B229" s="3" t="s">
        <v>91</v>
      </c>
      <c r="C229" s="3" t="s">
        <v>962</v>
      </c>
      <c r="D229" s="3" t="s">
        <v>963</v>
      </c>
      <c r="E229" s="3" t="s">
        <v>56</v>
      </c>
      <c r="F229" s="3" t="s">
        <v>964</v>
      </c>
      <c r="G229" s="3" t="s">
        <v>965</v>
      </c>
      <c r="H229" s="43">
        <v>45482</v>
      </c>
      <c r="I229" s="43">
        <v>45705</v>
      </c>
      <c r="J229" s="47" t="str">
        <f>IF(GroDB[[#This Row],[Last_Order_Date]]&lt;=GroDB[[#This Row],[Date_Received]], "Yes", "No")</f>
        <v>No</v>
      </c>
      <c r="K229" s="43">
        <f>IF(GroDB[[#This Row],[Column1]]="No",GroDB[[#This Row],[Last_Order_Date]],GroDB[[#This Row],[Date_Received]])</f>
        <v>45705</v>
      </c>
      <c r="L229" s="43">
        <f>IF(GroDB[[#This Row],[Column1]]="No",GroDB[[#This Row],[Date_Received]],GroDB[[#This Row],[Last_Order_Date]])</f>
        <v>45482</v>
      </c>
      <c r="M229" s="45">
        <f>GroDB[[#This Row],[Date_Received1]]-GroDB[[#This Row],[Procurement_Date]]</f>
        <v>223</v>
      </c>
      <c r="N229" s="43">
        <v>45708</v>
      </c>
      <c r="O229" s="91">
        <f>GroDB[[#This Row],[Expiration_Date]]-GroDB[[#This Row],[Date_Received1]]</f>
        <v>3</v>
      </c>
      <c r="P229" s="4">
        <v>4</v>
      </c>
      <c r="Q229" s="3">
        <v>75</v>
      </c>
      <c r="R229" s="3">
        <v>81</v>
      </c>
      <c r="S229" s="3">
        <v>17</v>
      </c>
      <c r="T229" s="4">
        <v>5</v>
      </c>
      <c r="U229" s="3">
        <v>69</v>
      </c>
      <c r="V229" s="51">
        <f>IF(GroDB[[#This Row],[LeadTime]]=0,GroDB[[#This Row],[Sales_Volume]],GroDB[[#This Row],[Sales_Volume]]/GroDB[[#This Row],[LeadTime]])</f>
        <v>0.3094170403587444</v>
      </c>
      <c r="W229" s="51">
        <f>_xlfn.STDEV.S(GroDB[Daily Sales])</f>
        <v>5.1999899792654221</v>
      </c>
      <c r="X229" s="3">
        <v>38</v>
      </c>
      <c r="Y229" s="7">
        <v>-0.12</v>
      </c>
      <c r="Z229" s="4">
        <f>GroDB[[#This Row],[Unit_Price]]*GroDB[[#This Row],[Sales_Volume]]</f>
        <v>345</v>
      </c>
      <c r="AA229" s="22">
        <f>GroDB[[#This Row],[ADU]]/GroDB[[#Totals],[ADU]]</f>
        <v>1.0021223499019688E-3</v>
      </c>
      <c r="AB229" s="1">
        <f>GroDB[[#This Row],[Sales_Volume]]*GroDB[[#This Row],[Ordering Cost]]</f>
        <v>276</v>
      </c>
    </row>
    <row r="230" spans="1:28" x14ac:dyDescent="0.35">
      <c r="A230" s="5" t="s">
        <v>151</v>
      </c>
      <c r="B230" s="3" t="s">
        <v>91</v>
      </c>
      <c r="C230" s="3" t="s">
        <v>138</v>
      </c>
      <c r="D230" s="3" t="s">
        <v>966</v>
      </c>
      <c r="E230" s="3" t="s">
        <v>28</v>
      </c>
      <c r="F230" s="3" t="s">
        <v>967</v>
      </c>
      <c r="G230" s="3" t="s">
        <v>968</v>
      </c>
      <c r="H230" s="43">
        <v>45482</v>
      </c>
      <c r="I230" s="43">
        <v>45604</v>
      </c>
      <c r="J230" s="47" t="str">
        <f>IF(GroDB[[#This Row],[Last_Order_Date]]&lt;=GroDB[[#This Row],[Date_Received]], "Yes", "No")</f>
        <v>No</v>
      </c>
      <c r="K230" s="43">
        <f>IF(GroDB[[#This Row],[Column1]]="No",GroDB[[#This Row],[Last_Order_Date]],GroDB[[#This Row],[Date_Received]])</f>
        <v>45604</v>
      </c>
      <c r="L230" s="43">
        <f>IF(GroDB[[#This Row],[Column1]]="No",GroDB[[#This Row],[Date_Received]],GroDB[[#This Row],[Last_Order_Date]])</f>
        <v>45482</v>
      </c>
      <c r="M230" s="45">
        <f>GroDB[[#This Row],[Date_Received1]]-GroDB[[#This Row],[Procurement_Date]]</f>
        <v>122</v>
      </c>
      <c r="N230" s="43">
        <v>45485</v>
      </c>
      <c r="O230" s="91">
        <f>GroDB[[#This Row],[Expiration_Date]]-GroDB[[#This Row],[Date_Received1]]</f>
        <v>-119</v>
      </c>
      <c r="P230" s="4">
        <v>3.3600000000000003</v>
      </c>
      <c r="Q230" s="3">
        <v>22</v>
      </c>
      <c r="R230" s="3">
        <v>60</v>
      </c>
      <c r="S230" s="3">
        <v>73</v>
      </c>
      <c r="T230" s="4">
        <v>4.2</v>
      </c>
      <c r="U230" s="3">
        <v>62</v>
      </c>
      <c r="V230" s="51">
        <f>IF(GroDB[[#This Row],[LeadTime]]=0,GroDB[[#This Row],[Sales_Volume]],GroDB[[#This Row],[Sales_Volume]]/GroDB[[#This Row],[LeadTime]])</f>
        <v>0.50819672131147542</v>
      </c>
      <c r="W230" s="51">
        <f>_xlfn.STDEV.S(GroDB[Daily Sales])</f>
        <v>5.1999899792654221</v>
      </c>
      <c r="X230" s="3">
        <v>3</v>
      </c>
      <c r="Y230" s="7">
        <v>0.45</v>
      </c>
      <c r="Z230" s="4">
        <f>GroDB[[#This Row],[Unit_Price]]*GroDB[[#This Row],[Sales_Volume]]</f>
        <v>260.40000000000003</v>
      </c>
      <c r="AA230" s="22">
        <f>GroDB[[#This Row],[ADU]]/GroDB[[#Totals],[ADU]]</f>
        <v>7.5638452149122523E-4</v>
      </c>
      <c r="AB230" s="1">
        <f>GroDB[[#This Row],[Sales_Volume]]*GroDB[[#This Row],[Ordering Cost]]</f>
        <v>208.32000000000002</v>
      </c>
    </row>
    <row r="231" spans="1:28" x14ac:dyDescent="0.35">
      <c r="A231" s="5" t="s">
        <v>392</v>
      </c>
      <c r="B231" s="3" t="s">
        <v>18</v>
      </c>
      <c r="C231" s="3" t="s">
        <v>376</v>
      </c>
      <c r="D231" s="3" t="s">
        <v>969</v>
      </c>
      <c r="E231" s="3" t="s">
        <v>28</v>
      </c>
      <c r="F231" s="3" t="s">
        <v>970</v>
      </c>
      <c r="G231" s="3" t="s">
        <v>971</v>
      </c>
      <c r="H231" s="43">
        <v>45482</v>
      </c>
      <c r="I231" s="43">
        <v>45376</v>
      </c>
      <c r="J231" s="47" t="str">
        <f>IF(GroDB[[#This Row],[Last_Order_Date]]&lt;=GroDB[[#This Row],[Date_Received]], "Yes", "No")</f>
        <v>Yes</v>
      </c>
      <c r="K231" s="43">
        <f>IF(GroDB[[#This Row],[Column1]]="No",GroDB[[#This Row],[Last_Order_Date]],GroDB[[#This Row],[Date_Received]])</f>
        <v>45482</v>
      </c>
      <c r="L231" s="43">
        <f>IF(GroDB[[#This Row],[Column1]]="No",GroDB[[#This Row],[Date_Received]],GroDB[[#This Row],[Last_Order_Date]])</f>
        <v>45376</v>
      </c>
      <c r="M231" s="45">
        <f>GroDB[[#This Row],[Date_Received1]]-GroDB[[#This Row],[Procurement_Date]]</f>
        <v>106</v>
      </c>
      <c r="N231" s="43">
        <v>45565</v>
      </c>
      <c r="O231" s="91">
        <f>GroDB[[#This Row],[Expiration_Date]]-GroDB[[#This Row],[Date_Received1]]</f>
        <v>83</v>
      </c>
      <c r="P231" s="4">
        <v>4.4000000000000004</v>
      </c>
      <c r="Q231" s="3">
        <v>87</v>
      </c>
      <c r="R231" s="3">
        <v>62</v>
      </c>
      <c r="S231" s="3">
        <v>2</v>
      </c>
      <c r="T231" s="4">
        <v>5.5</v>
      </c>
      <c r="U231" s="3">
        <v>22</v>
      </c>
      <c r="V231" s="51">
        <f>IF(GroDB[[#This Row],[LeadTime]]=0,GroDB[[#This Row],[Sales_Volume]],GroDB[[#This Row],[Sales_Volume]]/GroDB[[#This Row],[LeadTime]])</f>
        <v>0.20754716981132076</v>
      </c>
      <c r="W231" s="51">
        <f>_xlfn.STDEV.S(GroDB[Daily Sales])</f>
        <v>5.1999899792654221</v>
      </c>
      <c r="X231" s="3">
        <v>38</v>
      </c>
      <c r="Y231" s="7">
        <v>0.95</v>
      </c>
      <c r="Z231" s="4">
        <f>GroDB[[#This Row],[Unit_Price]]*GroDB[[#This Row],[Sales_Volume]]</f>
        <v>121</v>
      </c>
      <c r="AA231" s="22">
        <f>GroDB[[#This Row],[ADU]]/GroDB[[#Totals],[ADU]]</f>
        <v>3.5146899808156007E-4</v>
      </c>
      <c r="AB231" s="1">
        <f>GroDB[[#This Row],[Sales_Volume]]*GroDB[[#This Row],[Ordering Cost]]</f>
        <v>96.800000000000011</v>
      </c>
    </row>
    <row r="232" spans="1:28" x14ac:dyDescent="0.35">
      <c r="A232" s="5" t="s">
        <v>116</v>
      </c>
      <c r="B232" s="3" t="s">
        <v>18</v>
      </c>
      <c r="C232" s="3" t="s">
        <v>972</v>
      </c>
      <c r="D232" s="3" t="s">
        <v>973</v>
      </c>
      <c r="E232" s="3" t="s">
        <v>56</v>
      </c>
      <c r="F232" s="3" t="s">
        <v>974</v>
      </c>
      <c r="G232" s="3" t="s">
        <v>975</v>
      </c>
      <c r="H232" s="43">
        <v>45513</v>
      </c>
      <c r="I232" s="43">
        <v>45578</v>
      </c>
      <c r="J232" s="47" t="str">
        <f>IF(GroDB[[#This Row],[Last_Order_Date]]&lt;=GroDB[[#This Row],[Date_Received]], "Yes", "No")</f>
        <v>No</v>
      </c>
      <c r="K232" s="43">
        <f>IF(GroDB[[#This Row],[Column1]]="No",GroDB[[#This Row],[Last_Order_Date]],GroDB[[#This Row],[Date_Received]])</f>
        <v>45578</v>
      </c>
      <c r="L232" s="43">
        <f>IF(GroDB[[#This Row],[Column1]]="No",GroDB[[#This Row],[Date_Received]],GroDB[[#This Row],[Last_Order_Date]])</f>
        <v>45513</v>
      </c>
      <c r="M232" s="45">
        <f>GroDB[[#This Row],[Date_Received1]]-GroDB[[#This Row],[Procurement_Date]]</f>
        <v>65</v>
      </c>
      <c r="N232" s="43">
        <v>45504</v>
      </c>
      <c r="O232" s="91">
        <f>GroDB[[#This Row],[Expiration_Date]]-GroDB[[#This Row],[Date_Received1]]</f>
        <v>-74</v>
      </c>
      <c r="P232" s="4">
        <v>2.4000000000000004</v>
      </c>
      <c r="Q232" s="3">
        <v>74</v>
      </c>
      <c r="R232" s="3">
        <v>30</v>
      </c>
      <c r="S232" s="3">
        <v>24</v>
      </c>
      <c r="T232" s="4">
        <v>3</v>
      </c>
      <c r="U232" s="3">
        <v>82</v>
      </c>
      <c r="V232" s="51">
        <f>IF(GroDB[[#This Row],[LeadTime]]=0,GroDB[[#This Row],[Sales_Volume]],GroDB[[#This Row],[Sales_Volume]]/GroDB[[#This Row],[LeadTime]])</f>
        <v>1.2615384615384615</v>
      </c>
      <c r="W232" s="51">
        <f>_xlfn.STDEV.S(GroDB[Daily Sales])</f>
        <v>5.1999899792654221</v>
      </c>
      <c r="X232" s="3">
        <v>12</v>
      </c>
      <c r="Y232" s="7">
        <v>-0.73</v>
      </c>
      <c r="Z232" s="4">
        <f>GroDB[[#This Row],[Unit_Price]]*GroDB[[#This Row],[Sales_Volume]]</f>
        <v>246</v>
      </c>
      <c r="AA232" s="22">
        <f>GroDB[[#This Row],[ADU]]/GroDB[[#Totals],[ADU]]</f>
        <v>7.1455680601705603E-4</v>
      </c>
      <c r="AB232" s="1">
        <f>GroDB[[#This Row],[Sales_Volume]]*GroDB[[#This Row],[Ordering Cost]]</f>
        <v>196.80000000000004</v>
      </c>
    </row>
    <row r="233" spans="1:28" x14ac:dyDescent="0.35">
      <c r="A233" s="5" t="s">
        <v>976</v>
      </c>
      <c r="B233" s="3" t="s">
        <v>60</v>
      </c>
      <c r="C233" s="3" t="s">
        <v>747</v>
      </c>
      <c r="D233" s="3" t="s">
        <v>977</v>
      </c>
      <c r="E233" s="3" t="s">
        <v>56</v>
      </c>
      <c r="F233" s="3" t="s">
        <v>978</v>
      </c>
      <c r="G233" s="3" t="s">
        <v>979</v>
      </c>
      <c r="H233" s="43">
        <v>45513</v>
      </c>
      <c r="I233" s="43">
        <v>45633</v>
      </c>
      <c r="J233" s="47" t="str">
        <f>IF(GroDB[[#This Row],[Last_Order_Date]]&lt;=GroDB[[#This Row],[Date_Received]], "Yes", "No")</f>
        <v>No</v>
      </c>
      <c r="K233" s="43">
        <f>IF(GroDB[[#This Row],[Column1]]="No",GroDB[[#This Row],[Last_Order_Date]],GroDB[[#This Row],[Date_Received]])</f>
        <v>45633</v>
      </c>
      <c r="L233" s="43">
        <f>IF(GroDB[[#This Row],[Column1]]="No",GroDB[[#This Row],[Date_Received]],GroDB[[#This Row],[Last_Order_Date]])</f>
        <v>45513</v>
      </c>
      <c r="M233" s="45">
        <f>GroDB[[#This Row],[Date_Received1]]-GroDB[[#This Row],[Procurement_Date]]</f>
        <v>120</v>
      </c>
      <c r="N233" s="43">
        <v>45498</v>
      </c>
      <c r="O233" s="91">
        <f>GroDB[[#This Row],[Expiration_Date]]-GroDB[[#This Row],[Date_Received1]]</f>
        <v>-135</v>
      </c>
      <c r="P233" s="4">
        <v>16</v>
      </c>
      <c r="Q233" s="3">
        <v>47</v>
      </c>
      <c r="R233" s="3">
        <v>29</v>
      </c>
      <c r="S233" s="3">
        <v>70</v>
      </c>
      <c r="T233" s="4">
        <v>20</v>
      </c>
      <c r="U233" s="3">
        <v>61</v>
      </c>
      <c r="V233" s="51">
        <f>IF(GroDB[[#This Row],[LeadTime]]=0,GroDB[[#This Row],[Sales_Volume]],GroDB[[#This Row],[Sales_Volume]]/GroDB[[#This Row],[LeadTime]])</f>
        <v>0.5083333333333333</v>
      </c>
      <c r="W233" s="51">
        <f>_xlfn.STDEV.S(GroDB[Daily Sales])</f>
        <v>5.1999899792654221</v>
      </c>
      <c r="X233" s="3">
        <v>44</v>
      </c>
      <c r="Y233" s="7">
        <v>0.85</v>
      </c>
      <c r="Z233" s="4">
        <f>GroDB[[#This Row],[Unit_Price]]*GroDB[[#This Row],[Sales_Volume]]</f>
        <v>1220</v>
      </c>
      <c r="AA233" s="22">
        <f>GroDB[[#This Row],[ADU]]/GroDB[[#Totals],[ADU]]</f>
        <v>3.5437370054504404E-3</v>
      </c>
      <c r="AB233" s="1">
        <f>GroDB[[#This Row],[Sales_Volume]]*GroDB[[#This Row],[Ordering Cost]]</f>
        <v>976</v>
      </c>
    </row>
    <row r="234" spans="1:28" x14ac:dyDescent="0.35">
      <c r="A234" s="5" t="s">
        <v>980</v>
      </c>
      <c r="B234" s="3" t="s">
        <v>60</v>
      </c>
      <c r="C234" s="3" t="s">
        <v>692</v>
      </c>
      <c r="D234" s="3" t="s">
        <v>981</v>
      </c>
      <c r="E234" s="3" t="s">
        <v>56</v>
      </c>
      <c r="F234" s="3" t="s">
        <v>982</v>
      </c>
      <c r="G234" s="3" t="s">
        <v>983</v>
      </c>
      <c r="H234" s="43">
        <v>45513</v>
      </c>
      <c r="I234" s="43">
        <v>45655</v>
      </c>
      <c r="J234" s="47" t="str">
        <f>IF(GroDB[[#This Row],[Last_Order_Date]]&lt;=GroDB[[#This Row],[Date_Received]], "Yes", "No")</f>
        <v>No</v>
      </c>
      <c r="K234" s="43">
        <f>IF(GroDB[[#This Row],[Column1]]="No",GroDB[[#This Row],[Last_Order_Date]],GroDB[[#This Row],[Date_Received]])</f>
        <v>45655</v>
      </c>
      <c r="L234" s="43">
        <f>IF(GroDB[[#This Row],[Column1]]="No",GroDB[[#This Row],[Date_Received]],GroDB[[#This Row],[Last_Order_Date]])</f>
        <v>45513</v>
      </c>
      <c r="M234" s="45">
        <f>GroDB[[#This Row],[Date_Received1]]-GroDB[[#This Row],[Procurement_Date]]</f>
        <v>142</v>
      </c>
      <c r="N234" s="43">
        <v>45386</v>
      </c>
      <c r="O234" s="91">
        <f>GroDB[[#This Row],[Expiration_Date]]-GroDB[[#This Row],[Date_Received1]]</f>
        <v>-269</v>
      </c>
      <c r="P234" s="4">
        <v>12</v>
      </c>
      <c r="Q234" s="3">
        <v>98</v>
      </c>
      <c r="R234" s="3">
        <v>67</v>
      </c>
      <c r="S234" s="3">
        <v>49</v>
      </c>
      <c r="T234" s="4">
        <v>15</v>
      </c>
      <c r="U234" s="3">
        <v>21</v>
      </c>
      <c r="V234" s="51">
        <f>IF(GroDB[[#This Row],[LeadTime]]=0,GroDB[[#This Row],[Sales_Volume]],GroDB[[#This Row],[Sales_Volume]]/GroDB[[#This Row],[LeadTime]])</f>
        <v>0.14788732394366197</v>
      </c>
      <c r="W234" s="51">
        <f>_xlfn.STDEV.S(GroDB[Daily Sales])</f>
        <v>5.1999899792654221</v>
      </c>
      <c r="X234" s="3">
        <v>61</v>
      </c>
      <c r="Y234" s="7">
        <v>0.28000000000000003</v>
      </c>
      <c r="Z234" s="4">
        <f>GroDB[[#This Row],[Unit_Price]]*GroDB[[#This Row],[Sales_Volume]]</f>
        <v>315</v>
      </c>
      <c r="AA234" s="22">
        <f>GroDB[[#This Row],[ADU]]/GroDB[[#Totals],[ADU]]</f>
        <v>9.1498127599744976E-4</v>
      </c>
      <c r="AB234" s="1">
        <f>GroDB[[#This Row],[Sales_Volume]]*GroDB[[#This Row],[Ordering Cost]]</f>
        <v>252</v>
      </c>
    </row>
    <row r="235" spans="1:28" x14ac:dyDescent="0.35">
      <c r="A235" s="5" t="s">
        <v>984</v>
      </c>
      <c r="B235" s="3" t="s">
        <v>18</v>
      </c>
      <c r="C235" s="3" t="s">
        <v>985</v>
      </c>
      <c r="D235" s="3" t="s">
        <v>986</v>
      </c>
      <c r="E235" s="3" t="s">
        <v>21</v>
      </c>
      <c r="F235" s="3" t="s">
        <v>987</v>
      </c>
      <c r="G235" s="3" t="s">
        <v>988</v>
      </c>
      <c r="H235" s="43">
        <v>45513</v>
      </c>
      <c r="I235" s="43">
        <v>45526</v>
      </c>
      <c r="J235" s="47" t="str">
        <f>IF(GroDB[[#This Row],[Last_Order_Date]]&lt;=GroDB[[#This Row],[Date_Received]], "Yes", "No")</f>
        <v>No</v>
      </c>
      <c r="K235" s="43">
        <f>IF(GroDB[[#This Row],[Column1]]="No",GroDB[[#This Row],[Last_Order_Date]],GroDB[[#This Row],[Date_Received]])</f>
        <v>45526</v>
      </c>
      <c r="L235" s="43">
        <f>IF(GroDB[[#This Row],[Column1]]="No",GroDB[[#This Row],[Date_Received]],GroDB[[#This Row],[Last_Order_Date]])</f>
        <v>45513</v>
      </c>
      <c r="M235" s="45">
        <f>GroDB[[#This Row],[Date_Received1]]-GroDB[[#This Row],[Procurement_Date]]</f>
        <v>13</v>
      </c>
      <c r="N235" s="43">
        <v>45520</v>
      </c>
      <c r="O235" s="91">
        <f>GroDB[[#This Row],[Expiration_Date]]-GroDB[[#This Row],[Date_Received1]]</f>
        <v>-6</v>
      </c>
      <c r="P235" s="4">
        <v>3.2</v>
      </c>
      <c r="Q235" s="3">
        <v>35</v>
      </c>
      <c r="R235" s="3">
        <v>4</v>
      </c>
      <c r="S235" s="3">
        <v>76</v>
      </c>
      <c r="T235" s="4">
        <v>4</v>
      </c>
      <c r="U235" s="3">
        <v>90</v>
      </c>
      <c r="V235" s="51">
        <f>IF(GroDB[[#This Row],[LeadTime]]=0,GroDB[[#This Row],[Sales_Volume]],GroDB[[#This Row],[Sales_Volume]]/GroDB[[#This Row],[LeadTime]])</f>
        <v>6.9230769230769234</v>
      </c>
      <c r="W235" s="51">
        <f>_xlfn.STDEV.S(GroDB[Daily Sales])</f>
        <v>5.1999899792654221</v>
      </c>
      <c r="X235" s="3">
        <v>30</v>
      </c>
      <c r="Y235" s="7">
        <v>-1.9</v>
      </c>
      <c r="Z235" s="4">
        <f>GroDB[[#This Row],[Unit_Price]]*GroDB[[#This Row],[Sales_Volume]]</f>
        <v>360</v>
      </c>
      <c r="AA235" s="22">
        <f>GroDB[[#This Row],[ADU]]/GroDB[[#Totals],[ADU]]</f>
        <v>1.0456928868542283E-3</v>
      </c>
      <c r="AB235" s="1">
        <f>GroDB[[#This Row],[Sales_Volume]]*GroDB[[#This Row],[Ordering Cost]]</f>
        <v>288</v>
      </c>
    </row>
    <row r="236" spans="1:28" x14ac:dyDescent="0.35">
      <c r="A236" s="5" t="s">
        <v>392</v>
      </c>
      <c r="B236" s="3" t="s">
        <v>18</v>
      </c>
      <c r="C236" s="3" t="s">
        <v>989</v>
      </c>
      <c r="D236" s="3" t="s">
        <v>990</v>
      </c>
      <c r="E236" s="3" t="s">
        <v>56</v>
      </c>
      <c r="F236" s="3" t="s">
        <v>991</v>
      </c>
      <c r="G236" s="3" t="s">
        <v>992</v>
      </c>
      <c r="H236" s="43">
        <v>45513</v>
      </c>
      <c r="I236" s="43">
        <v>45696</v>
      </c>
      <c r="J236" s="47" t="str">
        <f>IF(GroDB[[#This Row],[Last_Order_Date]]&lt;=GroDB[[#This Row],[Date_Received]], "Yes", "No")</f>
        <v>No</v>
      </c>
      <c r="K236" s="43">
        <f>IF(GroDB[[#This Row],[Column1]]="No",GroDB[[#This Row],[Last_Order_Date]],GroDB[[#This Row],[Date_Received]])</f>
        <v>45696</v>
      </c>
      <c r="L236" s="43">
        <f>IF(GroDB[[#This Row],[Column1]]="No",GroDB[[#This Row],[Date_Received]],GroDB[[#This Row],[Last_Order_Date]])</f>
        <v>45513</v>
      </c>
      <c r="M236" s="45">
        <f>GroDB[[#This Row],[Date_Received1]]-GroDB[[#This Row],[Procurement_Date]]</f>
        <v>183</v>
      </c>
      <c r="N236" s="43">
        <v>45654</v>
      </c>
      <c r="O236" s="91">
        <f>GroDB[[#This Row],[Expiration_Date]]-GroDB[[#This Row],[Date_Received1]]</f>
        <v>-42</v>
      </c>
      <c r="P236" s="4">
        <v>4.4000000000000004</v>
      </c>
      <c r="Q236" s="3">
        <v>30</v>
      </c>
      <c r="R236" s="3">
        <v>66</v>
      </c>
      <c r="S236" s="3">
        <v>28</v>
      </c>
      <c r="T236" s="4">
        <v>5.5</v>
      </c>
      <c r="U236" s="3">
        <v>63</v>
      </c>
      <c r="V236" s="51">
        <f>IF(GroDB[[#This Row],[LeadTime]]=0,GroDB[[#This Row],[Sales_Volume]],GroDB[[#This Row],[Sales_Volume]]/GroDB[[#This Row],[LeadTime]])</f>
        <v>0.34426229508196721</v>
      </c>
      <c r="W236" s="51">
        <f>_xlfn.STDEV.S(GroDB[Daily Sales])</f>
        <v>5.1999899792654221</v>
      </c>
      <c r="X236" s="3">
        <v>98</v>
      </c>
      <c r="Y236" s="7">
        <v>0.67</v>
      </c>
      <c r="Z236" s="4">
        <f>GroDB[[#This Row],[Unit_Price]]*GroDB[[#This Row],[Sales_Volume]]</f>
        <v>346.5</v>
      </c>
      <c r="AA236" s="22">
        <f>GroDB[[#This Row],[ADU]]/GroDB[[#Totals],[ADU]]</f>
        <v>1.0064794035971947E-3</v>
      </c>
      <c r="AB236" s="1">
        <f>GroDB[[#This Row],[Sales_Volume]]*GroDB[[#This Row],[Ordering Cost]]</f>
        <v>277.20000000000005</v>
      </c>
    </row>
    <row r="237" spans="1:28" x14ac:dyDescent="0.35">
      <c r="A237" s="5" t="s">
        <v>342</v>
      </c>
      <c r="B237" s="3" t="s">
        <v>18</v>
      </c>
      <c r="C237" s="3" t="s">
        <v>922</v>
      </c>
      <c r="D237" s="3" t="s">
        <v>993</v>
      </c>
      <c r="E237" s="3" t="s">
        <v>21</v>
      </c>
      <c r="F237" s="3" t="s">
        <v>994</v>
      </c>
      <c r="G237" s="3" t="s">
        <v>995</v>
      </c>
      <c r="H237" s="43">
        <v>45544</v>
      </c>
      <c r="I237" s="43">
        <v>45702</v>
      </c>
      <c r="J237" s="47" t="str">
        <f>IF(GroDB[[#This Row],[Last_Order_Date]]&lt;=GroDB[[#This Row],[Date_Received]], "Yes", "No")</f>
        <v>No</v>
      </c>
      <c r="K237" s="43">
        <f>IF(GroDB[[#This Row],[Column1]]="No",GroDB[[#This Row],[Last_Order_Date]],GroDB[[#This Row],[Date_Received]])</f>
        <v>45702</v>
      </c>
      <c r="L237" s="43">
        <f>IF(GroDB[[#This Row],[Column1]]="No",GroDB[[#This Row],[Date_Received]],GroDB[[#This Row],[Last_Order_Date]])</f>
        <v>45544</v>
      </c>
      <c r="M237" s="45">
        <f>GroDB[[#This Row],[Date_Received1]]-GroDB[[#This Row],[Procurement_Date]]</f>
        <v>158</v>
      </c>
      <c r="N237" s="43">
        <v>45547</v>
      </c>
      <c r="O237" s="91">
        <f>GroDB[[#This Row],[Expiration_Date]]-GroDB[[#This Row],[Date_Received1]]</f>
        <v>-155</v>
      </c>
      <c r="P237" s="4">
        <v>4.8000000000000007</v>
      </c>
      <c r="Q237" s="3">
        <v>19</v>
      </c>
      <c r="R237" s="3">
        <v>65</v>
      </c>
      <c r="S237" s="3">
        <v>48</v>
      </c>
      <c r="T237" s="4">
        <v>6</v>
      </c>
      <c r="U237" s="3">
        <v>59</v>
      </c>
      <c r="V237" s="51">
        <f>IF(GroDB[[#This Row],[LeadTime]]=0,GroDB[[#This Row],[Sales_Volume]],GroDB[[#This Row],[Sales_Volume]]/GroDB[[#This Row],[LeadTime]])</f>
        <v>0.37341772151898733</v>
      </c>
      <c r="W237" s="51">
        <f>_xlfn.STDEV.S(GroDB[Daily Sales])</f>
        <v>5.1999899792654221</v>
      </c>
      <c r="X237" s="3">
        <v>53</v>
      </c>
      <c r="Y237" s="7">
        <v>-0.56000000000000005</v>
      </c>
      <c r="Z237" s="4">
        <f>GroDB[[#This Row],[Unit_Price]]*GroDB[[#This Row],[Sales_Volume]]</f>
        <v>354</v>
      </c>
      <c r="AA237" s="22">
        <f>GroDB[[#This Row],[ADU]]/GroDB[[#Totals],[ADU]]</f>
        <v>1.0282646720733246E-3</v>
      </c>
      <c r="AB237" s="1">
        <f>GroDB[[#This Row],[Sales_Volume]]*GroDB[[#This Row],[Ordering Cost]]</f>
        <v>283.20000000000005</v>
      </c>
    </row>
    <row r="238" spans="1:28" x14ac:dyDescent="0.35">
      <c r="A238" s="5" t="s">
        <v>175</v>
      </c>
      <c r="B238" s="3" t="s">
        <v>53</v>
      </c>
      <c r="C238" s="3" t="s">
        <v>996</v>
      </c>
      <c r="D238" s="3" t="s">
        <v>997</v>
      </c>
      <c r="E238" s="3" t="s">
        <v>28</v>
      </c>
      <c r="F238" s="3" t="s">
        <v>998</v>
      </c>
      <c r="G238" s="3" t="s">
        <v>999</v>
      </c>
      <c r="H238" s="43">
        <v>45574</v>
      </c>
      <c r="I238" s="43">
        <v>45637</v>
      </c>
      <c r="J238" s="47" t="str">
        <f>IF(GroDB[[#This Row],[Last_Order_Date]]&lt;=GroDB[[#This Row],[Date_Received]], "Yes", "No")</f>
        <v>No</v>
      </c>
      <c r="K238" s="43">
        <f>IF(GroDB[[#This Row],[Column1]]="No",GroDB[[#This Row],[Last_Order_Date]],GroDB[[#This Row],[Date_Received]])</f>
        <v>45637</v>
      </c>
      <c r="L238" s="43">
        <f>IF(GroDB[[#This Row],[Column1]]="No",GroDB[[#This Row],[Date_Received]],GroDB[[#This Row],[Last_Order_Date]])</f>
        <v>45574</v>
      </c>
      <c r="M238" s="45">
        <f>GroDB[[#This Row],[Date_Received1]]-GroDB[[#This Row],[Procurement_Date]]</f>
        <v>63</v>
      </c>
      <c r="N238" s="43">
        <v>45648</v>
      </c>
      <c r="O238" s="91">
        <f>GroDB[[#This Row],[Expiration_Date]]-GroDB[[#This Row],[Date_Received1]]</f>
        <v>11</v>
      </c>
      <c r="P238" s="4">
        <v>1.2000000000000002</v>
      </c>
      <c r="Q238" s="3">
        <v>34</v>
      </c>
      <c r="R238" s="3">
        <v>46</v>
      </c>
      <c r="S238" s="3">
        <v>45</v>
      </c>
      <c r="T238" s="4">
        <v>1.5</v>
      </c>
      <c r="U238" s="3">
        <v>49</v>
      </c>
      <c r="V238" s="51">
        <f>IF(GroDB[[#This Row],[LeadTime]]=0,GroDB[[#This Row],[Sales_Volume]],GroDB[[#This Row],[Sales_Volume]]/GroDB[[#This Row],[LeadTime]])</f>
        <v>0.77777777777777779</v>
      </c>
      <c r="W238" s="51">
        <f>_xlfn.STDEV.S(GroDB[Daily Sales])</f>
        <v>5.1999899792654221</v>
      </c>
      <c r="X238" s="3">
        <v>25</v>
      </c>
      <c r="Y238" s="7">
        <v>0.1</v>
      </c>
      <c r="Z238" s="4">
        <f>GroDB[[#This Row],[Unit_Price]]*GroDB[[#This Row],[Sales_Volume]]</f>
        <v>73.5</v>
      </c>
      <c r="AA238" s="22">
        <f>GroDB[[#This Row],[ADU]]/GroDB[[#Totals],[ADU]]</f>
        <v>2.1349563106607162E-4</v>
      </c>
      <c r="AB238" s="1">
        <f>GroDB[[#This Row],[Sales_Volume]]*GroDB[[#This Row],[Ordering Cost]]</f>
        <v>58.800000000000011</v>
      </c>
    </row>
    <row r="239" spans="1:28" x14ac:dyDescent="0.35">
      <c r="A239" s="5" t="s">
        <v>75</v>
      </c>
      <c r="B239" s="3" t="s">
        <v>32</v>
      </c>
      <c r="C239" s="3" t="s">
        <v>1000</v>
      </c>
      <c r="D239" s="3" t="s">
        <v>1001</v>
      </c>
      <c r="E239" s="3" t="s">
        <v>28</v>
      </c>
      <c r="F239" s="3" t="s">
        <v>1002</v>
      </c>
      <c r="G239" s="3" t="s">
        <v>1003</v>
      </c>
      <c r="H239" s="43">
        <v>45574</v>
      </c>
      <c r="I239" s="43">
        <v>45410</v>
      </c>
      <c r="J239" s="47" t="str">
        <f>IF(GroDB[[#This Row],[Last_Order_Date]]&lt;=GroDB[[#This Row],[Date_Received]], "Yes", "No")</f>
        <v>Yes</v>
      </c>
      <c r="K239" s="43">
        <f>IF(GroDB[[#This Row],[Column1]]="No",GroDB[[#This Row],[Last_Order_Date]],GroDB[[#This Row],[Date_Received]])</f>
        <v>45574</v>
      </c>
      <c r="L239" s="43">
        <f>IF(GroDB[[#This Row],[Column1]]="No",GroDB[[#This Row],[Date_Received]],GroDB[[#This Row],[Last_Order_Date]])</f>
        <v>45410</v>
      </c>
      <c r="M239" s="45">
        <f>GroDB[[#This Row],[Date_Received1]]-GroDB[[#This Row],[Procurement_Date]]</f>
        <v>164</v>
      </c>
      <c r="N239" s="43">
        <v>45595</v>
      </c>
      <c r="O239" s="91">
        <f>GroDB[[#This Row],[Expiration_Date]]-GroDB[[#This Row],[Date_Received1]]</f>
        <v>21</v>
      </c>
      <c r="P239" s="4">
        <v>7.2</v>
      </c>
      <c r="Q239" s="3">
        <v>40</v>
      </c>
      <c r="R239" s="3">
        <v>81</v>
      </c>
      <c r="S239" s="3">
        <v>40</v>
      </c>
      <c r="T239" s="4">
        <v>9</v>
      </c>
      <c r="U239" s="3">
        <v>40</v>
      </c>
      <c r="V239" s="51">
        <f>IF(GroDB[[#This Row],[LeadTime]]=0,GroDB[[#This Row],[Sales_Volume]],GroDB[[#This Row],[Sales_Volume]]/GroDB[[#This Row],[LeadTime]])</f>
        <v>0.24390243902439024</v>
      </c>
      <c r="W239" s="51">
        <f>_xlfn.STDEV.S(GroDB[Daily Sales])</f>
        <v>5.1999899792654221</v>
      </c>
      <c r="X239" s="3">
        <v>48</v>
      </c>
      <c r="Y239" s="7">
        <v>0.49</v>
      </c>
      <c r="Z239" s="4">
        <f>GroDB[[#This Row],[Unit_Price]]*GroDB[[#This Row],[Sales_Volume]]</f>
        <v>360</v>
      </c>
      <c r="AA239" s="22">
        <f>GroDB[[#This Row],[ADU]]/GroDB[[#Totals],[ADU]]</f>
        <v>1.0456928868542283E-3</v>
      </c>
      <c r="AB239" s="1">
        <f>GroDB[[#This Row],[Sales_Volume]]*GroDB[[#This Row],[Ordering Cost]]</f>
        <v>288</v>
      </c>
    </row>
    <row r="240" spans="1:28" x14ac:dyDescent="0.35">
      <c r="A240" s="5" t="s">
        <v>554</v>
      </c>
      <c r="B240" s="3" t="s">
        <v>53</v>
      </c>
      <c r="C240" s="3" t="s">
        <v>1004</v>
      </c>
      <c r="D240" s="3" t="s">
        <v>1005</v>
      </c>
      <c r="E240" s="3" t="s">
        <v>56</v>
      </c>
      <c r="F240" s="3" t="s">
        <v>1006</v>
      </c>
      <c r="G240" s="3" t="s">
        <v>1007</v>
      </c>
      <c r="H240" s="43">
        <v>45574</v>
      </c>
      <c r="I240" s="43">
        <v>45505</v>
      </c>
      <c r="J240" s="47" t="str">
        <f>IF(GroDB[[#This Row],[Last_Order_Date]]&lt;=GroDB[[#This Row],[Date_Received]], "Yes", "No")</f>
        <v>Yes</v>
      </c>
      <c r="K240" s="43">
        <f>IF(GroDB[[#This Row],[Column1]]="No",GroDB[[#This Row],[Last_Order_Date]],GroDB[[#This Row],[Date_Received]])</f>
        <v>45574</v>
      </c>
      <c r="L240" s="43">
        <f>IF(GroDB[[#This Row],[Column1]]="No",GroDB[[#This Row],[Date_Received]],GroDB[[#This Row],[Last_Order_Date]])</f>
        <v>45505</v>
      </c>
      <c r="M240" s="45">
        <f>GroDB[[#This Row],[Date_Received1]]-GroDB[[#This Row],[Procurement_Date]]</f>
        <v>69</v>
      </c>
      <c r="N240" s="43">
        <v>45415</v>
      </c>
      <c r="O240" s="91">
        <f>GroDB[[#This Row],[Expiration_Date]]-GroDB[[#This Row],[Date_Received1]]</f>
        <v>-159</v>
      </c>
      <c r="P240" s="4">
        <v>2</v>
      </c>
      <c r="Q240" s="3">
        <v>89</v>
      </c>
      <c r="R240" s="3">
        <v>54</v>
      </c>
      <c r="S240" s="3">
        <v>15</v>
      </c>
      <c r="T240" s="4">
        <v>2.5</v>
      </c>
      <c r="U240" s="3">
        <v>64</v>
      </c>
      <c r="V240" s="51">
        <f>IF(GroDB[[#This Row],[LeadTime]]=0,GroDB[[#This Row],[Sales_Volume]],GroDB[[#This Row],[Sales_Volume]]/GroDB[[#This Row],[LeadTime]])</f>
        <v>0.92753623188405798</v>
      </c>
      <c r="W240" s="51">
        <f>_xlfn.STDEV.S(GroDB[Daily Sales])</f>
        <v>5.1999899792654221</v>
      </c>
      <c r="X240" s="3">
        <v>63</v>
      </c>
      <c r="Y240" s="7">
        <v>-0.2</v>
      </c>
      <c r="Z240" s="4">
        <f>GroDB[[#This Row],[Unit_Price]]*GroDB[[#This Row],[Sales_Volume]]</f>
        <v>160</v>
      </c>
      <c r="AA240" s="22">
        <f>GroDB[[#This Row],[ADU]]/GroDB[[#Totals],[ADU]]</f>
        <v>4.647523941574348E-4</v>
      </c>
      <c r="AB240" s="1">
        <f>GroDB[[#This Row],[Sales_Volume]]*GroDB[[#This Row],[Ordering Cost]]</f>
        <v>128</v>
      </c>
    </row>
    <row r="241" spans="1:28" x14ac:dyDescent="0.35">
      <c r="A241" s="5" t="s">
        <v>691</v>
      </c>
      <c r="B241" s="3" t="s">
        <v>32</v>
      </c>
      <c r="C241" s="3" t="s">
        <v>1008</v>
      </c>
      <c r="D241" s="3" t="s">
        <v>1009</v>
      </c>
      <c r="E241" s="3" t="s">
        <v>21</v>
      </c>
      <c r="F241" s="3" t="s">
        <v>1010</v>
      </c>
      <c r="G241" s="3" t="s">
        <v>1011</v>
      </c>
      <c r="H241" s="43">
        <v>45574</v>
      </c>
      <c r="I241" s="43">
        <v>45523</v>
      </c>
      <c r="J241" s="47" t="str">
        <f>IF(GroDB[[#This Row],[Last_Order_Date]]&lt;=GroDB[[#This Row],[Date_Received]], "Yes", "No")</f>
        <v>Yes</v>
      </c>
      <c r="K241" s="43">
        <f>IF(GroDB[[#This Row],[Column1]]="No",GroDB[[#This Row],[Last_Order_Date]],GroDB[[#This Row],[Date_Received]])</f>
        <v>45574</v>
      </c>
      <c r="L241" s="43">
        <f>IF(GroDB[[#This Row],[Column1]]="No",GroDB[[#This Row],[Date_Received]],GroDB[[#This Row],[Last_Order_Date]])</f>
        <v>45523</v>
      </c>
      <c r="M241" s="45">
        <f>GroDB[[#This Row],[Date_Received1]]-GroDB[[#This Row],[Procurement_Date]]</f>
        <v>51</v>
      </c>
      <c r="N241" s="43">
        <v>45691</v>
      </c>
      <c r="O241" s="91">
        <f>GroDB[[#This Row],[Expiration_Date]]-GroDB[[#This Row],[Date_Received1]]</f>
        <v>117</v>
      </c>
      <c r="P241" s="4">
        <v>5.6000000000000005</v>
      </c>
      <c r="Q241" s="3">
        <v>71</v>
      </c>
      <c r="R241" s="3">
        <v>93</v>
      </c>
      <c r="S241" s="3">
        <v>75</v>
      </c>
      <c r="T241" s="4">
        <v>7</v>
      </c>
      <c r="U241" s="3">
        <v>77</v>
      </c>
      <c r="V241" s="51">
        <f>IF(GroDB[[#This Row],[LeadTime]]=0,GroDB[[#This Row],[Sales_Volume]],GroDB[[#This Row],[Sales_Volume]]/GroDB[[#This Row],[LeadTime]])</f>
        <v>1.5098039215686274</v>
      </c>
      <c r="W241" s="51">
        <f>_xlfn.STDEV.S(GroDB[Daily Sales])</f>
        <v>5.1999899792654221</v>
      </c>
      <c r="X241" s="3">
        <v>58</v>
      </c>
      <c r="Y241" s="7">
        <v>0.02</v>
      </c>
      <c r="Z241" s="4">
        <f>GroDB[[#This Row],[Unit_Price]]*GroDB[[#This Row],[Sales_Volume]]</f>
        <v>539</v>
      </c>
      <c r="AA241" s="22">
        <f>GroDB[[#This Row],[ADU]]/GroDB[[#Totals],[ADU]]</f>
        <v>1.5656346278178585E-3</v>
      </c>
      <c r="AB241" s="1">
        <f>GroDB[[#This Row],[Sales_Volume]]*GroDB[[#This Row],[Ordering Cost]]</f>
        <v>431.20000000000005</v>
      </c>
    </row>
    <row r="242" spans="1:28" x14ac:dyDescent="0.35">
      <c r="A242" s="5" t="s">
        <v>248</v>
      </c>
      <c r="B242" s="3" t="s">
        <v>32</v>
      </c>
      <c r="C242" s="3" t="s">
        <v>1012</v>
      </c>
      <c r="D242" s="3" t="s">
        <v>1013</v>
      </c>
      <c r="E242" s="3" t="s">
        <v>21</v>
      </c>
      <c r="F242" s="3" t="s">
        <v>1014</v>
      </c>
      <c r="G242" s="3" t="s">
        <v>1015</v>
      </c>
      <c r="H242" s="43">
        <v>45605</v>
      </c>
      <c r="I242" s="43">
        <v>45516</v>
      </c>
      <c r="J242" s="47" t="str">
        <f>IF(GroDB[[#This Row],[Last_Order_Date]]&lt;=GroDB[[#This Row],[Date_Received]], "Yes", "No")</f>
        <v>Yes</v>
      </c>
      <c r="K242" s="43">
        <f>IF(GroDB[[#This Row],[Column1]]="No",GroDB[[#This Row],[Last_Order_Date]],GroDB[[#This Row],[Date_Received]])</f>
        <v>45605</v>
      </c>
      <c r="L242" s="43">
        <f>IF(GroDB[[#This Row],[Column1]]="No",GroDB[[#This Row],[Date_Received]],GroDB[[#This Row],[Last_Order_Date]])</f>
        <v>45516</v>
      </c>
      <c r="M242" s="45">
        <f>GroDB[[#This Row],[Date_Received1]]-GroDB[[#This Row],[Procurement_Date]]</f>
        <v>89</v>
      </c>
      <c r="N242" s="43">
        <v>45712</v>
      </c>
      <c r="O242" s="91">
        <f>GroDB[[#This Row],[Expiration_Date]]-GroDB[[#This Row],[Date_Received1]]</f>
        <v>107</v>
      </c>
      <c r="P242" s="4">
        <v>5.6000000000000005</v>
      </c>
      <c r="Q242" s="3">
        <v>91</v>
      </c>
      <c r="R242" s="3">
        <v>7</v>
      </c>
      <c r="S242" s="3">
        <v>64</v>
      </c>
      <c r="T242" s="4">
        <v>7</v>
      </c>
      <c r="U242" s="3">
        <v>32</v>
      </c>
      <c r="V242" s="51">
        <f>IF(GroDB[[#This Row],[LeadTime]]=0,GroDB[[#This Row],[Sales_Volume]],GroDB[[#This Row],[Sales_Volume]]/GroDB[[#This Row],[LeadTime]])</f>
        <v>0.3595505617977528</v>
      </c>
      <c r="W242" s="51">
        <f>_xlfn.STDEV.S(GroDB[Daily Sales])</f>
        <v>5.1999899792654221</v>
      </c>
      <c r="X242" s="3">
        <v>65</v>
      </c>
      <c r="Y242" s="7">
        <v>0.25</v>
      </c>
      <c r="Z242" s="4">
        <f>GroDB[[#This Row],[Unit_Price]]*GroDB[[#This Row],[Sales_Volume]]</f>
        <v>224</v>
      </c>
      <c r="AA242" s="22">
        <f>GroDB[[#This Row],[ADU]]/GroDB[[#Totals],[ADU]]</f>
        <v>6.506533518204087E-4</v>
      </c>
      <c r="AB242" s="1">
        <f>GroDB[[#This Row],[Sales_Volume]]*GroDB[[#This Row],[Ordering Cost]]</f>
        <v>179.20000000000002</v>
      </c>
    </row>
    <row r="243" spans="1:28" x14ac:dyDescent="0.35">
      <c r="A243" s="5" t="s">
        <v>1016</v>
      </c>
      <c r="B243" s="3" t="s">
        <v>25</v>
      </c>
      <c r="C243" s="3" t="s">
        <v>259</v>
      </c>
      <c r="D243" s="3" t="s">
        <v>1017</v>
      </c>
      <c r="E243" s="3" t="s">
        <v>28</v>
      </c>
      <c r="F243" s="3" t="s">
        <v>1018</v>
      </c>
      <c r="G243" s="3" t="s">
        <v>1019</v>
      </c>
      <c r="H243" s="43">
        <v>45635</v>
      </c>
      <c r="I243" s="43">
        <v>45394</v>
      </c>
      <c r="J243" s="47" t="str">
        <f>IF(GroDB[[#This Row],[Last_Order_Date]]&lt;=GroDB[[#This Row],[Date_Received]], "Yes", "No")</f>
        <v>Yes</v>
      </c>
      <c r="K243" s="43">
        <f>IF(GroDB[[#This Row],[Column1]]="No",GroDB[[#This Row],[Last_Order_Date]],GroDB[[#This Row],[Date_Received]])</f>
        <v>45635</v>
      </c>
      <c r="L243" s="43">
        <f>IF(GroDB[[#This Row],[Column1]]="No",GroDB[[#This Row],[Date_Received]],GroDB[[#This Row],[Last_Order_Date]])</f>
        <v>45394</v>
      </c>
      <c r="M243" s="45">
        <f>GroDB[[#This Row],[Date_Received1]]-GroDB[[#This Row],[Procurement_Date]]</f>
        <v>241</v>
      </c>
      <c r="N243" s="43">
        <v>45544</v>
      </c>
      <c r="O243" s="91">
        <f>GroDB[[#This Row],[Expiration_Date]]-GroDB[[#This Row],[Date_Received1]]</f>
        <v>-91</v>
      </c>
      <c r="P243" s="4">
        <v>2</v>
      </c>
      <c r="Q243" s="3">
        <v>20</v>
      </c>
      <c r="R243" s="3">
        <v>55</v>
      </c>
      <c r="S243" s="3">
        <v>15</v>
      </c>
      <c r="T243" s="4">
        <v>2.5</v>
      </c>
      <c r="U243" s="3">
        <v>86</v>
      </c>
      <c r="V243" s="51">
        <f>IF(GroDB[[#This Row],[LeadTime]]=0,GroDB[[#This Row],[Sales_Volume]],GroDB[[#This Row],[Sales_Volume]]/GroDB[[#This Row],[LeadTime]])</f>
        <v>0.35684647302904565</v>
      </c>
      <c r="W243" s="51">
        <f>_xlfn.STDEV.S(GroDB[Daily Sales])</f>
        <v>5.1999899792654221</v>
      </c>
      <c r="X243" s="3">
        <v>61</v>
      </c>
      <c r="Y243" s="7">
        <v>-1.03</v>
      </c>
      <c r="Z243" s="4">
        <f>GroDB[[#This Row],[Unit_Price]]*GroDB[[#This Row],[Sales_Volume]]</f>
        <v>215</v>
      </c>
      <c r="AA243" s="22">
        <f>GroDB[[#This Row],[ADU]]/GroDB[[#Totals],[ADU]]</f>
        <v>6.2451102964905297E-4</v>
      </c>
      <c r="AB243" s="1">
        <f>GroDB[[#This Row],[Sales_Volume]]*GroDB[[#This Row],[Ordering Cost]]</f>
        <v>172</v>
      </c>
    </row>
    <row r="244" spans="1:28" x14ac:dyDescent="0.35">
      <c r="A244" s="5" t="s">
        <v>17</v>
      </c>
      <c r="B244" s="3" t="s">
        <v>18</v>
      </c>
      <c r="C244" s="3" t="s">
        <v>1020</v>
      </c>
      <c r="D244" s="3" t="s">
        <v>1021</v>
      </c>
      <c r="E244" s="3" t="s">
        <v>56</v>
      </c>
      <c r="F244" s="3" t="s">
        <v>1022</v>
      </c>
      <c r="G244" s="3" t="s">
        <v>1023</v>
      </c>
      <c r="H244" s="43">
        <v>45361</v>
      </c>
      <c r="I244" s="43">
        <v>45428</v>
      </c>
      <c r="J244" s="47" t="str">
        <f>IF(GroDB[[#This Row],[Last_Order_Date]]&lt;=GroDB[[#This Row],[Date_Received]], "Yes", "No")</f>
        <v>No</v>
      </c>
      <c r="K244" s="43">
        <f>IF(GroDB[[#This Row],[Column1]]="No",GroDB[[#This Row],[Last_Order_Date]],GroDB[[#This Row],[Date_Received]])</f>
        <v>45428</v>
      </c>
      <c r="L244" s="43">
        <f>IF(GroDB[[#This Row],[Column1]]="No",GroDB[[#This Row],[Date_Received]],GroDB[[#This Row],[Last_Order_Date]])</f>
        <v>45361</v>
      </c>
      <c r="M244" s="45">
        <f>GroDB[[#This Row],[Date_Received1]]-GroDB[[#This Row],[Procurement_Date]]</f>
        <v>67</v>
      </c>
      <c r="N244" s="43">
        <v>45485</v>
      </c>
      <c r="O244" s="91">
        <f>GroDB[[#This Row],[Expiration_Date]]-GroDB[[#This Row],[Date_Received1]]</f>
        <v>57</v>
      </c>
      <c r="P244" s="4">
        <v>3.5600000000000005</v>
      </c>
      <c r="Q244" s="3">
        <v>96</v>
      </c>
      <c r="R244" s="3">
        <v>33</v>
      </c>
      <c r="S244" s="3">
        <v>72</v>
      </c>
      <c r="T244" s="4">
        <v>4.45</v>
      </c>
      <c r="U244" s="3">
        <v>74</v>
      </c>
      <c r="V244" s="51">
        <f>IF(GroDB[[#This Row],[LeadTime]]=0,GroDB[[#This Row],[Sales_Volume]],GroDB[[#This Row],[Sales_Volume]]/GroDB[[#This Row],[LeadTime]])</f>
        <v>1.1044776119402986</v>
      </c>
      <c r="W244" s="51">
        <f>_xlfn.STDEV.S(GroDB[Daily Sales])</f>
        <v>5.1999899792654221</v>
      </c>
      <c r="X244" s="3">
        <v>100</v>
      </c>
      <c r="Y244" s="7">
        <v>0.28999999999999998</v>
      </c>
      <c r="Z244" s="4">
        <f>GroDB[[#This Row],[Unit_Price]]*GroDB[[#This Row],[Sales_Volume]]</f>
        <v>329.3</v>
      </c>
      <c r="AA244" s="22">
        <f>GroDB[[#This Row],[ADU]]/GroDB[[#Totals],[ADU]]</f>
        <v>9.5651852122527058E-4</v>
      </c>
      <c r="AB244" s="1">
        <f>GroDB[[#This Row],[Sales_Volume]]*GroDB[[#This Row],[Ordering Cost]]</f>
        <v>263.44000000000005</v>
      </c>
    </row>
    <row r="245" spans="1:28" x14ac:dyDescent="0.35">
      <c r="A245" s="5" t="s">
        <v>380</v>
      </c>
      <c r="B245" s="3" t="s">
        <v>32</v>
      </c>
      <c r="C245" s="3" t="s">
        <v>536</v>
      </c>
      <c r="D245" s="3" t="s">
        <v>1024</v>
      </c>
      <c r="E245" s="3" t="s">
        <v>56</v>
      </c>
      <c r="F245" s="3" t="s">
        <v>1025</v>
      </c>
      <c r="G245" s="3" t="s">
        <v>1026</v>
      </c>
      <c r="H245" s="43">
        <v>45361</v>
      </c>
      <c r="I245" s="43">
        <v>45607</v>
      </c>
      <c r="J245" s="47" t="str">
        <f>IF(GroDB[[#This Row],[Last_Order_Date]]&lt;=GroDB[[#This Row],[Date_Received]], "Yes", "No")</f>
        <v>No</v>
      </c>
      <c r="K245" s="43">
        <f>IF(GroDB[[#This Row],[Column1]]="No",GroDB[[#This Row],[Last_Order_Date]],GroDB[[#This Row],[Date_Received]])</f>
        <v>45607</v>
      </c>
      <c r="L245" s="43">
        <f>IF(GroDB[[#This Row],[Column1]]="No",GroDB[[#This Row],[Date_Received]],GroDB[[#This Row],[Last_Order_Date]])</f>
        <v>45361</v>
      </c>
      <c r="M245" s="45">
        <f>GroDB[[#This Row],[Date_Received1]]-GroDB[[#This Row],[Procurement_Date]]</f>
        <v>246</v>
      </c>
      <c r="N245" s="43">
        <v>45687</v>
      </c>
      <c r="O245" s="91">
        <f>GroDB[[#This Row],[Expiration_Date]]-GroDB[[#This Row],[Date_Received1]]</f>
        <v>80</v>
      </c>
      <c r="P245" s="4">
        <v>3.2</v>
      </c>
      <c r="Q245" s="3">
        <v>14</v>
      </c>
      <c r="R245" s="3">
        <v>87</v>
      </c>
      <c r="S245" s="3">
        <v>8</v>
      </c>
      <c r="T245" s="4">
        <v>4</v>
      </c>
      <c r="U245" s="3">
        <v>90</v>
      </c>
      <c r="V245" s="51">
        <f>IF(GroDB[[#This Row],[LeadTime]]=0,GroDB[[#This Row],[Sales_Volume]],GroDB[[#This Row],[Sales_Volume]]/GroDB[[#This Row],[LeadTime]])</f>
        <v>0.36585365853658536</v>
      </c>
      <c r="W245" s="51">
        <f>_xlfn.STDEV.S(GroDB[Daily Sales])</f>
        <v>5.1999899792654221</v>
      </c>
      <c r="X245" s="3">
        <v>14</v>
      </c>
      <c r="Y245" s="7">
        <v>-0.35</v>
      </c>
      <c r="Z245" s="4">
        <f>GroDB[[#This Row],[Unit_Price]]*GroDB[[#This Row],[Sales_Volume]]</f>
        <v>360</v>
      </c>
      <c r="AA245" s="22">
        <f>GroDB[[#This Row],[ADU]]/GroDB[[#Totals],[ADU]]</f>
        <v>1.0456928868542283E-3</v>
      </c>
      <c r="AB245" s="1">
        <f>GroDB[[#This Row],[Sales_Volume]]*GroDB[[#This Row],[Ordering Cost]]</f>
        <v>288</v>
      </c>
    </row>
    <row r="246" spans="1:28" x14ac:dyDescent="0.35">
      <c r="A246" s="5" t="s">
        <v>574</v>
      </c>
      <c r="B246" s="3" t="s">
        <v>53</v>
      </c>
      <c r="C246" s="3" t="s">
        <v>1027</v>
      </c>
      <c r="D246" s="3" t="s">
        <v>1028</v>
      </c>
      <c r="E246" s="3" t="s">
        <v>21</v>
      </c>
      <c r="F246" s="3" t="s">
        <v>1029</v>
      </c>
      <c r="G246" s="3" t="s">
        <v>1030</v>
      </c>
      <c r="H246" s="43">
        <v>45361</v>
      </c>
      <c r="I246" s="43">
        <v>45383</v>
      </c>
      <c r="J246" s="47" t="str">
        <f>IF(GroDB[[#This Row],[Last_Order_Date]]&lt;=GroDB[[#This Row],[Date_Received]], "Yes", "No")</f>
        <v>No</v>
      </c>
      <c r="K246" s="43">
        <f>IF(GroDB[[#This Row],[Column1]]="No",GroDB[[#This Row],[Last_Order_Date]],GroDB[[#This Row],[Date_Received]])</f>
        <v>45383</v>
      </c>
      <c r="L246" s="43">
        <f>IF(GroDB[[#This Row],[Column1]]="No",GroDB[[#This Row],[Date_Received]],GroDB[[#This Row],[Last_Order_Date]])</f>
        <v>45361</v>
      </c>
      <c r="M246" s="45">
        <f>GroDB[[#This Row],[Date_Received1]]-GroDB[[#This Row],[Procurement_Date]]</f>
        <v>22</v>
      </c>
      <c r="N246" s="43">
        <v>45422</v>
      </c>
      <c r="O246" s="91">
        <f>GroDB[[#This Row],[Expiration_Date]]-GroDB[[#This Row],[Date_Received1]]</f>
        <v>39</v>
      </c>
      <c r="P246" s="4">
        <v>1.6</v>
      </c>
      <c r="Q246" s="3">
        <v>42</v>
      </c>
      <c r="R246" s="3">
        <v>12</v>
      </c>
      <c r="S246" s="3">
        <v>28</v>
      </c>
      <c r="T246" s="4">
        <v>2</v>
      </c>
      <c r="U246" s="3">
        <v>80</v>
      </c>
      <c r="V246" s="51">
        <f>IF(GroDB[[#This Row],[LeadTime]]=0,GroDB[[#This Row],[Sales_Volume]],GroDB[[#This Row],[Sales_Volume]]/GroDB[[#This Row],[LeadTime]])</f>
        <v>3.6363636363636362</v>
      </c>
      <c r="W246" s="51">
        <f>_xlfn.STDEV.S(GroDB[Daily Sales])</f>
        <v>5.1999899792654221</v>
      </c>
      <c r="X246" s="3">
        <v>8</v>
      </c>
      <c r="Y246" s="7">
        <v>0.84</v>
      </c>
      <c r="Z246" s="4">
        <f>GroDB[[#This Row],[Unit_Price]]*GroDB[[#This Row],[Sales_Volume]]</f>
        <v>160</v>
      </c>
      <c r="AA246" s="22">
        <f>GroDB[[#This Row],[ADU]]/GroDB[[#Totals],[ADU]]</f>
        <v>4.647523941574348E-4</v>
      </c>
      <c r="AB246" s="1">
        <f>GroDB[[#This Row],[Sales_Volume]]*GroDB[[#This Row],[Ordering Cost]]</f>
        <v>128</v>
      </c>
    </row>
    <row r="247" spans="1:28" x14ac:dyDescent="0.35">
      <c r="A247" s="5" t="s">
        <v>789</v>
      </c>
      <c r="B247" s="3" t="s">
        <v>18</v>
      </c>
      <c r="C247" s="3" t="s">
        <v>1000</v>
      </c>
      <c r="D247" s="3" t="s">
        <v>1031</v>
      </c>
      <c r="E247" s="3" t="s">
        <v>56</v>
      </c>
      <c r="F247" s="3" t="s">
        <v>1032</v>
      </c>
      <c r="G247" s="3" t="s">
        <v>1033</v>
      </c>
      <c r="H247" s="43">
        <v>45361</v>
      </c>
      <c r="I247" s="43">
        <v>45482</v>
      </c>
      <c r="J247" s="47" t="str">
        <f>IF(GroDB[[#This Row],[Last_Order_Date]]&lt;=GroDB[[#This Row],[Date_Received]], "Yes", "No")</f>
        <v>No</v>
      </c>
      <c r="K247" s="43">
        <f>IF(GroDB[[#This Row],[Column1]]="No",GroDB[[#This Row],[Last_Order_Date]],GroDB[[#This Row],[Date_Received]])</f>
        <v>45482</v>
      </c>
      <c r="L247" s="43">
        <f>IF(GroDB[[#This Row],[Column1]]="No",GroDB[[#This Row],[Date_Received]],GroDB[[#This Row],[Last_Order_Date]])</f>
        <v>45361</v>
      </c>
      <c r="M247" s="45">
        <f>GroDB[[#This Row],[Date_Received1]]-GroDB[[#This Row],[Procurement_Date]]</f>
        <v>121</v>
      </c>
      <c r="N247" s="43">
        <v>45521</v>
      </c>
      <c r="O247" s="91">
        <f>GroDB[[#This Row],[Expiration_Date]]-GroDB[[#This Row],[Date_Received1]]</f>
        <v>39</v>
      </c>
      <c r="P247" s="4">
        <v>1.6800000000000002</v>
      </c>
      <c r="Q247" s="3">
        <v>31</v>
      </c>
      <c r="R247" s="3">
        <v>61</v>
      </c>
      <c r="S247" s="3">
        <v>28</v>
      </c>
      <c r="T247" s="4">
        <v>2.1</v>
      </c>
      <c r="U247" s="3">
        <v>55</v>
      </c>
      <c r="V247" s="51">
        <f>IF(GroDB[[#This Row],[LeadTime]]=0,GroDB[[#This Row],[Sales_Volume]],GroDB[[#This Row],[Sales_Volume]]/GroDB[[#This Row],[LeadTime]])</f>
        <v>0.45454545454545453</v>
      </c>
      <c r="W247" s="51">
        <f>_xlfn.STDEV.S(GroDB[Daily Sales])</f>
        <v>5.1999899792654221</v>
      </c>
      <c r="X247" s="3">
        <v>70</v>
      </c>
      <c r="Y247" s="7">
        <v>0.9</v>
      </c>
      <c r="Z247" s="4">
        <f>GroDB[[#This Row],[Unit_Price]]*GroDB[[#This Row],[Sales_Volume]]</f>
        <v>115.5</v>
      </c>
      <c r="AA247" s="22">
        <f>GroDB[[#This Row],[ADU]]/GroDB[[#Totals],[ADU]]</f>
        <v>3.3549313453239826E-4</v>
      </c>
      <c r="AB247" s="1">
        <f>GroDB[[#This Row],[Sales_Volume]]*GroDB[[#This Row],[Ordering Cost]]</f>
        <v>92.4</v>
      </c>
    </row>
    <row r="248" spans="1:28" x14ac:dyDescent="0.35">
      <c r="A248" s="5" t="s">
        <v>627</v>
      </c>
      <c r="B248" s="3" t="s">
        <v>53</v>
      </c>
      <c r="C248" s="3" t="s">
        <v>763</v>
      </c>
      <c r="D248" s="3" t="s">
        <v>1034</v>
      </c>
      <c r="E248" s="3" t="s">
        <v>56</v>
      </c>
      <c r="F248" s="3" t="s">
        <v>1035</v>
      </c>
      <c r="G248" s="3" t="s">
        <v>1036</v>
      </c>
      <c r="H248" s="43">
        <v>45361</v>
      </c>
      <c r="I248" s="43">
        <v>45484</v>
      </c>
      <c r="J248" s="47" t="str">
        <f>IF(GroDB[[#This Row],[Last_Order_Date]]&lt;=GroDB[[#This Row],[Date_Received]], "Yes", "No")</f>
        <v>No</v>
      </c>
      <c r="K248" s="43">
        <f>IF(GroDB[[#This Row],[Column1]]="No",GroDB[[#This Row],[Last_Order_Date]],GroDB[[#This Row],[Date_Received]])</f>
        <v>45484</v>
      </c>
      <c r="L248" s="43">
        <f>IF(GroDB[[#This Row],[Column1]]="No",GroDB[[#This Row],[Date_Received]],GroDB[[#This Row],[Last_Order_Date]])</f>
        <v>45361</v>
      </c>
      <c r="M248" s="45">
        <f>GroDB[[#This Row],[Date_Received1]]-GroDB[[#This Row],[Procurement_Date]]</f>
        <v>123</v>
      </c>
      <c r="N248" s="43">
        <v>45435</v>
      </c>
      <c r="O248" s="91">
        <f>GroDB[[#This Row],[Expiration_Date]]-GroDB[[#This Row],[Date_Received1]]</f>
        <v>-49</v>
      </c>
      <c r="P248" s="4">
        <v>2</v>
      </c>
      <c r="Q248" s="3">
        <v>47</v>
      </c>
      <c r="R248" s="3">
        <v>30</v>
      </c>
      <c r="S248" s="3">
        <v>16</v>
      </c>
      <c r="T248" s="4">
        <v>2.5</v>
      </c>
      <c r="U248" s="3">
        <v>22</v>
      </c>
      <c r="V248" s="51">
        <f>IF(GroDB[[#This Row],[LeadTime]]=0,GroDB[[#This Row],[Sales_Volume]],GroDB[[#This Row],[Sales_Volume]]/GroDB[[#This Row],[LeadTime]])</f>
        <v>0.17886178861788618</v>
      </c>
      <c r="W248" s="51">
        <f>_xlfn.STDEV.S(GroDB[Daily Sales])</f>
        <v>5.1999899792654221</v>
      </c>
      <c r="X248" s="3">
        <v>81</v>
      </c>
      <c r="Y248" s="7">
        <v>-0.27</v>
      </c>
      <c r="Z248" s="4">
        <f>GroDB[[#This Row],[Unit_Price]]*GroDB[[#This Row],[Sales_Volume]]</f>
        <v>55</v>
      </c>
      <c r="AA248" s="22">
        <f>GroDB[[#This Row],[ADU]]/GroDB[[#Totals],[ADU]]</f>
        <v>1.597586354916182E-4</v>
      </c>
      <c r="AB248" s="1">
        <f>GroDB[[#This Row],[Sales_Volume]]*GroDB[[#This Row],[Ordering Cost]]</f>
        <v>44</v>
      </c>
    </row>
    <row r="249" spans="1:28" x14ac:dyDescent="0.35">
      <c r="A249" s="5" t="s">
        <v>707</v>
      </c>
      <c r="B249" s="3" t="s">
        <v>25</v>
      </c>
      <c r="C249" s="3" t="s">
        <v>226</v>
      </c>
      <c r="D249" s="3" t="s">
        <v>1037</v>
      </c>
      <c r="E249" s="3" t="s">
        <v>21</v>
      </c>
      <c r="F249" s="3" t="s">
        <v>1038</v>
      </c>
      <c r="G249" s="3" t="s">
        <v>1039</v>
      </c>
      <c r="H249" s="43">
        <v>45392</v>
      </c>
      <c r="I249" s="43">
        <v>45578</v>
      </c>
      <c r="J249" s="47" t="str">
        <f>IF(GroDB[[#This Row],[Last_Order_Date]]&lt;=GroDB[[#This Row],[Date_Received]], "Yes", "No")</f>
        <v>No</v>
      </c>
      <c r="K249" s="43">
        <f>IF(GroDB[[#This Row],[Column1]]="No",GroDB[[#This Row],[Last_Order_Date]],GroDB[[#This Row],[Date_Received]])</f>
        <v>45578</v>
      </c>
      <c r="L249" s="43">
        <f>IF(GroDB[[#This Row],[Column1]]="No",GroDB[[#This Row],[Date_Received]],GroDB[[#This Row],[Last_Order_Date]])</f>
        <v>45392</v>
      </c>
      <c r="M249" s="45">
        <f>GroDB[[#This Row],[Date_Received1]]-GroDB[[#This Row],[Procurement_Date]]</f>
        <v>186</v>
      </c>
      <c r="N249" s="43">
        <v>45524</v>
      </c>
      <c r="O249" s="91">
        <f>GroDB[[#This Row],[Expiration_Date]]-GroDB[[#This Row],[Date_Received1]]</f>
        <v>-54</v>
      </c>
      <c r="P249" s="4">
        <v>1.8399999999999999</v>
      </c>
      <c r="Q249" s="3">
        <v>79</v>
      </c>
      <c r="R249" s="3">
        <v>31</v>
      </c>
      <c r="S249" s="3">
        <v>66</v>
      </c>
      <c r="T249" s="4">
        <v>2.2999999999999998</v>
      </c>
      <c r="U249" s="3">
        <v>92</v>
      </c>
      <c r="V249" s="51">
        <f>IF(GroDB[[#This Row],[LeadTime]]=0,GroDB[[#This Row],[Sales_Volume]],GroDB[[#This Row],[Sales_Volume]]/GroDB[[#This Row],[LeadTime]])</f>
        <v>0.4946236559139785</v>
      </c>
      <c r="W249" s="51">
        <f>_xlfn.STDEV.S(GroDB[Daily Sales])</f>
        <v>5.1999899792654221</v>
      </c>
      <c r="X249" s="3">
        <v>13</v>
      </c>
      <c r="Y249" s="7">
        <v>-2.68</v>
      </c>
      <c r="Z249" s="4">
        <f>GroDB[[#This Row],[Unit_Price]]*GroDB[[#This Row],[Sales_Volume]]</f>
        <v>211.6</v>
      </c>
      <c r="AA249" s="22">
        <f>GroDB[[#This Row],[ADU]]/GroDB[[#Totals],[ADU]]</f>
        <v>6.1463504127320749E-4</v>
      </c>
      <c r="AB249" s="1">
        <f>GroDB[[#This Row],[Sales_Volume]]*GroDB[[#This Row],[Ordering Cost]]</f>
        <v>169.27999999999997</v>
      </c>
    </row>
    <row r="250" spans="1:28" x14ac:dyDescent="0.35">
      <c r="A250" s="5" t="s">
        <v>976</v>
      </c>
      <c r="B250" s="3" t="s">
        <v>60</v>
      </c>
      <c r="C250" s="3" t="s">
        <v>1040</v>
      </c>
      <c r="D250" s="3" t="s">
        <v>1041</v>
      </c>
      <c r="E250" s="3" t="s">
        <v>28</v>
      </c>
      <c r="F250" s="3" t="s">
        <v>1042</v>
      </c>
      <c r="G250" s="3" t="s">
        <v>1043</v>
      </c>
      <c r="H250" s="43">
        <v>45392</v>
      </c>
      <c r="I250" s="43">
        <v>45575</v>
      </c>
      <c r="J250" s="47" t="str">
        <f>IF(GroDB[[#This Row],[Last_Order_Date]]&lt;=GroDB[[#This Row],[Date_Received]], "Yes", "No")</f>
        <v>No</v>
      </c>
      <c r="K250" s="43">
        <f>IF(GroDB[[#This Row],[Column1]]="No",GroDB[[#This Row],[Last_Order_Date]],GroDB[[#This Row],[Date_Received]])</f>
        <v>45575</v>
      </c>
      <c r="L250" s="43">
        <f>IF(GroDB[[#This Row],[Column1]]="No",GroDB[[#This Row],[Date_Received]],GroDB[[#This Row],[Last_Order_Date]])</f>
        <v>45392</v>
      </c>
      <c r="M250" s="45">
        <f>GroDB[[#This Row],[Date_Received1]]-GroDB[[#This Row],[Procurement_Date]]</f>
        <v>183</v>
      </c>
      <c r="N250" s="43">
        <v>45548</v>
      </c>
      <c r="O250" s="91">
        <f>GroDB[[#This Row],[Expiration_Date]]-GroDB[[#This Row],[Date_Received1]]</f>
        <v>-27</v>
      </c>
      <c r="P250" s="4">
        <v>16</v>
      </c>
      <c r="Q250" s="3">
        <v>18</v>
      </c>
      <c r="R250" s="3">
        <v>46</v>
      </c>
      <c r="S250" s="3">
        <v>26</v>
      </c>
      <c r="T250" s="4">
        <v>20</v>
      </c>
      <c r="U250" s="3">
        <v>57</v>
      </c>
      <c r="V250" s="51">
        <f>IF(GroDB[[#This Row],[LeadTime]]=0,GroDB[[#This Row],[Sales_Volume]],GroDB[[#This Row],[Sales_Volume]]/GroDB[[#This Row],[LeadTime]])</f>
        <v>0.31147540983606559</v>
      </c>
      <c r="W250" s="51">
        <f>_xlfn.STDEV.S(GroDB[Daily Sales])</f>
        <v>5.1999899792654221</v>
      </c>
      <c r="X250" s="3">
        <v>95</v>
      </c>
      <c r="Y250" s="7">
        <v>0.86</v>
      </c>
      <c r="Z250" s="4">
        <f>GroDB[[#This Row],[Unit_Price]]*GroDB[[#This Row],[Sales_Volume]]</f>
        <v>1140</v>
      </c>
      <c r="AA250" s="22">
        <f>GroDB[[#This Row],[ADU]]/GroDB[[#Totals],[ADU]]</f>
        <v>3.311360808371723E-3</v>
      </c>
      <c r="AB250" s="1">
        <f>GroDB[[#This Row],[Sales_Volume]]*GroDB[[#This Row],[Ordering Cost]]</f>
        <v>912</v>
      </c>
    </row>
    <row r="251" spans="1:28" x14ac:dyDescent="0.35">
      <c r="A251" s="5" t="s">
        <v>976</v>
      </c>
      <c r="B251" s="3" t="s">
        <v>60</v>
      </c>
      <c r="C251" s="3" t="s">
        <v>364</v>
      </c>
      <c r="D251" s="3" t="s">
        <v>1044</v>
      </c>
      <c r="E251" s="3" t="s">
        <v>56</v>
      </c>
      <c r="F251" s="3" t="s">
        <v>1045</v>
      </c>
      <c r="G251" s="3" t="s">
        <v>1046</v>
      </c>
      <c r="H251" s="43">
        <v>45392</v>
      </c>
      <c r="I251" s="43">
        <v>45429</v>
      </c>
      <c r="J251" s="47" t="str">
        <f>IF(GroDB[[#This Row],[Last_Order_Date]]&lt;=GroDB[[#This Row],[Date_Received]], "Yes", "No")</f>
        <v>No</v>
      </c>
      <c r="K251" s="43">
        <f>IF(GroDB[[#This Row],[Column1]]="No",GroDB[[#This Row],[Last_Order_Date]],GroDB[[#This Row],[Date_Received]])</f>
        <v>45429</v>
      </c>
      <c r="L251" s="43">
        <f>IF(GroDB[[#This Row],[Column1]]="No",GroDB[[#This Row],[Date_Received]],GroDB[[#This Row],[Last_Order_Date]])</f>
        <v>45392</v>
      </c>
      <c r="M251" s="45">
        <f>GroDB[[#This Row],[Date_Received1]]-GroDB[[#This Row],[Procurement_Date]]</f>
        <v>37</v>
      </c>
      <c r="N251" s="43">
        <v>45665</v>
      </c>
      <c r="O251" s="91">
        <f>GroDB[[#This Row],[Expiration_Date]]-GroDB[[#This Row],[Date_Received1]]</f>
        <v>236</v>
      </c>
      <c r="P251" s="4">
        <v>16</v>
      </c>
      <c r="Q251" s="3">
        <v>82</v>
      </c>
      <c r="R251" s="3">
        <v>31</v>
      </c>
      <c r="S251" s="3">
        <v>86</v>
      </c>
      <c r="T251" s="4">
        <v>20</v>
      </c>
      <c r="U251" s="3">
        <v>66</v>
      </c>
      <c r="V251" s="51">
        <f>IF(GroDB[[#This Row],[LeadTime]]=0,GroDB[[#This Row],[Sales_Volume]],GroDB[[#This Row],[Sales_Volume]]/GroDB[[#This Row],[LeadTime]])</f>
        <v>1.7837837837837838</v>
      </c>
      <c r="W251" s="51">
        <f>_xlfn.STDEV.S(GroDB[Daily Sales])</f>
        <v>5.1999899792654221</v>
      </c>
      <c r="X251" s="3">
        <v>74</v>
      </c>
      <c r="Y251" s="7">
        <v>-0.67</v>
      </c>
      <c r="Z251" s="4">
        <f>GroDB[[#This Row],[Unit_Price]]*GroDB[[#This Row],[Sales_Volume]]</f>
        <v>1320</v>
      </c>
      <c r="AA251" s="22">
        <f>GroDB[[#This Row],[ADU]]/GroDB[[#Totals],[ADU]]</f>
        <v>3.8342072517988371E-3</v>
      </c>
      <c r="AB251" s="1">
        <f>GroDB[[#This Row],[Sales_Volume]]*GroDB[[#This Row],[Ordering Cost]]</f>
        <v>1056</v>
      </c>
    </row>
    <row r="252" spans="1:28" x14ac:dyDescent="0.35">
      <c r="A252" s="5" t="s">
        <v>75</v>
      </c>
      <c r="B252" s="3" t="s">
        <v>32</v>
      </c>
      <c r="C252" s="3" t="s">
        <v>1012</v>
      </c>
      <c r="D252" s="3" t="s">
        <v>1047</v>
      </c>
      <c r="E252" s="3" t="s">
        <v>56</v>
      </c>
      <c r="F252" s="3" t="s">
        <v>1048</v>
      </c>
      <c r="G252" s="3" t="s">
        <v>1049</v>
      </c>
      <c r="H252" s="43">
        <v>45392</v>
      </c>
      <c r="I252" s="43">
        <v>45589</v>
      </c>
      <c r="J252" s="47" t="str">
        <f>IF(GroDB[[#This Row],[Last_Order_Date]]&lt;=GroDB[[#This Row],[Date_Received]], "Yes", "No")</f>
        <v>No</v>
      </c>
      <c r="K252" s="43">
        <f>IF(GroDB[[#This Row],[Column1]]="No",GroDB[[#This Row],[Last_Order_Date]],GroDB[[#This Row],[Date_Received]])</f>
        <v>45589</v>
      </c>
      <c r="L252" s="43">
        <f>IF(GroDB[[#This Row],[Column1]]="No",GroDB[[#This Row],[Date_Received]],GroDB[[#This Row],[Last_Order_Date]])</f>
        <v>45392</v>
      </c>
      <c r="M252" s="45">
        <f>GroDB[[#This Row],[Date_Received1]]-GroDB[[#This Row],[Procurement_Date]]</f>
        <v>197</v>
      </c>
      <c r="N252" s="43">
        <v>45697</v>
      </c>
      <c r="O252" s="91">
        <f>GroDB[[#This Row],[Expiration_Date]]-GroDB[[#This Row],[Date_Received1]]</f>
        <v>108</v>
      </c>
      <c r="P252" s="4">
        <v>7.2</v>
      </c>
      <c r="Q252" s="3">
        <v>36</v>
      </c>
      <c r="R252" s="3">
        <v>77</v>
      </c>
      <c r="S252" s="3">
        <v>49</v>
      </c>
      <c r="T252" s="4">
        <v>9</v>
      </c>
      <c r="U252" s="3">
        <v>30</v>
      </c>
      <c r="V252" s="51">
        <f>IF(GroDB[[#This Row],[LeadTime]]=0,GroDB[[#This Row],[Sales_Volume]],GroDB[[#This Row],[Sales_Volume]]/GroDB[[#This Row],[LeadTime]])</f>
        <v>0.15228426395939088</v>
      </c>
      <c r="W252" s="51">
        <f>_xlfn.STDEV.S(GroDB[Daily Sales])</f>
        <v>5.1999899792654221</v>
      </c>
      <c r="X252" s="3">
        <v>84</v>
      </c>
      <c r="Y252" s="7">
        <v>-0.12</v>
      </c>
      <c r="Z252" s="4">
        <f>GroDB[[#This Row],[Unit_Price]]*GroDB[[#This Row],[Sales_Volume]]</f>
        <v>270</v>
      </c>
      <c r="AA252" s="22">
        <f>GroDB[[#This Row],[ADU]]/GroDB[[#Totals],[ADU]]</f>
        <v>7.8426966514067126E-4</v>
      </c>
      <c r="AB252" s="1">
        <f>GroDB[[#This Row],[Sales_Volume]]*GroDB[[#This Row],[Ordering Cost]]</f>
        <v>216</v>
      </c>
    </row>
    <row r="253" spans="1:28" x14ac:dyDescent="0.35">
      <c r="A253" s="5" t="s">
        <v>80</v>
      </c>
      <c r="B253" s="3" t="s">
        <v>25</v>
      </c>
      <c r="C253" s="3" t="s">
        <v>1050</v>
      </c>
      <c r="D253" s="3" t="s">
        <v>1051</v>
      </c>
      <c r="E253" s="3" t="s">
        <v>21</v>
      </c>
      <c r="F253" s="3" t="s">
        <v>1052</v>
      </c>
      <c r="G253" s="3" t="s">
        <v>1053</v>
      </c>
      <c r="H253" s="43">
        <v>45392</v>
      </c>
      <c r="I253" s="43">
        <v>45580</v>
      </c>
      <c r="J253" s="47" t="str">
        <f>IF(GroDB[[#This Row],[Last_Order_Date]]&lt;=GroDB[[#This Row],[Date_Received]], "Yes", "No")</f>
        <v>No</v>
      </c>
      <c r="K253" s="43">
        <f>IF(GroDB[[#This Row],[Column1]]="No",GroDB[[#This Row],[Last_Order_Date]],GroDB[[#This Row],[Date_Received]])</f>
        <v>45580</v>
      </c>
      <c r="L253" s="43">
        <f>IF(GroDB[[#This Row],[Column1]]="No",GroDB[[#This Row],[Date_Received]],GroDB[[#This Row],[Last_Order_Date]])</f>
        <v>45392</v>
      </c>
      <c r="M253" s="45">
        <f>GroDB[[#This Row],[Date_Received1]]-GroDB[[#This Row],[Procurement_Date]]</f>
        <v>188</v>
      </c>
      <c r="N253" s="43">
        <v>45379</v>
      </c>
      <c r="O253" s="91">
        <f>GroDB[[#This Row],[Expiration_Date]]-GroDB[[#This Row],[Date_Received1]]</f>
        <v>-201</v>
      </c>
      <c r="P253" s="4">
        <v>8</v>
      </c>
      <c r="Q253" s="3">
        <v>24</v>
      </c>
      <c r="R253" s="3">
        <v>89</v>
      </c>
      <c r="S253" s="3">
        <v>27</v>
      </c>
      <c r="T253" s="4">
        <v>10</v>
      </c>
      <c r="U253" s="3">
        <v>99</v>
      </c>
      <c r="V253" s="51">
        <f>IF(GroDB[[#This Row],[LeadTime]]=0,GroDB[[#This Row],[Sales_Volume]],GroDB[[#This Row],[Sales_Volume]]/GroDB[[#This Row],[LeadTime]])</f>
        <v>0.52659574468085102</v>
      </c>
      <c r="W253" s="51">
        <f>_xlfn.STDEV.S(GroDB[Daily Sales])</f>
        <v>5.1999899792654221</v>
      </c>
      <c r="X253" s="3">
        <v>1</v>
      </c>
      <c r="Y253" s="7">
        <v>-1.8</v>
      </c>
      <c r="Z253" s="4">
        <f>GroDB[[#This Row],[Unit_Price]]*GroDB[[#This Row],[Sales_Volume]]</f>
        <v>990</v>
      </c>
      <c r="AA253" s="22">
        <f>GroDB[[#This Row],[ADU]]/GroDB[[#Totals],[ADU]]</f>
        <v>2.875655438849128E-3</v>
      </c>
      <c r="AB253" s="1">
        <f>GroDB[[#This Row],[Sales_Volume]]*GroDB[[#This Row],[Ordering Cost]]</f>
        <v>792</v>
      </c>
    </row>
    <row r="254" spans="1:28" x14ac:dyDescent="0.35">
      <c r="A254" s="5" t="s">
        <v>59</v>
      </c>
      <c r="B254" s="3" t="s">
        <v>60</v>
      </c>
      <c r="C254" s="3" t="s">
        <v>1054</v>
      </c>
      <c r="D254" s="3" t="s">
        <v>1055</v>
      </c>
      <c r="E254" s="3" t="s">
        <v>21</v>
      </c>
      <c r="F254" s="3" t="s">
        <v>1056</v>
      </c>
      <c r="G254" s="3" t="s">
        <v>1057</v>
      </c>
      <c r="H254" s="43">
        <v>45422</v>
      </c>
      <c r="I254" s="43">
        <v>45361</v>
      </c>
      <c r="J254" s="47" t="str">
        <f>IF(GroDB[[#This Row],[Last_Order_Date]]&lt;=GroDB[[#This Row],[Date_Received]], "Yes", "No")</f>
        <v>Yes</v>
      </c>
      <c r="K254" s="43">
        <f>IF(GroDB[[#This Row],[Column1]]="No",GroDB[[#This Row],[Last_Order_Date]],GroDB[[#This Row],[Date_Received]])</f>
        <v>45422</v>
      </c>
      <c r="L254" s="43">
        <f>IF(GroDB[[#This Row],[Column1]]="No",GroDB[[#This Row],[Date_Received]],GroDB[[#This Row],[Last_Order_Date]])</f>
        <v>45361</v>
      </c>
      <c r="M254" s="45">
        <f>GroDB[[#This Row],[Date_Received1]]-GroDB[[#This Row],[Procurement_Date]]</f>
        <v>61</v>
      </c>
      <c r="N254" s="43">
        <v>45549</v>
      </c>
      <c r="O254" s="91">
        <f>GroDB[[#This Row],[Expiration_Date]]-GroDB[[#This Row],[Date_Received1]]</f>
        <v>127</v>
      </c>
      <c r="P254" s="4">
        <v>8</v>
      </c>
      <c r="Q254" s="3">
        <v>88</v>
      </c>
      <c r="R254" s="3">
        <v>56</v>
      </c>
      <c r="S254" s="3">
        <v>81</v>
      </c>
      <c r="T254" s="4">
        <v>10</v>
      </c>
      <c r="U254" s="3">
        <v>98</v>
      </c>
      <c r="V254" s="51">
        <f>IF(GroDB[[#This Row],[LeadTime]]=0,GroDB[[#This Row],[Sales_Volume]],GroDB[[#This Row],[Sales_Volume]]/GroDB[[#This Row],[LeadTime]])</f>
        <v>1.6065573770491803</v>
      </c>
      <c r="W254" s="51">
        <f>_xlfn.STDEV.S(GroDB[Daily Sales])</f>
        <v>5.1999899792654221</v>
      </c>
      <c r="X254" s="3">
        <v>86</v>
      </c>
      <c r="Y254" s="7">
        <v>0.99</v>
      </c>
      <c r="Z254" s="4">
        <f>GroDB[[#This Row],[Unit_Price]]*GroDB[[#This Row],[Sales_Volume]]</f>
        <v>980</v>
      </c>
      <c r="AA254" s="22">
        <f>GroDB[[#This Row],[ADU]]/GroDB[[#Totals],[ADU]]</f>
        <v>2.8466084142142883E-3</v>
      </c>
      <c r="AB254" s="1">
        <f>GroDB[[#This Row],[Sales_Volume]]*GroDB[[#This Row],[Ordering Cost]]</f>
        <v>784</v>
      </c>
    </row>
    <row r="255" spans="1:28" x14ac:dyDescent="0.35">
      <c r="A255" s="5" t="s">
        <v>615</v>
      </c>
      <c r="B255" s="3" t="s">
        <v>32</v>
      </c>
      <c r="C255" s="3" t="s">
        <v>1058</v>
      </c>
      <c r="D255" s="3" t="s">
        <v>1059</v>
      </c>
      <c r="E255" s="3" t="s">
        <v>21</v>
      </c>
      <c r="F255" s="3" t="s">
        <v>1060</v>
      </c>
      <c r="G255" s="3" t="s">
        <v>1061</v>
      </c>
      <c r="H255" s="43">
        <v>45422</v>
      </c>
      <c r="I255" s="43">
        <v>45514</v>
      </c>
      <c r="J255" s="47" t="str">
        <f>IF(GroDB[[#This Row],[Last_Order_Date]]&lt;=GroDB[[#This Row],[Date_Received]], "Yes", "No")</f>
        <v>No</v>
      </c>
      <c r="K255" s="43">
        <f>IF(GroDB[[#This Row],[Column1]]="No",GroDB[[#This Row],[Last_Order_Date]],GroDB[[#This Row],[Date_Received]])</f>
        <v>45514</v>
      </c>
      <c r="L255" s="43">
        <f>IF(GroDB[[#This Row],[Column1]]="No",GroDB[[#This Row],[Date_Received]],GroDB[[#This Row],[Last_Order_Date]])</f>
        <v>45422</v>
      </c>
      <c r="M255" s="45">
        <f>GroDB[[#This Row],[Date_Received1]]-GroDB[[#This Row],[Procurement_Date]]</f>
        <v>92</v>
      </c>
      <c r="N255" s="43">
        <v>45355</v>
      </c>
      <c r="O255" s="91">
        <f>GroDB[[#This Row],[Expiration_Date]]-GroDB[[#This Row],[Date_Received1]]</f>
        <v>-159</v>
      </c>
      <c r="P255" s="4">
        <v>1.6</v>
      </c>
      <c r="Q255" s="3">
        <v>23</v>
      </c>
      <c r="R255" s="3">
        <v>100</v>
      </c>
      <c r="S255" s="3">
        <v>77</v>
      </c>
      <c r="T255" s="4">
        <v>2</v>
      </c>
      <c r="U255" s="3">
        <v>63</v>
      </c>
      <c r="V255" s="51">
        <f>IF(GroDB[[#This Row],[LeadTime]]=0,GroDB[[#This Row],[Sales_Volume]],GroDB[[#This Row],[Sales_Volume]]/GroDB[[#This Row],[LeadTime]])</f>
        <v>0.68478260869565222</v>
      </c>
      <c r="W255" s="51">
        <f>_xlfn.STDEV.S(GroDB[Daily Sales])</f>
        <v>5.1999899792654221</v>
      </c>
      <c r="X255" s="3">
        <v>26</v>
      </c>
      <c r="Y255" s="7">
        <v>0.12</v>
      </c>
      <c r="Z255" s="4">
        <f>GroDB[[#This Row],[Unit_Price]]*GroDB[[#This Row],[Sales_Volume]]</f>
        <v>126</v>
      </c>
      <c r="AA255" s="22">
        <f>GroDB[[#This Row],[ADU]]/GroDB[[#Totals],[ADU]]</f>
        <v>3.659925103989799E-4</v>
      </c>
      <c r="AB255" s="1">
        <f>GroDB[[#This Row],[Sales_Volume]]*GroDB[[#This Row],[Ordering Cost]]</f>
        <v>100.80000000000001</v>
      </c>
    </row>
    <row r="256" spans="1:28" x14ac:dyDescent="0.35">
      <c r="A256" s="5" t="s">
        <v>137</v>
      </c>
      <c r="B256" s="3" t="s">
        <v>18</v>
      </c>
      <c r="C256" s="3" t="s">
        <v>71</v>
      </c>
      <c r="D256" s="3" t="s">
        <v>1062</v>
      </c>
      <c r="E256" s="3" t="s">
        <v>21</v>
      </c>
      <c r="F256" s="3" t="s">
        <v>1063</v>
      </c>
      <c r="G256" s="3" t="s">
        <v>1064</v>
      </c>
      <c r="H256" s="43">
        <v>45453</v>
      </c>
      <c r="I256" s="43">
        <v>45638</v>
      </c>
      <c r="J256" s="47" t="str">
        <f>IF(GroDB[[#This Row],[Last_Order_Date]]&lt;=GroDB[[#This Row],[Date_Received]], "Yes", "No")</f>
        <v>No</v>
      </c>
      <c r="K256" s="43">
        <f>IF(GroDB[[#This Row],[Column1]]="No",GroDB[[#This Row],[Last_Order_Date]],GroDB[[#This Row],[Date_Received]])</f>
        <v>45638</v>
      </c>
      <c r="L256" s="43">
        <f>IF(GroDB[[#This Row],[Column1]]="No",GroDB[[#This Row],[Date_Received]],GroDB[[#This Row],[Last_Order_Date]])</f>
        <v>45453</v>
      </c>
      <c r="M256" s="45">
        <f>GroDB[[#This Row],[Date_Received1]]-GroDB[[#This Row],[Procurement_Date]]</f>
        <v>185</v>
      </c>
      <c r="N256" s="43">
        <v>45498</v>
      </c>
      <c r="O256" s="91">
        <f>GroDB[[#This Row],[Expiration_Date]]-GroDB[[#This Row],[Date_Received1]]</f>
        <v>-140</v>
      </c>
      <c r="P256" s="4">
        <v>4.16</v>
      </c>
      <c r="Q256" s="3">
        <v>61</v>
      </c>
      <c r="R256" s="3">
        <v>14</v>
      </c>
      <c r="S256" s="3">
        <v>49</v>
      </c>
      <c r="T256" s="4">
        <v>5.2</v>
      </c>
      <c r="U256" s="3">
        <v>74</v>
      </c>
      <c r="V256" s="51">
        <f>IF(GroDB[[#This Row],[LeadTime]]=0,GroDB[[#This Row],[Sales_Volume]],GroDB[[#This Row],[Sales_Volume]]/GroDB[[#This Row],[LeadTime]])</f>
        <v>0.4</v>
      </c>
      <c r="W256" s="51">
        <f>_xlfn.STDEV.S(GroDB[Daily Sales])</f>
        <v>5.1999899792654221</v>
      </c>
      <c r="X256" s="3">
        <v>35</v>
      </c>
      <c r="Y256" s="7">
        <v>0.59</v>
      </c>
      <c r="Z256" s="4">
        <f>GroDB[[#This Row],[Unit_Price]]*GroDB[[#This Row],[Sales_Volume]]</f>
        <v>384.8</v>
      </c>
      <c r="AA256" s="22">
        <f>GroDB[[#This Row],[ADU]]/GroDB[[#Totals],[ADU]]</f>
        <v>1.1177295079486307E-3</v>
      </c>
      <c r="AB256" s="1">
        <f>GroDB[[#This Row],[Sales_Volume]]*GroDB[[#This Row],[Ordering Cost]]</f>
        <v>307.84000000000003</v>
      </c>
    </row>
    <row r="257" spans="1:28" x14ac:dyDescent="0.35">
      <c r="A257" s="5" t="s">
        <v>17</v>
      </c>
      <c r="B257" s="3" t="s">
        <v>18</v>
      </c>
      <c r="C257" s="3" t="s">
        <v>1065</v>
      </c>
      <c r="D257" s="3" t="s">
        <v>1066</v>
      </c>
      <c r="E257" s="3" t="s">
        <v>21</v>
      </c>
      <c r="F257" s="3" t="s">
        <v>1067</v>
      </c>
      <c r="G257" s="3" t="s">
        <v>1068</v>
      </c>
      <c r="H257" s="43">
        <v>45453</v>
      </c>
      <c r="I257" s="43">
        <v>45663</v>
      </c>
      <c r="J257" s="47" t="str">
        <f>IF(GroDB[[#This Row],[Last_Order_Date]]&lt;=GroDB[[#This Row],[Date_Received]], "Yes", "No")</f>
        <v>No</v>
      </c>
      <c r="K257" s="43">
        <f>IF(GroDB[[#This Row],[Column1]]="No",GroDB[[#This Row],[Last_Order_Date]],GroDB[[#This Row],[Date_Received]])</f>
        <v>45663</v>
      </c>
      <c r="L257" s="43">
        <f>IF(GroDB[[#This Row],[Column1]]="No",GroDB[[#This Row],[Date_Received]],GroDB[[#This Row],[Last_Order_Date]])</f>
        <v>45453</v>
      </c>
      <c r="M257" s="45">
        <f>GroDB[[#This Row],[Date_Received1]]-GroDB[[#This Row],[Procurement_Date]]</f>
        <v>210</v>
      </c>
      <c r="N257" s="43">
        <v>45554</v>
      </c>
      <c r="O257" s="91">
        <f>GroDB[[#This Row],[Expiration_Date]]-GroDB[[#This Row],[Date_Received1]]</f>
        <v>-109</v>
      </c>
      <c r="P257" s="4">
        <v>3.6</v>
      </c>
      <c r="Q257" s="3">
        <v>89</v>
      </c>
      <c r="R257" s="3">
        <v>96</v>
      </c>
      <c r="S257" s="3">
        <v>94</v>
      </c>
      <c r="T257" s="4">
        <v>4.5</v>
      </c>
      <c r="U257" s="3">
        <v>38</v>
      </c>
      <c r="V257" s="51">
        <f>IF(GroDB[[#This Row],[LeadTime]]=0,GroDB[[#This Row],[Sales_Volume]],GroDB[[#This Row],[Sales_Volume]]/GroDB[[#This Row],[LeadTime]])</f>
        <v>0.18095238095238095</v>
      </c>
      <c r="W257" s="51">
        <f>_xlfn.STDEV.S(GroDB[Daily Sales])</f>
        <v>5.1999899792654221</v>
      </c>
      <c r="X257" s="3">
        <v>96</v>
      </c>
      <c r="Y257" s="7">
        <v>0.53</v>
      </c>
      <c r="Z257" s="4">
        <f>GroDB[[#This Row],[Unit_Price]]*GroDB[[#This Row],[Sales_Volume]]</f>
        <v>171</v>
      </c>
      <c r="AA257" s="22">
        <f>GroDB[[#This Row],[ADU]]/GroDB[[#Totals],[ADU]]</f>
        <v>4.9670412125575841E-4</v>
      </c>
      <c r="AB257" s="1">
        <f>GroDB[[#This Row],[Sales_Volume]]*GroDB[[#This Row],[Ordering Cost]]</f>
        <v>136.80000000000001</v>
      </c>
    </row>
    <row r="258" spans="1:28" x14ac:dyDescent="0.35">
      <c r="A258" s="5" t="s">
        <v>1069</v>
      </c>
      <c r="B258" s="3" t="s">
        <v>18</v>
      </c>
      <c r="C258" s="3" t="s">
        <v>138</v>
      </c>
      <c r="D258" s="3" t="s">
        <v>1070</v>
      </c>
      <c r="E258" s="3" t="s">
        <v>28</v>
      </c>
      <c r="F258" s="3" t="s">
        <v>1071</v>
      </c>
      <c r="G258" s="3" t="s">
        <v>1072</v>
      </c>
      <c r="H258" s="43">
        <v>45483</v>
      </c>
      <c r="I258" s="43">
        <v>45473</v>
      </c>
      <c r="J258" s="47" t="str">
        <f>IF(GroDB[[#This Row],[Last_Order_Date]]&lt;=GroDB[[#This Row],[Date_Received]], "Yes", "No")</f>
        <v>Yes</v>
      </c>
      <c r="K258" s="43">
        <f>IF(GroDB[[#This Row],[Column1]]="No",GroDB[[#This Row],[Last_Order_Date]],GroDB[[#This Row],[Date_Received]])</f>
        <v>45483</v>
      </c>
      <c r="L258" s="43">
        <f>IF(GroDB[[#This Row],[Column1]]="No",GroDB[[#This Row],[Date_Received]],GroDB[[#This Row],[Last_Order_Date]])</f>
        <v>45473</v>
      </c>
      <c r="M258" s="45">
        <f>GroDB[[#This Row],[Date_Received1]]-GroDB[[#This Row],[Procurement_Date]]</f>
        <v>10</v>
      </c>
      <c r="N258" s="43">
        <v>45502</v>
      </c>
      <c r="O258" s="91">
        <f>GroDB[[#This Row],[Expiration_Date]]-GroDB[[#This Row],[Date_Received1]]</f>
        <v>19</v>
      </c>
      <c r="P258" s="4">
        <v>4.7200000000000006</v>
      </c>
      <c r="Q258" s="3">
        <v>58</v>
      </c>
      <c r="R258" s="3">
        <v>15</v>
      </c>
      <c r="S258" s="3">
        <v>87</v>
      </c>
      <c r="T258" s="4">
        <v>5.9</v>
      </c>
      <c r="U258" s="3">
        <v>52</v>
      </c>
      <c r="V258" s="51">
        <f>IF(GroDB[[#This Row],[LeadTime]]=0,GroDB[[#This Row],[Sales_Volume]],GroDB[[#This Row],[Sales_Volume]]/GroDB[[#This Row],[LeadTime]])</f>
        <v>5.2</v>
      </c>
      <c r="W258" s="51">
        <f>_xlfn.STDEV.S(GroDB[Daily Sales])</f>
        <v>5.1999899792654221</v>
      </c>
      <c r="X258" s="3">
        <v>81</v>
      </c>
      <c r="Y258" s="7">
        <v>-1.53</v>
      </c>
      <c r="Z258" s="4">
        <f>GroDB[[#This Row],[Unit_Price]]*GroDB[[#This Row],[Sales_Volume]]</f>
        <v>306.8</v>
      </c>
      <c r="AA258" s="22">
        <f>GroDB[[#This Row],[ADU]]/GroDB[[#Totals],[ADU]]</f>
        <v>8.9116271579688122E-4</v>
      </c>
      <c r="AB258" s="1">
        <f>GroDB[[#This Row],[Sales_Volume]]*GroDB[[#This Row],[Ordering Cost]]</f>
        <v>245.44000000000003</v>
      </c>
    </row>
    <row r="259" spans="1:28" x14ac:dyDescent="0.35">
      <c r="A259" s="5" t="s">
        <v>392</v>
      </c>
      <c r="B259" s="3" t="s">
        <v>18</v>
      </c>
      <c r="C259" s="3" t="s">
        <v>1073</v>
      </c>
      <c r="D259" s="3" t="s">
        <v>1074</v>
      </c>
      <c r="E259" s="3" t="s">
        <v>56</v>
      </c>
      <c r="F259" s="3" t="s">
        <v>1075</v>
      </c>
      <c r="G259" s="3" t="s">
        <v>1076</v>
      </c>
      <c r="H259" s="43">
        <v>45483</v>
      </c>
      <c r="I259" s="43">
        <v>45467</v>
      </c>
      <c r="J259" s="47" t="str">
        <f>IF(GroDB[[#This Row],[Last_Order_Date]]&lt;=GroDB[[#This Row],[Date_Received]], "Yes", "No")</f>
        <v>Yes</v>
      </c>
      <c r="K259" s="43">
        <f>IF(GroDB[[#This Row],[Column1]]="No",GroDB[[#This Row],[Last_Order_Date]],GroDB[[#This Row],[Date_Received]])</f>
        <v>45483</v>
      </c>
      <c r="L259" s="43">
        <f>IF(GroDB[[#This Row],[Column1]]="No",GroDB[[#This Row],[Date_Received]],GroDB[[#This Row],[Last_Order_Date]])</f>
        <v>45467</v>
      </c>
      <c r="M259" s="45">
        <f>GroDB[[#This Row],[Date_Received1]]-GroDB[[#This Row],[Procurement_Date]]</f>
        <v>16</v>
      </c>
      <c r="N259" s="43">
        <v>45575</v>
      </c>
      <c r="O259" s="91">
        <f>GroDB[[#This Row],[Expiration_Date]]-GroDB[[#This Row],[Date_Received1]]</f>
        <v>92</v>
      </c>
      <c r="P259" s="4">
        <v>4.4000000000000004</v>
      </c>
      <c r="Q259" s="3">
        <v>38</v>
      </c>
      <c r="R259" s="3">
        <v>72</v>
      </c>
      <c r="S259" s="3">
        <v>39</v>
      </c>
      <c r="T259" s="4">
        <v>5.5</v>
      </c>
      <c r="U259" s="3">
        <v>59</v>
      </c>
      <c r="V259" s="51">
        <f>IF(GroDB[[#This Row],[LeadTime]]=0,GroDB[[#This Row],[Sales_Volume]],GroDB[[#This Row],[Sales_Volume]]/GroDB[[#This Row],[LeadTime]])</f>
        <v>3.6875</v>
      </c>
      <c r="W259" s="51">
        <f>_xlfn.STDEV.S(GroDB[Daily Sales])</f>
        <v>5.1999899792654221</v>
      </c>
      <c r="X259" s="3">
        <v>8</v>
      </c>
      <c r="Y259" s="7">
        <v>-0.56000000000000005</v>
      </c>
      <c r="Z259" s="4">
        <f>GroDB[[#This Row],[Unit_Price]]*GroDB[[#This Row],[Sales_Volume]]</f>
        <v>324.5</v>
      </c>
      <c r="AA259" s="22">
        <f>GroDB[[#This Row],[ADU]]/GroDB[[#Totals],[ADU]]</f>
        <v>9.425759494005474E-4</v>
      </c>
      <c r="AB259" s="1">
        <f>GroDB[[#This Row],[Sales_Volume]]*GroDB[[#This Row],[Ordering Cost]]</f>
        <v>259.60000000000002</v>
      </c>
    </row>
    <row r="260" spans="1:28" x14ac:dyDescent="0.35">
      <c r="A260" s="5" t="s">
        <v>700</v>
      </c>
      <c r="B260" s="3" t="s">
        <v>18</v>
      </c>
      <c r="C260" s="3" t="s">
        <v>1077</v>
      </c>
      <c r="D260" s="3" t="s">
        <v>1078</v>
      </c>
      <c r="E260" s="3" t="s">
        <v>28</v>
      </c>
      <c r="F260" s="3" t="s">
        <v>1079</v>
      </c>
      <c r="G260" s="3" t="s">
        <v>1080</v>
      </c>
      <c r="H260" s="43">
        <v>45514</v>
      </c>
      <c r="I260" s="43">
        <v>45500</v>
      </c>
      <c r="J260" s="47" t="str">
        <f>IF(GroDB[[#This Row],[Last_Order_Date]]&lt;=GroDB[[#This Row],[Date_Received]], "Yes", "No")</f>
        <v>Yes</v>
      </c>
      <c r="K260" s="43">
        <f>IF(GroDB[[#This Row],[Column1]]="No",GroDB[[#This Row],[Last_Order_Date]],GroDB[[#This Row],[Date_Received]])</f>
        <v>45514</v>
      </c>
      <c r="L260" s="43">
        <f>IF(GroDB[[#This Row],[Column1]]="No",GroDB[[#This Row],[Date_Received]],GroDB[[#This Row],[Last_Order_Date]])</f>
        <v>45500</v>
      </c>
      <c r="M260" s="45">
        <f>GroDB[[#This Row],[Date_Received1]]-GroDB[[#This Row],[Procurement_Date]]</f>
        <v>14</v>
      </c>
      <c r="N260" s="43">
        <v>45421</v>
      </c>
      <c r="O260" s="91">
        <f>GroDB[[#This Row],[Expiration_Date]]-GroDB[[#This Row],[Date_Received1]]</f>
        <v>-93</v>
      </c>
      <c r="P260" s="4">
        <v>1.9600000000000002</v>
      </c>
      <c r="Q260" s="3">
        <v>45</v>
      </c>
      <c r="R260" s="3">
        <v>70</v>
      </c>
      <c r="S260" s="3">
        <v>98</v>
      </c>
      <c r="T260" s="4">
        <v>2.4500000000000002</v>
      </c>
      <c r="U260" s="3">
        <v>25</v>
      </c>
      <c r="V260" s="51">
        <f>IF(GroDB[[#This Row],[LeadTime]]=0,GroDB[[#This Row],[Sales_Volume]],GroDB[[#This Row],[Sales_Volume]]/GroDB[[#This Row],[LeadTime]])</f>
        <v>1.7857142857142858</v>
      </c>
      <c r="W260" s="51">
        <f>_xlfn.STDEV.S(GroDB[Daily Sales])</f>
        <v>5.1999899792654221</v>
      </c>
      <c r="X260" s="3">
        <v>39</v>
      </c>
      <c r="Y260" s="7">
        <v>0.86</v>
      </c>
      <c r="Z260" s="4">
        <f>GroDB[[#This Row],[Unit_Price]]*GroDB[[#This Row],[Sales_Volume]]</f>
        <v>61.250000000000007</v>
      </c>
      <c r="AA260" s="22">
        <f>GroDB[[#This Row],[ADU]]/GroDB[[#Totals],[ADU]]</f>
        <v>1.7791302588839302E-4</v>
      </c>
      <c r="AB260" s="1">
        <f>GroDB[[#This Row],[Sales_Volume]]*GroDB[[#This Row],[Ordering Cost]]</f>
        <v>49.000000000000007</v>
      </c>
    </row>
    <row r="261" spans="1:28" x14ac:dyDescent="0.35">
      <c r="A261" s="5" t="s">
        <v>1081</v>
      </c>
      <c r="B261" s="3" t="s">
        <v>127</v>
      </c>
      <c r="C261" s="3" t="s">
        <v>778</v>
      </c>
      <c r="D261" s="3" t="s">
        <v>1082</v>
      </c>
      <c r="E261" s="3" t="s">
        <v>56</v>
      </c>
      <c r="F261" s="3" t="s">
        <v>1083</v>
      </c>
      <c r="G261" s="3" t="s">
        <v>1084</v>
      </c>
      <c r="H261" s="43">
        <v>45514</v>
      </c>
      <c r="I261" s="43">
        <v>45620</v>
      </c>
      <c r="J261" s="47" t="str">
        <f>IF(GroDB[[#This Row],[Last_Order_Date]]&lt;=GroDB[[#This Row],[Date_Received]], "Yes", "No")</f>
        <v>No</v>
      </c>
      <c r="K261" s="43">
        <f>IF(GroDB[[#This Row],[Column1]]="No",GroDB[[#This Row],[Last_Order_Date]],GroDB[[#This Row],[Date_Received]])</f>
        <v>45620</v>
      </c>
      <c r="L261" s="43">
        <f>IF(GroDB[[#This Row],[Column1]]="No",GroDB[[#This Row],[Date_Received]],GroDB[[#This Row],[Last_Order_Date]])</f>
        <v>45514</v>
      </c>
      <c r="M261" s="45">
        <f>GroDB[[#This Row],[Date_Received1]]-GroDB[[#This Row],[Procurement_Date]]</f>
        <v>106</v>
      </c>
      <c r="N261" s="43">
        <v>45370</v>
      </c>
      <c r="O261" s="91">
        <f>GroDB[[#This Row],[Expiration_Date]]-GroDB[[#This Row],[Date_Received1]]</f>
        <v>-250</v>
      </c>
      <c r="P261" s="4">
        <v>6.4</v>
      </c>
      <c r="Q261" s="3">
        <v>26</v>
      </c>
      <c r="R261" s="3">
        <v>59</v>
      </c>
      <c r="S261" s="3">
        <v>54</v>
      </c>
      <c r="T261" s="4">
        <v>8</v>
      </c>
      <c r="U261" s="3">
        <v>92</v>
      </c>
      <c r="V261" s="51">
        <f>IF(GroDB[[#This Row],[LeadTime]]=0,GroDB[[#This Row],[Sales_Volume]],GroDB[[#This Row],[Sales_Volume]]/GroDB[[#This Row],[LeadTime]])</f>
        <v>0.86792452830188682</v>
      </c>
      <c r="W261" s="51">
        <f>_xlfn.STDEV.S(GroDB[Daily Sales])</f>
        <v>5.1999899792654221</v>
      </c>
      <c r="X261" s="3">
        <v>49</v>
      </c>
      <c r="Y261" s="7">
        <v>-0.56000000000000005</v>
      </c>
      <c r="Z261" s="4">
        <f>GroDB[[#This Row],[Unit_Price]]*GroDB[[#This Row],[Sales_Volume]]</f>
        <v>736</v>
      </c>
      <c r="AA261" s="22">
        <f>GroDB[[#This Row],[ADU]]/GroDB[[#Totals],[ADU]]</f>
        <v>2.1378610131242001E-3</v>
      </c>
      <c r="AB261" s="1">
        <f>GroDB[[#This Row],[Sales_Volume]]*GroDB[[#This Row],[Ordering Cost]]</f>
        <v>588.80000000000007</v>
      </c>
    </row>
    <row r="262" spans="1:28" x14ac:dyDescent="0.35">
      <c r="A262" s="5" t="s">
        <v>1085</v>
      </c>
      <c r="B262" s="3" t="s">
        <v>32</v>
      </c>
      <c r="C262" s="3" t="s">
        <v>849</v>
      </c>
      <c r="D262" s="3" t="s">
        <v>1086</v>
      </c>
      <c r="E262" s="3" t="s">
        <v>21</v>
      </c>
      <c r="F262" s="3" t="s">
        <v>1087</v>
      </c>
      <c r="G262" s="3" t="s">
        <v>1088</v>
      </c>
      <c r="H262" s="43">
        <v>45545</v>
      </c>
      <c r="I262" s="43">
        <v>45431</v>
      </c>
      <c r="J262" s="47" t="str">
        <f>IF(GroDB[[#This Row],[Last_Order_Date]]&lt;=GroDB[[#This Row],[Date_Received]], "Yes", "No")</f>
        <v>Yes</v>
      </c>
      <c r="K262" s="43">
        <f>IF(GroDB[[#This Row],[Column1]]="No",GroDB[[#This Row],[Last_Order_Date]],GroDB[[#This Row],[Date_Received]])</f>
        <v>45545</v>
      </c>
      <c r="L262" s="43">
        <f>IF(GroDB[[#This Row],[Column1]]="No",GroDB[[#This Row],[Date_Received]],GroDB[[#This Row],[Last_Order_Date]])</f>
        <v>45431</v>
      </c>
      <c r="M262" s="45">
        <f>GroDB[[#This Row],[Date_Received1]]-GroDB[[#This Row],[Procurement_Date]]</f>
        <v>114</v>
      </c>
      <c r="N262" s="43">
        <v>45474</v>
      </c>
      <c r="O262" s="91">
        <f>GroDB[[#This Row],[Expiration_Date]]-GroDB[[#This Row],[Date_Received1]]</f>
        <v>-71</v>
      </c>
      <c r="P262" s="4">
        <v>6.4</v>
      </c>
      <c r="Q262" s="3">
        <v>49</v>
      </c>
      <c r="R262" s="3">
        <v>49</v>
      </c>
      <c r="S262" s="3">
        <v>26</v>
      </c>
      <c r="T262" s="4">
        <v>8</v>
      </c>
      <c r="U262" s="3">
        <v>78</v>
      </c>
      <c r="V262" s="51">
        <f>IF(GroDB[[#This Row],[LeadTime]]=0,GroDB[[#This Row],[Sales_Volume]],GroDB[[#This Row],[Sales_Volume]]/GroDB[[#This Row],[LeadTime]])</f>
        <v>0.68421052631578949</v>
      </c>
      <c r="W262" s="51">
        <f>_xlfn.STDEV.S(GroDB[Daily Sales])</f>
        <v>5.1999899792654221</v>
      </c>
      <c r="X262" s="3">
        <v>61</v>
      </c>
      <c r="Y262" s="7">
        <v>0.47</v>
      </c>
      <c r="Z262" s="4">
        <f>GroDB[[#This Row],[Unit_Price]]*GroDB[[#This Row],[Sales_Volume]]</f>
        <v>624</v>
      </c>
      <c r="AA262" s="22">
        <f>GroDB[[#This Row],[ADU]]/GroDB[[#Totals],[ADU]]</f>
        <v>1.8125343372139956E-3</v>
      </c>
      <c r="AB262" s="1">
        <f>GroDB[[#This Row],[Sales_Volume]]*GroDB[[#This Row],[Ordering Cost]]</f>
        <v>499.20000000000005</v>
      </c>
    </row>
    <row r="263" spans="1:28" x14ac:dyDescent="0.35">
      <c r="A263" s="5" t="s">
        <v>789</v>
      </c>
      <c r="B263" s="3" t="s">
        <v>18</v>
      </c>
      <c r="C263" s="3" t="s">
        <v>755</v>
      </c>
      <c r="D263" s="3" t="s">
        <v>1089</v>
      </c>
      <c r="E263" s="3" t="s">
        <v>56</v>
      </c>
      <c r="F263" s="3" t="s">
        <v>1090</v>
      </c>
      <c r="G263" s="3" t="s">
        <v>1091</v>
      </c>
      <c r="H263" s="43">
        <v>45545</v>
      </c>
      <c r="I263" s="43">
        <v>45706</v>
      </c>
      <c r="J263" s="47" t="str">
        <f>IF(GroDB[[#This Row],[Last_Order_Date]]&lt;=GroDB[[#This Row],[Date_Received]], "Yes", "No")</f>
        <v>No</v>
      </c>
      <c r="K263" s="43">
        <f>IF(GroDB[[#This Row],[Column1]]="No",GroDB[[#This Row],[Last_Order_Date]],GroDB[[#This Row],[Date_Received]])</f>
        <v>45706</v>
      </c>
      <c r="L263" s="43">
        <f>IF(GroDB[[#This Row],[Column1]]="No",GroDB[[#This Row],[Date_Received]],GroDB[[#This Row],[Last_Order_Date]])</f>
        <v>45545</v>
      </c>
      <c r="M263" s="45">
        <f>GroDB[[#This Row],[Date_Received1]]-GroDB[[#This Row],[Procurement_Date]]</f>
        <v>161</v>
      </c>
      <c r="N263" s="43">
        <v>45594</v>
      </c>
      <c r="O263" s="91">
        <f>GroDB[[#This Row],[Expiration_Date]]-GroDB[[#This Row],[Date_Received1]]</f>
        <v>-112</v>
      </c>
      <c r="P263" s="4">
        <v>1.6</v>
      </c>
      <c r="Q263" s="3">
        <v>31</v>
      </c>
      <c r="R263" s="3">
        <v>55</v>
      </c>
      <c r="S263" s="3">
        <v>5</v>
      </c>
      <c r="T263" s="4">
        <v>2</v>
      </c>
      <c r="U263" s="3">
        <v>71</v>
      </c>
      <c r="V263" s="51">
        <f>IF(GroDB[[#This Row],[LeadTime]]=0,GroDB[[#This Row],[Sales_Volume]],GroDB[[#This Row],[Sales_Volume]]/GroDB[[#This Row],[LeadTime]])</f>
        <v>0.44099378881987578</v>
      </c>
      <c r="W263" s="51">
        <f>_xlfn.STDEV.S(GroDB[Daily Sales])</f>
        <v>5.1999899792654221</v>
      </c>
      <c r="X263" s="3">
        <v>46</v>
      </c>
      <c r="Y263" s="7">
        <v>0.22</v>
      </c>
      <c r="Z263" s="4">
        <f>GroDB[[#This Row],[Unit_Price]]*GroDB[[#This Row],[Sales_Volume]]</f>
        <v>142</v>
      </c>
      <c r="AA263" s="22">
        <f>GroDB[[#This Row],[ADU]]/GroDB[[#Totals],[ADU]]</f>
        <v>4.1246774981472341E-4</v>
      </c>
      <c r="AB263" s="1">
        <f>GroDB[[#This Row],[Sales_Volume]]*GroDB[[#This Row],[Ordering Cost]]</f>
        <v>113.60000000000001</v>
      </c>
    </row>
    <row r="264" spans="1:28" x14ac:dyDescent="0.35">
      <c r="A264" s="5" t="s">
        <v>1092</v>
      </c>
      <c r="B264" s="3" t="s">
        <v>18</v>
      </c>
      <c r="C264" s="3" t="s">
        <v>813</v>
      </c>
      <c r="D264" s="3" t="s">
        <v>1093</v>
      </c>
      <c r="E264" s="3" t="s">
        <v>56</v>
      </c>
      <c r="F264" s="3" t="s">
        <v>1094</v>
      </c>
      <c r="G264" s="3" t="s">
        <v>1095</v>
      </c>
      <c r="H264" s="43">
        <v>45545</v>
      </c>
      <c r="I264" s="43">
        <v>45616</v>
      </c>
      <c r="J264" s="47" t="str">
        <f>IF(GroDB[[#This Row],[Last_Order_Date]]&lt;=GroDB[[#This Row],[Date_Received]], "Yes", "No")</f>
        <v>No</v>
      </c>
      <c r="K264" s="43">
        <f>IF(GroDB[[#This Row],[Column1]]="No",GroDB[[#This Row],[Last_Order_Date]],GroDB[[#This Row],[Date_Received]])</f>
        <v>45616</v>
      </c>
      <c r="L264" s="43">
        <f>IF(GroDB[[#This Row],[Column1]]="No",GroDB[[#This Row],[Date_Received]],GroDB[[#This Row],[Last_Order_Date]])</f>
        <v>45545</v>
      </c>
      <c r="M264" s="45">
        <f>GroDB[[#This Row],[Date_Received1]]-GroDB[[#This Row],[Procurement_Date]]</f>
        <v>71</v>
      </c>
      <c r="N264" s="43">
        <v>45454</v>
      </c>
      <c r="O264" s="91">
        <f>GroDB[[#This Row],[Expiration_Date]]-GroDB[[#This Row],[Date_Received1]]</f>
        <v>-162</v>
      </c>
      <c r="P264" s="4">
        <v>6.4</v>
      </c>
      <c r="Q264" s="3">
        <v>57</v>
      </c>
      <c r="R264" s="3">
        <v>82</v>
      </c>
      <c r="S264" s="3">
        <v>59</v>
      </c>
      <c r="T264" s="4">
        <v>8</v>
      </c>
      <c r="U264" s="3">
        <v>44</v>
      </c>
      <c r="V264" s="51">
        <f>IF(GroDB[[#This Row],[LeadTime]]=0,GroDB[[#This Row],[Sales_Volume]],GroDB[[#This Row],[Sales_Volume]]/GroDB[[#This Row],[LeadTime]])</f>
        <v>0.61971830985915488</v>
      </c>
      <c r="W264" s="51">
        <f>_xlfn.STDEV.S(GroDB[Daily Sales])</f>
        <v>5.1999899792654221</v>
      </c>
      <c r="X264" s="3">
        <v>57</v>
      </c>
      <c r="Y264" s="7">
        <v>0.35</v>
      </c>
      <c r="Z264" s="4">
        <f>GroDB[[#This Row],[Unit_Price]]*GroDB[[#This Row],[Sales_Volume]]</f>
        <v>352</v>
      </c>
      <c r="AA264" s="22">
        <f>GroDB[[#This Row],[ADU]]/GroDB[[#Totals],[ADU]]</f>
        <v>1.0224552671463565E-3</v>
      </c>
      <c r="AB264" s="1">
        <f>GroDB[[#This Row],[Sales_Volume]]*GroDB[[#This Row],[Ordering Cost]]</f>
        <v>281.60000000000002</v>
      </c>
    </row>
    <row r="265" spans="1:28" x14ac:dyDescent="0.35">
      <c r="A265" s="5" t="s">
        <v>151</v>
      </c>
      <c r="B265" s="3" t="s">
        <v>91</v>
      </c>
      <c r="C265" s="3" t="s">
        <v>304</v>
      </c>
      <c r="D265" s="3" t="s">
        <v>1096</v>
      </c>
      <c r="E265" s="3" t="s">
        <v>21</v>
      </c>
      <c r="F265" s="3" t="s">
        <v>1097</v>
      </c>
      <c r="G265" s="3" t="s">
        <v>1098</v>
      </c>
      <c r="H265" s="43">
        <v>45575</v>
      </c>
      <c r="I265" s="43">
        <v>45472</v>
      </c>
      <c r="J265" s="47" t="str">
        <f>IF(GroDB[[#This Row],[Last_Order_Date]]&lt;=GroDB[[#This Row],[Date_Received]], "Yes", "No")</f>
        <v>Yes</v>
      </c>
      <c r="K265" s="43">
        <f>IF(GroDB[[#This Row],[Column1]]="No",GroDB[[#This Row],[Last_Order_Date]],GroDB[[#This Row],[Date_Received]])</f>
        <v>45575</v>
      </c>
      <c r="L265" s="43">
        <f>IF(GroDB[[#This Row],[Column1]]="No",GroDB[[#This Row],[Date_Received]],GroDB[[#This Row],[Last_Order_Date]])</f>
        <v>45472</v>
      </c>
      <c r="M265" s="45">
        <f>GroDB[[#This Row],[Date_Received1]]-GroDB[[#This Row],[Procurement_Date]]</f>
        <v>103</v>
      </c>
      <c r="N265" s="43">
        <v>45564</v>
      </c>
      <c r="O265" s="91">
        <f>GroDB[[#This Row],[Expiration_Date]]-GroDB[[#This Row],[Date_Received1]]</f>
        <v>-11</v>
      </c>
      <c r="P265" s="4">
        <v>3.2</v>
      </c>
      <c r="Q265" s="3">
        <v>12</v>
      </c>
      <c r="R265" s="3">
        <v>86</v>
      </c>
      <c r="S265" s="3">
        <v>98</v>
      </c>
      <c r="T265" s="4">
        <v>4</v>
      </c>
      <c r="U265" s="3">
        <v>75</v>
      </c>
      <c r="V265" s="51">
        <f>IF(GroDB[[#This Row],[LeadTime]]=0,GroDB[[#This Row],[Sales_Volume]],GroDB[[#This Row],[Sales_Volume]]/GroDB[[#This Row],[LeadTime]])</f>
        <v>0.72815533980582525</v>
      </c>
      <c r="W265" s="51">
        <f>_xlfn.STDEV.S(GroDB[Daily Sales])</f>
        <v>5.1999899792654221</v>
      </c>
      <c r="X265" s="3">
        <v>86</v>
      </c>
      <c r="Y265" s="7">
        <v>-0.3</v>
      </c>
      <c r="Z265" s="4">
        <f>GroDB[[#This Row],[Unit_Price]]*GroDB[[#This Row],[Sales_Volume]]</f>
        <v>300</v>
      </c>
      <c r="AA265" s="22">
        <f>GroDB[[#This Row],[ADU]]/GroDB[[#Totals],[ADU]]</f>
        <v>8.7141073904519026E-4</v>
      </c>
      <c r="AB265" s="1">
        <f>GroDB[[#This Row],[Sales_Volume]]*GroDB[[#This Row],[Ordering Cost]]</f>
        <v>240</v>
      </c>
    </row>
    <row r="266" spans="1:28" x14ac:dyDescent="0.35">
      <c r="A266" s="5" t="s">
        <v>320</v>
      </c>
      <c r="B266" s="3" t="s">
        <v>18</v>
      </c>
      <c r="C266" s="3" t="s">
        <v>536</v>
      </c>
      <c r="D266" s="3" t="s">
        <v>1099</v>
      </c>
      <c r="E266" s="3" t="s">
        <v>56</v>
      </c>
      <c r="F266" s="3" t="s">
        <v>1100</v>
      </c>
      <c r="G266" s="3" t="s">
        <v>1101</v>
      </c>
      <c r="H266" s="43">
        <v>45575</v>
      </c>
      <c r="I266" s="43">
        <v>45457</v>
      </c>
      <c r="J266" s="47" t="str">
        <f>IF(GroDB[[#This Row],[Last_Order_Date]]&lt;=GroDB[[#This Row],[Date_Received]], "Yes", "No")</f>
        <v>Yes</v>
      </c>
      <c r="K266" s="43">
        <f>IF(GroDB[[#This Row],[Column1]]="No",GroDB[[#This Row],[Last_Order_Date]],GroDB[[#This Row],[Date_Received]])</f>
        <v>45575</v>
      </c>
      <c r="L266" s="43">
        <f>IF(GroDB[[#This Row],[Column1]]="No",GroDB[[#This Row],[Date_Received]],GroDB[[#This Row],[Last_Order_Date]])</f>
        <v>45457</v>
      </c>
      <c r="M266" s="45">
        <f>GroDB[[#This Row],[Date_Received1]]-GroDB[[#This Row],[Procurement_Date]]</f>
        <v>118</v>
      </c>
      <c r="N266" s="43">
        <v>45575</v>
      </c>
      <c r="O266" s="91">
        <f>GroDB[[#This Row],[Expiration_Date]]-GroDB[[#This Row],[Date_Received1]]</f>
        <v>0</v>
      </c>
      <c r="P266" s="4">
        <v>3.12</v>
      </c>
      <c r="Q266" s="3">
        <v>64</v>
      </c>
      <c r="R266" s="3">
        <v>71</v>
      </c>
      <c r="S266" s="3">
        <v>69</v>
      </c>
      <c r="T266" s="4">
        <v>3.9</v>
      </c>
      <c r="U266" s="3">
        <v>60</v>
      </c>
      <c r="V266" s="51">
        <f>IF(GroDB[[#This Row],[LeadTime]]=0,GroDB[[#This Row],[Sales_Volume]],GroDB[[#This Row],[Sales_Volume]]/GroDB[[#This Row],[LeadTime]])</f>
        <v>0.50847457627118642</v>
      </c>
      <c r="W266" s="51">
        <f>_xlfn.STDEV.S(GroDB[Daily Sales])</f>
        <v>5.1999899792654221</v>
      </c>
      <c r="X266" s="3">
        <v>67</v>
      </c>
      <c r="Y266" s="7">
        <v>-0.15</v>
      </c>
      <c r="Z266" s="4">
        <f>GroDB[[#This Row],[Unit_Price]]*GroDB[[#This Row],[Sales_Volume]]</f>
        <v>234</v>
      </c>
      <c r="AA266" s="22">
        <f>GroDB[[#This Row],[ADU]]/GroDB[[#Totals],[ADU]]</f>
        <v>6.7970037645524836E-4</v>
      </c>
      <c r="AB266" s="1">
        <f>GroDB[[#This Row],[Sales_Volume]]*GroDB[[#This Row],[Ordering Cost]]</f>
        <v>187.20000000000002</v>
      </c>
    </row>
    <row r="267" spans="1:28" x14ac:dyDescent="0.35">
      <c r="A267" s="5" t="s">
        <v>686</v>
      </c>
      <c r="B267" s="3" t="s">
        <v>18</v>
      </c>
      <c r="C267" s="3" t="s">
        <v>570</v>
      </c>
      <c r="D267" s="3" t="s">
        <v>1102</v>
      </c>
      <c r="E267" s="3" t="s">
        <v>21</v>
      </c>
      <c r="F267" s="3" t="s">
        <v>1103</v>
      </c>
      <c r="G267" s="3" t="s">
        <v>1104</v>
      </c>
      <c r="H267" s="43">
        <v>45575</v>
      </c>
      <c r="I267" s="43">
        <v>45418</v>
      </c>
      <c r="J267" s="47" t="str">
        <f>IF(GroDB[[#This Row],[Last_Order_Date]]&lt;=GroDB[[#This Row],[Date_Received]], "Yes", "No")</f>
        <v>Yes</v>
      </c>
      <c r="K267" s="43">
        <f>IF(GroDB[[#This Row],[Column1]]="No",GroDB[[#This Row],[Last_Order_Date]],GroDB[[#This Row],[Date_Received]])</f>
        <v>45575</v>
      </c>
      <c r="L267" s="43">
        <f>IF(GroDB[[#This Row],[Column1]]="No",GroDB[[#This Row],[Date_Received]],GroDB[[#This Row],[Last_Order_Date]])</f>
        <v>45418</v>
      </c>
      <c r="M267" s="45">
        <f>GroDB[[#This Row],[Date_Received1]]-GroDB[[#This Row],[Procurement_Date]]</f>
        <v>157</v>
      </c>
      <c r="N267" s="43">
        <v>45651</v>
      </c>
      <c r="O267" s="91">
        <f>GroDB[[#This Row],[Expiration_Date]]-GroDB[[#This Row],[Date_Received1]]</f>
        <v>76</v>
      </c>
      <c r="P267" s="4">
        <v>2</v>
      </c>
      <c r="Q267" s="3">
        <v>11</v>
      </c>
      <c r="R267" s="3">
        <v>10</v>
      </c>
      <c r="S267" s="3">
        <v>60</v>
      </c>
      <c r="T267" s="4">
        <v>2.5</v>
      </c>
      <c r="U267" s="3">
        <v>93</v>
      </c>
      <c r="V267" s="51">
        <f>IF(GroDB[[#This Row],[LeadTime]]=0,GroDB[[#This Row],[Sales_Volume]],GroDB[[#This Row],[Sales_Volume]]/GroDB[[#This Row],[LeadTime]])</f>
        <v>0.59235668789808915</v>
      </c>
      <c r="W267" s="51">
        <f>_xlfn.STDEV.S(GroDB[Daily Sales])</f>
        <v>5.1999899792654221</v>
      </c>
      <c r="X267" s="3">
        <v>53</v>
      </c>
      <c r="Y267" s="7">
        <v>-0.12</v>
      </c>
      <c r="Z267" s="4">
        <f>GroDB[[#This Row],[Unit_Price]]*GroDB[[#This Row],[Sales_Volume]]</f>
        <v>232.5</v>
      </c>
      <c r="AA267" s="22">
        <f>GroDB[[#This Row],[ADU]]/GroDB[[#Totals],[ADU]]</f>
        <v>6.7534332276002239E-4</v>
      </c>
      <c r="AB267" s="1">
        <f>GroDB[[#This Row],[Sales_Volume]]*GroDB[[#This Row],[Ordering Cost]]</f>
        <v>186</v>
      </c>
    </row>
    <row r="268" spans="1:28" x14ac:dyDescent="0.35">
      <c r="A268" s="5" t="s">
        <v>146</v>
      </c>
      <c r="B268" s="3" t="s">
        <v>53</v>
      </c>
      <c r="C268" s="3" t="s">
        <v>1105</v>
      </c>
      <c r="D268" s="3" t="s">
        <v>1106</v>
      </c>
      <c r="E268" s="3" t="s">
        <v>56</v>
      </c>
      <c r="F268" s="3" t="s">
        <v>1107</v>
      </c>
      <c r="G268" s="3" t="s">
        <v>1108</v>
      </c>
      <c r="H268" s="43">
        <v>45575</v>
      </c>
      <c r="I268" s="43">
        <v>45520</v>
      </c>
      <c r="J268" s="47" t="str">
        <f>IF(GroDB[[#This Row],[Last_Order_Date]]&lt;=GroDB[[#This Row],[Date_Received]], "Yes", "No")</f>
        <v>Yes</v>
      </c>
      <c r="K268" s="43">
        <f>IF(GroDB[[#This Row],[Column1]]="No",GroDB[[#This Row],[Last_Order_Date]],GroDB[[#This Row],[Date_Received]])</f>
        <v>45575</v>
      </c>
      <c r="L268" s="43">
        <f>IF(GroDB[[#This Row],[Column1]]="No",GroDB[[#This Row],[Date_Received]],GroDB[[#This Row],[Last_Order_Date]])</f>
        <v>45520</v>
      </c>
      <c r="M268" s="45">
        <f>GroDB[[#This Row],[Date_Received1]]-GroDB[[#This Row],[Procurement_Date]]</f>
        <v>55</v>
      </c>
      <c r="N268" s="43">
        <v>45606</v>
      </c>
      <c r="O268" s="91">
        <f>GroDB[[#This Row],[Expiration_Date]]-GroDB[[#This Row],[Date_Received1]]</f>
        <v>31</v>
      </c>
      <c r="P268" s="4">
        <v>3.8000000000000003</v>
      </c>
      <c r="Q268" s="3">
        <v>46</v>
      </c>
      <c r="R268" s="3">
        <v>39</v>
      </c>
      <c r="S268" s="3">
        <v>11</v>
      </c>
      <c r="T268" s="4">
        <v>4.75</v>
      </c>
      <c r="U268" s="3">
        <v>36</v>
      </c>
      <c r="V268" s="51">
        <f>IF(GroDB[[#This Row],[LeadTime]]=0,GroDB[[#This Row],[Sales_Volume]],GroDB[[#This Row],[Sales_Volume]]/GroDB[[#This Row],[LeadTime]])</f>
        <v>0.65454545454545454</v>
      </c>
      <c r="W268" s="51">
        <f>_xlfn.STDEV.S(GroDB[Daily Sales])</f>
        <v>5.1999899792654221</v>
      </c>
      <c r="X268" s="3">
        <v>54</v>
      </c>
      <c r="Y268" s="7">
        <v>0.43</v>
      </c>
      <c r="Z268" s="4">
        <f>GroDB[[#This Row],[Unit_Price]]*GroDB[[#This Row],[Sales_Volume]]</f>
        <v>171</v>
      </c>
      <c r="AA268" s="22">
        <f>GroDB[[#This Row],[ADU]]/GroDB[[#Totals],[ADU]]</f>
        <v>4.9670412125575841E-4</v>
      </c>
      <c r="AB268" s="1">
        <f>GroDB[[#This Row],[Sales_Volume]]*GroDB[[#This Row],[Ordering Cost]]</f>
        <v>136.80000000000001</v>
      </c>
    </row>
    <row r="269" spans="1:28" x14ac:dyDescent="0.35">
      <c r="A269" s="5" t="s">
        <v>1109</v>
      </c>
      <c r="B269" s="3" t="s">
        <v>18</v>
      </c>
      <c r="C269" s="3" t="s">
        <v>1110</v>
      </c>
      <c r="D269" s="3" t="s">
        <v>1111</v>
      </c>
      <c r="E269" s="3" t="s">
        <v>28</v>
      </c>
      <c r="F269" s="3" t="s">
        <v>1112</v>
      </c>
      <c r="G269" s="3" t="s">
        <v>1113</v>
      </c>
      <c r="H269" s="43">
        <v>45606</v>
      </c>
      <c r="I269" s="43">
        <v>45503</v>
      </c>
      <c r="J269" s="47" t="str">
        <f>IF(GroDB[[#This Row],[Last_Order_Date]]&lt;=GroDB[[#This Row],[Date_Received]], "Yes", "No")</f>
        <v>Yes</v>
      </c>
      <c r="K269" s="43">
        <f>IF(GroDB[[#This Row],[Column1]]="No",GroDB[[#This Row],[Last_Order_Date]],GroDB[[#This Row],[Date_Received]])</f>
        <v>45606</v>
      </c>
      <c r="L269" s="43">
        <f>IF(GroDB[[#This Row],[Column1]]="No",GroDB[[#This Row],[Date_Received]],GroDB[[#This Row],[Last_Order_Date]])</f>
        <v>45503</v>
      </c>
      <c r="M269" s="45">
        <f>GroDB[[#This Row],[Date_Received1]]-GroDB[[#This Row],[Procurement_Date]]</f>
        <v>103</v>
      </c>
      <c r="N269" s="43">
        <v>45566</v>
      </c>
      <c r="O269" s="91">
        <f>GroDB[[#This Row],[Expiration_Date]]-GroDB[[#This Row],[Date_Received1]]</f>
        <v>-40</v>
      </c>
      <c r="P269" s="4">
        <v>2</v>
      </c>
      <c r="Q269" s="3">
        <v>89</v>
      </c>
      <c r="R269" s="3">
        <v>56</v>
      </c>
      <c r="S269" s="3">
        <v>74</v>
      </c>
      <c r="T269" s="4">
        <v>2.5</v>
      </c>
      <c r="U269" s="3">
        <v>27</v>
      </c>
      <c r="V269" s="51">
        <f>IF(GroDB[[#This Row],[LeadTime]]=0,GroDB[[#This Row],[Sales_Volume]],GroDB[[#This Row],[Sales_Volume]]/GroDB[[#This Row],[LeadTime]])</f>
        <v>0.26213592233009708</v>
      </c>
      <c r="W269" s="51">
        <f>_xlfn.STDEV.S(GroDB[Daily Sales])</f>
        <v>5.1999899792654221</v>
      </c>
      <c r="X269" s="3">
        <v>51</v>
      </c>
      <c r="Y269" s="7">
        <v>-0.5</v>
      </c>
      <c r="Z269" s="4">
        <f>GroDB[[#This Row],[Unit_Price]]*GroDB[[#This Row],[Sales_Volume]]</f>
        <v>67.5</v>
      </c>
      <c r="AA269" s="22">
        <f>GroDB[[#This Row],[ADU]]/GroDB[[#Totals],[ADU]]</f>
        <v>1.9606741628516781E-4</v>
      </c>
      <c r="AB269" s="1">
        <f>GroDB[[#This Row],[Sales_Volume]]*GroDB[[#This Row],[Ordering Cost]]</f>
        <v>54</v>
      </c>
    </row>
    <row r="270" spans="1:28" x14ac:dyDescent="0.35">
      <c r="A270" s="5" t="s">
        <v>90</v>
      </c>
      <c r="B270" s="3" t="s">
        <v>91</v>
      </c>
      <c r="C270" s="3" t="s">
        <v>356</v>
      </c>
      <c r="D270" s="3" t="s">
        <v>1114</v>
      </c>
      <c r="E270" s="3" t="s">
        <v>21</v>
      </c>
      <c r="F270" s="3" t="s">
        <v>1115</v>
      </c>
      <c r="G270" s="3" t="s">
        <v>1116</v>
      </c>
      <c r="H270" s="43">
        <v>45606</v>
      </c>
      <c r="I270" s="43">
        <v>45379</v>
      </c>
      <c r="J270" s="47" t="str">
        <f>IF(GroDB[[#This Row],[Last_Order_Date]]&lt;=GroDB[[#This Row],[Date_Received]], "Yes", "No")</f>
        <v>Yes</v>
      </c>
      <c r="K270" s="43">
        <f>IF(GroDB[[#This Row],[Column1]]="No",GroDB[[#This Row],[Last_Order_Date]],GroDB[[#This Row],[Date_Received]])</f>
        <v>45606</v>
      </c>
      <c r="L270" s="43">
        <f>IF(GroDB[[#This Row],[Column1]]="No",GroDB[[#This Row],[Date_Received]],GroDB[[#This Row],[Last_Order_Date]])</f>
        <v>45379</v>
      </c>
      <c r="M270" s="45">
        <f>GroDB[[#This Row],[Date_Received1]]-GroDB[[#This Row],[Procurement_Date]]</f>
        <v>227</v>
      </c>
      <c r="N270" s="43">
        <v>45660</v>
      </c>
      <c r="O270" s="91">
        <f>GroDB[[#This Row],[Expiration_Date]]-GroDB[[#This Row],[Date_Received1]]</f>
        <v>54</v>
      </c>
      <c r="P270" s="4">
        <v>3.2</v>
      </c>
      <c r="Q270" s="3">
        <v>72</v>
      </c>
      <c r="R270" s="3">
        <v>78</v>
      </c>
      <c r="S270" s="3">
        <v>1</v>
      </c>
      <c r="T270" s="4">
        <v>4</v>
      </c>
      <c r="U270" s="3">
        <v>85</v>
      </c>
      <c r="V270" s="51">
        <f>IF(GroDB[[#This Row],[LeadTime]]=0,GroDB[[#This Row],[Sales_Volume]],GroDB[[#This Row],[Sales_Volume]]/GroDB[[#This Row],[LeadTime]])</f>
        <v>0.37444933920704848</v>
      </c>
      <c r="W270" s="51">
        <f>_xlfn.STDEV.S(GroDB[Daily Sales])</f>
        <v>5.1999899792654221</v>
      </c>
      <c r="X270" s="3">
        <v>30</v>
      </c>
      <c r="Y270" s="7">
        <v>-0.89</v>
      </c>
      <c r="Z270" s="4">
        <f>GroDB[[#This Row],[Unit_Price]]*GroDB[[#This Row],[Sales_Volume]]</f>
        <v>340</v>
      </c>
      <c r="AA270" s="22">
        <f>GroDB[[#This Row],[ADU]]/GroDB[[#Totals],[ADU]]</f>
        <v>9.8759883758454893E-4</v>
      </c>
      <c r="AB270" s="1">
        <f>GroDB[[#This Row],[Sales_Volume]]*GroDB[[#This Row],[Ordering Cost]]</f>
        <v>272</v>
      </c>
    </row>
    <row r="271" spans="1:28" x14ac:dyDescent="0.35">
      <c r="A271" s="5" t="s">
        <v>1117</v>
      </c>
      <c r="B271" s="3" t="s">
        <v>91</v>
      </c>
      <c r="C271" s="3" t="s">
        <v>721</v>
      </c>
      <c r="D271" s="3" t="s">
        <v>1118</v>
      </c>
      <c r="E271" s="3" t="s">
        <v>56</v>
      </c>
      <c r="F271" s="3" t="s">
        <v>1119</v>
      </c>
      <c r="G271" s="3" t="s">
        <v>1120</v>
      </c>
      <c r="H271" s="43">
        <v>45636</v>
      </c>
      <c r="I271" s="43">
        <v>45488</v>
      </c>
      <c r="J271" s="47" t="str">
        <f>IF(GroDB[[#This Row],[Last_Order_Date]]&lt;=GroDB[[#This Row],[Date_Received]], "Yes", "No")</f>
        <v>Yes</v>
      </c>
      <c r="K271" s="43">
        <f>IF(GroDB[[#This Row],[Column1]]="No",GroDB[[#This Row],[Last_Order_Date]],GroDB[[#This Row],[Date_Received]])</f>
        <v>45636</v>
      </c>
      <c r="L271" s="43">
        <f>IF(GroDB[[#This Row],[Column1]]="No",GroDB[[#This Row],[Date_Received]],GroDB[[#This Row],[Last_Order_Date]])</f>
        <v>45488</v>
      </c>
      <c r="M271" s="45">
        <f>GroDB[[#This Row],[Date_Received1]]-GroDB[[#This Row],[Procurement_Date]]</f>
        <v>148</v>
      </c>
      <c r="N271" s="43">
        <v>45534</v>
      </c>
      <c r="O271" s="91">
        <f>GroDB[[#This Row],[Expiration_Date]]-GroDB[[#This Row],[Date_Received1]]</f>
        <v>-102</v>
      </c>
      <c r="P271" s="4">
        <v>4.8000000000000007</v>
      </c>
      <c r="Q271" s="3">
        <v>38</v>
      </c>
      <c r="R271" s="3">
        <v>93</v>
      </c>
      <c r="S271" s="3">
        <v>61</v>
      </c>
      <c r="T271" s="4">
        <v>6</v>
      </c>
      <c r="U271" s="3">
        <v>67</v>
      </c>
      <c r="V271" s="51">
        <f>IF(GroDB[[#This Row],[LeadTime]]=0,GroDB[[#This Row],[Sales_Volume]],GroDB[[#This Row],[Sales_Volume]]/GroDB[[#This Row],[LeadTime]])</f>
        <v>0.45270270270270269</v>
      </c>
      <c r="W271" s="51">
        <f>_xlfn.STDEV.S(GroDB[Daily Sales])</f>
        <v>5.1999899792654221</v>
      </c>
      <c r="X271" s="3">
        <v>100</v>
      </c>
      <c r="Y271" s="7">
        <v>0.65</v>
      </c>
      <c r="Z271" s="4">
        <f>GroDB[[#This Row],[Unit_Price]]*GroDB[[#This Row],[Sales_Volume]]</f>
        <v>402</v>
      </c>
      <c r="AA271" s="22">
        <f>GroDB[[#This Row],[ADU]]/GroDB[[#Totals],[ADU]]</f>
        <v>1.1676903903205548E-3</v>
      </c>
      <c r="AB271" s="1">
        <f>GroDB[[#This Row],[Sales_Volume]]*GroDB[[#This Row],[Ordering Cost]]</f>
        <v>321.60000000000002</v>
      </c>
    </row>
    <row r="272" spans="1:28" x14ac:dyDescent="0.35">
      <c r="A272" s="5" t="s">
        <v>329</v>
      </c>
      <c r="B272" s="3" t="s">
        <v>53</v>
      </c>
      <c r="C272" s="3" t="s">
        <v>832</v>
      </c>
      <c r="D272" s="3" t="s">
        <v>1121</v>
      </c>
      <c r="E272" s="3" t="s">
        <v>28</v>
      </c>
      <c r="F272" s="3" t="s">
        <v>1122</v>
      </c>
      <c r="G272" s="3" t="s">
        <v>1123</v>
      </c>
      <c r="H272" s="43">
        <v>45636</v>
      </c>
      <c r="I272" s="43">
        <v>45674</v>
      </c>
      <c r="J272" s="47" t="str">
        <f>IF(GroDB[[#This Row],[Last_Order_Date]]&lt;=GroDB[[#This Row],[Date_Received]], "Yes", "No")</f>
        <v>No</v>
      </c>
      <c r="K272" s="43">
        <f>IF(GroDB[[#This Row],[Column1]]="No",GroDB[[#This Row],[Last_Order_Date]],GroDB[[#This Row],[Date_Received]])</f>
        <v>45674</v>
      </c>
      <c r="L272" s="43">
        <f>IF(GroDB[[#This Row],[Column1]]="No",GroDB[[#This Row],[Date_Received]],GroDB[[#This Row],[Last_Order_Date]])</f>
        <v>45636</v>
      </c>
      <c r="M272" s="45">
        <f>GroDB[[#This Row],[Date_Received1]]-GroDB[[#This Row],[Procurement_Date]]</f>
        <v>38</v>
      </c>
      <c r="N272" s="43">
        <v>45429</v>
      </c>
      <c r="O272" s="91">
        <f>GroDB[[#This Row],[Expiration_Date]]-GroDB[[#This Row],[Date_Received1]]</f>
        <v>-245</v>
      </c>
      <c r="P272" s="4">
        <v>4.8000000000000007</v>
      </c>
      <c r="Q272" s="3">
        <v>79</v>
      </c>
      <c r="R272" s="3">
        <v>98</v>
      </c>
      <c r="S272" s="3">
        <v>97</v>
      </c>
      <c r="T272" s="4">
        <v>6</v>
      </c>
      <c r="U272" s="3">
        <v>26</v>
      </c>
      <c r="V272" s="51">
        <f>IF(GroDB[[#This Row],[LeadTime]]=0,GroDB[[#This Row],[Sales_Volume]],GroDB[[#This Row],[Sales_Volume]]/GroDB[[#This Row],[LeadTime]])</f>
        <v>0.68421052631578949</v>
      </c>
      <c r="W272" s="51">
        <f>_xlfn.STDEV.S(GroDB[Daily Sales])</f>
        <v>5.1999899792654221</v>
      </c>
      <c r="X272" s="3">
        <v>21</v>
      </c>
      <c r="Y272" s="7">
        <v>-0.49</v>
      </c>
      <c r="Z272" s="4">
        <f>GroDB[[#This Row],[Unit_Price]]*GroDB[[#This Row],[Sales_Volume]]</f>
        <v>156</v>
      </c>
      <c r="AA272" s="22">
        <f>GroDB[[#This Row],[ADU]]/GroDB[[#Totals],[ADU]]</f>
        <v>4.5313358430349891E-4</v>
      </c>
      <c r="AB272" s="1">
        <f>GroDB[[#This Row],[Sales_Volume]]*GroDB[[#This Row],[Ordering Cost]]</f>
        <v>124.80000000000001</v>
      </c>
    </row>
    <row r="273" spans="1:28" x14ac:dyDescent="0.35">
      <c r="A273" s="5" t="s">
        <v>508</v>
      </c>
      <c r="B273" s="3" t="s">
        <v>127</v>
      </c>
      <c r="C273" s="3" t="s">
        <v>321</v>
      </c>
      <c r="D273" s="3" t="s">
        <v>1124</v>
      </c>
      <c r="E273" s="3" t="s">
        <v>56</v>
      </c>
      <c r="F273" s="3" t="s">
        <v>1125</v>
      </c>
      <c r="G273" s="3" t="s">
        <v>1126</v>
      </c>
      <c r="H273" s="43">
        <v>45636</v>
      </c>
      <c r="I273" s="43">
        <v>45371</v>
      </c>
      <c r="J273" s="47" t="str">
        <f>IF(GroDB[[#This Row],[Last_Order_Date]]&lt;=GroDB[[#This Row],[Date_Received]], "Yes", "No")</f>
        <v>Yes</v>
      </c>
      <c r="K273" s="43">
        <f>IF(GroDB[[#This Row],[Column1]]="No",GroDB[[#This Row],[Last_Order_Date]],GroDB[[#This Row],[Date_Received]])</f>
        <v>45636</v>
      </c>
      <c r="L273" s="43">
        <f>IF(GroDB[[#This Row],[Column1]]="No",GroDB[[#This Row],[Date_Received]],GroDB[[#This Row],[Last_Order_Date]])</f>
        <v>45371</v>
      </c>
      <c r="M273" s="45">
        <f>GroDB[[#This Row],[Date_Received1]]-GroDB[[#This Row],[Procurement_Date]]</f>
        <v>265</v>
      </c>
      <c r="N273" s="43">
        <v>45401</v>
      </c>
      <c r="O273" s="91">
        <f>GroDB[[#This Row],[Expiration_Date]]-GroDB[[#This Row],[Date_Received1]]</f>
        <v>-235</v>
      </c>
      <c r="P273" s="4">
        <v>4</v>
      </c>
      <c r="Q273" s="3">
        <v>56</v>
      </c>
      <c r="R273" s="3">
        <v>12</v>
      </c>
      <c r="S273" s="3">
        <v>85</v>
      </c>
      <c r="T273" s="4">
        <v>5</v>
      </c>
      <c r="U273" s="3">
        <v>52</v>
      </c>
      <c r="V273" s="51">
        <f>IF(GroDB[[#This Row],[LeadTime]]=0,GroDB[[#This Row],[Sales_Volume]],GroDB[[#This Row],[Sales_Volume]]/GroDB[[#This Row],[LeadTime]])</f>
        <v>0.19622641509433963</v>
      </c>
      <c r="W273" s="51">
        <f>_xlfn.STDEV.S(GroDB[Daily Sales])</f>
        <v>5.1999899792654221</v>
      </c>
      <c r="X273" s="3">
        <v>46</v>
      </c>
      <c r="Y273" s="7">
        <v>0.19</v>
      </c>
      <c r="Z273" s="4">
        <f>GroDB[[#This Row],[Unit_Price]]*GroDB[[#This Row],[Sales_Volume]]</f>
        <v>260</v>
      </c>
      <c r="AA273" s="22">
        <f>GroDB[[#This Row],[ADU]]/GroDB[[#Totals],[ADU]]</f>
        <v>7.5522264050583159E-4</v>
      </c>
      <c r="AB273" s="1">
        <f>GroDB[[#This Row],[Sales_Volume]]*GroDB[[#This Row],[Ordering Cost]]</f>
        <v>208</v>
      </c>
    </row>
    <row r="274" spans="1:28" x14ac:dyDescent="0.35">
      <c r="A274" s="5" t="s">
        <v>1069</v>
      </c>
      <c r="B274" s="3" t="s">
        <v>18</v>
      </c>
      <c r="C274" s="3" t="s">
        <v>1127</v>
      </c>
      <c r="D274" s="3" t="s">
        <v>1128</v>
      </c>
      <c r="E274" s="3" t="s">
        <v>56</v>
      </c>
      <c r="F274" s="3" t="s">
        <v>1129</v>
      </c>
      <c r="G274" s="3" t="s">
        <v>1130</v>
      </c>
      <c r="H274" s="43">
        <v>45362</v>
      </c>
      <c r="I274" s="43">
        <v>45473</v>
      </c>
      <c r="J274" s="47" t="str">
        <f>IF(GroDB[[#This Row],[Last_Order_Date]]&lt;=GroDB[[#This Row],[Date_Received]], "Yes", "No")</f>
        <v>No</v>
      </c>
      <c r="K274" s="43">
        <f>IF(GroDB[[#This Row],[Column1]]="No",GroDB[[#This Row],[Last_Order_Date]],GroDB[[#This Row],[Date_Received]])</f>
        <v>45473</v>
      </c>
      <c r="L274" s="43">
        <f>IF(GroDB[[#This Row],[Column1]]="No",GroDB[[#This Row],[Date_Received]],GroDB[[#This Row],[Last_Order_Date]])</f>
        <v>45362</v>
      </c>
      <c r="M274" s="45">
        <f>GroDB[[#This Row],[Date_Received1]]-GroDB[[#This Row],[Procurement_Date]]</f>
        <v>111</v>
      </c>
      <c r="N274" s="43">
        <v>45457</v>
      </c>
      <c r="O274" s="91">
        <f>GroDB[[#This Row],[Expiration_Date]]-GroDB[[#This Row],[Date_Received1]]</f>
        <v>-16</v>
      </c>
      <c r="P274" s="4">
        <v>4.8000000000000007</v>
      </c>
      <c r="Q274" s="3">
        <v>54</v>
      </c>
      <c r="R274" s="3">
        <v>26</v>
      </c>
      <c r="S274" s="3">
        <v>16</v>
      </c>
      <c r="T274" s="4">
        <v>6</v>
      </c>
      <c r="U274" s="3">
        <v>63</v>
      </c>
      <c r="V274" s="51">
        <f>IF(GroDB[[#This Row],[LeadTime]]=0,GroDB[[#This Row],[Sales_Volume]],GroDB[[#This Row],[Sales_Volume]]/GroDB[[#This Row],[LeadTime]])</f>
        <v>0.56756756756756754</v>
      </c>
      <c r="W274" s="51">
        <f>_xlfn.STDEV.S(GroDB[Daily Sales])</f>
        <v>5.1999899792654221</v>
      </c>
      <c r="X274" s="3">
        <v>97</v>
      </c>
      <c r="Y274" s="7">
        <v>0.12</v>
      </c>
      <c r="Z274" s="4">
        <f>GroDB[[#This Row],[Unit_Price]]*GroDB[[#This Row],[Sales_Volume]]</f>
        <v>378</v>
      </c>
      <c r="AA274" s="22">
        <f>GroDB[[#This Row],[ADU]]/GroDB[[#Totals],[ADU]]</f>
        <v>1.0979775311969397E-3</v>
      </c>
      <c r="AB274" s="1">
        <f>GroDB[[#This Row],[Sales_Volume]]*GroDB[[#This Row],[Ordering Cost]]</f>
        <v>302.40000000000003</v>
      </c>
    </row>
    <row r="275" spans="1:28" x14ac:dyDescent="0.35">
      <c r="A275" s="5" t="s">
        <v>116</v>
      </c>
      <c r="B275" s="3" t="s">
        <v>18</v>
      </c>
      <c r="C275" s="3" t="s">
        <v>312</v>
      </c>
      <c r="D275" s="3" t="s">
        <v>1131</v>
      </c>
      <c r="E275" s="3" t="s">
        <v>56</v>
      </c>
      <c r="F275" s="3" t="s">
        <v>1132</v>
      </c>
      <c r="G275" s="3" t="s">
        <v>1133</v>
      </c>
      <c r="H275" s="43">
        <v>45362</v>
      </c>
      <c r="I275" s="43">
        <v>45392</v>
      </c>
      <c r="J275" s="47" t="str">
        <f>IF(GroDB[[#This Row],[Last_Order_Date]]&lt;=GroDB[[#This Row],[Date_Received]], "Yes", "No")</f>
        <v>No</v>
      </c>
      <c r="K275" s="43">
        <f>IF(GroDB[[#This Row],[Column1]]="No",GroDB[[#This Row],[Last_Order_Date]],GroDB[[#This Row],[Date_Received]])</f>
        <v>45392</v>
      </c>
      <c r="L275" s="43">
        <f>IF(GroDB[[#This Row],[Column1]]="No",GroDB[[#This Row],[Date_Received]],GroDB[[#This Row],[Last_Order_Date]])</f>
        <v>45362</v>
      </c>
      <c r="M275" s="45">
        <f>GroDB[[#This Row],[Date_Received1]]-GroDB[[#This Row],[Procurement_Date]]</f>
        <v>30</v>
      </c>
      <c r="N275" s="43">
        <v>45408</v>
      </c>
      <c r="O275" s="91">
        <f>GroDB[[#This Row],[Expiration_Date]]-GroDB[[#This Row],[Date_Received1]]</f>
        <v>16</v>
      </c>
      <c r="P275" s="4">
        <v>2.4000000000000004</v>
      </c>
      <c r="Q275" s="3">
        <v>91</v>
      </c>
      <c r="R275" s="3">
        <v>55</v>
      </c>
      <c r="S275" s="3">
        <v>94</v>
      </c>
      <c r="T275" s="4">
        <v>3</v>
      </c>
      <c r="U275" s="3">
        <v>42</v>
      </c>
      <c r="V275" s="51">
        <f>IF(GroDB[[#This Row],[LeadTime]]=0,GroDB[[#This Row],[Sales_Volume]],GroDB[[#This Row],[Sales_Volume]]/GroDB[[#This Row],[LeadTime]])</f>
        <v>1.4</v>
      </c>
      <c r="W275" s="51">
        <f>_xlfn.STDEV.S(GroDB[Daily Sales])</f>
        <v>5.1999899792654221</v>
      </c>
      <c r="X275" s="3">
        <v>93</v>
      </c>
      <c r="Y275" s="7">
        <v>-0.54</v>
      </c>
      <c r="Z275" s="4">
        <f>GroDB[[#This Row],[Unit_Price]]*GroDB[[#This Row],[Sales_Volume]]</f>
        <v>126</v>
      </c>
      <c r="AA275" s="22">
        <f>GroDB[[#This Row],[ADU]]/GroDB[[#Totals],[ADU]]</f>
        <v>3.659925103989799E-4</v>
      </c>
      <c r="AB275" s="1">
        <f>GroDB[[#This Row],[Sales_Volume]]*GroDB[[#This Row],[Ordering Cost]]</f>
        <v>100.80000000000001</v>
      </c>
    </row>
    <row r="276" spans="1:28" x14ac:dyDescent="0.35">
      <c r="A276" s="5" t="s">
        <v>101</v>
      </c>
      <c r="B276" s="3" t="s">
        <v>18</v>
      </c>
      <c r="C276" s="3" t="s">
        <v>1134</v>
      </c>
      <c r="D276" s="3" t="s">
        <v>1135</v>
      </c>
      <c r="E276" s="3" t="s">
        <v>28</v>
      </c>
      <c r="F276" s="3" t="s">
        <v>1136</v>
      </c>
      <c r="G276" s="3" t="s">
        <v>1137</v>
      </c>
      <c r="H276" s="43">
        <v>45393</v>
      </c>
      <c r="I276" s="43">
        <v>45608</v>
      </c>
      <c r="J276" s="47" t="str">
        <f>IF(GroDB[[#This Row],[Last_Order_Date]]&lt;=GroDB[[#This Row],[Date_Received]], "Yes", "No")</f>
        <v>No</v>
      </c>
      <c r="K276" s="43">
        <f>IF(GroDB[[#This Row],[Column1]]="No",GroDB[[#This Row],[Last_Order_Date]],GroDB[[#This Row],[Date_Received]])</f>
        <v>45608</v>
      </c>
      <c r="L276" s="43">
        <f>IF(GroDB[[#This Row],[Column1]]="No",GroDB[[#This Row],[Date_Received]],GroDB[[#This Row],[Last_Order_Date]])</f>
        <v>45393</v>
      </c>
      <c r="M276" s="45">
        <f>GroDB[[#This Row],[Date_Received1]]-GroDB[[#This Row],[Procurement_Date]]</f>
        <v>215</v>
      </c>
      <c r="N276" s="43">
        <v>45512</v>
      </c>
      <c r="O276" s="91">
        <f>GroDB[[#This Row],[Expiration_Date]]-GroDB[[#This Row],[Date_Received1]]</f>
        <v>-96</v>
      </c>
      <c r="P276" s="4">
        <v>3.5600000000000005</v>
      </c>
      <c r="Q276" s="3">
        <v>82</v>
      </c>
      <c r="R276" s="3">
        <v>65</v>
      </c>
      <c r="S276" s="3">
        <v>69</v>
      </c>
      <c r="T276" s="4">
        <v>4.45</v>
      </c>
      <c r="U276" s="3">
        <v>30</v>
      </c>
      <c r="V276" s="51">
        <f>IF(GroDB[[#This Row],[LeadTime]]=0,GroDB[[#This Row],[Sales_Volume]],GroDB[[#This Row],[Sales_Volume]]/GroDB[[#This Row],[LeadTime]])</f>
        <v>0.13953488372093023</v>
      </c>
      <c r="W276" s="51">
        <f>_xlfn.STDEV.S(GroDB[Daily Sales])</f>
        <v>5.1999899792654221</v>
      </c>
      <c r="X276" s="3">
        <v>78</v>
      </c>
      <c r="Y276" s="7">
        <v>-1.21</v>
      </c>
      <c r="Z276" s="4">
        <f>GroDB[[#This Row],[Unit_Price]]*GroDB[[#This Row],[Sales_Volume]]</f>
        <v>133.5</v>
      </c>
      <c r="AA276" s="22">
        <f>GroDB[[#This Row],[ADU]]/GroDB[[#Totals],[ADU]]</f>
        <v>3.8777777887510966E-4</v>
      </c>
      <c r="AB276" s="1">
        <f>GroDB[[#This Row],[Sales_Volume]]*GroDB[[#This Row],[Ordering Cost]]</f>
        <v>106.80000000000001</v>
      </c>
    </row>
    <row r="277" spans="1:28" x14ac:dyDescent="0.35">
      <c r="A277" s="5" t="s">
        <v>1138</v>
      </c>
      <c r="B277" s="3" t="s">
        <v>32</v>
      </c>
      <c r="C277" s="3" t="s">
        <v>1139</v>
      </c>
      <c r="D277" s="3" t="s">
        <v>1140</v>
      </c>
      <c r="E277" s="3" t="s">
        <v>28</v>
      </c>
      <c r="F277" s="3" t="s">
        <v>1141</v>
      </c>
      <c r="G277" s="3" t="s">
        <v>1142</v>
      </c>
      <c r="H277" s="43">
        <v>45393</v>
      </c>
      <c r="I277" s="43">
        <v>45354</v>
      </c>
      <c r="J277" s="47" t="str">
        <f>IF(GroDB[[#This Row],[Last_Order_Date]]&lt;=GroDB[[#This Row],[Date_Received]], "Yes", "No")</f>
        <v>Yes</v>
      </c>
      <c r="K277" s="43">
        <f>IF(GroDB[[#This Row],[Column1]]="No",GroDB[[#This Row],[Last_Order_Date]],GroDB[[#This Row],[Date_Received]])</f>
        <v>45393</v>
      </c>
      <c r="L277" s="43">
        <f>IF(GroDB[[#This Row],[Column1]]="No",GroDB[[#This Row],[Date_Received]],GroDB[[#This Row],[Last_Order_Date]])</f>
        <v>45354</v>
      </c>
      <c r="M277" s="45">
        <f>GroDB[[#This Row],[Date_Received1]]-GroDB[[#This Row],[Procurement_Date]]</f>
        <v>39</v>
      </c>
      <c r="N277" s="43">
        <v>45438</v>
      </c>
      <c r="O277" s="91">
        <f>GroDB[[#This Row],[Expiration_Date]]-GroDB[[#This Row],[Date_Received1]]</f>
        <v>45</v>
      </c>
      <c r="P277" s="4">
        <v>0.16000000000000003</v>
      </c>
      <c r="Q277" s="3">
        <v>36</v>
      </c>
      <c r="R277" s="3">
        <v>30</v>
      </c>
      <c r="S277" s="3">
        <v>44</v>
      </c>
      <c r="T277" s="4">
        <v>0.2</v>
      </c>
      <c r="U277" s="3">
        <v>68</v>
      </c>
      <c r="V277" s="51">
        <f>IF(GroDB[[#This Row],[LeadTime]]=0,GroDB[[#This Row],[Sales_Volume]],GroDB[[#This Row],[Sales_Volume]]/GroDB[[#This Row],[LeadTime]])</f>
        <v>1.7435897435897436</v>
      </c>
      <c r="W277" s="51">
        <f>_xlfn.STDEV.S(GroDB[Daily Sales])</f>
        <v>5.1999899792654221</v>
      </c>
      <c r="X277" s="3">
        <v>88</v>
      </c>
      <c r="Y277" s="7">
        <v>-1.6</v>
      </c>
      <c r="Z277" s="4">
        <f>GroDB[[#This Row],[Unit_Price]]*GroDB[[#This Row],[Sales_Volume]]</f>
        <v>13.600000000000001</v>
      </c>
      <c r="AA277" s="22">
        <f>GroDB[[#This Row],[ADU]]/GroDB[[#Totals],[ADU]]</f>
        <v>3.9503953503381961E-5</v>
      </c>
      <c r="AB277" s="1">
        <f>GroDB[[#This Row],[Sales_Volume]]*GroDB[[#This Row],[Ordering Cost]]</f>
        <v>10.880000000000003</v>
      </c>
    </row>
    <row r="278" spans="1:28" x14ac:dyDescent="0.35">
      <c r="A278" s="5" t="s">
        <v>416</v>
      </c>
      <c r="B278" s="3" t="s">
        <v>53</v>
      </c>
      <c r="C278" s="3" t="s">
        <v>1143</v>
      </c>
      <c r="D278" s="3" t="s">
        <v>1144</v>
      </c>
      <c r="E278" s="3" t="s">
        <v>56</v>
      </c>
      <c r="F278" s="3" t="s">
        <v>1145</v>
      </c>
      <c r="G278" s="3" t="s">
        <v>1146</v>
      </c>
      <c r="H278" s="43">
        <v>45393</v>
      </c>
      <c r="I278" s="43">
        <v>45441</v>
      </c>
      <c r="J278" s="47" t="str">
        <f>IF(GroDB[[#This Row],[Last_Order_Date]]&lt;=GroDB[[#This Row],[Date_Received]], "Yes", "No")</f>
        <v>No</v>
      </c>
      <c r="K278" s="43">
        <f>IF(GroDB[[#This Row],[Column1]]="No",GroDB[[#This Row],[Last_Order_Date]],GroDB[[#This Row],[Date_Received]])</f>
        <v>45441</v>
      </c>
      <c r="L278" s="43">
        <f>IF(GroDB[[#This Row],[Column1]]="No",GroDB[[#This Row],[Date_Received]],GroDB[[#This Row],[Last_Order_Date]])</f>
        <v>45393</v>
      </c>
      <c r="M278" s="45">
        <f>GroDB[[#This Row],[Date_Received1]]-GroDB[[#This Row],[Procurement_Date]]</f>
        <v>48</v>
      </c>
      <c r="N278" s="43">
        <v>45502</v>
      </c>
      <c r="O278" s="91">
        <f>GroDB[[#This Row],[Expiration_Date]]-GroDB[[#This Row],[Date_Received1]]</f>
        <v>61</v>
      </c>
      <c r="P278" s="4">
        <v>2.4000000000000004</v>
      </c>
      <c r="Q278" s="3">
        <v>22</v>
      </c>
      <c r="R278" s="3">
        <v>77</v>
      </c>
      <c r="S278" s="3">
        <v>15</v>
      </c>
      <c r="T278" s="4">
        <v>3</v>
      </c>
      <c r="U278" s="3">
        <v>68</v>
      </c>
      <c r="V278" s="51">
        <f>IF(GroDB[[#This Row],[LeadTime]]=0,GroDB[[#This Row],[Sales_Volume]],GroDB[[#This Row],[Sales_Volume]]/GroDB[[#This Row],[LeadTime]])</f>
        <v>1.4166666666666667</v>
      </c>
      <c r="W278" s="51">
        <f>_xlfn.STDEV.S(GroDB[Daily Sales])</f>
        <v>5.1999899792654221</v>
      </c>
      <c r="X278" s="3">
        <v>46</v>
      </c>
      <c r="Y278" s="7">
        <v>-0.28999999999999998</v>
      </c>
      <c r="Z278" s="4">
        <f>GroDB[[#This Row],[Unit_Price]]*GroDB[[#This Row],[Sales_Volume]]</f>
        <v>204</v>
      </c>
      <c r="AA278" s="22">
        <f>GroDB[[#This Row],[ADU]]/GroDB[[#Totals],[ADU]]</f>
        <v>5.9255930255072936E-4</v>
      </c>
      <c r="AB278" s="1">
        <f>GroDB[[#This Row],[Sales_Volume]]*GroDB[[#This Row],[Ordering Cost]]</f>
        <v>163.20000000000002</v>
      </c>
    </row>
    <row r="279" spans="1:28" x14ac:dyDescent="0.35">
      <c r="A279" s="5" t="s">
        <v>397</v>
      </c>
      <c r="B279" s="3" t="s">
        <v>25</v>
      </c>
      <c r="C279" s="3" t="s">
        <v>1050</v>
      </c>
      <c r="D279" s="3" t="s">
        <v>1147</v>
      </c>
      <c r="E279" s="3" t="s">
        <v>21</v>
      </c>
      <c r="F279" s="3" t="s">
        <v>1148</v>
      </c>
      <c r="G279" s="3" t="s">
        <v>1149</v>
      </c>
      <c r="H279" s="43">
        <v>45423</v>
      </c>
      <c r="I279" s="43">
        <v>45639</v>
      </c>
      <c r="J279" s="47" t="str">
        <f>IF(GroDB[[#This Row],[Last_Order_Date]]&lt;=GroDB[[#This Row],[Date_Received]], "Yes", "No")</f>
        <v>No</v>
      </c>
      <c r="K279" s="43">
        <f>IF(GroDB[[#This Row],[Column1]]="No",GroDB[[#This Row],[Last_Order_Date]],GroDB[[#This Row],[Date_Received]])</f>
        <v>45639</v>
      </c>
      <c r="L279" s="43">
        <f>IF(GroDB[[#This Row],[Column1]]="No",GroDB[[#This Row],[Date_Received]],GroDB[[#This Row],[Last_Order_Date]])</f>
        <v>45423</v>
      </c>
      <c r="M279" s="45">
        <f>GroDB[[#This Row],[Date_Received1]]-GroDB[[#This Row],[Procurement_Date]]</f>
        <v>216</v>
      </c>
      <c r="N279" s="43">
        <v>45399</v>
      </c>
      <c r="O279" s="91">
        <f>GroDB[[#This Row],[Expiration_Date]]-GroDB[[#This Row],[Date_Received1]]</f>
        <v>-240</v>
      </c>
      <c r="P279" s="4">
        <v>2</v>
      </c>
      <c r="Q279" s="3">
        <v>87</v>
      </c>
      <c r="R279" s="3">
        <v>24</v>
      </c>
      <c r="S279" s="3">
        <v>19</v>
      </c>
      <c r="T279" s="4">
        <v>2.5</v>
      </c>
      <c r="U279" s="3">
        <v>83</v>
      </c>
      <c r="V279" s="51">
        <f>IF(GroDB[[#This Row],[LeadTime]]=0,GroDB[[#This Row],[Sales_Volume]],GroDB[[#This Row],[Sales_Volume]]/GroDB[[#This Row],[LeadTime]])</f>
        <v>0.38425925925925924</v>
      </c>
      <c r="W279" s="51">
        <f>_xlfn.STDEV.S(GroDB[Daily Sales])</f>
        <v>5.1999899792654221</v>
      </c>
      <c r="X279" s="3">
        <v>3</v>
      </c>
      <c r="Y279" s="7">
        <v>0.32</v>
      </c>
      <c r="Z279" s="4">
        <f>GroDB[[#This Row],[Unit_Price]]*GroDB[[#This Row],[Sales_Volume]]</f>
        <v>207.5</v>
      </c>
      <c r="AA279" s="22">
        <f>GroDB[[#This Row],[ADU]]/GroDB[[#Totals],[ADU]]</f>
        <v>6.0272576117292322E-4</v>
      </c>
      <c r="AB279" s="1">
        <f>GroDB[[#This Row],[Sales_Volume]]*GroDB[[#This Row],[Ordering Cost]]</f>
        <v>166</v>
      </c>
    </row>
    <row r="280" spans="1:28" x14ac:dyDescent="0.35">
      <c r="A280" s="5" t="s">
        <v>85</v>
      </c>
      <c r="B280" s="3" t="s">
        <v>18</v>
      </c>
      <c r="C280" s="3" t="s">
        <v>299</v>
      </c>
      <c r="D280" s="3" t="s">
        <v>1150</v>
      </c>
      <c r="E280" s="3" t="s">
        <v>56</v>
      </c>
      <c r="F280" s="3" t="s">
        <v>1151</v>
      </c>
      <c r="G280" s="3" t="s">
        <v>1152</v>
      </c>
      <c r="H280" s="43">
        <v>45423</v>
      </c>
      <c r="I280" s="43">
        <v>45636</v>
      </c>
      <c r="J280" s="47" t="str">
        <f>IF(GroDB[[#This Row],[Last_Order_Date]]&lt;=GroDB[[#This Row],[Date_Received]], "Yes", "No")</f>
        <v>No</v>
      </c>
      <c r="K280" s="43">
        <f>IF(GroDB[[#This Row],[Column1]]="No",GroDB[[#This Row],[Last_Order_Date]],GroDB[[#This Row],[Date_Received]])</f>
        <v>45636</v>
      </c>
      <c r="L280" s="43">
        <f>IF(GroDB[[#This Row],[Column1]]="No",GroDB[[#This Row],[Date_Received]],GroDB[[#This Row],[Last_Order_Date]])</f>
        <v>45423</v>
      </c>
      <c r="M280" s="45">
        <f>GroDB[[#This Row],[Date_Received1]]-GroDB[[#This Row],[Procurement_Date]]</f>
        <v>213</v>
      </c>
      <c r="N280" s="43">
        <v>45508</v>
      </c>
      <c r="O280" s="91">
        <f>GroDB[[#This Row],[Expiration_Date]]-GroDB[[#This Row],[Date_Received1]]</f>
        <v>-128</v>
      </c>
      <c r="P280" s="4">
        <v>2.3600000000000003</v>
      </c>
      <c r="Q280" s="3">
        <v>44</v>
      </c>
      <c r="R280" s="3">
        <v>8</v>
      </c>
      <c r="S280" s="3">
        <v>52</v>
      </c>
      <c r="T280" s="4">
        <v>2.95</v>
      </c>
      <c r="U280" s="3">
        <v>42</v>
      </c>
      <c r="V280" s="51">
        <f>IF(GroDB[[#This Row],[LeadTime]]=0,GroDB[[#This Row],[Sales_Volume]],GroDB[[#This Row],[Sales_Volume]]/GroDB[[#This Row],[LeadTime]])</f>
        <v>0.19718309859154928</v>
      </c>
      <c r="W280" s="51">
        <f>_xlfn.STDEV.S(GroDB[Daily Sales])</f>
        <v>5.1999899792654221</v>
      </c>
      <c r="X280" s="3">
        <v>66</v>
      </c>
      <c r="Y280" s="7">
        <v>0.96</v>
      </c>
      <c r="Z280" s="4">
        <f>GroDB[[#This Row],[Unit_Price]]*GroDB[[#This Row],[Sales_Volume]]</f>
        <v>123.9</v>
      </c>
      <c r="AA280" s="22">
        <f>GroDB[[#This Row],[ADU]]/GroDB[[#Totals],[ADU]]</f>
        <v>3.5989263522566358E-4</v>
      </c>
      <c r="AB280" s="1">
        <f>GroDB[[#This Row],[Sales_Volume]]*GroDB[[#This Row],[Ordering Cost]]</f>
        <v>99.120000000000019</v>
      </c>
    </row>
    <row r="281" spans="1:28" x14ac:dyDescent="0.35">
      <c r="A281" s="5" t="s">
        <v>632</v>
      </c>
      <c r="B281" s="3" t="s">
        <v>60</v>
      </c>
      <c r="C281" s="3" t="s">
        <v>43</v>
      </c>
      <c r="D281" s="3" t="s">
        <v>1153</v>
      </c>
      <c r="E281" s="3" t="s">
        <v>56</v>
      </c>
      <c r="F281" s="3" t="s">
        <v>1154</v>
      </c>
      <c r="G281" s="3" t="s">
        <v>1155</v>
      </c>
      <c r="H281" s="43">
        <v>45423</v>
      </c>
      <c r="I281" s="43">
        <v>45436</v>
      </c>
      <c r="J281" s="47" t="str">
        <f>IF(GroDB[[#This Row],[Last_Order_Date]]&lt;=GroDB[[#This Row],[Date_Received]], "Yes", "No")</f>
        <v>No</v>
      </c>
      <c r="K281" s="43">
        <f>IF(GroDB[[#This Row],[Column1]]="No",GroDB[[#This Row],[Last_Order_Date]],GroDB[[#This Row],[Date_Received]])</f>
        <v>45436</v>
      </c>
      <c r="L281" s="43">
        <f>IF(GroDB[[#This Row],[Column1]]="No",GroDB[[#This Row],[Date_Received]],GroDB[[#This Row],[Last_Order_Date]])</f>
        <v>45423</v>
      </c>
      <c r="M281" s="45">
        <f>GroDB[[#This Row],[Date_Received1]]-GroDB[[#This Row],[Procurement_Date]]</f>
        <v>13</v>
      </c>
      <c r="N281" s="43">
        <v>45524</v>
      </c>
      <c r="O281" s="91">
        <f>GroDB[[#This Row],[Expiration_Date]]-GroDB[[#This Row],[Date_Received1]]</f>
        <v>88</v>
      </c>
      <c r="P281" s="4">
        <v>6.4</v>
      </c>
      <c r="Q281" s="3">
        <v>96</v>
      </c>
      <c r="R281" s="3">
        <v>12</v>
      </c>
      <c r="S281" s="3">
        <v>8</v>
      </c>
      <c r="T281" s="4">
        <v>8</v>
      </c>
      <c r="U281" s="3">
        <v>97</v>
      </c>
      <c r="V281" s="51">
        <f>IF(GroDB[[#This Row],[LeadTime]]=0,GroDB[[#This Row],[Sales_Volume]],GroDB[[#This Row],[Sales_Volume]]/GroDB[[#This Row],[LeadTime]])</f>
        <v>7.4615384615384617</v>
      </c>
      <c r="W281" s="51">
        <f>_xlfn.STDEV.S(GroDB[Daily Sales])</f>
        <v>5.1999899792654221</v>
      </c>
      <c r="X281" s="3">
        <v>92</v>
      </c>
      <c r="Y281" s="7">
        <v>-0.56999999999999995</v>
      </c>
      <c r="Z281" s="4">
        <f>GroDB[[#This Row],[Unit_Price]]*GroDB[[#This Row],[Sales_Volume]]</f>
        <v>776</v>
      </c>
      <c r="AA281" s="22">
        <f>GroDB[[#This Row],[ADU]]/GroDB[[#Totals],[ADU]]</f>
        <v>2.2540491116635588E-3</v>
      </c>
      <c r="AB281" s="1">
        <f>GroDB[[#This Row],[Sales_Volume]]*GroDB[[#This Row],[Ordering Cost]]</f>
        <v>620.80000000000007</v>
      </c>
    </row>
    <row r="282" spans="1:28" x14ac:dyDescent="0.35">
      <c r="A282" s="5" t="s">
        <v>293</v>
      </c>
      <c r="B282" s="3" t="s">
        <v>18</v>
      </c>
      <c r="C282" s="3" t="s">
        <v>1156</v>
      </c>
      <c r="D282" s="3" t="s">
        <v>1157</v>
      </c>
      <c r="E282" s="3" t="s">
        <v>56</v>
      </c>
      <c r="F282" s="3" t="s">
        <v>1158</v>
      </c>
      <c r="G282" s="3" t="s">
        <v>1159</v>
      </c>
      <c r="H282" s="43">
        <v>45454</v>
      </c>
      <c r="I282" s="43">
        <v>45496</v>
      </c>
      <c r="J282" s="47" t="str">
        <f>IF(GroDB[[#This Row],[Last_Order_Date]]&lt;=GroDB[[#This Row],[Date_Received]], "Yes", "No")</f>
        <v>No</v>
      </c>
      <c r="K282" s="43">
        <f>IF(GroDB[[#This Row],[Column1]]="No",GroDB[[#This Row],[Last_Order_Date]],GroDB[[#This Row],[Date_Received]])</f>
        <v>45496</v>
      </c>
      <c r="L282" s="43">
        <f>IF(GroDB[[#This Row],[Column1]]="No",GroDB[[#This Row],[Date_Received]],GroDB[[#This Row],[Last_Order_Date]])</f>
        <v>45454</v>
      </c>
      <c r="M282" s="45">
        <f>GroDB[[#This Row],[Date_Received1]]-GroDB[[#This Row],[Procurement_Date]]</f>
        <v>42</v>
      </c>
      <c r="N282" s="43">
        <v>45593</v>
      </c>
      <c r="O282" s="91">
        <f>GroDB[[#This Row],[Expiration_Date]]-GroDB[[#This Row],[Date_Received1]]</f>
        <v>97</v>
      </c>
      <c r="P282" s="4">
        <v>1.6</v>
      </c>
      <c r="Q282" s="3">
        <v>39</v>
      </c>
      <c r="R282" s="3">
        <v>22</v>
      </c>
      <c r="S282" s="3">
        <v>73</v>
      </c>
      <c r="T282" s="4">
        <v>2</v>
      </c>
      <c r="U282" s="3">
        <v>60</v>
      </c>
      <c r="V282" s="51">
        <f>IF(GroDB[[#This Row],[LeadTime]]=0,GroDB[[#This Row],[Sales_Volume]],GroDB[[#This Row],[Sales_Volume]]/GroDB[[#This Row],[LeadTime]])</f>
        <v>1.4285714285714286</v>
      </c>
      <c r="W282" s="51">
        <f>_xlfn.STDEV.S(GroDB[Daily Sales])</f>
        <v>5.1999899792654221</v>
      </c>
      <c r="X282" s="3">
        <v>2</v>
      </c>
      <c r="Y282" s="7">
        <v>0.05</v>
      </c>
      <c r="Z282" s="4">
        <f>GroDB[[#This Row],[Unit_Price]]*GroDB[[#This Row],[Sales_Volume]]</f>
        <v>120</v>
      </c>
      <c r="AA282" s="22">
        <f>GroDB[[#This Row],[ADU]]/GroDB[[#Totals],[ADU]]</f>
        <v>3.4856429561807613E-4</v>
      </c>
      <c r="AB282" s="1">
        <f>GroDB[[#This Row],[Sales_Volume]]*GroDB[[#This Row],[Ordering Cost]]</f>
        <v>96</v>
      </c>
    </row>
    <row r="283" spans="1:28" x14ac:dyDescent="0.35">
      <c r="A283" s="5" t="s">
        <v>470</v>
      </c>
      <c r="B283" s="3" t="s">
        <v>18</v>
      </c>
      <c r="C283" s="3" t="s">
        <v>1160</v>
      </c>
      <c r="D283" s="3" t="s">
        <v>1161</v>
      </c>
      <c r="E283" s="3" t="s">
        <v>28</v>
      </c>
      <c r="F283" s="3" t="s">
        <v>1162</v>
      </c>
      <c r="G283" s="3" t="s">
        <v>1163</v>
      </c>
      <c r="H283" s="43">
        <v>45454</v>
      </c>
      <c r="I283" s="43">
        <v>45709</v>
      </c>
      <c r="J283" s="47" t="str">
        <f>IF(GroDB[[#This Row],[Last_Order_Date]]&lt;=GroDB[[#This Row],[Date_Received]], "Yes", "No")</f>
        <v>No</v>
      </c>
      <c r="K283" s="43">
        <f>IF(GroDB[[#This Row],[Column1]]="No",GroDB[[#This Row],[Last_Order_Date]],GroDB[[#This Row],[Date_Received]])</f>
        <v>45709</v>
      </c>
      <c r="L283" s="43">
        <f>IF(GroDB[[#This Row],[Column1]]="No",GroDB[[#This Row],[Date_Received]],GroDB[[#This Row],[Last_Order_Date]])</f>
        <v>45454</v>
      </c>
      <c r="M283" s="45">
        <f>GroDB[[#This Row],[Date_Received1]]-GroDB[[#This Row],[Procurement_Date]]</f>
        <v>255</v>
      </c>
      <c r="N283" s="43">
        <v>45538</v>
      </c>
      <c r="O283" s="91">
        <f>GroDB[[#This Row],[Expiration_Date]]-GroDB[[#This Row],[Date_Received1]]</f>
        <v>-171</v>
      </c>
      <c r="P283" s="4">
        <v>3.2</v>
      </c>
      <c r="Q283" s="3">
        <v>15</v>
      </c>
      <c r="R283" s="3">
        <v>27</v>
      </c>
      <c r="S283" s="3">
        <v>21</v>
      </c>
      <c r="T283" s="4">
        <v>4</v>
      </c>
      <c r="U283" s="3">
        <v>37</v>
      </c>
      <c r="V283" s="51">
        <f>IF(GroDB[[#This Row],[LeadTime]]=0,GroDB[[#This Row],[Sales_Volume]],GroDB[[#This Row],[Sales_Volume]]/GroDB[[#This Row],[LeadTime]])</f>
        <v>0.14509803921568629</v>
      </c>
      <c r="W283" s="51">
        <f>_xlfn.STDEV.S(GroDB[Daily Sales])</f>
        <v>5.1999899792654221</v>
      </c>
      <c r="X283" s="3">
        <v>67</v>
      </c>
      <c r="Y283" s="7">
        <v>0.97</v>
      </c>
      <c r="Z283" s="4">
        <f>GroDB[[#This Row],[Unit_Price]]*GroDB[[#This Row],[Sales_Volume]]</f>
        <v>148</v>
      </c>
      <c r="AA283" s="22">
        <f>GroDB[[#This Row],[ADU]]/GroDB[[#Totals],[ADU]]</f>
        <v>4.2989596459562719E-4</v>
      </c>
      <c r="AB283" s="1">
        <f>GroDB[[#This Row],[Sales_Volume]]*GroDB[[#This Row],[Ordering Cost]]</f>
        <v>118.4</v>
      </c>
    </row>
    <row r="284" spans="1:28" x14ac:dyDescent="0.35">
      <c r="A284" s="5" t="s">
        <v>1109</v>
      </c>
      <c r="B284" s="3" t="s">
        <v>18</v>
      </c>
      <c r="C284" s="3" t="s">
        <v>1164</v>
      </c>
      <c r="D284" s="3" t="s">
        <v>1165</v>
      </c>
      <c r="E284" s="3" t="s">
        <v>21</v>
      </c>
      <c r="F284" s="3" t="s">
        <v>1166</v>
      </c>
      <c r="G284" s="3" t="s">
        <v>1167</v>
      </c>
      <c r="H284" s="43">
        <v>45454</v>
      </c>
      <c r="I284" s="43">
        <v>45386</v>
      </c>
      <c r="J284" s="47" t="str">
        <f>IF(GroDB[[#This Row],[Last_Order_Date]]&lt;=GroDB[[#This Row],[Date_Received]], "Yes", "No")</f>
        <v>Yes</v>
      </c>
      <c r="K284" s="43">
        <f>IF(GroDB[[#This Row],[Column1]]="No",GroDB[[#This Row],[Last_Order_Date]],GroDB[[#This Row],[Date_Received]])</f>
        <v>45454</v>
      </c>
      <c r="L284" s="43">
        <f>IF(GroDB[[#This Row],[Column1]]="No",GroDB[[#This Row],[Date_Received]],GroDB[[#This Row],[Last_Order_Date]])</f>
        <v>45386</v>
      </c>
      <c r="M284" s="45">
        <f>GroDB[[#This Row],[Date_Received1]]-GroDB[[#This Row],[Procurement_Date]]</f>
        <v>68</v>
      </c>
      <c r="N284" s="43">
        <v>45361</v>
      </c>
      <c r="O284" s="91">
        <f>GroDB[[#This Row],[Expiration_Date]]-GroDB[[#This Row],[Date_Received1]]</f>
        <v>-93</v>
      </c>
      <c r="P284" s="4">
        <v>2</v>
      </c>
      <c r="Q284" s="3">
        <v>52</v>
      </c>
      <c r="R284" s="3">
        <v>79</v>
      </c>
      <c r="S284" s="3">
        <v>87</v>
      </c>
      <c r="T284" s="4">
        <v>2.5</v>
      </c>
      <c r="U284" s="3">
        <v>36</v>
      </c>
      <c r="V284" s="51">
        <f>IF(GroDB[[#This Row],[LeadTime]]=0,GroDB[[#This Row],[Sales_Volume]],GroDB[[#This Row],[Sales_Volume]]/GroDB[[#This Row],[LeadTime]])</f>
        <v>0.52941176470588236</v>
      </c>
      <c r="W284" s="51">
        <f>_xlfn.STDEV.S(GroDB[Daily Sales])</f>
        <v>5.1999899792654221</v>
      </c>
      <c r="X284" s="3">
        <v>100</v>
      </c>
      <c r="Y284" s="7">
        <v>-0.81</v>
      </c>
      <c r="Z284" s="4">
        <f>GroDB[[#This Row],[Unit_Price]]*GroDB[[#This Row],[Sales_Volume]]</f>
        <v>90</v>
      </c>
      <c r="AA284" s="22">
        <f>GroDB[[#This Row],[ADU]]/GroDB[[#Totals],[ADU]]</f>
        <v>2.6142322171355707E-4</v>
      </c>
      <c r="AB284" s="1">
        <f>GroDB[[#This Row],[Sales_Volume]]*GroDB[[#This Row],[Ordering Cost]]</f>
        <v>72</v>
      </c>
    </row>
    <row r="285" spans="1:28" x14ac:dyDescent="0.35">
      <c r="A285" s="5" t="s">
        <v>438</v>
      </c>
      <c r="B285" s="3" t="s">
        <v>18</v>
      </c>
      <c r="C285" s="3" t="s">
        <v>1168</v>
      </c>
      <c r="D285" s="3" t="s">
        <v>1169</v>
      </c>
      <c r="E285" s="3" t="s">
        <v>21</v>
      </c>
      <c r="F285" s="3" t="s">
        <v>1170</v>
      </c>
      <c r="G285" s="3" t="s">
        <v>1171</v>
      </c>
      <c r="H285" s="43">
        <v>45454</v>
      </c>
      <c r="I285" s="43">
        <v>45677</v>
      </c>
      <c r="J285" s="47" t="str">
        <f>IF(GroDB[[#This Row],[Last_Order_Date]]&lt;=GroDB[[#This Row],[Date_Received]], "Yes", "No")</f>
        <v>No</v>
      </c>
      <c r="K285" s="43">
        <f>IF(GroDB[[#This Row],[Column1]]="No",GroDB[[#This Row],[Last_Order_Date]],GroDB[[#This Row],[Date_Received]])</f>
        <v>45677</v>
      </c>
      <c r="L285" s="43">
        <f>IF(GroDB[[#This Row],[Column1]]="No",GroDB[[#This Row],[Date_Received]],GroDB[[#This Row],[Last_Order_Date]])</f>
        <v>45454</v>
      </c>
      <c r="M285" s="45">
        <f>GroDB[[#This Row],[Date_Received1]]-GroDB[[#This Row],[Procurement_Date]]</f>
        <v>223</v>
      </c>
      <c r="N285" s="43">
        <v>45449</v>
      </c>
      <c r="O285" s="91">
        <f>GroDB[[#This Row],[Expiration_Date]]-GroDB[[#This Row],[Date_Received1]]</f>
        <v>-228</v>
      </c>
      <c r="P285" s="4">
        <v>4</v>
      </c>
      <c r="Q285" s="3">
        <v>16</v>
      </c>
      <c r="R285" s="3">
        <v>53</v>
      </c>
      <c r="S285" s="3">
        <v>12</v>
      </c>
      <c r="T285" s="4">
        <v>5</v>
      </c>
      <c r="U285" s="3">
        <v>21</v>
      </c>
      <c r="V285" s="51">
        <f>IF(GroDB[[#This Row],[LeadTime]]=0,GroDB[[#This Row],[Sales_Volume]],GroDB[[#This Row],[Sales_Volume]]/GroDB[[#This Row],[LeadTime]])</f>
        <v>9.417040358744394E-2</v>
      </c>
      <c r="W285" s="51">
        <f>_xlfn.STDEV.S(GroDB[Daily Sales])</f>
        <v>5.1999899792654221</v>
      </c>
      <c r="X285" s="3">
        <v>29</v>
      </c>
      <c r="Y285" s="7">
        <v>-1.78</v>
      </c>
      <c r="Z285" s="4">
        <f>GroDB[[#This Row],[Unit_Price]]*GroDB[[#This Row],[Sales_Volume]]</f>
        <v>105</v>
      </c>
      <c r="AA285" s="22">
        <f>GroDB[[#This Row],[ADU]]/GroDB[[#Totals],[ADU]]</f>
        <v>3.0499375866581657E-4</v>
      </c>
      <c r="AB285" s="1">
        <f>GroDB[[#This Row],[Sales_Volume]]*GroDB[[#This Row],[Ordering Cost]]</f>
        <v>84</v>
      </c>
    </row>
    <row r="286" spans="1:28" x14ac:dyDescent="0.35">
      <c r="A286" s="5" t="s">
        <v>80</v>
      </c>
      <c r="B286" s="3" t="s">
        <v>25</v>
      </c>
      <c r="C286" s="3" t="s">
        <v>176</v>
      </c>
      <c r="D286" s="3" t="s">
        <v>1172</v>
      </c>
      <c r="E286" s="3" t="s">
        <v>56</v>
      </c>
      <c r="F286" s="3" t="s">
        <v>1173</v>
      </c>
      <c r="G286" s="3" t="s">
        <v>1174</v>
      </c>
      <c r="H286" s="43">
        <v>45454</v>
      </c>
      <c r="I286" s="43">
        <v>45633</v>
      </c>
      <c r="J286" s="47" t="str">
        <f>IF(GroDB[[#This Row],[Last_Order_Date]]&lt;=GroDB[[#This Row],[Date_Received]], "Yes", "No")</f>
        <v>No</v>
      </c>
      <c r="K286" s="43">
        <f>IF(GroDB[[#This Row],[Column1]]="No",GroDB[[#This Row],[Last_Order_Date]],GroDB[[#This Row],[Date_Received]])</f>
        <v>45633</v>
      </c>
      <c r="L286" s="43">
        <f>IF(GroDB[[#This Row],[Column1]]="No",GroDB[[#This Row],[Date_Received]],GroDB[[#This Row],[Last_Order_Date]])</f>
        <v>45454</v>
      </c>
      <c r="M286" s="45">
        <f>GroDB[[#This Row],[Date_Received1]]-GroDB[[#This Row],[Procurement_Date]]</f>
        <v>179</v>
      </c>
      <c r="N286" s="43">
        <v>45412</v>
      </c>
      <c r="O286" s="91">
        <f>GroDB[[#This Row],[Expiration_Date]]-GroDB[[#This Row],[Date_Received1]]</f>
        <v>-221</v>
      </c>
      <c r="P286" s="4">
        <v>8</v>
      </c>
      <c r="Q286" s="3">
        <v>30</v>
      </c>
      <c r="R286" s="3">
        <v>48</v>
      </c>
      <c r="S286" s="3">
        <v>52</v>
      </c>
      <c r="T286" s="4">
        <v>10</v>
      </c>
      <c r="U286" s="3">
        <v>22</v>
      </c>
      <c r="V286" s="51">
        <f>IF(GroDB[[#This Row],[LeadTime]]=0,GroDB[[#This Row],[Sales_Volume]],GroDB[[#This Row],[Sales_Volume]]/GroDB[[#This Row],[LeadTime]])</f>
        <v>0.12290502793296089</v>
      </c>
      <c r="W286" s="51">
        <f>_xlfn.STDEV.S(GroDB[Daily Sales])</f>
        <v>5.1999899792654221</v>
      </c>
      <c r="X286" s="3">
        <v>78</v>
      </c>
      <c r="Y286" s="7">
        <v>-0.38</v>
      </c>
      <c r="Z286" s="4">
        <f>GroDB[[#This Row],[Unit_Price]]*GroDB[[#This Row],[Sales_Volume]]</f>
        <v>220</v>
      </c>
      <c r="AA286" s="22">
        <f>GroDB[[#This Row],[ADU]]/GroDB[[#Totals],[ADU]]</f>
        <v>6.3903454196647281E-4</v>
      </c>
      <c r="AB286" s="1">
        <f>GroDB[[#This Row],[Sales_Volume]]*GroDB[[#This Row],[Ordering Cost]]</f>
        <v>176</v>
      </c>
    </row>
    <row r="287" spans="1:28" x14ac:dyDescent="0.35">
      <c r="A287" s="5" t="s">
        <v>325</v>
      </c>
      <c r="B287" s="3" t="s">
        <v>53</v>
      </c>
      <c r="C287" s="3" t="s">
        <v>1175</v>
      </c>
      <c r="D287" s="3" t="s">
        <v>1176</v>
      </c>
      <c r="E287" s="3" t="s">
        <v>28</v>
      </c>
      <c r="F287" s="3" t="s">
        <v>1177</v>
      </c>
      <c r="G287" s="3" t="s">
        <v>1178</v>
      </c>
      <c r="H287" s="43">
        <v>45484</v>
      </c>
      <c r="I287" s="43">
        <v>45676</v>
      </c>
      <c r="J287" s="47" t="str">
        <f>IF(GroDB[[#This Row],[Last_Order_Date]]&lt;=GroDB[[#This Row],[Date_Received]], "Yes", "No")</f>
        <v>No</v>
      </c>
      <c r="K287" s="43">
        <f>IF(GroDB[[#This Row],[Column1]]="No",GroDB[[#This Row],[Last_Order_Date]],GroDB[[#This Row],[Date_Received]])</f>
        <v>45676</v>
      </c>
      <c r="L287" s="43">
        <f>IF(GroDB[[#This Row],[Column1]]="No",GroDB[[#This Row],[Date_Received]],GroDB[[#This Row],[Last_Order_Date]])</f>
        <v>45484</v>
      </c>
      <c r="M287" s="45">
        <f>GroDB[[#This Row],[Date_Received1]]-GroDB[[#This Row],[Procurement_Date]]</f>
        <v>192</v>
      </c>
      <c r="N287" s="43">
        <v>45704</v>
      </c>
      <c r="O287" s="91">
        <f>GroDB[[#This Row],[Expiration_Date]]-GroDB[[#This Row],[Date_Received1]]</f>
        <v>28</v>
      </c>
      <c r="P287" s="4">
        <v>3.6</v>
      </c>
      <c r="Q287" s="3">
        <v>75</v>
      </c>
      <c r="R287" s="3">
        <v>69</v>
      </c>
      <c r="S287" s="3">
        <v>100</v>
      </c>
      <c r="T287" s="4">
        <v>4.5</v>
      </c>
      <c r="U287" s="3">
        <v>43</v>
      </c>
      <c r="V287" s="51">
        <f>IF(GroDB[[#This Row],[LeadTime]]=0,GroDB[[#This Row],[Sales_Volume]],GroDB[[#This Row],[Sales_Volume]]/GroDB[[#This Row],[LeadTime]])</f>
        <v>0.22395833333333334</v>
      </c>
      <c r="W287" s="51">
        <f>_xlfn.STDEV.S(GroDB[Daily Sales])</f>
        <v>5.1999899792654221</v>
      </c>
      <c r="X287" s="3">
        <v>18</v>
      </c>
      <c r="Y287" s="7">
        <v>-2.5499999999999998</v>
      </c>
      <c r="Z287" s="4">
        <f>GroDB[[#This Row],[Unit_Price]]*GroDB[[#This Row],[Sales_Volume]]</f>
        <v>193.5</v>
      </c>
      <c r="AA287" s="22">
        <f>GroDB[[#This Row],[ADU]]/GroDB[[#Totals],[ADU]]</f>
        <v>5.6205992668414766E-4</v>
      </c>
      <c r="AB287" s="1">
        <f>GroDB[[#This Row],[Sales_Volume]]*GroDB[[#This Row],[Ordering Cost]]</f>
        <v>154.80000000000001</v>
      </c>
    </row>
    <row r="288" spans="1:28" x14ac:dyDescent="0.35">
      <c r="A288" s="5" t="s">
        <v>1179</v>
      </c>
      <c r="B288" s="3" t="s">
        <v>91</v>
      </c>
      <c r="C288" s="3" t="s">
        <v>1180</v>
      </c>
      <c r="D288" s="3" t="s">
        <v>1181</v>
      </c>
      <c r="E288" s="3" t="s">
        <v>56</v>
      </c>
      <c r="F288" s="3" t="s">
        <v>1182</v>
      </c>
      <c r="G288" s="3" t="s">
        <v>1183</v>
      </c>
      <c r="H288" s="43">
        <v>45484</v>
      </c>
      <c r="I288" s="43">
        <v>45614</v>
      </c>
      <c r="J288" s="47" t="str">
        <f>IF(GroDB[[#This Row],[Last_Order_Date]]&lt;=GroDB[[#This Row],[Date_Received]], "Yes", "No")</f>
        <v>No</v>
      </c>
      <c r="K288" s="43">
        <f>IF(GroDB[[#This Row],[Column1]]="No",GroDB[[#This Row],[Last_Order_Date]],GroDB[[#This Row],[Date_Received]])</f>
        <v>45614</v>
      </c>
      <c r="L288" s="43">
        <f>IF(GroDB[[#This Row],[Column1]]="No",GroDB[[#This Row],[Date_Received]],GroDB[[#This Row],[Last_Order_Date]])</f>
        <v>45484</v>
      </c>
      <c r="M288" s="45">
        <f>GroDB[[#This Row],[Date_Received1]]-GroDB[[#This Row],[Procurement_Date]]</f>
        <v>130</v>
      </c>
      <c r="N288" s="43">
        <v>45418</v>
      </c>
      <c r="O288" s="91">
        <f>GroDB[[#This Row],[Expiration_Date]]-GroDB[[#This Row],[Date_Received1]]</f>
        <v>-196</v>
      </c>
      <c r="P288" s="4">
        <v>2</v>
      </c>
      <c r="Q288" s="3">
        <v>30</v>
      </c>
      <c r="R288" s="3">
        <v>91</v>
      </c>
      <c r="S288" s="3">
        <v>34</v>
      </c>
      <c r="T288" s="4">
        <v>2.5</v>
      </c>
      <c r="U288" s="3">
        <v>97</v>
      </c>
      <c r="V288" s="51">
        <f>IF(GroDB[[#This Row],[LeadTime]]=0,GroDB[[#This Row],[Sales_Volume]],GroDB[[#This Row],[Sales_Volume]]/GroDB[[#This Row],[LeadTime]])</f>
        <v>0.74615384615384617</v>
      </c>
      <c r="W288" s="51">
        <f>_xlfn.STDEV.S(GroDB[Daily Sales])</f>
        <v>5.1999899792654221</v>
      </c>
      <c r="X288" s="3">
        <v>88</v>
      </c>
      <c r="Y288" s="7">
        <v>0.57999999999999996</v>
      </c>
      <c r="Z288" s="4">
        <f>GroDB[[#This Row],[Unit_Price]]*GroDB[[#This Row],[Sales_Volume]]</f>
        <v>242.5</v>
      </c>
      <c r="AA288" s="22">
        <f>GroDB[[#This Row],[ADU]]/GroDB[[#Totals],[ADU]]</f>
        <v>7.0439034739486217E-4</v>
      </c>
      <c r="AB288" s="1">
        <f>GroDB[[#This Row],[Sales_Volume]]*GroDB[[#This Row],[Ordering Cost]]</f>
        <v>194</v>
      </c>
    </row>
    <row r="289" spans="1:28" x14ac:dyDescent="0.35">
      <c r="A289" s="5" t="s">
        <v>984</v>
      </c>
      <c r="B289" s="3" t="s">
        <v>18</v>
      </c>
      <c r="C289" s="3" t="s">
        <v>1184</v>
      </c>
      <c r="D289" s="3" t="s">
        <v>1185</v>
      </c>
      <c r="E289" s="3" t="s">
        <v>56</v>
      </c>
      <c r="F289" s="3" t="s">
        <v>1186</v>
      </c>
      <c r="G289" s="3" t="s">
        <v>1187</v>
      </c>
      <c r="H289" s="43">
        <v>45484</v>
      </c>
      <c r="I289" s="43">
        <v>45418</v>
      </c>
      <c r="J289" s="47" t="str">
        <f>IF(GroDB[[#This Row],[Last_Order_Date]]&lt;=GroDB[[#This Row],[Date_Received]], "Yes", "No")</f>
        <v>Yes</v>
      </c>
      <c r="K289" s="43">
        <f>IF(GroDB[[#This Row],[Column1]]="No",GroDB[[#This Row],[Last_Order_Date]],GroDB[[#This Row],[Date_Received]])</f>
        <v>45484</v>
      </c>
      <c r="L289" s="43">
        <f>IF(GroDB[[#This Row],[Column1]]="No",GroDB[[#This Row],[Date_Received]],GroDB[[#This Row],[Last_Order_Date]])</f>
        <v>45418</v>
      </c>
      <c r="M289" s="45">
        <f>GroDB[[#This Row],[Date_Received1]]-GroDB[[#This Row],[Procurement_Date]]</f>
        <v>66</v>
      </c>
      <c r="N289" s="43">
        <v>45413</v>
      </c>
      <c r="O289" s="91">
        <f>GroDB[[#This Row],[Expiration_Date]]-GroDB[[#This Row],[Date_Received1]]</f>
        <v>-71</v>
      </c>
      <c r="P289" s="4">
        <v>3.2</v>
      </c>
      <c r="Q289" s="3">
        <v>79</v>
      </c>
      <c r="R289" s="3">
        <v>72</v>
      </c>
      <c r="S289" s="3">
        <v>6</v>
      </c>
      <c r="T289" s="4">
        <v>4</v>
      </c>
      <c r="U289" s="3">
        <v>67</v>
      </c>
      <c r="V289" s="51">
        <f>IF(GroDB[[#This Row],[LeadTime]]=0,GroDB[[#This Row],[Sales_Volume]],GroDB[[#This Row],[Sales_Volume]]/GroDB[[#This Row],[LeadTime]])</f>
        <v>1.0151515151515151</v>
      </c>
      <c r="W289" s="51">
        <f>_xlfn.STDEV.S(GroDB[Daily Sales])</f>
        <v>5.1999899792654221</v>
      </c>
      <c r="X289" s="3">
        <v>63</v>
      </c>
      <c r="Y289" s="7">
        <v>0.09</v>
      </c>
      <c r="Z289" s="4">
        <f>GroDB[[#This Row],[Unit_Price]]*GroDB[[#This Row],[Sales_Volume]]</f>
        <v>268</v>
      </c>
      <c r="AA289" s="22">
        <f>GroDB[[#This Row],[ADU]]/GroDB[[#Totals],[ADU]]</f>
        <v>7.7846026021370326E-4</v>
      </c>
      <c r="AB289" s="1">
        <f>GroDB[[#This Row],[Sales_Volume]]*GroDB[[#This Row],[Ordering Cost]]</f>
        <v>214.4</v>
      </c>
    </row>
    <row r="290" spans="1:28" x14ac:dyDescent="0.35">
      <c r="A290" s="5" t="s">
        <v>531</v>
      </c>
      <c r="B290" s="3" t="s">
        <v>53</v>
      </c>
      <c r="C290" s="3" t="s">
        <v>641</v>
      </c>
      <c r="D290" s="3" t="s">
        <v>1188</v>
      </c>
      <c r="E290" s="3" t="s">
        <v>56</v>
      </c>
      <c r="F290" s="3" t="s">
        <v>1189</v>
      </c>
      <c r="G290" s="3" t="s">
        <v>1190</v>
      </c>
      <c r="H290" s="43">
        <v>45515</v>
      </c>
      <c r="I290" s="43">
        <v>45367</v>
      </c>
      <c r="J290" s="47" t="str">
        <f>IF(GroDB[[#This Row],[Last_Order_Date]]&lt;=GroDB[[#This Row],[Date_Received]], "Yes", "No")</f>
        <v>Yes</v>
      </c>
      <c r="K290" s="43">
        <f>IF(GroDB[[#This Row],[Column1]]="No",GroDB[[#This Row],[Last_Order_Date]],GroDB[[#This Row],[Date_Received]])</f>
        <v>45515</v>
      </c>
      <c r="L290" s="43">
        <f>IF(GroDB[[#This Row],[Column1]]="No",GroDB[[#This Row],[Date_Received]],GroDB[[#This Row],[Last_Order_Date]])</f>
        <v>45367</v>
      </c>
      <c r="M290" s="45">
        <f>GroDB[[#This Row],[Date_Received1]]-GroDB[[#This Row],[Procurement_Date]]</f>
        <v>148</v>
      </c>
      <c r="N290" s="43">
        <v>45438</v>
      </c>
      <c r="O290" s="91">
        <f>GroDB[[#This Row],[Expiration_Date]]-GroDB[[#This Row],[Date_Received1]]</f>
        <v>-77</v>
      </c>
      <c r="P290" s="4">
        <v>1.2000000000000002</v>
      </c>
      <c r="Q290" s="3">
        <v>71</v>
      </c>
      <c r="R290" s="3">
        <v>10</v>
      </c>
      <c r="S290" s="3">
        <v>49</v>
      </c>
      <c r="T290" s="4">
        <v>1.5</v>
      </c>
      <c r="U290" s="3">
        <v>66</v>
      </c>
      <c r="V290" s="51">
        <f>IF(GroDB[[#This Row],[LeadTime]]=0,GroDB[[#This Row],[Sales_Volume]],GroDB[[#This Row],[Sales_Volume]]/GroDB[[#This Row],[LeadTime]])</f>
        <v>0.44594594594594594</v>
      </c>
      <c r="W290" s="51">
        <f>_xlfn.STDEV.S(GroDB[Daily Sales])</f>
        <v>5.1999899792654221</v>
      </c>
      <c r="X290" s="3">
        <v>43</v>
      </c>
      <c r="Y290" s="7">
        <v>0.06</v>
      </c>
      <c r="Z290" s="4">
        <f>GroDB[[#This Row],[Unit_Price]]*GroDB[[#This Row],[Sales_Volume]]</f>
        <v>99</v>
      </c>
      <c r="AA290" s="22">
        <f>GroDB[[#This Row],[ADU]]/GroDB[[#Totals],[ADU]]</f>
        <v>2.8756554388491279E-4</v>
      </c>
      <c r="AB290" s="1">
        <f>GroDB[[#This Row],[Sales_Volume]]*GroDB[[#This Row],[Ordering Cost]]</f>
        <v>79.200000000000017</v>
      </c>
    </row>
    <row r="291" spans="1:28" x14ac:dyDescent="0.35">
      <c r="A291" s="5" t="s">
        <v>276</v>
      </c>
      <c r="B291" s="3" t="s">
        <v>18</v>
      </c>
      <c r="C291" s="3" t="s">
        <v>388</v>
      </c>
      <c r="D291" s="3" t="s">
        <v>1191</v>
      </c>
      <c r="E291" s="3" t="s">
        <v>56</v>
      </c>
      <c r="F291" s="3" t="s">
        <v>1192</v>
      </c>
      <c r="G291" s="3" t="s">
        <v>1193</v>
      </c>
      <c r="H291" s="43">
        <v>45515</v>
      </c>
      <c r="I291" s="43">
        <v>45675</v>
      </c>
      <c r="J291" s="47" t="str">
        <f>IF(GroDB[[#This Row],[Last_Order_Date]]&lt;=GroDB[[#This Row],[Date_Received]], "Yes", "No")</f>
        <v>No</v>
      </c>
      <c r="K291" s="43">
        <f>IF(GroDB[[#This Row],[Column1]]="No",GroDB[[#This Row],[Last_Order_Date]],GroDB[[#This Row],[Date_Received]])</f>
        <v>45675</v>
      </c>
      <c r="L291" s="43">
        <f>IF(GroDB[[#This Row],[Column1]]="No",GroDB[[#This Row],[Date_Received]],GroDB[[#This Row],[Last_Order_Date]])</f>
        <v>45515</v>
      </c>
      <c r="M291" s="45">
        <f>GroDB[[#This Row],[Date_Received1]]-GroDB[[#This Row],[Procurement_Date]]</f>
        <v>160</v>
      </c>
      <c r="N291" s="43">
        <v>45562</v>
      </c>
      <c r="O291" s="91">
        <f>GroDB[[#This Row],[Expiration_Date]]-GroDB[[#This Row],[Date_Received1]]</f>
        <v>-113</v>
      </c>
      <c r="P291" s="4">
        <v>2.8000000000000003</v>
      </c>
      <c r="Q291" s="3">
        <v>65</v>
      </c>
      <c r="R291" s="3">
        <v>35</v>
      </c>
      <c r="S291" s="3">
        <v>3</v>
      </c>
      <c r="T291" s="4">
        <v>3.5</v>
      </c>
      <c r="U291" s="3">
        <v>25</v>
      </c>
      <c r="V291" s="51">
        <f>IF(GroDB[[#This Row],[LeadTime]]=0,GroDB[[#This Row],[Sales_Volume]],GroDB[[#This Row],[Sales_Volume]]/GroDB[[#This Row],[LeadTime]])</f>
        <v>0.15625</v>
      </c>
      <c r="W291" s="51">
        <f>_xlfn.STDEV.S(GroDB[Daily Sales])</f>
        <v>5.1999899792654221</v>
      </c>
      <c r="X291" s="3">
        <v>13</v>
      </c>
      <c r="Y291" s="7">
        <v>0.35</v>
      </c>
      <c r="Z291" s="4">
        <f>GroDB[[#This Row],[Unit_Price]]*GroDB[[#This Row],[Sales_Volume]]</f>
        <v>87.5</v>
      </c>
      <c r="AA291" s="22">
        <f>GroDB[[#This Row],[ADU]]/GroDB[[#Totals],[ADU]]</f>
        <v>2.5416146555484715E-4</v>
      </c>
      <c r="AB291" s="1">
        <f>GroDB[[#This Row],[Sales_Volume]]*GroDB[[#This Row],[Ordering Cost]]</f>
        <v>70</v>
      </c>
    </row>
    <row r="292" spans="1:28" x14ac:dyDescent="0.35">
      <c r="A292" s="5" t="s">
        <v>239</v>
      </c>
      <c r="B292" s="3" t="s">
        <v>25</v>
      </c>
      <c r="C292" s="3" t="s">
        <v>1194</v>
      </c>
      <c r="D292" s="3" t="s">
        <v>1195</v>
      </c>
      <c r="E292" s="3" t="s">
        <v>56</v>
      </c>
      <c r="F292" s="3" t="s">
        <v>1196</v>
      </c>
      <c r="G292" s="3" t="s">
        <v>1197</v>
      </c>
      <c r="H292" s="43">
        <v>45515</v>
      </c>
      <c r="I292" s="43">
        <v>45394</v>
      </c>
      <c r="J292" s="47" t="str">
        <f>IF(GroDB[[#This Row],[Last_Order_Date]]&lt;=GroDB[[#This Row],[Date_Received]], "Yes", "No")</f>
        <v>Yes</v>
      </c>
      <c r="K292" s="43">
        <f>IF(GroDB[[#This Row],[Column1]]="No",GroDB[[#This Row],[Last_Order_Date]],GroDB[[#This Row],[Date_Received]])</f>
        <v>45515</v>
      </c>
      <c r="L292" s="43">
        <f>IF(GroDB[[#This Row],[Column1]]="No",GroDB[[#This Row],[Date_Received]],GroDB[[#This Row],[Last_Order_Date]])</f>
        <v>45394</v>
      </c>
      <c r="M292" s="45">
        <f>GroDB[[#This Row],[Date_Received1]]-GroDB[[#This Row],[Procurement_Date]]</f>
        <v>121</v>
      </c>
      <c r="N292" s="43">
        <v>45447</v>
      </c>
      <c r="O292" s="91">
        <f>GroDB[[#This Row],[Expiration_Date]]-GroDB[[#This Row],[Date_Received1]]</f>
        <v>-68</v>
      </c>
      <c r="P292" s="4">
        <v>5.2</v>
      </c>
      <c r="Q292" s="3">
        <v>100</v>
      </c>
      <c r="R292" s="3">
        <v>86</v>
      </c>
      <c r="S292" s="3">
        <v>94</v>
      </c>
      <c r="T292" s="4">
        <v>6.5</v>
      </c>
      <c r="U292" s="3">
        <v>77</v>
      </c>
      <c r="V292" s="51">
        <f>IF(GroDB[[#This Row],[LeadTime]]=0,GroDB[[#This Row],[Sales_Volume]],GroDB[[#This Row],[Sales_Volume]]/GroDB[[#This Row],[LeadTime]])</f>
        <v>0.63636363636363635</v>
      </c>
      <c r="W292" s="51">
        <f>_xlfn.STDEV.S(GroDB[Daily Sales])</f>
        <v>5.1999899792654221</v>
      </c>
      <c r="X292" s="3">
        <v>57</v>
      </c>
      <c r="Y292" s="7">
        <v>0.48</v>
      </c>
      <c r="Z292" s="4">
        <f>GroDB[[#This Row],[Unit_Price]]*GroDB[[#This Row],[Sales_Volume]]</f>
        <v>500.5</v>
      </c>
      <c r="AA292" s="22">
        <f>GroDB[[#This Row],[ADU]]/GroDB[[#Totals],[ADU]]</f>
        <v>1.4538035829737258E-3</v>
      </c>
      <c r="AB292" s="1">
        <f>GroDB[[#This Row],[Sales_Volume]]*GroDB[[#This Row],[Ordering Cost]]</f>
        <v>400.40000000000003</v>
      </c>
    </row>
    <row r="293" spans="1:28" x14ac:dyDescent="0.35">
      <c r="A293" s="5" t="s">
        <v>420</v>
      </c>
      <c r="B293" s="3" t="s">
        <v>60</v>
      </c>
      <c r="C293" s="3" t="s">
        <v>1198</v>
      </c>
      <c r="D293" s="3" t="s">
        <v>1199</v>
      </c>
      <c r="E293" s="3" t="s">
        <v>21</v>
      </c>
      <c r="F293" s="3" t="s">
        <v>1200</v>
      </c>
      <c r="G293" s="3" t="s">
        <v>1201</v>
      </c>
      <c r="H293" s="43">
        <v>45546</v>
      </c>
      <c r="I293" s="43">
        <v>45399</v>
      </c>
      <c r="J293" s="47" t="str">
        <f>IF(GroDB[[#This Row],[Last_Order_Date]]&lt;=GroDB[[#This Row],[Date_Received]], "Yes", "No")</f>
        <v>Yes</v>
      </c>
      <c r="K293" s="43">
        <f>IF(GroDB[[#This Row],[Column1]]="No",GroDB[[#This Row],[Last_Order_Date]],GroDB[[#This Row],[Date_Received]])</f>
        <v>45546</v>
      </c>
      <c r="L293" s="43">
        <f>IF(GroDB[[#This Row],[Column1]]="No",GroDB[[#This Row],[Date_Received]],GroDB[[#This Row],[Last_Order_Date]])</f>
        <v>45399</v>
      </c>
      <c r="M293" s="45">
        <f>GroDB[[#This Row],[Date_Received1]]-GroDB[[#This Row],[Procurement_Date]]</f>
        <v>147</v>
      </c>
      <c r="N293" s="43">
        <v>45381</v>
      </c>
      <c r="O293" s="91">
        <f>GroDB[[#This Row],[Expiration_Date]]-GroDB[[#This Row],[Date_Received1]]</f>
        <v>-165</v>
      </c>
      <c r="P293" s="4">
        <v>14.4</v>
      </c>
      <c r="Q293" s="3">
        <v>58</v>
      </c>
      <c r="R293" s="3">
        <v>77</v>
      </c>
      <c r="S293" s="3">
        <v>96</v>
      </c>
      <c r="T293" s="4">
        <v>18</v>
      </c>
      <c r="U293" s="3">
        <v>25</v>
      </c>
      <c r="V293" s="51">
        <f>IF(GroDB[[#This Row],[LeadTime]]=0,GroDB[[#This Row],[Sales_Volume]],GroDB[[#This Row],[Sales_Volume]]/GroDB[[#This Row],[LeadTime]])</f>
        <v>0.17006802721088435</v>
      </c>
      <c r="W293" s="51">
        <f>_xlfn.STDEV.S(GroDB[Daily Sales])</f>
        <v>5.1999899792654221</v>
      </c>
      <c r="X293" s="3">
        <v>17</v>
      </c>
      <c r="Y293" s="7">
        <v>0.26</v>
      </c>
      <c r="Z293" s="4">
        <f>GroDB[[#This Row],[Unit_Price]]*GroDB[[#This Row],[Sales_Volume]]</f>
        <v>450</v>
      </c>
      <c r="AA293" s="22">
        <f>GroDB[[#This Row],[ADU]]/GroDB[[#Totals],[ADU]]</f>
        <v>1.3071161085677853E-3</v>
      </c>
      <c r="AB293" s="1">
        <f>GroDB[[#This Row],[Sales_Volume]]*GroDB[[#This Row],[Ordering Cost]]</f>
        <v>360</v>
      </c>
    </row>
    <row r="294" spans="1:28" x14ac:dyDescent="0.35">
      <c r="A294" s="5" t="s">
        <v>1202</v>
      </c>
      <c r="B294" s="3" t="s">
        <v>18</v>
      </c>
      <c r="C294" s="3" t="s">
        <v>1203</v>
      </c>
      <c r="D294" s="3" t="s">
        <v>1204</v>
      </c>
      <c r="E294" s="3" t="s">
        <v>56</v>
      </c>
      <c r="F294" s="3" t="s">
        <v>1205</v>
      </c>
      <c r="G294" s="3" t="s">
        <v>1206</v>
      </c>
      <c r="H294" s="43">
        <v>45546</v>
      </c>
      <c r="I294" s="43">
        <v>45667</v>
      </c>
      <c r="J294" s="47" t="str">
        <f>IF(GroDB[[#This Row],[Last_Order_Date]]&lt;=GroDB[[#This Row],[Date_Received]], "Yes", "No")</f>
        <v>No</v>
      </c>
      <c r="K294" s="43">
        <f>IF(GroDB[[#This Row],[Column1]]="No",GroDB[[#This Row],[Last_Order_Date]],GroDB[[#This Row],[Date_Received]])</f>
        <v>45667</v>
      </c>
      <c r="L294" s="43">
        <f>IF(GroDB[[#This Row],[Column1]]="No",GroDB[[#This Row],[Date_Received]],GroDB[[#This Row],[Last_Order_Date]])</f>
        <v>45546</v>
      </c>
      <c r="M294" s="45">
        <f>GroDB[[#This Row],[Date_Received1]]-GroDB[[#This Row],[Procurement_Date]]</f>
        <v>121</v>
      </c>
      <c r="N294" s="43">
        <v>45629</v>
      </c>
      <c r="O294" s="91">
        <f>GroDB[[#This Row],[Expiration_Date]]-GroDB[[#This Row],[Date_Received1]]</f>
        <v>-38</v>
      </c>
      <c r="P294" s="4">
        <v>2.4000000000000004</v>
      </c>
      <c r="Q294" s="3">
        <v>75</v>
      </c>
      <c r="R294" s="3">
        <v>10</v>
      </c>
      <c r="S294" s="3">
        <v>68</v>
      </c>
      <c r="T294" s="4">
        <v>3</v>
      </c>
      <c r="U294" s="3">
        <v>90</v>
      </c>
      <c r="V294" s="51">
        <f>IF(GroDB[[#This Row],[LeadTime]]=0,GroDB[[#This Row],[Sales_Volume]],GroDB[[#This Row],[Sales_Volume]]/GroDB[[#This Row],[LeadTime]])</f>
        <v>0.74380165289256195</v>
      </c>
      <c r="W294" s="51">
        <f>_xlfn.STDEV.S(GroDB[Daily Sales])</f>
        <v>5.1999899792654221</v>
      </c>
      <c r="X294" s="3">
        <v>42</v>
      </c>
      <c r="Y294" s="7">
        <v>0.32</v>
      </c>
      <c r="Z294" s="4">
        <f>GroDB[[#This Row],[Unit_Price]]*GroDB[[#This Row],[Sales_Volume]]</f>
        <v>270</v>
      </c>
      <c r="AA294" s="22">
        <f>GroDB[[#This Row],[ADU]]/GroDB[[#Totals],[ADU]]</f>
        <v>7.8426966514067126E-4</v>
      </c>
      <c r="AB294" s="1">
        <f>GroDB[[#This Row],[Sales_Volume]]*GroDB[[#This Row],[Ordering Cost]]</f>
        <v>216.00000000000003</v>
      </c>
    </row>
    <row r="295" spans="1:28" x14ac:dyDescent="0.35">
      <c r="A295" s="5" t="s">
        <v>65</v>
      </c>
      <c r="B295" s="3" t="s">
        <v>32</v>
      </c>
      <c r="C295" s="3" t="s">
        <v>1207</v>
      </c>
      <c r="D295" s="3" t="s">
        <v>1208</v>
      </c>
      <c r="E295" s="3" t="s">
        <v>56</v>
      </c>
      <c r="F295" s="3" t="s">
        <v>1209</v>
      </c>
      <c r="G295" s="3" t="s">
        <v>1210</v>
      </c>
      <c r="H295" s="43">
        <v>45546</v>
      </c>
      <c r="I295" s="43">
        <v>45440</v>
      </c>
      <c r="J295" s="47" t="str">
        <f>IF(GroDB[[#This Row],[Last_Order_Date]]&lt;=GroDB[[#This Row],[Date_Received]], "Yes", "No")</f>
        <v>Yes</v>
      </c>
      <c r="K295" s="43">
        <f>IF(GroDB[[#This Row],[Column1]]="No",GroDB[[#This Row],[Last_Order_Date]],GroDB[[#This Row],[Date_Received]])</f>
        <v>45546</v>
      </c>
      <c r="L295" s="43">
        <f>IF(GroDB[[#This Row],[Column1]]="No",GroDB[[#This Row],[Date_Received]],GroDB[[#This Row],[Last_Order_Date]])</f>
        <v>45440</v>
      </c>
      <c r="M295" s="45">
        <f>GroDB[[#This Row],[Date_Received1]]-GroDB[[#This Row],[Procurement_Date]]</f>
        <v>106</v>
      </c>
      <c r="N295" s="43">
        <v>45456</v>
      </c>
      <c r="O295" s="91">
        <f>GroDB[[#This Row],[Expiration_Date]]-GroDB[[#This Row],[Date_Received1]]</f>
        <v>-90</v>
      </c>
      <c r="P295" s="4">
        <v>7.3599999999999994</v>
      </c>
      <c r="Q295" s="3">
        <v>69</v>
      </c>
      <c r="R295" s="3">
        <v>53</v>
      </c>
      <c r="S295" s="3">
        <v>32</v>
      </c>
      <c r="T295" s="4">
        <v>9.1999999999999993</v>
      </c>
      <c r="U295" s="3">
        <v>28</v>
      </c>
      <c r="V295" s="51">
        <f>IF(GroDB[[#This Row],[LeadTime]]=0,GroDB[[#This Row],[Sales_Volume]],GroDB[[#This Row],[Sales_Volume]]/GroDB[[#This Row],[LeadTime]])</f>
        <v>0.26415094339622641</v>
      </c>
      <c r="W295" s="51">
        <f>_xlfn.STDEV.S(GroDB[Daily Sales])</f>
        <v>5.1999899792654221</v>
      </c>
      <c r="X295" s="3">
        <v>56</v>
      </c>
      <c r="Y295" s="7">
        <v>0.53</v>
      </c>
      <c r="Z295" s="4">
        <f>GroDB[[#This Row],[Unit_Price]]*GroDB[[#This Row],[Sales_Volume]]</f>
        <v>257.59999999999997</v>
      </c>
      <c r="AA295" s="22">
        <f>GroDB[[#This Row],[ADU]]/GroDB[[#Totals],[ADU]]</f>
        <v>7.4825135459346995E-4</v>
      </c>
      <c r="AB295" s="1">
        <f>GroDB[[#This Row],[Sales_Volume]]*GroDB[[#This Row],[Ordering Cost]]</f>
        <v>206.07999999999998</v>
      </c>
    </row>
    <row r="296" spans="1:28" x14ac:dyDescent="0.35">
      <c r="A296" s="5" t="s">
        <v>220</v>
      </c>
      <c r="B296" s="3" t="s">
        <v>127</v>
      </c>
      <c r="C296" s="3" t="s">
        <v>43</v>
      </c>
      <c r="D296" s="3" t="s">
        <v>1211</v>
      </c>
      <c r="E296" s="3" t="s">
        <v>28</v>
      </c>
      <c r="F296" s="3" t="s">
        <v>1212</v>
      </c>
      <c r="G296" s="3" t="s">
        <v>1213</v>
      </c>
      <c r="H296" s="43">
        <v>45546</v>
      </c>
      <c r="I296" s="43">
        <v>45489</v>
      </c>
      <c r="J296" s="47" t="str">
        <f>IF(GroDB[[#This Row],[Last_Order_Date]]&lt;=GroDB[[#This Row],[Date_Received]], "Yes", "No")</f>
        <v>Yes</v>
      </c>
      <c r="K296" s="43">
        <f>IF(GroDB[[#This Row],[Column1]]="No",GroDB[[#This Row],[Last_Order_Date]],GroDB[[#This Row],[Date_Received]])</f>
        <v>45546</v>
      </c>
      <c r="L296" s="43">
        <f>IF(GroDB[[#This Row],[Column1]]="No",GroDB[[#This Row],[Date_Received]],GroDB[[#This Row],[Last_Order_Date]])</f>
        <v>45489</v>
      </c>
      <c r="M296" s="45">
        <f>GroDB[[#This Row],[Date_Received1]]-GroDB[[#This Row],[Procurement_Date]]</f>
        <v>57</v>
      </c>
      <c r="N296" s="43">
        <v>45347</v>
      </c>
      <c r="O296" s="91">
        <f>GroDB[[#This Row],[Expiration_Date]]-GroDB[[#This Row],[Date_Received1]]</f>
        <v>-199</v>
      </c>
      <c r="P296" s="4">
        <v>8.24</v>
      </c>
      <c r="Q296" s="3">
        <v>59</v>
      </c>
      <c r="R296" s="3">
        <v>62</v>
      </c>
      <c r="S296" s="3">
        <v>57</v>
      </c>
      <c r="T296" s="4">
        <v>10.3</v>
      </c>
      <c r="U296" s="3">
        <v>90</v>
      </c>
      <c r="V296" s="51">
        <f>IF(GroDB[[#This Row],[LeadTime]]=0,GroDB[[#This Row],[Sales_Volume]],GroDB[[#This Row],[Sales_Volume]]/GroDB[[#This Row],[LeadTime]])</f>
        <v>1.5789473684210527</v>
      </c>
      <c r="W296" s="51">
        <f>_xlfn.STDEV.S(GroDB[Daily Sales])</f>
        <v>5.1999899792654221</v>
      </c>
      <c r="X296" s="3">
        <v>94</v>
      </c>
      <c r="Y296" s="7">
        <v>-1</v>
      </c>
      <c r="Z296" s="4">
        <f>GroDB[[#This Row],[Unit_Price]]*GroDB[[#This Row],[Sales_Volume]]</f>
        <v>927.00000000000011</v>
      </c>
      <c r="AA296" s="22">
        <f>GroDB[[#This Row],[ADU]]/GroDB[[#Totals],[ADU]]</f>
        <v>2.6926591836496381E-3</v>
      </c>
      <c r="AB296" s="1">
        <f>GroDB[[#This Row],[Sales_Volume]]*GroDB[[#This Row],[Ordering Cost]]</f>
        <v>741.6</v>
      </c>
    </row>
    <row r="297" spans="1:28" x14ac:dyDescent="0.35">
      <c r="A297" s="5" t="s">
        <v>736</v>
      </c>
      <c r="B297" s="3" t="s">
        <v>91</v>
      </c>
      <c r="C297" s="3" t="s">
        <v>1214</v>
      </c>
      <c r="D297" s="3" t="s">
        <v>1215</v>
      </c>
      <c r="E297" s="3" t="s">
        <v>56</v>
      </c>
      <c r="F297" s="3" t="s">
        <v>1216</v>
      </c>
      <c r="G297" s="3" t="s">
        <v>1217</v>
      </c>
      <c r="H297" s="43">
        <v>45576</v>
      </c>
      <c r="I297" s="43">
        <v>45472</v>
      </c>
      <c r="J297" s="47" t="str">
        <f>IF(GroDB[[#This Row],[Last_Order_Date]]&lt;=GroDB[[#This Row],[Date_Received]], "Yes", "No")</f>
        <v>Yes</v>
      </c>
      <c r="K297" s="43">
        <f>IF(GroDB[[#This Row],[Column1]]="No",GroDB[[#This Row],[Last_Order_Date]],GroDB[[#This Row],[Date_Received]])</f>
        <v>45576</v>
      </c>
      <c r="L297" s="43">
        <f>IF(GroDB[[#This Row],[Column1]]="No",GroDB[[#This Row],[Date_Received]],GroDB[[#This Row],[Last_Order_Date]])</f>
        <v>45472</v>
      </c>
      <c r="M297" s="45">
        <f>GroDB[[#This Row],[Date_Received1]]-GroDB[[#This Row],[Procurement_Date]]</f>
        <v>104</v>
      </c>
      <c r="N297" s="43">
        <v>45611</v>
      </c>
      <c r="O297" s="91">
        <f>GroDB[[#This Row],[Expiration_Date]]-GroDB[[#This Row],[Date_Received1]]</f>
        <v>35</v>
      </c>
      <c r="P297" s="4">
        <v>4</v>
      </c>
      <c r="Q297" s="3">
        <v>34</v>
      </c>
      <c r="R297" s="3">
        <v>55</v>
      </c>
      <c r="S297" s="3">
        <v>22</v>
      </c>
      <c r="T297" s="4">
        <v>5</v>
      </c>
      <c r="U297" s="3">
        <v>77</v>
      </c>
      <c r="V297" s="51">
        <f>IF(GroDB[[#This Row],[LeadTime]]=0,GroDB[[#This Row],[Sales_Volume]],GroDB[[#This Row],[Sales_Volume]]/GroDB[[#This Row],[LeadTime]])</f>
        <v>0.74038461538461542</v>
      </c>
      <c r="W297" s="51">
        <f>_xlfn.STDEV.S(GroDB[Daily Sales])</f>
        <v>5.1999899792654221</v>
      </c>
      <c r="X297" s="3">
        <v>85</v>
      </c>
      <c r="Y297" s="7">
        <v>-0.04</v>
      </c>
      <c r="Z297" s="4">
        <f>GroDB[[#This Row],[Unit_Price]]*GroDB[[#This Row],[Sales_Volume]]</f>
        <v>385</v>
      </c>
      <c r="AA297" s="22">
        <f>GroDB[[#This Row],[ADU]]/GroDB[[#Totals],[ADU]]</f>
        <v>1.1183104484413274E-3</v>
      </c>
      <c r="AB297" s="1">
        <f>GroDB[[#This Row],[Sales_Volume]]*GroDB[[#This Row],[Ordering Cost]]</f>
        <v>308</v>
      </c>
    </row>
    <row r="298" spans="1:28" x14ac:dyDescent="0.35">
      <c r="A298" s="5" t="s">
        <v>707</v>
      </c>
      <c r="B298" s="3" t="s">
        <v>25</v>
      </c>
      <c r="C298" s="3" t="s">
        <v>755</v>
      </c>
      <c r="D298" s="3" t="s">
        <v>1218</v>
      </c>
      <c r="E298" s="3" t="s">
        <v>28</v>
      </c>
      <c r="F298" s="3" t="s">
        <v>1219</v>
      </c>
      <c r="G298" s="3" t="s">
        <v>1220</v>
      </c>
      <c r="H298" s="43">
        <v>45576</v>
      </c>
      <c r="I298" s="43">
        <v>45588</v>
      </c>
      <c r="J298" s="47" t="str">
        <f>IF(GroDB[[#This Row],[Last_Order_Date]]&lt;=GroDB[[#This Row],[Date_Received]], "Yes", "No")</f>
        <v>No</v>
      </c>
      <c r="K298" s="43">
        <f>IF(GroDB[[#This Row],[Column1]]="No",GroDB[[#This Row],[Last_Order_Date]],GroDB[[#This Row],[Date_Received]])</f>
        <v>45588</v>
      </c>
      <c r="L298" s="43">
        <f>IF(GroDB[[#This Row],[Column1]]="No",GroDB[[#This Row],[Date_Received]],GroDB[[#This Row],[Last_Order_Date]])</f>
        <v>45576</v>
      </c>
      <c r="M298" s="45">
        <f>GroDB[[#This Row],[Date_Received1]]-GroDB[[#This Row],[Procurement_Date]]</f>
        <v>12</v>
      </c>
      <c r="N298" s="43">
        <v>45656</v>
      </c>
      <c r="O298" s="91">
        <f>GroDB[[#This Row],[Expiration_Date]]-GroDB[[#This Row],[Date_Received1]]</f>
        <v>68</v>
      </c>
      <c r="P298" s="4">
        <v>1.8399999999999999</v>
      </c>
      <c r="Q298" s="3">
        <v>19</v>
      </c>
      <c r="R298" s="3">
        <v>80</v>
      </c>
      <c r="S298" s="3">
        <v>87</v>
      </c>
      <c r="T298" s="4">
        <v>2.2999999999999998</v>
      </c>
      <c r="U298" s="3">
        <v>33</v>
      </c>
      <c r="V298" s="51">
        <f>IF(GroDB[[#This Row],[LeadTime]]=0,GroDB[[#This Row],[Sales_Volume]],GroDB[[#This Row],[Sales_Volume]]/GroDB[[#This Row],[LeadTime]])</f>
        <v>2.75</v>
      </c>
      <c r="W298" s="51">
        <f>_xlfn.STDEV.S(GroDB[Daily Sales])</f>
        <v>5.1999899792654221</v>
      </c>
      <c r="X298" s="3">
        <v>38</v>
      </c>
      <c r="Y298" s="7">
        <v>-0.1</v>
      </c>
      <c r="Z298" s="4">
        <f>GroDB[[#This Row],[Unit_Price]]*GroDB[[#This Row],[Sales_Volume]]</f>
        <v>75.899999999999991</v>
      </c>
      <c r="AA298" s="22">
        <f>GroDB[[#This Row],[ADU]]/GroDB[[#Totals],[ADU]]</f>
        <v>2.204669169784331E-4</v>
      </c>
      <c r="AB298" s="1">
        <f>GroDB[[#This Row],[Sales_Volume]]*GroDB[[#This Row],[Ordering Cost]]</f>
        <v>60.72</v>
      </c>
    </row>
    <row r="299" spans="1:28" x14ac:dyDescent="0.35">
      <c r="A299" s="5" t="s">
        <v>691</v>
      </c>
      <c r="B299" s="3" t="s">
        <v>32</v>
      </c>
      <c r="C299" s="3" t="s">
        <v>112</v>
      </c>
      <c r="D299" s="3" t="s">
        <v>1221</v>
      </c>
      <c r="E299" s="3" t="s">
        <v>28</v>
      </c>
      <c r="F299" s="3" t="s">
        <v>1222</v>
      </c>
      <c r="G299" s="3" t="s">
        <v>1223</v>
      </c>
      <c r="H299" s="43">
        <v>45607</v>
      </c>
      <c r="I299" s="43">
        <v>45550</v>
      </c>
      <c r="J299" s="47" t="str">
        <f>IF(GroDB[[#This Row],[Last_Order_Date]]&lt;=GroDB[[#This Row],[Date_Received]], "Yes", "No")</f>
        <v>Yes</v>
      </c>
      <c r="K299" s="43">
        <f>IF(GroDB[[#This Row],[Column1]]="No",GroDB[[#This Row],[Last_Order_Date]],GroDB[[#This Row],[Date_Received]])</f>
        <v>45607</v>
      </c>
      <c r="L299" s="43">
        <f>IF(GroDB[[#This Row],[Column1]]="No",GroDB[[#This Row],[Date_Received]],GroDB[[#This Row],[Last_Order_Date]])</f>
        <v>45550</v>
      </c>
      <c r="M299" s="45">
        <f>GroDB[[#This Row],[Date_Received1]]-GroDB[[#This Row],[Procurement_Date]]</f>
        <v>57</v>
      </c>
      <c r="N299" s="43">
        <v>45475</v>
      </c>
      <c r="O299" s="91">
        <f>GroDB[[#This Row],[Expiration_Date]]-GroDB[[#This Row],[Date_Received1]]</f>
        <v>-132</v>
      </c>
      <c r="P299" s="4">
        <v>5.6000000000000005</v>
      </c>
      <c r="Q299" s="3">
        <v>97</v>
      </c>
      <c r="R299" s="3">
        <v>77</v>
      </c>
      <c r="S299" s="3">
        <v>13</v>
      </c>
      <c r="T299" s="4">
        <v>7</v>
      </c>
      <c r="U299" s="3">
        <v>43</v>
      </c>
      <c r="V299" s="51">
        <f>IF(GroDB[[#This Row],[LeadTime]]=0,GroDB[[#This Row],[Sales_Volume]],GroDB[[#This Row],[Sales_Volume]]/GroDB[[#This Row],[LeadTime]])</f>
        <v>0.75438596491228072</v>
      </c>
      <c r="W299" s="51">
        <f>_xlfn.STDEV.S(GroDB[Daily Sales])</f>
        <v>5.1999899792654221</v>
      </c>
      <c r="X299" s="3">
        <v>40</v>
      </c>
      <c r="Y299" s="7">
        <v>-0.15</v>
      </c>
      <c r="Z299" s="4">
        <f>GroDB[[#This Row],[Unit_Price]]*GroDB[[#This Row],[Sales_Volume]]</f>
        <v>301</v>
      </c>
      <c r="AA299" s="22">
        <f>GroDB[[#This Row],[ADU]]/GroDB[[#Totals],[ADU]]</f>
        <v>8.743154415086742E-4</v>
      </c>
      <c r="AB299" s="1">
        <f>GroDB[[#This Row],[Sales_Volume]]*GroDB[[#This Row],[Ordering Cost]]</f>
        <v>240.8</v>
      </c>
    </row>
    <row r="300" spans="1:28" x14ac:dyDescent="0.35">
      <c r="A300" s="5" t="s">
        <v>600</v>
      </c>
      <c r="B300" s="3" t="s">
        <v>32</v>
      </c>
      <c r="C300" s="3" t="s">
        <v>334</v>
      </c>
      <c r="D300" s="3" t="s">
        <v>1224</v>
      </c>
      <c r="E300" s="3" t="s">
        <v>56</v>
      </c>
      <c r="F300" s="3" t="s">
        <v>1225</v>
      </c>
      <c r="G300" s="3" t="s">
        <v>1226</v>
      </c>
      <c r="H300" s="43">
        <v>45607</v>
      </c>
      <c r="I300" s="43">
        <v>45484</v>
      </c>
      <c r="J300" s="47" t="str">
        <f>IF(GroDB[[#This Row],[Last_Order_Date]]&lt;=GroDB[[#This Row],[Date_Received]], "Yes", "No")</f>
        <v>Yes</v>
      </c>
      <c r="K300" s="43">
        <f>IF(GroDB[[#This Row],[Column1]]="No",GroDB[[#This Row],[Last_Order_Date]],GroDB[[#This Row],[Date_Received]])</f>
        <v>45607</v>
      </c>
      <c r="L300" s="43">
        <f>IF(GroDB[[#This Row],[Column1]]="No",GroDB[[#This Row],[Date_Received]],GroDB[[#This Row],[Last_Order_Date]])</f>
        <v>45484</v>
      </c>
      <c r="M300" s="45">
        <f>GroDB[[#This Row],[Date_Received1]]-GroDB[[#This Row],[Procurement_Date]]</f>
        <v>123</v>
      </c>
      <c r="N300" s="43">
        <v>45379</v>
      </c>
      <c r="O300" s="91">
        <f>GroDB[[#This Row],[Expiration_Date]]-GroDB[[#This Row],[Date_Received1]]</f>
        <v>-228</v>
      </c>
      <c r="P300" s="4">
        <v>2</v>
      </c>
      <c r="Q300" s="3">
        <v>70</v>
      </c>
      <c r="R300" s="3">
        <v>66</v>
      </c>
      <c r="S300" s="3">
        <v>74</v>
      </c>
      <c r="T300" s="4">
        <v>2.5</v>
      </c>
      <c r="U300" s="3">
        <v>47</v>
      </c>
      <c r="V300" s="51">
        <f>IF(GroDB[[#This Row],[LeadTime]]=0,GroDB[[#This Row],[Sales_Volume]],GroDB[[#This Row],[Sales_Volume]]/GroDB[[#This Row],[LeadTime]])</f>
        <v>0.38211382113821141</v>
      </c>
      <c r="W300" s="51">
        <f>_xlfn.STDEV.S(GroDB[Daily Sales])</f>
        <v>5.1999899792654221</v>
      </c>
      <c r="X300" s="3">
        <v>77</v>
      </c>
      <c r="Y300" s="7">
        <v>7.0000000000000007E-2</v>
      </c>
      <c r="Z300" s="4">
        <f>GroDB[[#This Row],[Unit_Price]]*GroDB[[#This Row],[Sales_Volume]]</f>
        <v>117.5</v>
      </c>
      <c r="AA300" s="22">
        <f>GroDB[[#This Row],[ADU]]/GroDB[[#Totals],[ADU]]</f>
        <v>3.4130253945936615E-4</v>
      </c>
      <c r="AB300" s="1">
        <f>GroDB[[#This Row],[Sales_Volume]]*GroDB[[#This Row],[Ordering Cost]]</f>
        <v>94</v>
      </c>
    </row>
    <row r="301" spans="1:28" x14ac:dyDescent="0.35">
      <c r="A301" s="5" t="s">
        <v>517</v>
      </c>
      <c r="B301" s="3" t="s">
        <v>127</v>
      </c>
      <c r="C301" s="3" t="s">
        <v>1050</v>
      </c>
      <c r="D301" s="3" t="s">
        <v>1227</v>
      </c>
      <c r="E301" s="3" t="s">
        <v>28</v>
      </c>
      <c r="F301" s="3" t="s">
        <v>1228</v>
      </c>
      <c r="G301" s="3" t="s">
        <v>1229</v>
      </c>
      <c r="H301" s="43">
        <v>45637</v>
      </c>
      <c r="I301" s="43">
        <v>45511</v>
      </c>
      <c r="J301" s="47" t="str">
        <f>IF(GroDB[[#This Row],[Last_Order_Date]]&lt;=GroDB[[#This Row],[Date_Received]], "Yes", "No")</f>
        <v>Yes</v>
      </c>
      <c r="K301" s="43">
        <f>IF(GroDB[[#This Row],[Column1]]="No",GroDB[[#This Row],[Last_Order_Date]],GroDB[[#This Row],[Date_Received]])</f>
        <v>45637</v>
      </c>
      <c r="L301" s="43">
        <f>IF(GroDB[[#This Row],[Column1]]="No",GroDB[[#This Row],[Date_Received]],GroDB[[#This Row],[Last_Order_Date]])</f>
        <v>45511</v>
      </c>
      <c r="M301" s="45">
        <f>GroDB[[#This Row],[Date_Received1]]-GroDB[[#This Row],[Procurement_Date]]</f>
        <v>126</v>
      </c>
      <c r="N301" s="43">
        <v>45430</v>
      </c>
      <c r="O301" s="91">
        <f>GroDB[[#This Row],[Expiration_Date]]-GroDB[[#This Row],[Date_Received1]]</f>
        <v>-207</v>
      </c>
      <c r="P301" s="4">
        <v>20</v>
      </c>
      <c r="Q301" s="3">
        <v>36</v>
      </c>
      <c r="R301" s="3">
        <v>90</v>
      </c>
      <c r="S301" s="3">
        <v>57</v>
      </c>
      <c r="T301" s="4">
        <v>25</v>
      </c>
      <c r="U301" s="3">
        <v>35</v>
      </c>
      <c r="V301" s="51">
        <f>IF(GroDB[[#This Row],[LeadTime]]=0,GroDB[[#This Row],[Sales_Volume]],GroDB[[#This Row],[Sales_Volume]]/GroDB[[#This Row],[LeadTime]])</f>
        <v>0.27777777777777779</v>
      </c>
      <c r="W301" s="51">
        <f>_xlfn.STDEV.S(GroDB[Daily Sales])</f>
        <v>5.1999899792654221</v>
      </c>
      <c r="X301" s="3">
        <v>68</v>
      </c>
      <c r="Y301" s="7">
        <v>-0.64</v>
      </c>
      <c r="Z301" s="4">
        <f>GroDB[[#This Row],[Unit_Price]]*GroDB[[#This Row],[Sales_Volume]]</f>
        <v>875</v>
      </c>
      <c r="AA301" s="22">
        <f>GroDB[[#This Row],[ADU]]/GroDB[[#Totals],[ADU]]</f>
        <v>2.5416146555484716E-3</v>
      </c>
      <c r="AB301" s="1">
        <f>GroDB[[#This Row],[Sales_Volume]]*GroDB[[#This Row],[Ordering Cost]]</f>
        <v>700</v>
      </c>
    </row>
    <row r="302" spans="1:28" x14ac:dyDescent="0.35">
      <c r="A302" s="5" t="s">
        <v>397</v>
      </c>
      <c r="B302" s="3" t="s">
        <v>25</v>
      </c>
      <c r="C302" s="3" t="s">
        <v>926</v>
      </c>
      <c r="D302" s="3" t="s">
        <v>1230</v>
      </c>
      <c r="E302" s="3" t="s">
        <v>21</v>
      </c>
      <c r="F302" s="3" t="s">
        <v>1231</v>
      </c>
      <c r="G302" s="3" t="s">
        <v>1232</v>
      </c>
      <c r="H302" s="43">
        <v>45637</v>
      </c>
      <c r="I302" s="43">
        <v>45593</v>
      </c>
      <c r="J302" s="47" t="str">
        <f>IF(GroDB[[#This Row],[Last_Order_Date]]&lt;=GroDB[[#This Row],[Date_Received]], "Yes", "No")</f>
        <v>Yes</v>
      </c>
      <c r="K302" s="43">
        <f>IF(GroDB[[#This Row],[Column1]]="No",GroDB[[#This Row],[Last_Order_Date]],GroDB[[#This Row],[Date_Received]])</f>
        <v>45637</v>
      </c>
      <c r="L302" s="43">
        <f>IF(GroDB[[#This Row],[Column1]]="No",GroDB[[#This Row],[Date_Received]],GroDB[[#This Row],[Last_Order_Date]])</f>
        <v>45593</v>
      </c>
      <c r="M302" s="45">
        <f>GroDB[[#This Row],[Date_Received1]]-GroDB[[#This Row],[Procurement_Date]]</f>
        <v>44</v>
      </c>
      <c r="N302" s="43">
        <v>45635</v>
      </c>
      <c r="O302" s="91">
        <f>GroDB[[#This Row],[Expiration_Date]]-GroDB[[#This Row],[Date_Received1]]</f>
        <v>-2</v>
      </c>
      <c r="P302" s="4">
        <v>2</v>
      </c>
      <c r="Q302" s="3">
        <v>88</v>
      </c>
      <c r="R302" s="3">
        <v>100</v>
      </c>
      <c r="S302" s="3">
        <v>17</v>
      </c>
      <c r="T302" s="4">
        <v>2.5</v>
      </c>
      <c r="U302" s="3">
        <v>25</v>
      </c>
      <c r="V302" s="51">
        <f>IF(GroDB[[#This Row],[LeadTime]]=0,GroDB[[#This Row],[Sales_Volume]],GroDB[[#This Row],[Sales_Volume]]/GroDB[[#This Row],[LeadTime]])</f>
        <v>0.56818181818181823</v>
      </c>
      <c r="W302" s="51">
        <f>_xlfn.STDEV.S(GroDB[Daily Sales])</f>
        <v>5.1999899792654221</v>
      </c>
      <c r="X302" s="3">
        <v>28</v>
      </c>
      <c r="Y302" s="7">
        <v>-0.94</v>
      </c>
      <c r="Z302" s="4">
        <f>GroDB[[#This Row],[Unit_Price]]*GroDB[[#This Row],[Sales_Volume]]</f>
        <v>62.5</v>
      </c>
      <c r="AA302" s="22">
        <f>GroDB[[#This Row],[ADU]]/GroDB[[#Totals],[ADU]]</f>
        <v>1.8154390396774798E-4</v>
      </c>
      <c r="AB302" s="1">
        <f>GroDB[[#This Row],[Sales_Volume]]*GroDB[[#This Row],[Ordering Cost]]</f>
        <v>50</v>
      </c>
    </row>
    <row r="303" spans="1:28" x14ac:dyDescent="0.35">
      <c r="A303" s="5" t="s">
        <v>85</v>
      </c>
      <c r="B303" s="3" t="s">
        <v>18</v>
      </c>
      <c r="C303" s="3" t="s">
        <v>294</v>
      </c>
      <c r="D303" s="3" t="s">
        <v>1233</v>
      </c>
      <c r="E303" s="3" t="s">
        <v>28</v>
      </c>
      <c r="F303" s="3" t="s">
        <v>1234</v>
      </c>
      <c r="G303" s="3" t="s">
        <v>1235</v>
      </c>
      <c r="H303" s="43">
        <v>45637</v>
      </c>
      <c r="I303" s="43">
        <v>45521</v>
      </c>
      <c r="J303" s="47" t="str">
        <f>IF(GroDB[[#This Row],[Last_Order_Date]]&lt;=GroDB[[#This Row],[Date_Received]], "Yes", "No")</f>
        <v>Yes</v>
      </c>
      <c r="K303" s="43">
        <f>IF(GroDB[[#This Row],[Column1]]="No",GroDB[[#This Row],[Last_Order_Date]],GroDB[[#This Row],[Date_Received]])</f>
        <v>45637</v>
      </c>
      <c r="L303" s="43">
        <f>IF(GroDB[[#This Row],[Column1]]="No",GroDB[[#This Row],[Date_Received]],GroDB[[#This Row],[Last_Order_Date]])</f>
        <v>45521</v>
      </c>
      <c r="M303" s="45">
        <f>GroDB[[#This Row],[Date_Received1]]-GroDB[[#This Row],[Procurement_Date]]</f>
        <v>116</v>
      </c>
      <c r="N303" s="43">
        <v>45533</v>
      </c>
      <c r="O303" s="91">
        <f>GroDB[[#This Row],[Expiration_Date]]-GroDB[[#This Row],[Date_Received1]]</f>
        <v>-104</v>
      </c>
      <c r="P303" s="4">
        <v>2.4000000000000004</v>
      </c>
      <c r="Q303" s="3">
        <v>75</v>
      </c>
      <c r="R303" s="3">
        <v>48</v>
      </c>
      <c r="S303" s="3">
        <v>25</v>
      </c>
      <c r="T303" s="4">
        <v>3</v>
      </c>
      <c r="U303" s="3">
        <v>96</v>
      </c>
      <c r="V303" s="51">
        <f>IF(GroDB[[#This Row],[LeadTime]]=0,GroDB[[#This Row],[Sales_Volume]],GroDB[[#This Row],[Sales_Volume]]/GroDB[[#This Row],[LeadTime]])</f>
        <v>0.82758620689655171</v>
      </c>
      <c r="W303" s="51">
        <f>_xlfn.STDEV.S(GroDB[Daily Sales])</f>
        <v>5.1999899792654221</v>
      </c>
      <c r="X303" s="3">
        <v>65</v>
      </c>
      <c r="Y303" s="7">
        <v>-0.12</v>
      </c>
      <c r="Z303" s="4">
        <f>GroDB[[#This Row],[Unit_Price]]*GroDB[[#This Row],[Sales_Volume]]</f>
        <v>288</v>
      </c>
      <c r="AA303" s="22">
        <f>GroDB[[#This Row],[ADU]]/GroDB[[#Totals],[ADU]]</f>
        <v>8.3655430948338259E-4</v>
      </c>
      <c r="AB303" s="1">
        <f>GroDB[[#This Row],[Sales_Volume]]*GroDB[[#This Row],[Ordering Cost]]</f>
        <v>230.40000000000003</v>
      </c>
    </row>
    <row r="304" spans="1:28" x14ac:dyDescent="0.35">
      <c r="A304" s="5" t="s">
        <v>156</v>
      </c>
      <c r="B304" s="3" t="s">
        <v>127</v>
      </c>
      <c r="C304" s="3" t="s">
        <v>1236</v>
      </c>
      <c r="D304" s="3" t="s">
        <v>1237</v>
      </c>
      <c r="E304" s="3" t="s">
        <v>56</v>
      </c>
      <c r="F304" s="3" t="s">
        <v>1238</v>
      </c>
      <c r="G304" s="3" t="s">
        <v>1239</v>
      </c>
      <c r="H304" s="43">
        <v>45363</v>
      </c>
      <c r="I304" s="43">
        <v>45700</v>
      </c>
      <c r="J304" s="47" t="str">
        <f>IF(GroDB[[#This Row],[Last_Order_Date]]&lt;=GroDB[[#This Row],[Date_Received]], "Yes", "No")</f>
        <v>No</v>
      </c>
      <c r="K304" s="43">
        <f>IF(GroDB[[#This Row],[Column1]]="No",GroDB[[#This Row],[Last_Order_Date]],GroDB[[#This Row],[Date_Received]])</f>
        <v>45700</v>
      </c>
      <c r="L304" s="43">
        <f>IF(GroDB[[#This Row],[Column1]]="No",GroDB[[#This Row],[Date_Received]],GroDB[[#This Row],[Last_Order_Date]])</f>
        <v>45363</v>
      </c>
      <c r="M304" s="45">
        <f>GroDB[[#This Row],[Date_Received1]]-GroDB[[#This Row],[Procurement_Date]]</f>
        <v>337</v>
      </c>
      <c r="N304" s="43">
        <v>45624</v>
      </c>
      <c r="O304" s="91">
        <f>GroDB[[#This Row],[Expiration_Date]]-GroDB[[#This Row],[Date_Received1]]</f>
        <v>-76</v>
      </c>
      <c r="P304" s="4">
        <v>9.6000000000000014</v>
      </c>
      <c r="Q304" s="3">
        <v>62</v>
      </c>
      <c r="R304" s="3">
        <v>89</v>
      </c>
      <c r="S304" s="3">
        <v>18</v>
      </c>
      <c r="T304" s="4">
        <v>12</v>
      </c>
      <c r="U304" s="3">
        <v>35</v>
      </c>
      <c r="V304" s="51">
        <f>IF(GroDB[[#This Row],[LeadTime]]=0,GroDB[[#This Row],[Sales_Volume]],GroDB[[#This Row],[Sales_Volume]]/GroDB[[#This Row],[LeadTime]])</f>
        <v>0.10385756676557864</v>
      </c>
      <c r="W304" s="51">
        <f>_xlfn.STDEV.S(GroDB[Daily Sales])</f>
        <v>5.1999899792654221</v>
      </c>
      <c r="X304" s="3">
        <v>36</v>
      </c>
      <c r="Y304" s="7">
        <v>0.32</v>
      </c>
      <c r="Z304" s="4">
        <f>GroDB[[#This Row],[Unit_Price]]*GroDB[[#This Row],[Sales_Volume]]</f>
        <v>420</v>
      </c>
      <c r="AA304" s="22">
        <f>GroDB[[#This Row],[ADU]]/GroDB[[#Totals],[ADU]]</f>
        <v>1.2199750346632663E-3</v>
      </c>
      <c r="AB304" s="1">
        <f>GroDB[[#This Row],[Sales_Volume]]*GroDB[[#This Row],[Ordering Cost]]</f>
        <v>336.00000000000006</v>
      </c>
    </row>
    <row r="305" spans="1:28" x14ac:dyDescent="0.35">
      <c r="A305" s="5" t="s">
        <v>96</v>
      </c>
      <c r="B305" s="3" t="s">
        <v>18</v>
      </c>
      <c r="C305" s="3" t="s">
        <v>138</v>
      </c>
      <c r="D305" s="3" t="s">
        <v>1240</v>
      </c>
      <c r="E305" s="3" t="s">
        <v>28</v>
      </c>
      <c r="F305" s="3" t="s">
        <v>1241</v>
      </c>
      <c r="G305" s="3" t="s">
        <v>1242</v>
      </c>
      <c r="H305" s="43">
        <v>45363</v>
      </c>
      <c r="I305" s="43">
        <v>45515</v>
      </c>
      <c r="J305" s="47" t="str">
        <f>IF(GroDB[[#This Row],[Last_Order_Date]]&lt;=GroDB[[#This Row],[Date_Received]], "Yes", "No")</f>
        <v>No</v>
      </c>
      <c r="K305" s="43">
        <f>IF(GroDB[[#This Row],[Column1]]="No",GroDB[[#This Row],[Last_Order_Date]],GroDB[[#This Row],[Date_Received]])</f>
        <v>45515</v>
      </c>
      <c r="L305" s="43">
        <f>IF(GroDB[[#This Row],[Column1]]="No",GroDB[[#This Row],[Date_Received]],GroDB[[#This Row],[Last_Order_Date]])</f>
        <v>45363</v>
      </c>
      <c r="M305" s="45">
        <f>GroDB[[#This Row],[Date_Received1]]-GroDB[[#This Row],[Procurement_Date]]</f>
        <v>152</v>
      </c>
      <c r="N305" s="43">
        <v>45455</v>
      </c>
      <c r="O305" s="91">
        <f>GroDB[[#This Row],[Expiration_Date]]-GroDB[[#This Row],[Date_Received1]]</f>
        <v>-60</v>
      </c>
      <c r="P305" s="4">
        <v>1.9600000000000002</v>
      </c>
      <c r="Q305" s="3">
        <v>19</v>
      </c>
      <c r="R305" s="3">
        <v>73</v>
      </c>
      <c r="S305" s="3">
        <v>60</v>
      </c>
      <c r="T305" s="4">
        <v>2.4500000000000002</v>
      </c>
      <c r="U305" s="3">
        <v>70</v>
      </c>
      <c r="V305" s="51">
        <f>IF(GroDB[[#This Row],[LeadTime]]=0,GroDB[[#This Row],[Sales_Volume]],GroDB[[#This Row],[Sales_Volume]]/GroDB[[#This Row],[LeadTime]])</f>
        <v>0.46052631578947367</v>
      </c>
      <c r="W305" s="51">
        <f>_xlfn.STDEV.S(GroDB[Daily Sales])</f>
        <v>5.1999899792654221</v>
      </c>
      <c r="X305" s="3">
        <v>48</v>
      </c>
      <c r="Y305" s="7">
        <v>-0.03</v>
      </c>
      <c r="Z305" s="4">
        <f>GroDB[[#This Row],[Unit_Price]]*GroDB[[#This Row],[Sales_Volume]]</f>
        <v>171.5</v>
      </c>
      <c r="AA305" s="22">
        <f>GroDB[[#This Row],[ADU]]/GroDB[[#Totals],[ADU]]</f>
        <v>4.9815647248750044E-4</v>
      </c>
      <c r="AB305" s="1">
        <f>GroDB[[#This Row],[Sales_Volume]]*GroDB[[#This Row],[Ordering Cost]]</f>
        <v>137.20000000000002</v>
      </c>
    </row>
    <row r="306" spans="1:28" x14ac:dyDescent="0.35">
      <c r="A306" s="5" t="s">
        <v>549</v>
      </c>
      <c r="B306" s="3" t="s">
        <v>32</v>
      </c>
      <c r="C306" s="3" t="s">
        <v>985</v>
      </c>
      <c r="D306" s="3" t="s">
        <v>1243</v>
      </c>
      <c r="E306" s="3" t="s">
        <v>21</v>
      </c>
      <c r="F306" s="3" t="s">
        <v>1244</v>
      </c>
      <c r="G306" s="3" t="s">
        <v>1245</v>
      </c>
      <c r="H306" s="43">
        <v>45394</v>
      </c>
      <c r="I306" s="43">
        <v>45676</v>
      </c>
      <c r="J306" s="47" t="str">
        <f>IF(GroDB[[#This Row],[Last_Order_Date]]&lt;=GroDB[[#This Row],[Date_Received]], "Yes", "No")</f>
        <v>No</v>
      </c>
      <c r="K306" s="43">
        <f>IF(GroDB[[#This Row],[Column1]]="No",GroDB[[#This Row],[Last_Order_Date]],GroDB[[#This Row],[Date_Received]])</f>
        <v>45676</v>
      </c>
      <c r="L306" s="43">
        <f>IF(GroDB[[#This Row],[Column1]]="No",GroDB[[#This Row],[Date_Received]],GroDB[[#This Row],[Last_Order_Date]])</f>
        <v>45394</v>
      </c>
      <c r="M306" s="45">
        <f>GroDB[[#This Row],[Date_Received1]]-GroDB[[#This Row],[Procurement_Date]]</f>
        <v>282</v>
      </c>
      <c r="N306" s="43">
        <v>45477</v>
      </c>
      <c r="O306" s="91">
        <f>GroDB[[#This Row],[Expiration_Date]]-GroDB[[#This Row],[Date_Received1]]</f>
        <v>-199</v>
      </c>
      <c r="P306" s="4">
        <v>2</v>
      </c>
      <c r="Q306" s="3">
        <v>35</v>
      </c>
      <c r="R306" s="3">
        <v>78</v>
      </c>
      <c r="S306" s="3">
        <v>68</v>
      </c>
      <c r="T306" s="4">
        <v>2.5</v>
      </c>
      <c r="U306" s="3">
        <v>95</v>
      </c>
      <c r="V306" s="51">
        <f>IF(GroDB[[#This Row],[LeadTime]]=0,GroDB[[#This Row],[Sales_Volume]],GroDB[[#This Row],[Sales_Volume]]/GroDB[[#This Row],[LeadTime]])</f>
        <v>0.33687943262411346</v>
      </c>
      <c r="W306" s="51">
        <f>_xlfn.STDEV.S(GroDB[Daily Sales])</f>
        <v>5.1999899792654221</v>
      </c>
      <c r="X306" s="3">
        <v>91</v>
      </c>
      <c r="Y306" s="7">
        <v>0.31</v>
      </c>
      <c r="Z306" s="4">
        <f>GroDB[[#This Row],[Unit_Price]]*GroDB[[#This Row],[Sales_Volume]]</f>
        <v>237.5</v>
      </c>
      <c r="AA306" s="22">
        <f>GroDB[[#This Row],[ADU]]/GroDB[[#Totals],[ADU]]</f>
        <v>6.8986683507744223E-4</v>
      </c>
      <c r="AB306" s="1">
        <f>GroDB[[#This Row],[Sales_Volume]]*GroDB[[#This Row],[Ordering Cost]]</f>
        <v>190</v>
      </c>
    </row>
    <row r="307" spans="1:28" x14ac:dyDescent="0.35">
      <c r="A307" s="5" t="s">
        <v>1085</v>
      </c>
      <c r="B307" s="3" t="s">
        <v>32</v>
      </c>
      <c r="C307" s="3" t="s">
        <v>364</v>
      </c>
      <c r="D307" s="3" t="s">
        <v>1246</v>
      </c>
      <c r="E307" s="3" t="s">
        <v>28</v>
      </c>
      <c r="F307" s="3" t="s">
        <v>1247</v>
      </c>
      <c r="G307" s="3" t="s">
        <v>1248</v>
      </c>
      <c r="H307" s="43">
        <v>45424</v>
      </c>
      <c r="I307" s="43">
        <v>45527</v>
      </c>
      <c r="J307" s="47" t="str">
        <f>IF(GroDB[[#This Row],[Last_Order_Date]]&lt;=GroDB[[#This Row],[Date_Received]], "Yes", "No")</f>
        <v>No</v>
      </c>
      <c r="K307" s="43">
        <f>IF(GroDB[[#This Row],[Column1]]="No",GroDB[[#This Row],[Last_Order_Date]],GroDB[[#This Row],[Date_Received]])</f>
        <v>45527</v>
      </c>
      <c r="L307" s="43">
        <f>IF(GroDB[[#This Row],[Column1]]="No",GroDB[[#This Row],[Date_Received]],GroDB[[#This Row],[Last_Order_Date]])</f>
        <v>45424</v>
      </c>
      <c r="M307" s="45">
        <f>GroDB[[#This Row],[Date_Received1]]-GroDB[[#This Row],[Procurement_Date]]</f>
        <v>103</v>
      </c>
      <c r="N307" s="43">
        <v>45429</v>
      </c>
      <c r="O307" s="91">
        <f>GroDB[[#This Row],[Expiration_Date]]-GroDB[[#This Row],[Date_Received1]]</f>
        <v>-98</v>
      </c>
      <c r="P307" s="4">
        <v>6.4</v>
      </c>
      <c r="Q307" s="3">
        <v>50</v>
      </c>
      <c r="R307" s="3">
        <v>99</v>
      </c>
      <c r="S307" s="3">
        <v>73</v>
      </c>
      <c r="T307" s="4">
        <v>8</v>
      </c>
      <c r="U307" s="3">
        <v>42</v>
      </c>
      <c r="V307" s="51">
        <f>IF(GroDB[[#This Row],[LeadTime]]=0,GroDB[[#This Row],[Sales_Volume]],GroDB[[#This Row],[Sales_Volume]]/GroDB[[#This Row],[LeadTime]])</f>
        <v>0.40776699029126212</v>
      </c>
      <c r="W307" s="51">
        <f>_xlfn.STDEV.S(GroDB[Daily Sales])</f>
        <v>5.1999899792654221</v>
      </c>
      <c r="X307" s="3">
        <v>1</v>
      </c>
      <c r="Y307" s="7">
        <v>0.04</v>
      </c>
      <c r="Z307" s="4">
        <f>GroDB[[#This Row],[Unit_Price]]*GroDB[[#This Row],[Sales_Volume]]</f>
        <v>336</v>
      </c>
      <c r="AA307" s="22">
        <f>GroDB[[#This Row],[ADU]]/GroDB[[#Totals],[ADU]]</f>
        <v>9.7598002773061304E-4</v>
      </c>
      <c r="AB307" s="1">
        <f>GroDB[[#This Row],[Sales_Volume]]*GroDB[[#This Row],[Ordering Cost]]</f>
        <v>268.8</v>
      </c>
    </row>
    <row r="308" spans="1:28" x14ac:dyDescent="0.35">
      <c r="A308" s="5" t="s">
        <v>632</v>
      </c>
      <c r="B308" s="3" t="s">
        <v>60</v>
      </c>
      <c r="C308" s="3" t="s">
        <v>1249</v>
      </c>
      <c r="D308" s="3" t="s">
        <v>1250</v>
      </c>
      <c r="E308" s="3" t="s">
        <v>21</v>
      </c>
      <c r="F308" s="3" t="s">
        <v>1251</v>
      </c>
      <c r="G308" s="3" t="s">
        <v>1252</v>
      </c>
      <c r="H308" s="43">
        <v>45424</v>
      </c>
      <c r="I308" s="43">
        <v>45568</v>
      </c>
      <c r="J308" s="47" t="str">
        <f>IF(GroDB[[#This Row],[Last_Order_Date]]&lt;=GroDB[[#This Row],[Date_Received]], "Yes", "No")</f>
        <v>No</v>
      </c>
      <c r="K308" s="43">
        <f>IF(GroDB[[#This Row],[Column1]]="No",GroDB[[#This Row],[Last_Order_Date]],GroDB[[#This Row],[Date_Received]])</f>
        <v>45568</v>
      </c>
      <c r="L308" s="43">
        <f>IF(GroDB[[#This Row],[Column1]]="No",GroDB[[#This Row],[Date_Received]],GroDB[[#This Row],[Last_Order_Date]])</f>
        <v>45424</v>
      </c>
      <c r="M308" s="45">
        <f>GroDB[[#This Row],[Date_Received1]]-GroDB[[#This Row],[Procurement_Date]]</f>
        <v>144</v>
      </c>
      <c r="N308" s="43">
        <v>45442</v>
      </c>
      <c r="O308" s="91">
        <f>GroDB[[#This Row],[Expiration_Date]]-GroDB[[#This Row],[Date_Received1]]</f>
        <v>-126</v>
      </c>
      <c r="P308" s="4">
        <v>6.4</v>
      </c>
      <c r="Q308" s="3">
        <v>65</v>
      </c>
      <c r="R308" s="3">
        <v>79</v>
      </c>
      <c r="S308" s="3">
        <v>52</v>
      </c>
      <c r="T308" s="4">
        <v>8</v>
      </c>
      <c r="U308" s="3">
        <v>56</v>
      </c>
      <c r="V308" s="51">
        <f>IF(GroDB[[#This Row],[LeadTime]]=0,GroDB[[#This Row],[Sales_Volume]],GroDB[[#This Row],[Sales_Volume]]/GroDB[[#This Row],[LeadTime]])</f>
        <v>0.3888888888888889</v>
      </c>
      <c r="W308" s="51">
        <f>_xlfn.STDEV.S(GroDB[Daily Sales])</f>
        <v>5.1999899792654221</v>
      </c>
      <c r="X308" s="3">
        <v>94</v>
      </c>
      <c r="Y308" s="7">
        <v>0.98</v>
      </c>
      <c r="Z308" s="4">
        <f>GroDB[[#This Row],[Unit_Price]]*GroDB[[#This Row],[Sales_Volume]]</f>
        <v>448</v>
      </c>
      <c r="AA308" s="22">
        <f>GroDB[[#This Row],[ADU]]/GroDB[[#Totals],[ADU]]</f>
        <v>1.3013067036408174E-3</v>
      </c>
      <c r="AB308" s="1">
        <f>GroDB[[#This Row],[Sales_Volume]]*GroDB[[#This Row],[Ordering Cost]]</f>
        <v>358.40000000000003</v>
      </c>
    </row>
    <row r="309" spans="1:28" x14ac:dyDescent="0.35">
      <c r="A309" s="5" t="s">
        <v>508</v>
      </c>
      <c r="B309" s="3" t="s">
        <v>127</v>
      </c>
      <c r="C309" s="3" t="s">
        <v>1253</v>
      </c>
      <c r="D309" s="3" t="s">
        <v>1254</v>
      </c>
      <c r="E309" s="3" t="s">
        <v>56</v>
      </c>
      <c r="F309" s="3" t="s">
        <v>1255</v>
      </c>
      <c r="G309" s="3" t="s">
        <v>1256</v>
      </c>
      <c r="H309" s="43">
        <v>45424</v>
      </c>
      <c r="I309" s="43">
        <v>45413</v>
      </c>
      <c r="J309" s="47" t="str">
        <f>IF(GroDB[[#This Row],[Last_Order_Date]]&lt;=GroDB[[#This Row],[Date_Received]], "Yes", "No")</f>
        <v>Yes</v>
      </c>
      <c r="K309" s="43">
        <f>IF(GroDB[[#This Row],[Column1]]="No",GroDB[[#This Row],[Last_Order_Date]],GroDB[[#This Row],[Date_Received]])</f>
        <v>45424</v>
      </c>
      <c r="L309" s="43">
        <f>IF(GroDB[[#This Row],[Column1]]="No",GroDB[[#This Row],[Date_Received]],GroDB[[#This Row],[Last_Order_Date]])</f>
        <v>45413</v>
      </c>
      <c r="M309" s="45">
        <f>GroDB[[#This Row],[Date_Received1]]-GroDB[[#This Row],[Procurement_Date]]</f>
        <v>11</v>
      </c>
      <c r="N309" s="43">
        <v>45467</v>
      </c>
      <c r="O309" s="91">
        <f>GroDB[[#This Row],[Expiration_Date]]-GroDB[[#This Row],[Date_Received1]]</f>
        <v>43</v>
      </c>
      <c r="P309" s="4">
        <v>4.24</v>
      </c>
      <c r="Q309" s="3">
        <v>18</v>
      </c>
      <c r="R309" s="3">
        <v>36</v>
      </c>
      <c r="S309" s="3">
        <v>53</v>
      </c>
      <c r="T309" s="4">
        <v>5.3</v>
      </c>
      <c r="U309" s="3">
        <v>65</v>
      </c>
      <c r="V309" s="51">
        <f>IF(GroDB[[#This Row],[LeadTime]]=0,GroDB[[#This Row],[Sales_Volume]],GroDB[[#This Row],[Sales_Volume]]/GroDB[[#This Row],[LeadTime]])</f>
        <v>5.9090909090909092</v>
      </c>
      <c r="W309" s="51">
        <f>_xlfn.STDEV.S(GroDB[Daily Sales])</f>
        <v>5.1999899792654221</v>
      </c>
      <c r="X309" s="3">
        <v>100</v>
      </c>
      <c r="Y309" s="7">
        <v>-0.68</v>
      </c>
      <c r="Z309" s="4">
        <f>GroDB[[#This Row],[Unit_Price]]*GroDB[[#This Row],[Sales_Volume]]</f>
        <v>344.5</v>
      </c>
      <c r="AA309" s="22">
        <f>GroDB[[#This Row],[ADU]]/GroDB[[#Totals],[ADU]]</f>
        <v>1.0006699986702268E-3</v>
      </c>
      <c r="AB309" s="1">
        <f>GroDB[[#This Row],[Sales_Volume]]*GroDB[[#This Row],[Ordering Cost]]</f>
        <v>275.60000000000002</v>
      </c>
    </row>
    <row r="310" spans="1:28" x14ac:dyDescent="0.35">
      <c r="A310" s="5" t="s">
        <v>1257</v>
      </c>
      <c r="B310" s="3" t="s">
        <v>91</v>
      </c>
      <c r="C310" s="3" t="s">
        <v>721</v>
      </c>
      <c r="D310" s="3" t="s">
        <v>1258</v>
      </c>
      <c r="E310" s="3" t="s">
        <v>21</v>
      </c>
      <c r="F310" s="3" t="s">
        <v>1259</v>
      </c>
      <c r="G310" s="3" t="s">
        <v>1260</v>
      </c>
      <c r="H310" s="43">
        <v>45424</v>
      </c>
      <c r="I310" s="43">
        <v>45468</v>
      </c>
      <c r="J310" s="47" t="str">
        <f>IF(GroDB[[#This Row],[Last_Order_Date]]&lt;=GroDB[[#This Row],[Date_Received]], "Yes", "No")</f>
        <v>No</v>
      </c>
      <c r="K310" s="43">
        <f>IF(GroDB[[#This Row],[Column1]]="No",GroDB[[#This Row],[Last_Order_Date]],GroDB[[#This Row],[Date_Received]])</f>
        <v>45468</v>
      </c>
      <c r="L310" s="43">
        <f>IF(GroDB[[#This Row],[Column1]]="No",GroDB[[#This Row],[Date_Received]],GroDB[[#This Row],[Last_Order_Date]])</f>
        <v>45424</v>
      </c>
      <c r="M310" s="45">
        <f>GroDB[[#This Row],[Date_Received1]]-GroDB[[#This Row],[Procurement_Date]]</f>
        <v>44</v>
      </c>
      <c r="N310" s="43">
        <v>45518</v>
      </c>
      <c r="O310" s="91">
        <f>GroDB[[#This Row],[Expiration_Date]]-GroDB[[#This Row],[Date_Received1]]</f>
        <v>50</v>
      </c>
      <c r="P310" s="4">
        <v>4.4000000000000004</v>
      </c>
      <c r="Q310" s="3">
        <v>89</v>
      </c>
      <c r="R310" s="3">
        <v>22</v>
      </c>
      <c r="S310" s="3">
        <v>23</v>
      </c>
      <c r="T310" s="4">
        <v>5.5</v>
      </c>
      <c r="U310" s="3">
        <v>83</v>
      </c>
      <c r="V310" s="51">
        <f>IF(GroDB[[#This Row],[LeadTime]]=0,GroDB[[#This Row],[Sales_Volume]],GroDB[[#This Row],[Sales_Volume]]/GroDB[[#This Row],[LeadTime]])</f>
        <v>1.8863636363636365</v>
      </c>
      <c r="W310" s="51">
        <f>_xlfn.STDEV.S(GroDB[Daily Sales])</f>
        <v>5.1999899792654221</v>
      </c>
      <c r="X310" s="3">
        <v>25</v>
      </c>
      <c r="Y310" s="7">
        <v>-0.54</v>
      </c>
      <c r="Z310" s="4">
        <f>GroDB[[#This Row],[Unit_Price]]*GroDB[[#This Row],[Sales_Volume]]</f>
        <v>456.5</v>
      </c>
      <c r="AA310" s="22">
        <f>GroDB[[#This Row],[ADU]]/GroDB[[#Totals],[ADU]]</f>
        <v>1.3259966745804311E-3</v>
      </c>
      <c r="AB310" s="1">
        <f>GroDB[[#This Row],[Sales_Volume]]*GroDB[[#This Row],[Ordering Cost]]</f>
        <v>365.20000000000005</v>
      </c>
    </row>
    <row r="311" spans="1:28" x14ac:dyDescent="0.35">
      <c r="A311" s="5" t="s">
        <v>495</v>
      </c>
      <c r="B311" s="3" t="s">
        <v>18</v>
      </c>
      <c r="C311" s="3" t="s">
        <v>1261</v>
      </c>
      <c r="D311" s="3" t="s">
        <v>1262</v>
      </c>
      <c r="E311" s="3" t="s">
        <v>21</v>
      </c>
      <c r="F311" s="3" t="s">
        <v>1263</v>
      </c>
      <c r="G311" s="3" t="s">
        <v>1264</v>
      </c>
      <c r="H311" s="43">
        <v>45455</v>
      </c>
      <c r="I311" s="43">
        <v>45646</v>
      </c>
      <c r="J311" s="47" t="str">
        <f>IF(GroDB[[#This Row],[Last_Order_Date]]&lt;=GroDB[[#This Row],[Date_Received]], "Yes", "No")</f>
        <v>No</v>
      </c>
      <c r="K311" s="43">
        <f>IF(GroDB[[#This Row],[Column1]]="No",GroDB[[#This Row],[Last_Order_Date]],GroDB[[#This Row],[Date_Received]])</f>
        <v>45646</v>
      </c>
      <c r="L311" s="43">
        <f>IF(GroDB[[#This Row],[Column1]]="No",GroDB[[#This Row],[Date_Received]],GroDB[[#This Row],[Last_Order_Date]])</f>
        <v>45455</v>
      </c>
      <c r="M311" s="45">
        <f>GroDB[[#This Row],[Date_Received1]]-GroDB[[#This Row],[Procurement_Date]]</f>
        <v>191</v>
      </c>
      <c r="N311" s="43">
        <v>45543</v>
      </c>
      <c r="O311" s="91">
        <f>GroDB[[#This Row],[Expiration_Date]]-GroDB[[#This Row],[Date_Received1]]</f>
        <v>-103</v>
      </c>
      <c r="P311" s="4">
        <v>4.9600000000000009</v>
      </c>
      <c r="Q311" s="3">
        <v>34</v>
      </c>
      <c r="R311" s="3">
        <v>1</v>
      </c>
      <c r="S311" s="3">
        <v>79</v>
      </c>
      <c r="T311" s="4">
        <v>6.2</v>
      </c>
      <c r="U311" s="3">
        <v>58</v>
      </c>
      <c r="V311" s="51">
        <f>IF(GroDB[[#This Row],[LeadTime]]=0,GroDB[[#This Row],[Sales_Volume]],GroDB[[#This Row],[Sales_Volume]]/GroDB[[#This Row],[LeadTime]])</f>
        <v>0.30366492146596857</v>
      </c>
      <c r="W311" s="51">
        <f>_xlfn.STDEV.S(GroDB[Daily Sales])</f>
        <v>5.1999899792654221</v>
      </c>
      <c r="X311" s="3">
        <v>36</v>
      </c>
      <c r="Y311" s="7">
        <v>0.7</v>
      </c>
      <c r="Z311" s="4">
        <f>GroDB[[#This Row],[Unit_Price]]*GroDB[[#This Row],[Sales_Volume]]</f>
        <v>359.6</v>
      </c>
      <c r="AA311" s="22">
        <f>GroDB[[#This Row],[ADU]]/GroDB[[#Totals],[ADU]]</f>
        <v>1.0445310058688347E-3</v>
      </c>
      <c r="AB311" s="1">
        <f>GroDB[[#This Row],[Sales_Volume]]*GroDB[[#This Row],[Ordering Cost]]</f>
        <v>287.68000000000006</v>
      </c>
    </row>
    <row r="312" spans="1:28" x14ac:dyDescent="0.35">
      <c r="A312" s="5" t="s">
        <v>175</v>
      </c>
      <c r="B312" s="3" t="s">
        <v>53</v>
      </c>
      <c r="C312" s="3" t="s">
        <v>678</v>
      </c>
      <c r="D312" s="3" t="s">
        <v>1265</v>
      </c>
      <c r="E312" s="3" t="s">
        <v>56</v>
      </c>
      <c r="F312" s="3" t="s">
        <v>1266</v>
      </c>
      <c r="G312" s="3" t="s">
        <v>1267</v>
      </c>
      <c r="H312" s="43">
        <v>45455</v>
      </c>
      <c r="I312" s="43">
        <v>45558</v>
      </c>
      <c r="J312" s="47" t="str">
        <f>IF(GroDB[[#This Row],[Last_Order_Date]]&lt;=GroDB[[#This Row],[Date_Received]], "Yes", "No")</f>
        <v>No</v>
      </c>
      <c r="K312" s="43">
        <f>IF(GroDB[[#This Row],[Column1]]="No",GroDB[[#This Row],[Last_Order_Date]],GroDB[[#This Row],[Date_Received]])</f>
        <v>45558</v>
      </c>
      <c r="L312" s="43">
        <f>IF(GroDB[[#This Row],[Column1]]="No",GroDB[[#This Row],[Date_Received]],GroDB[[#This Row],[Last_Order_Date]])</f>
        <v>45455</v>
      </c>
      <c r="M312" s="45">
        <f>GroDB[[#This Row],[Date_Received1]]-GroDB[[#This Row],[Procurement_Date]]</f>
        <v>103</v>
      </c>
      <c r="N312" s="43">
        <v>45400</v>
      </c>
      <c r="O312" s="91">
        <f>GroDB[[#This Row],[Expiration_Date]]-GroDB[[#This Row],[Date_Received1]]</f>
        <v>-158</v>
      </c>
      <c r="P312" s="4">
        <v>1.2000000000000002</v>
      </c>
      <c r="Q312" s="3">
        <v>87</v>
      </c>
      <c r="R312" s="3">
        <v>97</v>
      </c>
      <c r="S312" s="3">
        <v>28</v>
      </c>
      <c r="T312" s="4">
        <v>1.5</v>
      </c>
      <c r="U312" s="3">
        <v>58</v>
      </c>
      <c r="V312" s="51">
        <f>IF(GroDB[[#This Row],[LeadTime]]=0,GroDB[[#This Row],[Sales_Volume]],GroDB[[#This Row],[Sales_Volume]]/GroDB[[#This Row],[LeadTime]])</f>
        <v>0.56310679611650483</v>
      </c>
      <c r="W312" s="51">
        <f>_xlfn.STDEV.S(GroDB[Daily Sales])</f>
        <v>5.1999899792654221</v>
      </c>
      <c r="X312" s="3">
        <v>21</v>
      </c>
      <c r="Y312" s="7">
        <v>0.38</v>
      </c>
      <c r="Z312" s="4">
        <f>GroDB[[#This Row],[Unit_Price]]*GroDB[[#This Row],[Sales_Volume]]</f>
        <v>87</v>
      </c>
      <c r="AA312" s="22">
        <f>GroDB[[#This Row],[ADU]]/GroDB[[#Totals],[ADU]]</f>
        <v>2.5270911432310518E-4</v>
      </c>
      <c r="AB312" s="1">
        <f>GroDB[[#This Row],[Sales_Volume]]*GroDB[[#This Row],[Ordering Cost]]</f>
        <v>69.600000000000009</v>
      </c>
    </row>
    <row r="313" spans="1:28" x14ac:dyDescent="0.35">
      <c r="A313" s="5" t="s">
        <v>707</v>
      </c>
      <c r="B313" s="3" t="s">
        <v>25</v>
      </c>
      <c r="C313" s="3" t="s">
        <v>259</v>
      </c>
      <c r="D313" s="3" t="s">
        <v>1268</v>
      </c>
      <c r="E313" s="3" t="s">
        <v>28</v>
      </c>
      <c r="F313" s="3" t="s">
        <v>1269</v>
      </c>
      <c r="G313" s="3" t="s">
        <v>1270</v>
      </c>
      <c r="H313" s="43">
        <v>45455</v>
      </c>
      <c r="I313" s="43">
        <v>45566</v>
      </c>
      <c r="J313" s="47" t="str">
        <f>IF(GroDB[[#This Row],[Last_Order_Date]]&lt;=GroDB[[#This Row],[Date_Received]], "Yes", "No")</f>
        <v>No</v>
      </c>
      <c r="K313" s="43">
        <f>IF(GroDB[[#This Row],[Column1]]="No",GroDB[[#This Row],[Last_Order_Date]],GroDB[[#This Row],[Date_Received]])</f>
        <v>45566</v>
      </c>
      <c r="L313" s="43">
        <f>IF(GroDB[[#This Row],[Column1]]="No",GroDB[[#This Row],[Date_Received]],GroDB[[#This Row],[Last_Order_Date]])</f>
        <v>45455</v>
      </c>
      <c r="M313" s="45">
        <f>GroDB[[#This Row],[Date_Received1]]-GroDB[[#This Row],[Procurement_Date]]</f>
        <v>111</v>
      </c>
      <c r="N313" s="43">
        <v>45661</v>
      </c>
      <c r="O313" s="91">
        <f>GroDB[[#This Row],[Expiration_Date]]-GroDB[[#This Row],[Date_Received1]]</f>
        <v>95</v>
      </c>
      <c r="P313" s="4">
        <v>1.8399999999999999</v>
      </c>
      <c r="Q313" s="3">
        <v>53</v>
      </c>
      <c r="R313" s="3">
        <v>20</v>
      </c>
      <c r="S313" s="3">
        <v>75</v>
      </c>
      <c r="T313" s="4">
        <v>2.2999999999999998</v>
      </c>
      <c r="U313" s="3">
        <v>83</v>
      </c>
      <c r="V313" s="51">
        <f>IF(GroDB[[#This Row],[LeadTime]]=0,GroDB[[#This Row],[Sales_Volume]],GroDB[[#This Row],[Sales_Volume]]/GroDB[[#This Row],[LeadTime]])</f>
        <v>0.74774774774774777</v>
      </c>
      <c r="W313" s="51">
        <f>_xlfn.STDEV.S(GroDB[Daily Sales])</f>
        <v>5.1999899792654221</v>
      </c>
      <c r="X313" s="3">
        <v>77</v>
      </c>
      <c r="Y313" s="7">
        <v>0.64</v>
      </c>
      <c r="Z313" s="4">
        <f>GroDB[[#This Row],[Unit_Price]]*GroDB[[#This Row],[Sales_Volume]]</f>
        <v>190.89999999999998</v>
      </c>
      <c r="AA313" s="22">
        <f>GroDB[[#This Row],[ADU]]/GroDB[[#Totals],[ADU]]</f>
        <v>5.5450770027908936E-4</v>
      </c>
      <c r="AB313" s="1">
        <f>GroDB[[#This Row],[Sales_Volume]]*GroDB[[#This Row],[Ordering Cost]]</f>
        <v>152.72</v>
      </c>
    </row>
    <row r="314" spans="1:28" x14ac:dyDescent="0.35">
      <c r="A314" s="5" t="s">
        <v>717</v>
      </c>
      <c r="B314" s="3" t="s">
        <v>53</v>
      </c>
      <c r="C314" s="3" t="s">
        <v>1271</v>
      </c>
      <c r="D314" s="3" t="s">
        <v>1272</v>
      </c>
      <c r="E314" s="3" t="s">
        <v>56</v>
      </c>
      <c r="F314" s="3" t="s">
        <v>1273</v>
      </c>
      <c r="G314" s="3" t="s">
        <v>1274</v>
      </c>
      <c r="H314" s="43">
        <v>45485</v>
      </c>
      <c r="I314" s="43">
        <v>45497</v>
      </c>
      <c r="J314" s="47" t="str">
        <f>IF(GroDB[[#This Row],[Last_Order_Date]]&lt;=GroDB[[#This Row],[Date_Received]], "Yes", "No")</f>
        <v>No</v>
      </c>
      <c r="K314" s="43">
        <f>IF(GroDB[[#This Row],[Column1]]="No",GroDB[[#This Row],[Last_Order_Date]],GroDB[[#This Row],[Date_Received]])</f>
        <v>45497</v>
      </c>
      <c r="L314" s="43">
        <f>IF(GroDB[[#This Row],[Column1]]="No",GroDB[[#This Row],[Date_Received]],GroDB[[#This Row],[Last_Order_Date]])</f>
        <v>45485</v>
      </c>
      <c r="M314" s="45">
        <f>GroDB[[#This Row],[Date_Received1]]-GroDB[[#This Row],[Procurement_Date]]</f>
        <v>12</v>
      </c>
      <c r="N314" s="43">
        <v>45685</v>
      </c>
      <c r="O314" s="91">
        <f>GroDB[[#This Row],[Expiration_Date]]-GroDB[[#This Row],[Date_Received1]]</f>
        <v>188</v>
      </c>
      <c r="P314" s="4">
        <v>3.6</v>
      </c>
      <c r="Q314" s="3">
        <v>56</v>
      </c>
      <c r="R314" s="3">
        <v>53</v>
      </c>
      <c r="S314" s="3">
        <v>77</v>
      </c>
      <c r="T314" s="4">
        <v>4.5</v>
      </c>
      <c r="U314" s="3">
        <v>69</v>
      </c>
      <c r="V314" s="51">
        <f>IF(GroDB[[#This Row],[LeadTime]]=0,GroDB[[#This Row],[Sales_Volume]],GroDB[[#This Row],[Sales_Volume]]/GroDB[[#This Row],[LeadTime]])</f>
        <v>5.75</v>
      </c>
      <c r="W314" s="51">
        <f>_xlfn.STDEV.S(GroDB[Daily Sales])</f>
        <v>5.1999899792654221</v>
      </c>
      <c r="X314" s="3">
        <v>69</v>
      </c>
      <c r="Y314" s="7">
        <v>7.0000000000000007E-2</v>
      </c>
      <c r="Z314" s="4">
        <f>GroDB[[#This Row],[Unit_Price]]*GroDB[[#This Row],[Sales_Volume]]</f>
        <v>310.5</v>
      </c>
      <c r="AA314" s="22">
        <f>GroDB[[#This Row],[ADU]]/GroDB[[#Totals],[ADU]]</f>
        <v>9.0191011491177195E-4</v>
      </c>
      <c r="AB314" s="1">
        <f>GroDB[[#This Row],[Sales_Volume]]*GroDB[[#This Row],[Ordering Cost]]</f>
        <v>248.4</v>
      </c>
    </row>
    <row r="315" spans="1:28" x14ac:dyDescent="0.35">
      <c r="A315" s="5" t="s">
        <v>665</v>
      </c>
      <c r="B315" s="3" t="s">
        <v>18</v>
      </c>
      <c r="C315" s="3" t="s">
        <v>451</v>
      </c>
      <c r="D315" s="3" t="s">
        <v>1275</v>
      </c>
      <c r="E315" s="3" t="s">
        <v>21</v>
      </c>
      <c r="F315" s="3" t="s">
        <v>1276</v>
      </c>
      <c r="G315" s="3" t="s">
        <v>1277</v>
      </c>
      <c r="H315" s="43">
        <v>45485</v>
      </c>
      <c r="I315" s="43">
        <v>45705</v>
      </c>
      <c r="J315" s="47" t="str">
        <f>IF(GroDB[[#This Row],[Last_Order_Date]]&lt;=GroDB[[#This Row],[Date_Received]], "Yes", "No")</f>
        <v>No</v>
      </c>
      <c r="K315" s="43">
        <f>IF(GroDB[[#This Row],[Column1]]="No",GroDB[[#This Row],[Last_Order_Date]],GroDB[[#This Row],[Date_Received]])</f>
        <v>45705</v>
      </c>
      <c r="L315" s="43">
        <f>IF(GroDB[[#This Row],[Column1]]="No",GroDB[[#This Row],[Date_Received]],GroDB[[#This Row],[Last_Order_Date]])</f>
        <v>45485</v>
      </c>
      <c r="M315" s="45">
        <f>GroDB[[#This Row],[Date_Received1]]-GroDB[[#This Row],[Procurement_Date]]</f>
        <v>220</v>
      </c>
      <c r="N315" s="43">
        <v>45617</v>
      </c>
      <c r="O315" s="91">
        <f>GroDB[[#This Row],[Expiration_Date]]-GroDB[[#This Row],[Date_Received1]]</f>
        <v>-88</v>
      </c>
      <c r="P315" s="4">
        <v>4.5600000000000005</v>
      </c>
      <c r="Q315" s="3">
        <v>38</v>
      </c>
      <c r="R315" s="3">
        <v>91</v>
      </c>
      <c r="S315" s="3">
        <v>94</v>
      </c>
      <c r="T315" s="4">
        <v>5.7</v>
      </c>
      <c r="U315" s="3">
        <v>53</v>
      </c>
      <c r="V315" s="51">
        <f>IF(GroDB[[#This Row],[LeadTime]]=0,GroDB[[#This Row],[Sales_Volume]],GroDB[[#This Row],[Sales_Volume]]/GroDB[[#This Row],[LeadTime]])</f>
        <v>0.24090909090909091</v>
      </c>
      <c r="W315" s="51">
        <f>_xlfn.STDEV.S(GroDB[Daily Sales])</f>
        <v>5.1999899792654221</v>
      </c>
      <c r="X315" s="3">
        <v>87</v>
      </c>
      <c r="Y315" s="7">
        <v>0</v>
      </c>
      <c r="Z315" s="4">
        <f>GroDB[[#This Row],[Unit_Price]]*GroDB[[#This Row],[Sales_Volume]]</f>
        <v>302.10000000000002</v>
      </c>
      <c r="AA315" s="22">
        <f>GroDB[[#This Row],[ADU]]/GroDB[[#Totals],[ADU]]</f>
        <v>8.7751061421850664E-4</v>
      </c>
      <c r="AB315" s="1">
        <f>GroDB[[#This Row],[Sales_Volume]]*GroDB[[#This Row],[Ordering Cost]]</f>
        <v>241.68000000000004</v>
      </c>
    </row>
    <row r="316" spans="1:28" x14ac:dyDescent="0.35">
      <c r="A316" s="5" t="s">
        <v>1278</v>
      </c>
      <c r="B316" s="3" t="s">
        <v>18</v>
      </c>
      <c r="C316" s="3" t="s">
        <v>316</v>
      </c>
      <c r="D316" s="3" t="s">
        <v>1279</v>
      </c>
      <c r="E316" s="3" t="s">
        <v>56</v>
      </c>
      <c r="F316" s="3" t="s">
        <v>1280</v>
      </c>
      <c r="G316" s="3" t="s">
        <v>1281</v>
      </c>
      <c r="H316" s="43">
        <v>45485</v>
      </c>
      <c r="I316" s="43">
        <v>45564</v>
      </c>
      <c r="J316" s="47" t="str">
        <f>IF(GroDB[[#This Row],[Last_Order_Date]]&lt;=GroDB[[#This Row],[Date_Received]], "Yes", "No")</f>
        <v>No</v>
      </c>
      <c r="K316" s="43">
        <f>IF(GroDB[[#This Row],[Column1]]="No",GroDB[[#This Row],[Last_Order_Date]],GroDB[[#This Row],[Date_Received]])</f>
        <v>45564</v>
      </c>
      <c r="L316" s="43">
        <f>IF(GroDB[[#This Row],[Column1]]="No",GroDB[[#This Row],[Date_Received]],GroDB[[#This Row],[Last_Order_Date]])</f>
        <v>45485</v>
      </c>
      <c r="M316" s="45">
        <f>GroDB[[#This Row],[Date_Received1]]-GroDB[[#This Row],[Procurement_Date]]</f>
        <v>79</v>
      </c>
      <c r="N316" s="43">
        <v>45526</v>
      </c>
      <c r="O316" s="91">
        <f>GroDB[[#This Row],[Expiration_Date]]-GroDB[[#This Row],[Date_Received1]]</f>
        <v>-38</v>
      </c>
      <c r="P316" s="4">
        <v>3.6</v>
      </c>
      <c r="Q316" s="3">
        <v>97</v>
      </c>
      <c r="R316" s="3">
        <v>97</v>
      </c>
      <c r="S316" s="3">
        <v>71</v>
      </c>
      <c r="T316" s="4">
        <v>4.5</v>
      </c>
      <c r="U316" s="3">
        <v>53</v>
      </c>
      <c r="V316" s="51">
        <f>IF(GroDB[[#This Row],[LeadTime]]=0,GroDB[[#This Row],[Sales_Volume]],GroDB[[#This Row],[Sales_Volume]]/GroDB[[#This Row],[LeadTime]])</f>
        <v>0.67088607594936711</v>
      </c>
      <c r="W316" s="51">
        <f>_xlfn.STDEV.S(GroDB[Daily Sales])</f>
        <v>5.1999899792654221</v>
      </c>
      <c r="X316" s="3">
        <v>31</v>
      </c>
      <c r="Y316" s="7">
        <v>-0.64</v>
      </c>
      <c r="Z316" s="4">
        <f>GroDB[[#This Row],[Unit_Price]]*GroDB[[#This Row],[Sales_Volume]]</f>
        <v>238.5</v>
      </c>
      <c r="AA316" s="22">
        <f>GroDB[[#This Row],[ADU]]/GroDB[[#Totals],[ADU]]</f>
        <v>6.9277153754092628E-4</v>
      </c>
      <c r="AB316" s="1">
        <f>GroDB[[#This Row],[Sales_Volume]]*GroDB[[#This Row],[Ordering Cost]]</f>
        <v>190.8</v>
      </c>
    </row>
    <row r="317" spans="1:28" x14ac:dyDescent="0.35">
      <c r="A317" s="5" t="s">
        <v>288</v>
      </c>
      <c r="B317" s="3" t="s">
        <v>60</v>
      </c>
      <c r="C317" s="3" t="s">
        <v>1282</v>
      </c>
      <c r="D317" s="3" t="s">
        <v>1283</v>
      </c>
      <c r="E317" s="3" t="s">
        <v>28</v>
      </c>
      <c r="F317" s="3" t="s">
        <v>1284</v>
      </c>
      <c r="G317" s="3" t="s">
        <v>1285</v>
      </c>
      <c r="H317" s="43">
        <v>45516</v>
      </c>
      <c r="I317" s="43">
        <v>45579</v>
      </c>
      <c r="J317" s="47" t="str">
        <f>IF(GroDB[[#This Row],[Last_Order_Date]]&lt;=GroDB[[#This Row],[Date_Received]], "Yes", "No")</f>
        <v>No</v>
      </c>
      <c r="K317" s="43">
        <f>IF(GroDB[[#This Row],[Column1]]="No",GroDB[[#This Row],[Last_Order_Date]],GroDB[[#This Row],[Date_Received]])</f>
        <v>45579</v>
      </c>
      <c r="L317" s="43">
        <f>IF(GroDB[[#This Row],[Column1]]="No",GroDB[[#This Row],[Date_Received]],GroDB[[#This Row],[Last_Order_Date]])</f>
        <v>45516</v>
      </c>
      <c r="M317" s="45">
        <f>GroDB[[#This Row],[Date_Received1]]-GroDB[[#This Row],[Procurement_Date]]</f>
        <v>63</v>
      </c>
      <c r="N317" s="43">
        <v>45615</v>
      </c>
      <c r="O317" s="91">
        <f>GroDB[[#This Row],[Expiration_Date]]-GroDB[[#This Row],[Date_Received1]]</f>
        <v>36</v>
      </c>
      <c r="P317" s="4">
        <v>9.2000000000000011</v>
      </c>
      <c r="Q317" s="3">
        <v>91</v>
      </c>
      <c r="R317" s="3">
        <v>68</v>
      </c>
      <c r="S317" s="3">
        <v>80</v>
      </c>
      <c r="T317" s="4">
        <v>11.5</v>
      </c>
      <c r="U317" s="3">
        <v>81</v>
      </c>
      <c r="V317" s="51">
        <f>IF(GroDB[[#This Row],[LeadTime]]=0,GroDB[[#This Row],[Sales_Volume]],GroDB[[#This Row],[Sales_Volume]]/GroDB[[#This Row],[LeadTime]])</f>
        <v>1.2857142857142858</v>
      </c>
      <c r="W317" s="51">
        <f>_xlfn.STDEV.S(GroDB[Daily Sales])</f>
        <v>5.1999899792654221</v>
      </c>
      <c r="X317" s="3">
        <v>85</v>
      </c>
      <c r="Y317" s="7">
        <v>0.42</v>
      </c>
      <c r="Z317" s="4">
        <f>GroDB[[#This Row],[Unit_Price]]*GroDB[[#This Row],[Sales_Volume]]</f>
        <v>931.5</v>
      </c>
      <c r="AA317" s="22">
        <f>GroDB[[#This Row],[ADU]]/GroDB[[#Totals],[ADU]]</f>
        <v>2.7057303447353158E-3</v>
      </c>
      <c r="AB317" s="1">
        <f>GroDB[[#This Row],[Sales_Volume]]*GroDB[[#This Row],[Ordering Cost]]</f>
        <v>745.2</v>
      </c>
    </row>
    <row r="318" spans="1:28" x14ac:dyDescent="0.35">
      <c r="A318" s="5" t="s">
        <v>490</v>
      </c>
      <c r="B318" s="3" t="s">
        <v>18</v>
      </c>
      <c r="C318" s="3" t="s">
        <v>1286</v>
      </c>
      <c r="D318" s="3" t="s">
        <v>1287</v>
      </c>
      <c r="E318" s="3" t="s">
        <v>56</v>
      </c>
      <c r="F318" s="3" t="s">
        <v>1288</v>
      </c>
      <c r="G318" s="3" t="s">
        <v>1289</v>
      </c>
      <c r="H318" s="43">
        <v>45547</v>
      </c>
      <c r="I318" s="43">
        <v>45657</v>
      </c>
      <c r="J318" s="47" t="str">
        <f>IF(GroDB[[#This Row],[Last_Order_Date]]&lt;=GroDB[[#This Row],[Date_Received]], "Yes", "No")</f>
        <v>No</v>
      </c>
      <c r="K318" s="43">
        <f>IF(GroDB[[#This Row],[Column1]]="No",GroDB[[#This Row],[Last_Order_Date]],GroDB[[#This Row],[Date_Received]])</f>
        <v>45657</v>
      </c>
      <c r="L318" s="43">
        <f>IF(GroDB[[#This Row],[Column1]]="No",GroDB[[#This Row],[Date_Received]],GroDB[[#This Row],[Last_Order_Date]])</f>
        <v>45547</v>
      </c>
      <c r="M318" s="45">
        <f>GroDB[[#This Row],[Date_Received1]]-GroDB[[#This Row],[Procurement_Date]]</f>
        <v>110</v>
      </c>
      <c r="N318" s="43">
        <v>45683</v>
      </c>
      <c r="O318" s="91">
        <f>GroDB[[#This Row],[Expiration_Date]]-GroDB[[#This Row],[Date_Received1]]</f>
        <v>26</v>
      </c>
      <c r="P318" s="4">
        <v>4</v>
      </c>
      <c r="Q318" s="3">
        <v>22</v>
      </c>
      <c r="R318" s="3">
        <v>40</v>
      </c>
      <c r="S318" s="3">
        <v>7</v>
      </c>
      <c r="T318" s="4">
        <v>5</v>
      </c>
      <c r="U318" s="3">
        <v>98</v>
      </c>
      <c r="V318" s="51">
        <f>IF(GroDB[[#This Row],[LeadTime]]=0,GroDB[[#This Row],[Sales_Volume]],GroDB[[#This Row],[Sales_Volume]]/GroDB[[#This Row],[LeadTime]])</f>
        <v>0.89090909090909087</v>
      </c>
      <c r="W318" s="51">
        <f>_xlfn.STDEV.S(GroDB[Daily Sales])</f>
        <v>5.1999899792654221</v>
      </c>
      <c r="X318" s="3">
        <v>60</v>
      </c>
      <c r="Y318" s="7">
        <v>-0.05</v>
      </c>
      <c r="Z318" s="4">
        <f>GroDB[[#This Row],[Unit_Price]]*GroDB[[#This Row],[Sales_Volume]]</f>
        <v>490</v>
      </c>
      <c r="AA318" s="22">
        <f>GroDB[[#This Row],[ADU]]/GroDB[[#Totals],[ADU]]</f>
        <v>1.4233042071071442E-3</v>
      </c>
      <c r="AB318" s="1">
        <f>GroDB[[#This Row],[Sales_Volume]]*GroDB[[#This Row],[Ordering Cost]]</f>
        <v>392</v>
      </c>
    </row>
    <row r="319" spans="1:28" x14ac:dyDescent="0.35">
      <c r="A319" s="5" t="s">
        <v>1179</v>
      </c>
      <c r="B319" s="3" t="s">
        <v>91</v>
      </c>
      <c r="C319" s="3" t="s">
        <v>1286</v>
      </c>
      <c r="D319" s="3" t="s">
        <v>1290</v>
      </c>
      <c r="E319" s="3" t="s">
        <v>28</v>
      </c>
      <c r="F319" s="3" t="s">
        <v>1291</v>
      </c>
      <c r="G319" s="3" t="s">
        <v>1292</v>
      </c>
      <c r="H319" s="43">
        <v>45547</v>
      </c>
      <c r="I319" s="43">
        <v>45356</v>
      </c>
      <c r="J319" s="47" t="str">
        <f>IF(GroDB[[#This Row],[Last_Order_Date]]&lt;=GroDB[[#This Row],[Date_Received]], "Yes", "No")</f>
        <v>Yes</v>
      </c>
      <c r="K319" s="43">
        <f>IF(GroDB[[#This Row],[Column1]]="No",GroDB[[#This Row],[Last_Order_Date]],GroDB[[#This Row],[Date_Received]])</f>
        <v>45547</v>
      </c>
      <c r="L319" s="43">
        <f>IF(GroDB[[#This Row],[Column1]]="No",GroDB[[#This Row],[Date_Received]],GroDB[[#This Row],[Last_Order_Date]])</f>
        <v>45356</v>
      </c>
      <c r="M319" s="45">
        <f>GroDB[[#This Row],[Date_Received1]]-GroDB[[#This Row],[Procurement_Date]]</f>
        <v>191</v>
      </c>
      <c r="N319" s="43">
        <v>45651</v>
      </c>
      <c r="O319" s="91">
        <f>GroDB[[#This Row],[Expiration_Date]]-GroDB[[#This Row],[Date_Received1]]</f>
        <v>104</v>
      </c>
      <c r="P319" s="4">
        <v>2</v>
      </c>
      <c r="Q319" s="3">
        <v>78</v>
      </c>
      <c r="R319" s="3">
        <v>68</v>
      </c>
      <c r="S319" s="3">
        <v>68</v>
      </c>
      <c r="T319" s="4">
        <v>2.5</v>
      </c>
      <c r="U319" s="3">
        <v>89</v>
      </c>
      <c r="V319" s="51">
        <f>IF(GroDB[[#This Row],[LeadTime]]=0,GroDB[[#This Row],[Sales_Volume]],GroDB[[#This Row],[Sales_Volume]]/GroDB[[#This Row],[LeadTime]])</f>
        <v>0.46596858638743455</v>
      </c>
      <c r="W319" s="51">
        <f>_xlfn.STDEV.S(GroDB[Daily Sales])</f>
        <v>5.1999899792654221</v>
      </c>
      <c r="X319" s="3">
        <v>24</v>
      </c>
      <c r="Y319" s="7">
        <v>0.39</v>
      </c>
      <c r="Z319" s="4">
        <f>GroDB[[#This Row],[Unit_Price]]*GroDB[[#This Row],[Sales_Volume]]</f>
        <v>222.5</v>
      </c>
      <c r="AA319" s="22">
        <f>GroDB[[#This Row],[ADU]]/GroDB[[#Totals],[ADU]]</f>
        <v>6.4629629812518272E-4</v>
      </c>
      <c r="AB319" s="1">
        <f>GroDB[[#This Row],[Sales_Volume]]*GroDB[[#This Row],[Ordering Cost]]</f>
        <v>178</v>
      </c>
    </row>
    <row r="320" spans="1:28" x14ac:dyDescent="0.35">
      <c r="A320" s="5" t="s">
        <v>1202</v>
      </c>
      <c r="B320" s="3" t="s">
        <v>18</v>
      </c>
      <c r="C320" s="3" t="s">
        <v>26</v>
      </c>
      <c r="D320" s="3" t="s">
        <v>1293</v>
      </c>
      <c r="E320" s="3" t="s">
        <v>28</v>
      </c>
      <c r="F320" s="3" t="s">
        <v>1294</v>
      </c>
      <c r="G320" s="3" t="s">
        <v>1295</v>
      </c>
      <c r="H320" s="43">
        <v>45577</v>
      </c>
      <c r="I320" s="43">
        <v>45496</v>
      </c>
      <c r="J320" s="47" t="str">
        <f>IF(GroDB[[#This Row],[Last_Order_Date]]&lt;=GroDB[[#This Row],[Date_Received]], "Yes", "No")</f>
        <v>Yes</v>
      </c>
      <c r="K320" s="43">
        <f>IF(GroDB[[#This Row],[Column1]]="No",GroDB[[#This Row],[Last_Order_Date]],GroDB[[#This Row],[Date_Received]])</f>
        <v>45577</v>
      </c>
      <c r="L320" s="43">
        <f>IF(GroDB[[#This Row],[Column1]]="No",GroDB[[#This Row],[Date_Received]],GroDB[[#This Row],[Last_Order_Date]])</f>
        <v>45496</v>
      </c>
      <c r="M320" s="45">
        <f>GroDB[[#This Row],[Date_Received1]]-GroDB[[#This Row],[Procurement_Date]]</f>
        <v>81</v>
      </c>
      <c r="N320" s="43">
        <v>45685</v>
      </c>
      <c r="O320" s="91">
        <f>GroDB[[#This Row],[Expiration_Date]]-GroDB[[#This Row],[Date_Received1]]</f>
        <v>108</v>
      </c>
      <c r="P320" s="4">
        <v>2.4000000000000004</v>
      </c>
      <c r="Q320" s="3">
        <v>23</v>
      </c>
      <c r="R320" s="3">
        <v>85</v>
      </c>
      <c r="S320" s="3">
        <v>94</v>
      </c>
      <c r="T320" s="4">
        <v>3</v>
      </c>
      <c r="U320" s="3">
        <v>92</v>
      </c>
      <c r="V320" s="51">
        <f>IF(GroDB[[#This Row],[LeadTime]]=0,GroDB[[#This Row],[Sales_Volume]],GroDB[[#This Row],[Sales_Volume]]/GroDB[[#This Row],[LeadTime]])</f>
        <v>1.1358024691358024</v>
      </c>
      <c r="W320" s="51">
        <f>_xlfn.STDEV.S(GroDB[Daily Sales])</f>
        <v>5.1999899792654221</v>
      </c>
      <c r="X320" s="3">
        <v>72</v>
      </c>
      <c r="Y320" s="7">
        <v>0.73</v>
      </c>
      <c r="Z320" s="4">
        <f>GroDB[[#This Row],[Unit_Price]]*GroDB[[#This Row],[Sales_Volume]]</f>
        <v>276</v>
      </c>
      <c r="AA320" s="22">
        <f>GroDB[[#This Row],[ADU]]/GroDB[[#Totals],[ADU]]</f>
        <v>8.0169787992157503E-4</v>
      </c>
      <c r="AB320" s="1">
        <f>GroDB[[#This Row],[Sales_Volume]]*GroDB[[#This Row],[Ordering Cost]]</f>
        <v>220.80000000000004</v>
      </c>
    </row>
    <row r="321" spans="1:28" x14ac:dyDescent="0.35">
      <c r="A321" s="5" t="s">
        <v>490</v>
      </c>
      <c r="B321" s="3" t="s">
        <v>18</v>
      </c>
      <c r="C321" s="3" t="s">
        <v>1296</v>
      </c>
      <c r="D321" s="3" t="s">
        <v>1297</v>
      </c>
      <c r="E321" s="3" t="s">
        <v>28</v>
      </c>
      <c r="F321" s="3" t="s">
        <v>1298</v>
      </c>
      <c r="G321" s="3" t="s">
        <v>1299</v>
      </c>
      <c r="H321" s="43">
        <v>45577</v>
      </c>
      <c r="I321" s="43">
        <v>45630</v>
      </c>
      <c r="J321" s="47" t="str">
        <f>IF(GroDB[[#This Row],[Last_Order_Date]]&lt;=GroDB[[#This Row],[Date_Received]], "Yes", "No")</f>
        <v>No</v>
      </c>
      <c r="K321" s="43">
        <f>IF(GroDB[[#This Row],[Column1]]="No",GroDB[[#This Row],[Last_Order_Date]],GroDB[[#This Row],[Date_Received]])</f>
        <v>45630</v>
      </c>
      <c r="L321" s="43">
        <f>IF(GroDB[[#This Row],[Column1]]="No",GroDB[[#This Row],[Date_Received]],GroDB[[#This Row],[Last_Order_Date]])</f>
        <v>45577</v>
      </c>
      <c r="M321" s="45">
        <f>GroDB[[#This Row],[Date_Received1]]-GroDB[[#This Row],[Procurement_Date]]</f>
        <v>53</v>
      </c>
      <c r="N321" s="43">
        <v>45444</v>
      </c>
      <c r="O321" s="91">
        <f>GroDB[[#This Row],[Expiration_Date]]-GroDB[[#This Row],[Date_Received1]]</f>
        <v>-186</v>
      </c>
      <c r="P321" s="4">
        <v>3.7600000000000002</v>
      </c>
      <c r="Q321" s="3">
        <v>78</v>
      </c>
      <c r="R321" s="3">
        <v>16</v>
      </c>
      <c r="S321" s="3">
        <v>37</v>
      </c>
      <c r="T321" s="4">
        <v>4.7</v>
      </c>
      <c r="U321" s="3">
        <v>25</v>
      </c>
      <c r="V321" s="51">
        <f>IF(GroDB[[#This Row],[LeadTime]]=0,GroDB[[#This Row],[Sales_Volume]],GroDB[[#This Row],[Sales_Volume]]/GroDB[[#This Row],[LeadTime]])</f>
        <v>0.47169811320754718</v>
      </c>
      <c r="W321" s="51">
        <f>_xlfn.STDEV.S(GroDB[Daily Sales])</f>
        <v>5.1999899792654221</v>
      </c>
      <c r="X321" s="3">
        <v>96</v>
      </c>
      <c r="Y321" s="7">
        <v>0.22</v>
      </c>
      <c r="Z321" s="4">
        <f>GroDB[[#This Row],[Unit_Price]]*GroDB[[#This Row],[Sales_Volume]]</f>
        <v>117.5</v>
      </c>
      <c r="AA321" s="22">
        <f>GroDB[[#This Row],[ADU]]/GroDB[[#Totals],[ADU]]</f>
        <v>3.4130253945936615E-4</v>
      </c>
      <c r="AB321" s="1">
        <f>GroDB[[#This Row],[Sales_Volume]]*GroDB[[#This Row],[Ordering Cost]]</f>
        <v>94</v>
      </c>
    </row>
    <row r="322" spans="1:28" x14ac:dyDescent="0.35">
      <c r="A322" s="5" t="s">
        <v>132</v>
      </c>
      <c r="B322" s="3" t="s">
        <v>18</v>
      </c>
      <c r="C322" s="3" t="s">
        <v>1139</v>
      </c>
      <c r="D322" s="3" t="s">
        <v>1300</v>
      </c>
      <c r="E322" s="3" t="s">
        <v>28</v>
      </c>
      <c r="F322" s="3" t="s">
        <v>1301</v>
      </c>
      <c r="G322" s="3" t="s">
        <v>1302</v>
      </c>
      <c r="H322" s="43">
        <v>45577</v>
      </c>
      <c r="I322" s="43">
        <v>45353</v>
      </c>
      <c r="J322" s="47" t="str">
        <f>IF(GroDB[[#This Row],[Last_Order_Date]]&lt;=GroDB[[#This Row],[Date_Received]], "Yes", "No")</f>
        <v>Yes</v>
      </c>
      <c r="K322" s="43">
        <f>IF(GroDB[[#This Row],[Column1]]="No",GroDB[[#This Row],[Last_Order_Date]],GroDB[[#This Row],[Date_Received]])</f>
        <v>45577</v>
      </c>
      <c r="L322" s="43">
        <f>IF(GroDB[[#This Row],[Column1]]="No",GroDB[[#This Row],[Date_Received]],GroDB[[#This Row],[Last_Order_Date]])</f>
        <v>45353</v>
      </c>
      <c r="M322" s="45">
        <f>GroDB[[#This Row],[Date_Received1]]-GroDB[[#This Row],[Procurement_Date]]</f>
        <v>224</v>
      </c>
      <c r="N322" s="43">
        <v>45508</v>
      </c>
      <c r="O322" s="91">
        <f>GroDB[[#This Row],[Expiration_Date]]-GroDB[[#This Row],[Date_Received1]]</f>
        <v>-69</v>
      </c>
      <c r="P322" s="4">
        <v>1.6</v>
      </c>
      <c r="Q322" s="3">
        <v>95</v>
      </c>
      <c r="R322" s="3">
        <v>87</v>
      </c>
      <c r="S322" s="3">
        <v>13</v>
      </c>
      <c r="T322" s="4">
        <v>2</v>
      </c>
      <c r="U322" s="3">
        <v>61</v>
      </c>
      <c r="V322" s="51">
        <f>IF(GroDB[[#This Row],[LeadTime]]=0,GroDB[[#This Row],[Sales_Volume]],GroDB[[#This Row],[Sales_Volume]]/GroDB[[#This Row],[LeadTime]])</f>
        <v>0.27232142857142855</v>
      </c>
      <c r="W322" s="51">
        <f>_xlfn.STDEV.S(GroDB[Daily Sales])</f>
        <v>5.1999899792654221</v>
      </c>
      <c r="X322" s="3">
        <v>4</v>
      </c>
      <c r="Y322" s="7">
        <v>-2.84</v>
      </c>
      <c r="Z322" s="4">
        <f>GroDB[[#This Row],[Unit_Price]]*GroDB[[#This Row],[Sales_Volume]]</f>
        <v>122</v>
      </c>
      <c r="AA322" s="22">
        <f>GroDB[[#This Row],[ADU]]/GroDB[[#Totals],[ADU]]</f>
        <v>3.5437370054504402E-4</v>
      </c>
      <c r="AB322" s="1">
        <f>GroDB[[#This Row],[Sales_Volume]]*GroDB[[#This Row],[Ordering Cost]]</f>
        <v>97.600000000000009</v>
      </c>
    </row>
    <row r="323" spans="1:28" x14ac:dyDescent="0.35">
      <c r="A323" s="5" t="s">
        <v>111</v>
      </c>
      <c r="B323" s="3" t="s">
        <v>32</v>
      </c>
      <c r="C323" s="3" t="s">
        <v>1303</v>
      </c>
      <c r="D323" s="3" t="s">
        <v>1304</v>
      </c>
      <c r="E323" s="3" t="s">
        <v>56</v>
      </c>
      <c r="F323" s="3" t="s">
        <v>1305</v>
      </c>
      <c r="G323" s="3" t="s">
        <v>1306</v>
      </c>
      <c r="H323" s="43">
        <v>45638</v>
      </c>
      <c r="I323" s="43">
        <v>45514</v>
      </c>
      <c r="J323" s="47" t="str">
        <f>IF(GroDB[[#This Row],[Last_Order_Date]]&lt;=GroDB[[#This Row],[Date_Received]], "Yes", "No")</f>
        <v>Yes</v>
      </c>
      <c r="K323" s="43">
        <f>IF(GroDB[[#This Row],[Column1]]="No",GroDB[[#This Row],[Last_Order_Date]],GroDB[[#This Row],[Date_Received]])</f>
        <v>45638</v>
      </c>
      <c r="L323" s="43">
        <f>IF(GroDB[[#This Row],[Column1]]="No",GroDB[[#This Row],[Date_Received]],GroDB[[#This Row],[Last_Order_Date]])</f>
        <v>45514</v>
      </c>
      <c r="M323" s="45">
        <f>GroDB[[#This Row],[Date_Received1]]-GroDB[[#This Row],[Procurement_Date]]</f>
        <v>124</v>
      </c>
      <c r="N323" s="43">
        <v>45398</v>
      </c>
      <c r="O323" s="91">
        <f>GroDB[[#This Row],[Expiration_Date]]-GroDB[[#This Row],[Date_Received1]]</f>
        <v>-240</v>
      </c>
      <c r="P323" s="4">
        <v>4.8000000000000007</v>
      </c>
      <c r="Q323" s="3">
        <v>49</v>
      </c>
      <c r="R323" s="3">
        <v>94</v>
      </c>
      <c r="S323" s="3">
        <v>18</v>
      </c>
      <c r="T323" s="4">
        <v>6</v>
      </c>
      <c r="U323" s="3">
        <v>38</v>
      </c>
      <c r="V323" s="51">
        <f>IF(GroDB[[#This Row],[LeadTime]]=0,GroDB[[#This Row],[Sales_Volume]],GroDB[[#This Row],[Sales_Volume]]/GroDB[[#This Row],[LeadTime]])</f>
        <v>0.30645161290322581</v>
      </c>
      <c r="W323" s="51">
        <f>_xlfn.STDEV.S(GroDB[Daily Sales])</f>
        <v>5.1999899792654221</v>
      </c>
      <c r="X323" s="3">
        <v>11</v>
      </c>
      <c r="Y323" s="7">
        <v>0.93</v>
      </c>
      <c r="Z323" s="4">
        <f>GroDB[[#This Row],[Unit_Price]]*GroDB[[#This Row],[Sales_Volume]]</f>
        <v>228</v>
      </c>
      <c r="AA323" s="22">
        <f>GroDB[[#This Row],[ADU]]/GroDB[[#Totals],[ADU]]</f>
        <v>6.6227216167434458E-4</v>
      </c>
      <c r="AB323" s="1">
        <f>GroDB[[#This Row],[Sales_Volume]]*GroDB[[#This Row],[Ordering Cost]]</f>
        <v>182.40000000000003</v>
      </c>
    </row>
    <row r="324" spans="1:28" x14ac:dyDescent="0.35">
      <c r="A324" s="5" t="s">
        <v>320</v>
      </c>
      <c r="B324" s="3" t="s">
        <v>18</v>
      </c>
      <c r="C324" s="3" t="s">
        <v>1307</v>
      </c>
      <c r="D324" s="3" t="s">
        <v>1308</v>
      </c>
      <c r="E324" s="3" t="s">
        <v>56</v>
      </c>
      <c r="F324" s="3" t="s">
        <v>1309</v>
      </c>
      <c r="G324" s="3" t="s">
        <v>1310</v>
      </c>
      <c r="H324" s="43">
        <v>45638</v>
      </c>
      <c r="I324" s="43">
        <v>45451</v>
      </c>
      <c r="J324" s="47" t="str">
        <f>IF(GroDB[[#This Row],[Last_Order_Date]]&lt;=GroDB[[#This Row],[Date_Received]], "Yes", "No")</f>
        <v>Yes</v>
      </c>
      <c r="K324" s="43">
        <f>IF(GroDB[[#This Row],[Column1]]="No",GroDB[[#This Row],[Last_Order_Date]],GroDB[[#This Row],[Date_Received]])</f>
        <v>45638</v>
      </c>
      <c r="L324" s="43">
        <f>IF(GroDB[[#This Row],[Column1]]="No",GroDB[[#This Row],[Date_Received]],GroDB[[#This Row],[Last_Order_Date]])</f>
        <v>45451</v>
      </c>
      <c r="M324" s="45">
        <f>GroDB[[#This Row],[Date_Received1]]-GroDB[[#This Row],[Procurement_Date]]</f>
        <v>187</v>
      </c>
      <c r="N324" s="43">
        <v>45492</v>
      </c>
      <c r="O324" s="91">
        <f>GroDB[[#This Row],[Expiration_Date]]-GroDB[[#This Row],[Date_Received1]]</f>
        <v>-146</v>
      </c>
      <c r="P324" s="4">
        <v>3.2</v>
      </c>
      <c r="Q324" s="3">
        <v>26</v>
      </c>
      <c r="R324" s="3">
        <v>69</v>
      </c>
      <c r="S324" s="3">
        <v>90</v>
      </c>
      <c r="T324" s="4">
        <v>4</v>
      </c>
      <c r="U324" s="3">
        <v>47</v>
      </c>
      <c r="V324" s="51">
        <f>IF(GroDB[[#This Row],[LeadTime]]=0,GroDB[[#This Row],[Sales_Volume]],GroDB[[#This Row],[Sales_Volume]]/GroDB[[#This Row],[LeadTime]])</f>
        <v>0.25133689839572193</v>
      </c>
      <c r="W324" s="51">
        <f>_xlfn.STDEV.S(GroDB[Daily Sales])</f>
        <v>5.1999899792654221</v>
      </c>
      <c r="X324" s="3">
        <v>35</v>
      </c>
      <c r="Y324" s="7">
        <v>0.71</v>
      </c>
      <c r="Z324" s="4">
        <f>GroDB[[#This Row],[Unit_Price]]*GroDB[[#This Row],[Sales_Volume]]</f>
        <v>188</v>
      </c>
      <c r="AA324" s="22">
        <f>GroDB[[#This Row],[ADU]]/GroDB[[#Totals],[ADU]]</f>
        <v>5.4608406313498591E-4</v>
      </c>
      <c r="AB324" s="1">
        <f>GroDB[[#This Row],[Sales_Volume]]*GroDB[[#This Row],[Ordering Cost]]</f>
        <v>150.4</v>
      </c>
    </row>
    <row r="325" spans="1:28" x14ac:dyDescent="0.35">
      <c r="A325" s="5" t="s">
        <v>293</v>
      </c>
      <c r="B325" s="3" t="s">
        <v>18</v>
      </c>
      <c r="C325" s="3" t="s">
        <v>1311</v>
      </c>
      <c r="D325" s="3" t="s">
        <v>1312</v>
      </c>
      <c r="E325" s="3" t="s">
        <v>21</v>
      </c>
      <c r="F325" s="3" t="s">
        <v>1313</v>
      </c>
      <c r="G325" s="3" t="s">
        <v>1314</v>
      </c>
      <c r="H325" s="43">
        <v>45638</v>
      </c>
      <c r="I325" s="43">
        <v>45421</v>
      </c>
      <c r="J325" s="47" t="str">
        <f>IF(GroDB[[#This Row],[Last_Order_Date]]&lt;=GroDB[[#This Row],[Date_Received]], "Yes", "No")</f>
        <v>Yes</v>
      </c>
      <c r="K325" s="43">
        <f>IF(GroDB[[#This Row],[Column1]]="No",GroDB[[#This Row],[Last_Order_Date]],GroDB[[#This Row],[Date_Received]])</f>
        <v>45638</v>
      </c>
      <c r="L325" s="43">
        <f>IF(GroDB[[#This Row],[Column1]]="No",GroDB[[#This Row],[Date_Received]],GroDB[[#This Row],[Last_Order_Date]])</f>
        <v>45421</v>
      </c>
      <c r="M325" s="45">
        <f>GroDB[[#This Row],[Date_Received1]]-GroDB[[#This Row],[Procurement_Date]]</f>
        <v>217</v>
      </c>
      <c r="N325" s="43">
        <v>45448</v>
      </c>
      <c r="O325" s="91">
        <f>GroDB[[#This Row],[Expiration_Date]]-GroDB[[#This Row],[Date_Received1]]</f>
        <v>-190</v>
      </c>
      <c r="P325" s="4">
        <v>1.6</v>
      </c>
      <c r="Q325" s="3">
        <v>50</v>
      </c>
      <c r="R325" s="3">
        <v>68</v>
      </c>
      <c r="S325" s="3">
        <v>90</v>
      </c>
      <c r="T325" s="4">
        <v>2</v>
      </c>
      <c r="U325" s="3">
        <v>40</v>
      </c>
      <c r="V325" s="51">
        <f>IF(GroDB[[#This Row],[LeadTime]]=0,GroDB[[#This Row],[Sales_Volume]],GroDB[[#This Row],[Sales_Volume]]/GroDB[[#This Row],[LeadTime]])</f>
        <v>0.18433179723502305</v>
      </c>
      <c r="W325" s="51">
        <f>_xlfn.STDEV.S(GroDB[Daily Sales])</f>
        <v>5.1999899792654221</v>
      </c>
      <c r="X325" s="3">
        <v>13</v>
      </c>
      <c r="Y325" s="7">
        <v>0.26</v>
      </c>
      <c r="Z325" s="4">
        <f>GroDB[[#This Row],[Unit_Price]]*GroDB[[#This Row],[Sales_Volume]]</f>
        <v>80</v>
      </c>
      <c r="AA325" s="22">
        <f>GroDB[[#This Row],[ADU]]/GroDB[[#Totals],[ADU]]</f>
        <v>2.323761970787174E-4</v>
      </c>
      <c r="AB325" s="1">
        <f>GroDB[[#This Row],[Sales_Volume]]*GroDB[[#This Row],[Ordering Cost]]</f>
        <v>64</v>
      </c>
    </row>
    <row r="326" spans="1:28" x14ac:dyDescent="0.35">
      <c r="A326" s="5" t="s">
        <v>239</v>
      </c>
      <c r="B326" s="3" t="s">
        <v>25</v>
      </c>
      <c r="C326" s="3" t="s">
        <v>900</v>
      </c>
      <c r="D326" s="3" t="s">
        <v>1315</v>
      </c>
      <c r="E326" s="3" t="s">
        <v>28</v>
      </c>
      <c r="F326" s="3" t="s">
        <v>1316</v>
      </c>
      <c r="G326" s="3" t="s">
        <v>1317</v>
      </c>
      <c r="H326" s="43">
        <v>45638</v>
      </c>
      <c r="I326" s="43">
        <v>45516</v>
      </c>
      <c r="J326" s="47" t="str">
        <f>IF(GroDB[[#This Row],[Last_Order_Date]]&lt;=GroDB[[#This Row],[Date_Received]], "Yes", "No")</f>
        <v>Yes</v>
      </c>
      <c r="K326" s="43">
        <f>IF(GroDB[[#This Row],[Column1]]="No",GroDB[[#This Row],[Last_Order_Date]],GroDB[[#This Row],[Date_Received]])</f>
        <v>45638</v>
      </c>
      <c r="L326" s="43">
        <f>IF(GroDB[[#This Row],[Column1]]="No",GroDB[[#This Row],[Date_Received]],GroDB[[#This Row],[Last_Order_Date]])</f>
        <v>45516</v>
      </c>
      <c r="M326" s="45">
        <f>GroDB[[#This Row],[Date_Received1]]-GroDB[[#This Row],[Procurement_Date]]</f>
        <v>122</v>
      </c>
      <c r="N326" s="43">
        <v>45474</v>
      </c>
      <c r="O326" s="91">
        <f>GroDB[[#This Row],[Expiration_Date]]-GroDB[[#This Row],[Date_Received1]]</f>
        <v>-164</v>
      </c>
      <c r="P326" s="4">
        <v>5.2</v>
      </c>
      <c r="Q326" s="3">
        <v>50</v>
      </c>
      <c r="R326" s="3">
        <v>36</v>
      </c>
      <c r="S326" s="3">
        <v>96</v>
      </c>
      <c r="T326" s="4">
        <v>6.5</v>
      </c>
      <c r="U326" s="3">
        <v>53</v>
      </c>
      <c r="V326" s="51">
        <f>IF(GroDB[[#This Row],[LeadTime]]=0,GroDB[[#This Row],[Sales_Volume]],GroDB[[#This Row],[Sales_Volume]]/GroDB[[#This Row],[LeadTime]])</f>
        <v>0.4344262295081967</v>
      </c>
      <c r="W326" s="51">
        <f>_xlfn.STDEV.S(GroDB[Daily Sales])</f>
        <v>5.1999899792654221</v>
      </c>
      <c r="X326" s="3">
        <v>73</v>
      </c>
      <c r="Y326" s="7">
        <v>0.68</v>
      </c>
      <c r="Z326" s="4">
        <f>GroDB[[#This Row],[Unit_Price]]*GroDB[[#This Row],[Sales_Volume]]</f>
        <v>344.5</v>
      </c>
      <c r="AA326" s="22">
        <f>GroDB[[#This Row],[ADU]]/GroDB[[#Totals],[ADU]]</f>
        <v>1.0006699986702268E-3</v>
      </c>
      <c r="AB326" s="1">
        <f>GroDB[[#This Row],[Sales_Volume]]*GroDB[[#This Row],[Ordering Cost]]</f>
        <v>275.60000000000002</v>
      </c>
    </row>
    <row r="327" spans="1:28" x14ac:dyDescent="0.35">
      <c r="A327" s="5" t="s">
        <v>146</v>
      </c>
      <c r="B327" s="3" t="s">
        <v>53</v>
      </c>
      <c r="C327" s="3" t="s">
        <v>1318</v>
      </c>
      <c r="D327" s="3" t="s">
        <v>1319</v>
      </c>
      <c r="E327" s="3" t="s">
        <v>21</v>
      </c>
      <c r="F327" s="3" t="s">
        <v>1320</v>
      </c>
      <c r="G327" s="3" t="s">
        <v>1321</v>
      </c>
      <c r="H327" s="43">
        <v>45689</v>
      </c>
      <c r="I327" s="43">
        <v>45528</v>
      </c>
      <c r="J327" s="47" t="str">
        <f>IF(GroDB[[#This Row],[Last_Order_Date]]&lt;=GroDB[[#This Row],[Date_Received]], "Yes", "No")</f>
        <v>Yes</v>
      </c>
      <c r="K327" s="43">
        <f>IF(GroDB[[#This Row],[Column1]]="No",GroDB[[#This Row],[Last_Order_Date]],GroDB[[#This Row],[Date_Received]])</f>
        <v>45689</v>
      </c>
      <c r="L327" s="43">
        <f>IF(GroDB[[#This Row],[Column1]]="No",GroDB[[#This Row],[Date_Received]],GroDB[[#This Row],[Last_Order_Date]])</f>
        <v>45528</v>
      </c>
      <c r="M327" s="45">
        <f>GroDB[[#This Row],[Date_Received1]]-GroDB[[#This Row],[Procurement_Date]]</f>
        <v>161</v>
      </c>
      <c r="N327" s="43">
        <v>45633</v>
      </c>
      <c r="O327" s="91">
        <f>GroDB[[#This Row],[Expiration_Date]]-GroDB[[#This Row],[Date_Received1]]</f>
        <v>-56</v>
      </c>
      <c r="P327" s="4">
        <v>3.8000000000000003</v>
      </c>
      <c r="Q327" s="3">
        <v>91</v>
      </c>
      <c r="R327" s="3">
        <v>73</v>
      </c>
      <c r="S327" s="3">
        <v>77</v>
      </c>
      <c r="T327" s="4">
        <v>4.75</v>
      </c>
      <c r="U327" s="3">
        <v>51</v>
      </c>
      <c r="V327" s="51">
        <f>IF(GroDB[[#This Row],[LeadTime]]=0,GroDB[[#This Row],[Sales_Volume]],GroDB[[#This Row],[Sales_Volume]]/GroDB[[#This Row],[LeadTime]])</f>
        <v>0.31677018633540371</v>
      </c>
      <c r="W327" s="51">
        <f>_xlfn.STDEV.S(GroDB[Daily Sales])</f>
        <v>5.1999899792654221</v>
      </c>
      <c r="X327" s="3">
        <v>49</v>
      </c>
      <c r="Y327" s="7">
        <v>-0.38</v>
      </c>
      <c r="Z327" s="4">
        <f>GroDB[[#This Row],[Unit_Price]]*GroDB[[#This Row],[Sales_Volume]]</f>
        <v>242.25</v>
      </c>
      <c r="AA327" s="22">
        <f>GroDB[[#This Row],[ADU]]/GroDB[[#Totals],[ADU]]</f>
        <v>7.036641717789911E-4</v>
      </c>
      <c r="AB327" s="1">
        <f>GroDB[[#This Row],[Sales_Volume]]*GroDB[[#This Row],[Ordering Cost]]</f>
        <v>193.8</v>
      </c>
    </row>
    <row r="328" spans="1:28" x14ac:dyDescent="0.35">
      <c r="A328" s="5" t="s">
        <v>632</v>
      </c>
      <c r="B328" s="3" t="s">
        <v>60</v>
      </c>
      <c r="C328" s="3" t="s">
        <v>628</v>
      </c>
      <c r="D328" s="3" t="s">
        <v>1322</v>
      </c>
      <c r="E328" s="3" t="s">
        <v>28</v>
      </c>
      <c r="F328" s="3" t="s">
        <v>1323</v>
      </c>
      <c r="G328" s="3" t="s">
        <v>1324</v>
      </c>
      <c r="H328" s="43">
        <v>45689</v>
      </c>
      <c r="I328" s="43">
        <v>45488</v>
      </c>
      <c r="J328" s="47" t="str">
        <f>IF(GroDB[[#This Row],[Last_Order_Date]]&lt;=GroDB[[#This Row],[Date_Received]], "Yes", "No")</f>
        <v>Yes</v>
      </c>
      <c r="K328" s="43">
        <f>IF(GroDB[[#This Row],[Column1]]="No",GroDB[[#This Row],[Last_Order_Date]],GroDB[[#This Row],[Date_Received]])</f>
        <v>45689</v>
      </c>
      <c r="L328" s="43">
        <f>IF(GroDB[[#This Row],[Column1]]="No",GroDB[[#This Row],[Date_Received]],GroDB[[#This Row],[Last_Order_Date]])</f>
        <v>45488</v>
      </c>
      <c r="M328" s="45">
        <f>GroDB[[#This Row],[Date_Received1]]-GroDB[[#This Row],[Procurement_Date]]</f>
        <v>201</v>
      </c>
      <c r="N328" s="43">
        <v>45375</v>
      </c>
      <c r="O328" s="91">
        <f>GroDB[[#This Row],[Expiration_Date]]-GroDB[[#This Row],[Date_Received1]]</f>
        <v>-314</v>
      </c>
      <c r="P328" s="4">
        <v>6.4</v>
      </c>
      <c r="Q328" s="3">
        <v>23</v>
      </c>
      <c r="R328" s="3">
        <v>42</v>
      </c>
      <c r="S328" s="3">
        <v>87</v>
      </c>
      <c r="T328" s="4">
        <v>8</v>
      </c>
      <c r="U328" s="3">
        <v>63</v>
      </c>
      <c r="V328" s="51">
        <f>IF(GroDB[[#This Row],[LeadTime]]=0,GroDB[[#This Row],[Sales_Volume]],GroDB[[#This Row],[Sales_Volume]]/GroDB[[#This Row],[LeadTime]])</f>
        <v>0.31343283582089554</v>
      </c>
      <c r="W328" s="51">
        <f>_xlfn.STDEV.S(GroDB[Daily Sales])</f>
        <v>5.1999899792654221</v>
      </c>
      <c r="X328" s="3">
        <v>5</v>
      </c>
      <c r="Y328" s="7">
        <v>0.04</v>
      </c>
      <c r="Z328" s="4">
        <f>GroDB[[#This Row],[Unit_Price]]*GroDB[[#This Row],[Sales_Volume]]</f>
        <v>504</v>
      </c>
      <c r="AA328" s="22">
        <f>GroDB[[#This Row],[ADU]]/GroDB[[#Totals],[ADU]]</f>
        <v>1.4639700415959196E-3</v>
      </c>
      <c r="AB328" s="1">
        <f>GroDB[[#This Row],[Sales_Volume]]*GroDB[[#This Row],[Ordering Cost]]</f>
        <v>403.20000000000005</v>
      </c>
    </row>
    <row r="329" spans="1:28" x14ac:dyDescent="0.35">
      <c r="A329" s="5" t="s">
        <v>65</v>
      </c>
      <c r="B329" s="3" t="s">
        <v>32</v>
      </c>
      <c r="C329" s="3" t="s">
        <v>1054</v>
      </c>
      <c r="D329" s="3" t="s">
        <v>1325</v>
      </c>
      <c r="E329" s="3" t="s">
        <v>21</v>
      </c>
      <c r="F329" s="3" t="s">
        <v>1326</v>
      </c>
      <c r="G329" s="3" t="s">
        <v>1327</v>
      </c>
      <c r="H329" s="43">
        <v>45689</v>
      </c>
      <c r="I329" s="43">
        <v>45499</v>
      </c>
      <c r="J329" s="47" t="str">
        <f>IF(GroDB[[#This Row],[Last_Order_Date]]&lt;=GroDB[[#This Row],[Date_Received]], "Yes", "No")</f>
        <v>Yes</v>
      </c>
      <c r="K329" s="43">
        <f>IF(GroDB[[#This Row],[Column1]]="No",GroDB[[#This Row],[Last_Order_Date]],GroDB[[#This Row],[Date_Received]])</f>
        <v>45689</v>
      </c>
      <c r="L329" s="43">
        <f>IF(GroDB[[#This Row],[Column1]]="No",GroDB[[#This Row],[Date_Received]],GroDB[[#This Row],[Last_Order_Date]])</f>
        <v>45499</v>
      </c>
      <c r="M329" s="45">
        <f>GroDB[[#This Row],[Date_Received1]]-GroDB[[#This Row],[Procurement_Date]]</f>
        <v>190</v>
      </c>
      <c r="N329" s="43">
        <v>45418</v>
      </c>
      <c r="O329" s="91">
        <f>GroDB[[#This Row],[Expiration_Date]]-GroDB[[#This Row],[Date_Received1]]</f>
        <v>-271</v>
      </c>
      <c r="P329" s="4">
        <v>7.6000000000000005</v>
      </c>
      <c r="Q329" s="3">
        <v>76</v>
      </c>
      <c r="R329" s="3">
        <v>15</v>
      </c>
      <c r="S329" s="3">
        <v>99</v>
      </c>
      <c r="T329" s="4">
        <v>9.5</v>
      </c>
      <c r="U329" s="3">
        <v>60</v>
      </c>
      <c r="V329" s="51">
        <f>IF(GroDB[[#This Row],[LeadTime]]=0,GroDB[[#This Row],[Sales_Volume]],GroDB[[#This Row],[Sales_Volume]]/GroDB[[#This Row],[LeadTime]])</f>
        <v>0.31578947368421051</v>
      </c>
      <c r="W329" s="51">
        <f>_xlfn.STDEV.S(GroDB[Daily Sales])</f>
        <v>5.1999899792654221</v>
      </c>
      <c r="X329" s="3">
        <v>49</v>
      </c>
      <c r="Y329" s="7">
        <v>0.92</v>
      </c>
      <c r="Z329" s="4">
        <f>GroDB[[#This Row],[Unit_Price]]*GroDB[[#This Row],[Sales_Volume]]</f>
        <v>570</v>
      </c>
      <c r="AA329" s="22">
        <f>GroDB[[#This Row],[ADU]]/GroDB[[#Totals],[ADU]]</f>
        <v>1.6556804041858615E-3</v>
      </c>
      <c r="AB329" s="1">
        <f>GroDB[[#This Row],[Sales_Volume]]*GroDB[[#This Row],[Ordering Cost]]</f>
        <v>456.00000000000006</v>
      </c>
    </row>
    <row r="330" spans="1:28" x14ac:dyDescent="0.35">
      <c r="A330" s="5" t="s">
        <v>615</v>
      </c>
      <c r="B330" s="3" t="s">
        <v>32</v>
      </c>
      <c r="C330" s="3" t="s">
        <v>1328</v>
      </c>
      <c r="D330" s="3" t="s">
        <v>1329</v>
      </c>
      <c r="E330" s="3" t="s">
        <v>21</v>
      </c>
      <c r="F330" s="3" t="s">
        <v>1330</v>
      </c>
      <c r="G330" s="3" t="s">
        <v>1331</v>
      </c>
      <c r="H330" s="43">
        <v>45689</v>
      </c>
      <c r="I330" s="43">
        <v>45700</v>
      </c>
      <c r="J330" s="47" t="str">
        <f>IF(GroDB[[#This Row],[Last_Order_Date]]&lt;=GroDB[[#This Row],[Date_Received]], "Yes", "No")</f>
        <v>No</v>
      </c>
      <c r="K330" s="43">
        <f>IF(GroDB[[#This Row],[Column1]]="No",GroDB[[#This Row],[Last_Order_Date]],GroDB[[#This Row],[Date_Received]])</f>
        <v>45700</v>
      </c>
      <c r="L330" s="43">
        <f>IF(GroDB[[#This Row],[Column1]]="No",GroDB[[#This Row],[Date_Received]],GroDB[[#This Row],[Last_Order_Date]])</f>
        <v>45689</v>
      </c>
      <c r="M330" s="45">
        <f>GroDB[[#This Row],[Date_Received1]]-GroDB[[#This Row],[Procurement_Date]]</f>
        <v>11</v>
      </c>
      <c r="N330" s="43">
        <v>45702</v>
      </c>
      <c r="O330" s="91">
        <f>GroDB[[#This Row],[Expiration_Date]]-GroDB[[#This Row],[Date_Received1]]</f>
        <v>2</v>
      </c>
      <c r="P330" s="4">
        <v>1.52</v>
      </c>
      <c r="Q330" s="3">
        <v>15</v>
      </c>
      <c r="R330" s="3">
        <v>75</v>
      </c>
      <c r="S330" s="3">
        <v>78</v>
      </c>
      <c r="T330" s="4">
        <v>1.9</v>
      </c>
      <c r="U330" s="3">
        <v>71</v>
      </c>
      <c r="V330" s="51">
        <f>IF(GroDB[[#This Row],[LeadTime]]=0,GroDB[[#This Row],[Sales_Volume]],GroDB[[#This Row],[Sales_Volume]]/GroDB[[#This Row],[LeadTime]])</f>
        <v>6.4545454545454541</v>
      </c>
      <c r="W330" s="51">
        <f>_xlfn.STDEV.S(GroDB[Daily Sales])</f>
        <v>5.1999899792654221</v>
      </c>
      <c r="X330" s="3">
        <v>21</v>
      </c>
      <c r="Y330" s="7">
        <v>0.18</v>
      </c>
      <c r="Z330" s="4">
        <f>GroDB[[#This Row],[Unit_Price]]*GroDB[[#This Row],[Sales_Volume]]</f>
        <v>134.9</v>
      </c>
      <c r="AA330" s="22">
        <f>GroDB[[#This Row],[ADU]]/GroDB[[#Totals],[ADU]]</f>
        <v>3.9184436232398724E-4</v>
      </c>
      <c r="AB330" s="1">
        <f>GroDB[[#This Row],[Sales_Volume]]*GroDB[[#This Row],[Ordering Cost]]</f>
        <v>107.92</v>
      </c>
    </row>
    <row r="331" spans="1:28" x14ac:dyDescent="0.35">
      <c r="A331" s="5" t="s">
        <v>980</v>
      </c>
      <c r="B331" s="3" t="s">
        <v>60</v>
      </c>
      <c r="C331" s="3" t="s">
        <v>1332</v>
      </c>
      <c r="D331" s="3" t="s">
        <v>1333</v>
      </c>
      <c r="E331" s="3" t="s">
        <v>56</v>
      </c>
      <c r="F331" s="3" t="s">
        <v>1334</v>
      </c>
      <c r="G331" s="3" t="s">
        <v>1335</v>
      </c>
      <c r="H331" s="43">
        <v>45689</v>
      </c>
      <c r="I331" s="43">
        <v>45555</v>
      </c>
      <c r="J331" s="47" t="str">
        <f>IF(GroDB[[#This Row],[Last_Order_Date]]&lt;=GroDB[[#This Row],[Date_Received]], "Yes", "No")</f>
        <v>Yes</v>
      </c>
      <c r="K331" s="43">
        <f>IF(GroDB[[#This Row],[Column1]]="No",GroDB[[#This Row],[Last_Order_Date]],GroDB[[#This Row],[Date_Received]])</f>
        <v>45689</v>
      </c>
      <c r="L331" s="43">
        <f>IF(GroDB[[#This Row],[Column1]]="No",GroDB[[#This Row],[Date_Received]],GroDB[[#This Row],[Last_Order_Date]])</f>
        <v>45555</v>
      </c>
      <c r="M331" s="45">
        <f>GroDB[[#This Row],[Date_Received1]]-GroDB[[#This Row],[Procurement_Date]]</f>
        <v>134</v>
      </c>
      <c r="N331" s="43">
        <v>45429</v>
      </c>
      <c r="O331" s="91">
        <f>GroDB[[#This Row],[Expiration_Date]]-GroDB[[#This Row],[Date_Received1]]</f>
        <v>-260</v>
      </c>
      <c r="P331" s="4">
        <v>12</v>
      </c>
      <c r="Q331" s="3">
        <v>79</v>
      </c>
      <c r="R331" s="3">
        <v>28</v>
      </c>
      <c r="S331" s="3">
        <v>4</v>
      </c>
      <c r="T331" s="4">
        <v>15</v>
      </c>
      <c r="U331" s="3">
        <v>42</v>
      </c>
      <c r="V331" s="51">
        <f>IF(GroDB[[#This Row],[LeadTime]]=0,GroDB[[#This Row],[Sales_Volume]],GroDB[[#This Row],[Sales_Volume]]/GroDB[[#This Row],[LeadTime]])</f>
        <v>0.31343283582089554</v>
      </c>
      <c r="W331" s="51">
        <f>_xlfn.STDEV.S(GroDB[Daily Sales])</f>
        <v>5.1999899792654221</v>
      </c>
      <c r="X331" s="3">
        <v>46</v>
      </c>
      <c r="Y331" s="7">
        <v>0.7</v>
      </c>
      <c r="Z331" s="4">
        <f>GroDB[[#This Row],[Unit_Price]]*GroDB[[#This Row],[Sales_Volume]]</f>
        <v>630</v>
      </c>
      <c r="AA331" s="22">
        <f>GroDB[[#This Row],[ADU]]/GroDB[[#Totals],[ADU]]</f>
        <v>1.8299625519948995E-3</v>
      </c>
      <c r="AB331" s="1">
        <f>GroDB[[#This Row],[Sales_Volume]]*GroDB[[#This Row],[Ordering Cost]]</f>
        <v>504</v>
      </c>
    </row>
    <row r="332" spans="1:28" x14ac:dyDescent="0.35">
      <c r="A332" s="5" t="s">
        <v>211</v>
      </c>
      <c r="B332" s="3" t="s">
        <v>32</v>
      </c>
      <c r="C332" s="3" t="s">
        <v>1336</v>
      </c>
      <c r="D332" s="3" t="s">
        <v>1337</v>
      </c>
      <c r="E332" s="3" t="s">
        <v>28</v>
      </c>
      <c r="F332" s="3" t="s">
        <v>1338</v>
      </c>
      <c r="G332" s="3" t="s">
        <v>1339</v>
      </c>
      <c r="H332" s="43">
        <v>45689</v>
      </c>
      <c r="I332" s="43">
        <v>45499</v>
      </c>
      <c r="J332" s="47" t="str">
        <f>IF(GroDB[[#This Row],[Last_Order_Date]]&lt;=GroDB[[#This Row],[Date_Received]], "Yes", "No")</f>
        <v>Yes</v>
      </c>
      <c r="K332" s="43">
        <f>IF(GroDB[[#This Row],[Column1]]="No",GroDB[[#This Row],[Last_Order_Date]],GroDB[[#This Row],[Date_Received]])</f>
        <v>45689</v>
      </c>
      <c r="L332" s="43">
        <f>IF(GroDB[[#This Row],[Column1]]="No",GroDB[[#This Row],[Date_Received]],GroDB[[#This Row],[Last_Order_Date]])</f>
        <v>45499</v>
      </c>
      <c r="M332" s="45">
        <f>GroDB[[#This Row],[Date_Received1]]-GroDB[[#This Row],[Procurement_Date]]</f>
        <v>190</v>
      </c>
      <c r="N332" s="43">
        <v>45573</v>
      </c>
      <c r="O332" s="91">
        <f>GroDB[[#This Row],[Expiration_Date]]-GroDB[[#This Row],[Date_Received1]]</f>
        <v>-116</v>
      </c>
      <c r="P332" s="4">
        <v>3.28</v>
      </c>
      <c r="Q332" s="3">
        <v>22</v>
      </c>
      <c r="R332" s="3">
        <v>43</v>
      </c>
      <c r="S332" s="3">
        <v>3</v>
      </c>
      <c r="T332" s="4">
        <v>4.0999999999999996</v>
      </c>
      <c r="U332" s="3">
        <v>45</v>
      </c>
      <c r="V332" s="51">
        <f>IF(GroDB[[#This Row],[LeadTime]]=0,GroDB[[#This Row],[Sales_Volume]],GroDB[[#This Row],[Sales_Volume]]/GroDB[[#This Row],[LeadTime]])</f>
        <v>0.23684210526315788</v>
      </c>
      <c r="W332" s="51">
        <f>_xlfn.STDEV.S(GroDB[Daily Sales])</f>
        <v>5.1999899792654221</v>
      </c>
      <c r="X332" s="3">
        <v>87</v>
      </c>
      <c r="Y332" s="7">
        <v>-0.1</v>
      </c>
      <c r="Z332" s="4">
        <f>GroDB[[#This Row],[Unit_Price]]*GroDB[[#This Row],[Sales_Volume]]</f>
        <v>184.49999999999997</v>
      </c>
      <c r="AA332" s="22">
        <f>GroDB[[#This Row],[ADU]]/GroDB[[#Totals],[ADU]]</f>
        <v>5.3591760451279194E-4</v>
      </c>
      <c r="AB332" s="1">
        <f>GroDB[[#This Row],[Sales_Volume]]*GroDB[[#This Row],[Ordering Cost]]</f>
        <v>147.6</v>
      </c>
    </row>
    <row r="333" spans="1:28" x14ac:dyDescent="0.35">
      <c r="A333" s="5" t="s">
        <v>828</v>
      </c>
      <c r="B333" s="3" t="s">
        <v>32</v>
      </c>
      <c r="C333" s="3" t="s">
        <v>513</v>
      </c>
      <c r="D333" s="3" t="s">
        <v>1340</v>
      </c>
      <c r="E333" s="3" t="s">
        <v>56</v>
      </c>
      <c r="F333" s="3" t="s">
        <v>1341</v>
      </c>
      <c r="G333" s="3" t="s">
        <v>1342</v>
      </c>
      <c r="H333" s="43">
        <v>45659</v>
      </c>
      <c r="I333" s="43">
        <v>45348</v>
      </c>
      <c r="J333" s="47" t="str">
        <f>IF(GroDB[[#This Row],[Last_Order_Date]]&lt;=GroDB[[#This Row],[Date_Received]], "Yes", "No")</f>
        <v>Yes</v>
      </c>
      <c r="K333" s="43">
        <f>IF(GroDB[[#This Row],[Column1]]="No",GroDB[[#This Row],[Last_Order_Date]],GroDB[[#This Row],[Date_Received]])</f>
        <v>45659</v>
      </c>
      <c r="L333" s="43">
        <f>IF(GroDB[[#This Row],[Column1]]="No",GroDB[[#This Row],[Date_Received]],GroDB[[#This Row],[Last_Order_Date]])</f>
        <v>45348</v>
      </c>
      <c r="M333" s="45">
        <f>GroDB[[#This Row],[Date_Received1]]-GroDB[[#This Row],[Procurement_Date]]</f>
        <v>311</v>
      </c>
      <c r="N333" s="43">
        <v>45624</v>
      </c>
      <c r="O333" s="91">
        <f>GroDB[[#This Row],[Expiration_Date]]-GroDB[[#This Row],[Date_Received1]]</f>
        <v>-35</v>
      </c>
      <c r="P333" s="4">
        <v>4</v>
      </c>
      <c r="Q333" s="3">
        <v>37</v>
      </c>
      <c r="R333" s="3">
        <v>5</v>
      </c>
      <c r="S333" s="3">
        <v>1</v>
      </c>
      <c r="T333" s="4">
        <v>5</v>
      </c>
      <c r="U333" s="3">
        <v>68</v>
      </c>
      <c r="V333" s="51">
        <f>IF(GroDB[[#This Row],[LeadTime]]=0,GroDB[[#This Row],[Sales_Volume]],GroDB[[#This Row],[Sales_Volume]]/GroDB[[#This Row],[LeadTime]])</f>
        <v>0.21864951768488747</v>
      </c>
      <c r="W333" s="51">
        <f>_xlfn.STDEV.S(GroDB[Daily Sales])</f>
        <v>5.1999899792654221</v>
      </c>
      <c r="X333" s="3">
        <v>99</v>
      </c>
      <c r="Y333" s="7">
        <v>-0.93</v>
      </c>
      <c r="Z333" s="4">
        <f>GroDB[[#This Row],[Unit_Price]]*GroDB[[#This Row],[Sales_Volume]]</f>
        <v>340</v>
      </c>
      <c r="AA333" s="22">
        <f>GroDB[[#This Row],[ADU]]/GroDB[[#Totals],[ADU]]</f>
        <v>9.8759883758454893E-4</v>
      </c>
      <c r="AB333" s="1">
        <f>GroDB[[#This Row],[Sales_Volume]]*GroDB[[#This Row],[Ordering Cost]]</f>
        <v>272</v>
      </c>
    </row>
    <row r="334" spans="1:28" x14ac:dyDescent="0.35">
      <c r="A334" s="5" t="s">
        <v>420</v>
      </c>
      <c r="B334" s="3" t="s">
        <v>60</v>
      </c>
      <c r="C334" s="3" t="s">
        <v>466</v>
      </c>
      <c r="D334" s="3" t="s">
        <v>1343</v>
      </c>
      <c r="E334" s="3" t="s">
        <v>56</v>
      </c>
      <c r="F334" s="3" t="s">
        <v>1344</v>
      </c>
      <c r="G334" s="3" t="s">
        <v>1345</v>
      </c>
      <c r="H334" s="43">
        <v>45659</v>
      </c>
      <c r="I334" s="43">
        <v>45570</v>
      </c>
      <c r="J334" s="47" t="str">
        <f>IF(GroDB[[#This Row],[Last_Order_Date]]&lt;=GroDB[[#This Row],[Date_Received]], "Yes", "No")</f>
        <v>Yes</v>
      </c>
      <c r="K334" s="43">
        <f>IF(GroDB[[#This Row],[Column1]]="No",GroDB[[#This Row],[Last_Order_Date]],GroDB[[#This Row],[Date_Received]])</f>
        <v>45659</v>
      </c>
      <c r="L334" s="43">
        <f>IF(GroDB[[#This Row],[Column1]]="No",GroDB[[#This Row],[Date_Received]],GroDB[[#This Row],[Last_Order_Date]])</f>
        <v>45570</v>
      </c>
      <c r="M334" s="45">
        <f>GroDB[[#This Row],[Date_Received1]]-GroDB[[#This Row],[Procurement_Date]]</f>
        <v>89</v>
      </c>
      <c r="N334" s="43">
        <v>45416</v>
      </c>
      <c r="O334" s="91">
        <f>GroDB[[#This Row],[Expiration_Date]]-GroDB[[#This Row],[Date_Received1]]</f>
        <v>-243</v>
      </c>
      <c r="P334" s="4">
        <v>14.4</v>
      </c>
      <c r="Q334" s="3">
        <v>25</v>
      </c>
      <c r="R334" s="3">
        <v>75</v>
      </c>
      <c r="S334" s="3">
        <v>27</v>
      </c>
      <c r="T334" s="4">
        <v>18</v>
      </c>
      <c r="U334" s="3">
        <v>31</v>
      </c>
      <c r="V334" s="51">
        <f>IF(GroDB[[#This Row],[LeadTime]]=0,GroDB[[#This Row],[Sales_Volume]],GroDB[[#This Row],[Sales_Volume]]/GroDB[[#This Row],[LeadTime]])</f>
        <v>0.34831460674157305</v>
      </c>
      <c r="W334" s="51">
        <f>_xlfn.STDEV.S(GroDB[Daily Sales])</f>
        <v>5.1999899792654221</v>
      </c>
      <c r="X334" s="3">
        <v>36</v>
      </c>
      <c r="Y334" s="7">
        <v>-0.46</v>
      </c>
      <c r="Z334" s="4">
        <f>GroDB[[#This Row],[Unit_Price]]*GroDB[[#This Row],[Sales_Volume]]</f>
        <v>558</v>
      </c>
      <c r="AA334" s="22">
        <f>GroDB[[#This Row],[ADU]]/GroDB[[#Totals],[ADU]]</f>
        <v>1.620823974624054E-3</v>
      </c>
      <c r="AB334" s="1">
        <f>GroDB[[#This Row],[Sales_Volume]]*GroDB[[#This Row],[Ordering Cost]]</f>
        <v>446.40000000000003</v>
      </c>
    </row>
    <row r="335" spans="1:28" x14ac:dyDescent="0.35">
      <c r="A335" s="5" t="s">
        <v>674</v>
      </c>
      <c r="B335" s="3" t="s">
        <v>60</v>
      </c>
      <c r="C335" s="3" t="s">
        <v>1346</v>
      </c>
      <c r="D335" s="3" t="s">
        <v>1347</v>
      </c>
      <c r="E335" s="3" t="s">
        <v>56</v>
      </c>
      <c r="F335" s="3" t="s">
        <v>1348</v>
      </c>
      <c r="G335" s="3" t="s">
        <v>1349</v>
      </c>
      <c r="H335" s="43">
        <v>45659</v>
      </c>
      <c r="I335" s="43">
        <v>45449</v>
      </c>
      <c r="J335" s="47" t="str">
        <f>IF(GroDB[[#This Row],[Last_Order_Date]]&lt;=GroDB[[#This Row],[Date_Received]], "Yes", "No")</f>
        <v>Yes</v>
      </c>
      <c r="K335" s="43">
        <f>IF(GroDB[[#This Row],[Column1]]="No",GroDB[[#This Row],[Last_Order_Date]],GroDB[[#This Row],[Date_Received]])</f>
        <v>45659</v>
      </c>
      <c r="L335" s="43">
        <f>IF(GroDB[[#This Row],[Column1]]="No",GroDB[[#This Row],[Date_Received]],GroDB[[#This Row],[Last_Order_Date]])</f>
        <v>45449</v>
      </c>
      <c r="M335" s="45">
        <f>GroDB[[#This Row],[Date_Received1]]-GroDB[[#This Row],[Procurement_Date]]</f>
        <v>210</v>
      </c>
      <c r="N335" s="43">
        <v>45697</v>
      </c>
      <c r="O335" s="91">
        <f>GroDB[[#This Row],[Expiration_Date]]-GroDB[[#This Row],[Date_Received1]]</f>
        <v>38</v>
      </c>
      <c r="P335" s="4">
        <v>7.2</v>
      </c>
      <c r="Q335" s="3">
        <v>11</v>
      </c>
      <c r="R335" s="3">
        <v>87</v>
      </c>
      <c r="S335" s="3">
        <v>43</v>
      </c>
      <c r="T335" s="4">
        <v>9</v>
      </c>
      <c r="U335" s="3">
        <v>86</v>
      </c>
      <c r="V335" s="51">
        <f>IF(GroDB[[#This Row],[LeadTime]]=0,GroDB[[#This Row],[Sales_Volume]],GroDB[[#This Row],[Sales_Volume]]/GroDB[[#This Row],[LeadTime]])</f>
        <v>0.40952380952380951</v>
      </c>
      <c r="W335" s="51">
        <f>_xlfn.STDEV.S(GroDB[Daily Sales])</f>
        <v>5.1999899792654221</v>
      </c>
      <c r="X335" s="3">
        <v>91</v>
      </c>
      <c r="Y335" s="7">
        <v>-0.16</v>
      </c>
      <c r="Z335" s="4">
        <f>GroDB[[#This Row],[Unit_Price]]*GroDB[[#This Row],[Sales_Volume]]</f>
        <v>774</v>
      </c>
      <c r="AA335" s="22">
        <f>GroDB[[#This Row],[ADU]]/GroDB[[#Totals],[ADU]]</f>
        <v>2.2482397067365907E-3</v>
      </c>
      <c r="AB335" s="1">
        <f>GroDB[[#This Row],[Sales_Volume]]*GroDB[[#This Row],[Ordering Cost]]</f>
        <v>619.20000000000005</v>
      </c>
    </row>
    <row r="336" spans="1:28" x14ac:dyDescent="0.35">
      <c r="A336" s="5" t="s">
        <v>1350</v>
      </c>
      <c r="B336" s="3" t="s">
        <v>32</v>
      </c>
      <c r="C336" s="3" t="s">
        <v>1351</v>
      </c>
      <c r="D336" s="3" t="s">
        <v>1352</v>
      </c>
      <c r="E336" s="3" t="s">
        <v>21</v>
      </c>
      <c r="F336" s="3" t="s">
        <v>1353</v>
      </c>
      <c r="G336" s="3" t="s">
        <v>1354</v>
      </c>
      <c r="H336" s="43">
        <v>45660</v>
      </c>
      <c r="I336" s="43">
        <v>45680</v>
      </c>
      <c r="J336" s="47" t="str">
        <f>IF(GroDB[[#This Row],[Last_Order_Date]]&lt;=GroDB[[#This Row],[Date_Received]], "Yes", "No")</f>
        <v>No</v>
      </c>
      <c r="K336" s="43">
        <f>IF(GroDB[[#This Row],[Column1]]="No",GroDB[[#This Row],[Last_Order_Date]],GroDB[[#This Row],[Date_Received]])</f>
        <v>45680</v>
      </c>
      <c r="L336" s="43">
        <f>IF(GroDB[[#This Row],[Column1]]="No",GroDB[[#This Row],[Date_Received]],GroDB[[#This Row],[Last_Order_Date]])</f>
        <v>45660</v>
      </c>
      <c r="M336" s="45">
        <f>GroDB[[#This Row],[Date_Received1]]-GroDB[[#This Row],[Procurement_Date]]</f>
        <v>20</v>
      </c>
      <c r="N336" s="43">
        <v>45382</v>
      </c>
      <c r="O336" s="91">
        <f>GroDB[[#This Row],[Expiration_Date]]-GroDB[[#This Row],[Date_Received1]]</f>
        <v>-298</v>
      </c>
      <c r="P336" s="4">
        <v>2.4800000000000004</v>
      </c>
      <c r="Q336" s="3">
        <v>21</v>
      </c>
      <c r="R336" s="3">
        <v>87</v>
      </c>
      <c r="S336" s="3">
        <v>67</v>
      </c>
      <c r="T336" s="4">
        <v>3.1</v>
      </c>
      <c r="U336" s="3">
        <v>64</v>
      </c>
      <c r="V336" s="51">
        <f>IF(GroDB[[#This Row],[LeadTime]]=0,GroDB[[#This Row],[Sales_Volume]],GroDB[[#This Row],[Sales_Volume]]/GroDB[[#This Row],[LeadTime]])</f>
        <v>3.2</v>
      </c>
      <c r="W336" s="51">
        <f>_xlfn.STDEV.S(GroDB[Daily Sales])</f>
        <v>5.1999899792654221</v>
      </c>
      <c r="X336" s="3">
        <v>69</v>
      </c>
      <c r="Y336" s="7">
        <v>-0.06</v>
      </c>
      <c r="Z336" s="4">
        <f>GroDB[[#This Row],[Unit_Price]]*GroDB[[#This Row],[Sales_Volume]]</f>
        <v>198.4</v>
      </c>
      <c r="AA336" s="22">
        <f>GroDB[[#This Row],[ADU]]/GroDB[[#Totals],[ADU]]</f>
        <v>5.7629296875521911E-4</v>
      </c>
      <c r="AB336" s="1">
        <f>GroDB[[#This Row],[Sales_Volume]]*GroDB[[#This Row],[Ordering Cost]]</f>
        <v>158.72000000000003</v>
      </c>
    </row>
    <row r="337" spans="1:28" x14ac:dyDescent="0.35">
      <c r="A337" s="5" t="s">
        <v>582</v>
      </c>
      <c r="B337" s="3" t="s">
        <v>32</v>
      </c>
      <c r="C337" s="3" t="s">
        <v>112</v>
      </c>
      <c r="D337" s="3" t="s">
        <v>1355</v>
      </c>
      <c r="E337" s="3" t="s">
        <v>28</v>
      </c>
      <c r="F337" s="3" t="s">
        <v>1356</v>
      </c>
      <c r="G337" s="3" t="s">
        <v>1357</v>
      </c>
      <c r="H337" s="43">
        <v>45660</v>
      </c>
      <c r="I337" s="43">
        <v>45363</v>
      </c>
      <c r="J337" s="47" t="str">
        <f>IF(GroDB[[#This Row],[Last_Order_Date]]&lt;=GroDB[[#This Row],[Date_Received]], "Yes", "No")</f>
        <v>Yes</v>
      </c>
      <c r="K337" s="43">
        <f>IF(GroDB[[#This Row],[Column1]]="No",GroDB[[#This Row],[Last_Order_Date]],GroDB[[#This Row],[Date_Received]])</f>
        <v>45660</v>
      </c>
      <c r="L337" s="43">
        <f>IF(GroDB[[#This Row],[Column1]]="No",GroDB[[#This Row],[Date_Received]],GroDB[[#This Row],[Last_Order_Date]])</f>
        <v>45363</v>
      </c>
      <c r="M337" s="45">
        <f>GroDB[[#This Row],[Date_Received1]]-GroDB[[#This Row],[Procurement_Date]]</f>
        <v>297</v>
      </c>
      <c r="N337" s="43">
        <v>45490</v>
      </c>
      <c r="O337" s="91">
        <f>GroDB[[#This Row],[Expiration_Date]]-GroDB[[#This Row],[Date_Received1]]</f>
        <v>-170</v>
      </c>
      <c r="P337" s="4">
        <v>0.64000000000000012</v>
      </c>
      <c r="Q337" s="3">
        <v>34</v>
      </c>
      <c r="R337" s="3">
        <v>94</v>
      </c>
      <c r="S337" s="3">
        <v>69</v>
      </c>
      <c r="T337" s="4">
        <v>0.8</v>
      </c>
      <c r="U337" s="3">
        <v>96</v>
      </c>
      <c r="V337" s="51">
        <f>IF(GroDB[[#This Row],[LeadTime]]=0,GroDB[[#This Row],[Sales_Volume]],GroDB[[#This Row],[Sales_Volume]]/GroDB[[#This Row],[LeadTime]])</f>
        <v>0.32323232323232326</v>
      </c>
      <c r="W337" s="51">
        <f>_xlfn.STDEV.S(GroDB[Daily Sales])</f>
        <v>5.1999899792654221</v>
      </c>
      <c r="X337" s="3">
        <v>30</v>
      </c>
      <c r="Y337" s="7">
        <v>-0.08</v>
      </c>
      <c r="Z337" s="4">
        <f>GroDB[[#This Row],[Unit_Price]]*GroDB[[#This Row],[Sales_Volume]]</f>
        <v>76.800000000000011</v>
      </c>
      <c r="AA337" s="22">
        <f>GroDB[[#This Row],[ADU]]/GroDB[[#Totals],[ADU]]</f>
        <v>2.2308114919556874E-4</v>
      </c>
      <c r="AB337" s="1">
        <f>GroDB[[#This Row],[Sales_Volume]]*GroDB[[#This Row],[Ordering Cost]]</f>
        <v>61.440000000000012</v>
      </c>
    </row>
    <row r="338" spans="1:28" x14ac:dyDescent="0.35">
      <c r="A338" s="5" t="s">
        <v>549</v>
      </c>
      <c r="B338" s="3" t="s">
        <v>32</v>
      </c>
      <c r="C338" s="3" t="s">
        <v>1358</v>
      </c>
      <c r="D338" s="3" t="s">
        <v>1359</v>
      </c>
      <c r="E338" s="3" t="s">
        <v>21</v>
      </c>
      <c r="F338" s="3" t="s">
        <v>1360</v>
      </c>
      <c r="G338" s="3" t="s">
        <v>1361</v>
      </c>
      <c r="H338" s="43">
        <v>45691</v>
      </c>
      <c r="I338" s="43">
        <v>45391</v>
      </c>
      <c r="J338" s="47" t="str">
        <f>IF(GroDB[[#This Row],[Last_Order_Date]]&lt;=GroDB[[#This Row],[Date_Received]], "Yes", "No")</f>
        <v>Yes</v>
      </c>
      <c r="K338" s="43">
        <f>IF(GroDB[[#This Row],[Column1]]="No",GroDB[[#This Row],[Last_Order_Date]],GroDB[[#This Row],[Date_Received]])</f>
        <v>45691</v>
      </c>
      <c r="L338" s="43">
        <f>IF(GroDB[[#This Row],[Column1]]="No",GroDB[[#This Row],[Date_Received]],GroDB[[#This Row],[Last_Order_Date]])</f>
        <v>45391</v>
      </c>
      <c r="M338" s="45">
        <f>GroDB[[#This Row],[Date_Received1]]-GroDB[[#This Row],[Procurement_Date]]</f>
        <v>300</v>
      </c>
      <c r="N338" s="43">
        <v>45693</v>
      </c>
      <c r="O338" s="91">
        <f>GroDB[[#This Row],[Expiration_Date]]-GroDB[[#This Row],[Date_Received1]]</f>
        <v>2</v>
      </c>
      <c r="P338" s="4">
        <v>2</v>
      </c>
      <c r="Q338" s="3">
        <v>44</v>
      </c>
      <c r="R338" s="3">
        <v>90</v>
      </c>
      <c r="S338" s="3">
        <v>17</v>
      </c>
      <c r="T338" s="4">
        <v>2.5</v>
      </c>
      <c r="U338" s="3">
        <v>21</v>
      </c>
      <c r="V338" s="51">
        <f>IF(GroDB[[#This Row],[LeadTime]]=0,GroDB[[#This Row],[Sales_Volume]],GroDB[[#This Row],[Sales_Volume]]/GroDB[[#This Row],[LeadTime]])</f>
        <v>7.0000000000000007E-2</v>
      </c>
      <c r="W338" s="51">
        <f>_xlfn.STDEV.S(GroDB[Daily Sales])</f>
        <v>5.1999899792654221</v>
      </c>
      <c r="X338" s="3">
        <v>91</v>
      </c>
      <c r="Y338" s="7">
        <v>0.69</v>
      </c>
      <c r="Z338" s="4">
        <f>GroDB[[#This Row],[Unit_Price]]*GroDB[[#This Row],[Sales_Volume]]</f>
        <v>52.5</v>
      </c>
      <c r="AA338" s="22">
        <f>GroDB[[#This Row],[ADU]]/GroDB[[#Totals],[ADU]]</f>
        <v>1.5249687933290828E-4</v>
      </c>
      <c r="AB338" s="1">
        <f>GroDB[[#This Row],[Sales_Volume]]*GroDB[[#This Row],[Ordering Cost]]</f>
        <v>42</v>
      </c>
    </row>
    <row r="339" spans="1:28" x14ac:dyDescent="0.35">
      <c r="A339" s="5" t="s">
        <v>85</v>
      </c>
      <c r="B339" s="3" t="s">
        <v>18</v>
      </c>
      <c r="C339" s="3" t="s">
        <v>316</v>
      </c>
      <c r="D339" s="3" t="s">
        <v>1362</v>
      </c>
      <c r="E339" s="3" t="s">
        <v>21</v>
      </c>
      <c r="F339" s="3" t="s">
        <v>1363</v>
      </c>
      <c r="G339" s="3" t="s">
        <v>1364</v>
      </c>
      <c r="H339" s="43">
        <v>45691</v>
      </c>
      <c r="I339" s="43">
        <v>45609</v>
      </c>
      <c r="J339" s="47" t="str">
        <f>IF(GroDB[[#This Row],[Last_Order_Date]]&lt;=GroDB[[#This Row],[Date_Received]], "Yes", "No")</f>
        <v>Yes</v>
      </c>
      <c r="K339" s="43">
        <f>IF(GroDB[[#This Row],[Column1]]="No",GroDB[[#This Row],[Last_Order_Date]],GroDB[[#This Row],[Date_Received]])</f>
        <v>45691</v>
      </c>
      <c r="L339" s="43">
        <f>IF(GroDB[[#This Row],[Column1]]="No",GroDB[[#This Row],[Date_Received]],GroDB[[#This Row],[Last_Order_Date]])</f>
        <v>45609</v>
      </c>
      <c r="M339" s="45">
        <f>GroDB[[#This Row],[Date_Received1]]-GroDB[[#This Row],[Procurement_Date]]</f>
        <v>82</v>
      </c>
      <c r="N339" s="43">
        <v>45370</v>
      </c>
      <c r="O339" s="91">
        <f>GroDB[[#This Row],[Expiration_Date]]-GroDB[[#This Row],[Date_Received1]]</f>
        <v>-321</v>
      </c>
      <c r="P339" s="4">
        <v>2.3199999999999998</v>
      </c>
      <c r="Q339" s="3">
        <v>88</v>
      </c>
      <c r="R339" s="3">
        <v>37</v>
      </c>
      <c r="S339" s="3">
        <v>61</v>
      </c>
      <c r="T339" s="4">
        <v>2.9</v>
      </c>
      <c r="U339" s="3">
        <v>63</v>
      </c>
      <c r="V339" s="51">
        <f>IF(GroDB[[#This Row],[LeadTime]]=0,GroDB[[#This Row],[Sales_Volume]],GroDB[[#This Row],[Sales_Volume]]/GroDB[[#This Row],[LeadTime]])</f>
        <v>0.76829268292682928</v>
      </c>
      <c r="W339" s="51">
        <f>_xlfn.STDEV.S(GroDB[Daily Sales])</f>
        <v>5.1999899792654221</v>
      </c>
      <c r="X339" s="3">
        <v>35</v>
      </c>
      <c r="Y339" s="7">
        <v>-3.33</v>
      </c>
      <c r="Z339" s="4">
        <f>GroDB[[#This Row],[Unit_Price]]*GroDB[[#This Row],[Sales_Volume]]</f>
        <v>182.7</v>
      </c>
      <c r="AA339" s="22">
        <f>GroDB[[#This Row],[ADU]]/GroDB[[#Totals],[ADU]]</f>
        <v>5.3068914007852082E-4</v>
      </c>
      <c r="AB339" s="1">
        <f>GroDB[[#This Row],[Sales_Volume]]*GroDB[[#This Row],[Ordering Cost]]</f>
        <v>146.16</v>
      </c>
    </row>
    <row r="340" spans="1:28" x14ac:dyDescent="0.35">
      <c r="A340" s="5" t="s">
        <v>566</v>
      </c>
      <c r="B340" s="3" t="s">
        <v>127</v>
      </c>
      <c r="C340" s="3" t="s">
        <v>1365</v>
      </c>
      <c r="D340" s="3" t="s">
        <v>1366</v>
      </c>
      <c r="E340" s="3" t="s">
        <v>21</v>
      </c>
      <c r="F340" s="3" t="s">
        <v>1367</v>
      </c>
      <c r="G340" s="3" t="s">
        <v>1368</v>
      </c>
      <c r="H340" s="43">
        <v>45691</v>
      </c>
      <c r="I340" s="43">
        <v>45590</v>
      </c>
      <c r="J340" s="47" t="str">
        <f>IF(GroDB[[#This Row],[Last_Order_Date]]&lt;=GroDB[[#This Row],[Date_Received]], "Yes", "No")</f>
        <v>Yes</v>
      </c>
      <c r="K340" s="43">
        <f>IF(GroDB[[#This Row],[Column1]]="No",GroDB[[#This Row],[Last_Order_Date]],GroDB[[#This Row],[Date_Received]])</f>
        <v>45691</v>
      </c>
      <c r="L340" s="43">
        <f>IF(GroDB[[#This Row],[Column1]]="No",GroDB[[#This Row],[Date_Received]],GroDB[[#This Row],[Last_Order_Date]])</f>
        <v>45590</v>
      </c>
      <c r="M340" s="45">
        <f>GroDB[[#This Row],[Date_Received1]]-GroDB[[#This Row],[Procurement_Date]]</f>
        <v>101</v>
      </c>
      <c r="N340" s="43">
        <v>45354</v>
      </c>
      <c r="O340" s="91">
        <f>GroDB[[#This Row],[Expiration_Date]]-GroDB[[#This Row],[Date_Received1]]</f>
        <v>-337</v>
      </c>
      <c r="P340" s="4">
        <v>12</v>
      </c>
      <c r="Q340" s="3">
        <v>61</v>
      </c>
      <c r="R340" s="3">
        <v>43</v>
      </c>
      <c r="S340" s="3">
        <v>29</v>
      </c>
      <c r="T340" s="4">
        <v>15</v>
      </c>
      <c r="U340" s="3">
        <v>67</v>
      </c>
      <c r="V340" s="51">
        <f>IF(GroDB[[#This Row],[LeadTime]]=0,GroDB[[#This Row],[Sales_Volume]],GroDB[[#This Row],[Sales_Volume]]/GroDB[[#This Row],[LeadTime]])</f>
        <v>0.6633663366336634</v>
      </c>
      <c r="W340" s="51">
        <f>_xlfn.STDEV.S(GroDB[Daily Sales])</f>
        <v>5.1999899792654221</v>
      </c>
      <c r="X340" s="3">
        <v>6</v>
      </c>
      <c r="Y340" s="7">
        <v>0.44</v>
      </c>
      <c r="Z340" s="4">
        <f>GroDB[[#This Row],[Unit_Price]]*GroDB[[#This Row],[Sales_Volume]]</f>
        <v>1005</v>
      </c>
      <c r="AA340" s="22">
        <f>GroDB[[#This Row],[ADU]]/GroDB[[#Totals],[ADU]]</f>
        <v>2.9192259758013873E-3</v>
      </c>
      <c r="AB340" s="1">
        <f>GroDB[[#This Row],[Sales_Volume]]*GroDB[[#This Row],[Ordering Cost]]</f>
        <v>804</v>
      </c>
    </row>
    <row r="341" spans="1:28" x14ac:dyDescent="0.35">
      <c r="A341" s="5" t="s">
        <v>1369</v>
      </c>
      <c r="B341" s="3" t="s">
        <v>32</v>
      </c>
      <c r="C341" s="3" t="s">
        <v>1370</v>
      </c>
      <c r="D341" s="3" t="s">
        <v>1371</v>
      </c>
      <c r="E341" s="3" t="s">
        <v>21</v>
      </c>
      <c r="F341" s="3" t="s">
        <v>1372</v>
      </c>
      <c r="G341" s="3" t="s">
        <v>1373</v>
      </c>
      <c r="H341" s="43">
        <v>45691</v>
      </c>
      <c r="I341" s="43">
        <v>45367</v>
      </c>
      <c r="J341" s="47" t="str">
        <f>IF(GroDB[[#This Row],[Last_Order_Date]]&lt;=GroDB[[#This Row],[Date_Received]], "Yes", "No")</f>
        <v>Yes</v>
      </c>
      <c r="K341" s="43">
        <f>IF(GroDB[[#This Row],[Column1]]="No",GroDB[[#This Row],[Last_Order_Date]],GroDB[[#This Row],[Date_Received]])</f>
        <v>45691</v>
      </c>
      <c r="L341" s="43">
        <f>IF(GroDB[[#This Row],[Column1]]="No",GroDB[[#This Row],[Date_Received]],GroDB[[#This Row],[Last_Order_Date]])</f>
        <v>45367</v>
      </c>
      <c r="M341" s="45">
        <f>GroDB[[#This Row],[Date_Received1]]-GroDB[[#This Row],[Procurement_Date]]</f>
        <v>324</v>
      </c>
      <c r="N341" s="43">
        <v>45536</v>
      </c>
      <c r="O341" s="91">
        <f>GroDB[[#This Row],[Expiration_Date]]-GroDB[[#This Row],[Date_Received1]]</f>
        <v>-155</v>
      </c>
      <c r="P341" s="4">
        <v>3.2</v>
      </c>
      <c r="Q341" s="3">
        <v>12</v>
      </c>
      <c r="R341" s="3">
        <v>60</v>
      </c>
      <c r="S341" s="3">
        <v>73</v>
      </c>
      <c r="T341" s="4">
        <v>4</v>
      </c>
      <c r="U341" s="3">
        <v>20</v>
      </c>
      <c r="V341" s="51">
        <f>IF(GroDB[[#This Row],[LeadTime]]=0,GroDB[[#This Row],[Sales_Volume]],GroDB[[#This Row],[Sales_Volume]]/GroDB[[#This Row],[LeadTime]])</f>
        <v>6.1728395061728392E-2</v>
      </c>
      <c r="W341" s="51">
        <f>_xlfn.STDEV.S(GroDB[Daily Sales])</f>
        <v>5.1999899792654221</v>
      </c>
      <c r="X341" s="3">
        <v>35</v>
      </c>
      <c r="Y341" s="7">
        <v>0.91</v>
      </c>
      <c r="Z341" s="4">
        <f>GroDB[[#This Row],[Unit_Price]]*GroDB[[#This Row],[Sales_Volume]]</f>
        <v>80</v>
      </c>
      <c r="AA341" s="22">
        <f>GroDB[[#This Row],[ADU]]/GroDB[[#Totals],[ADU]]</f>
        <v>2.323761970787174E-4</v>
      </c>
      <c r="AB341" s="1">
        <f>GroDB[[#This Row],[Sales_Volume]]*GroDB[[#This Row],[Ordering Cost]]</f>
        <v>64</v>
      </c>
    </row>
    <row r="342" spans="1:28" x14ac:dyDescent="0.35">
      <c r="A342" s="5" t="s">
        <v>293</v>
      </c>
      <c r="B342" s="3" t="s">
        <v>18</v>
      </c>
      <c r="C342" s="3" t="s">
        <v>1374</v>
      </c>
      <c r="D342" s="3" t="s">
        <v>1375</v>
      </c>
      <c r="E342" s="3" t="s">
        <v>56</v>
      </c>
      <c r="F342" s="3" t="s">
        <v>1376</v>
      </c>
      <c r="G342" s="3" t="s">
        <v>1377</v>
      </c>
      <c r="H342" s="43">
        <v>45691</v>
      </c>
      <c r="I342" s="43">
        <v>45595</v>
      </c>
      <c r="J342" s="47" t="str">
        <f>IF(GroDB[[#This Row],[Last_Order_Date]]&lt;=GroDB[[#This Row],[Date_Received]], "Yes", "No")</f>
        <v>Yes</v>
      </c>
      <c r="K342" s="43">
        <f>IF(GroDB[[#This Row],[Column1]]="No",GroDB[[#This Row],[Last_Order_Date]],GroDB[[#This Row],[Date_Received]])</f>
        <v>45691</v>
      </c>
      <c r="L342" s="43">
        <f>IF(GroDB[[#This Row],[Column1]]="No",GroDB[[#This Row],[Date_Received]],GroDB[[#This Row],[Last_Order_Date]])</f>
        <v>45595</v>
      </c>
      <c r="M342" s="45">
        <f>GroDB[[#This Row],[Date_Received1]]-GroDB[[#This Row],[Procurement_Date]]</f>
        <v>96</v>
      </c>
      <c r="N342" s="43">
        <v>45645</v>
      </c>
      <c r="O342" s="91">
        <f>GroDB[[#This Row],[Expiration_Date]]-GroDB[[#This Row],[Date_Received1]]</f>
        <v>-46</v>
      </c>
      <c r="P342" s="4">
        <v>1.6</v>
      </c>
      <c r="Q342" s="3">
        <v>98</v>
      </c>
      <c r="R342" s="3">
        <v>40</v>
      </c>
      <c r="S342" s="3">
        <v>100</v>
      </c>
      <c r="T342" s="4">
        <v>2</v>
      </c>
      <c r="U342" s="3">
        <v>46</v>
      </c>
      <c r="V342" s="51">
        <f>IF(GroDB[[#This Row],[LeadTime]]=0,GroDB[[#This Row],[Sales_Volume]],GroDB[[#This Row],[Sales_Volume]]/GroDB[[#This Row],[LeadTime]])</f>
        <v>0.47916666666666669</v>
      </c>
      <c r="W342" s="51">
        <f>_xlfn.STDEV.S(GroDB[Daily Sales])</f>
        <v>5.1999899792654221</v>
      </c>
      <c r="X342" s="3">
        <v>9</v>
      </c>
      <c r="Y342" s="7">
        <v>-0.75</v>
      </c>
      <c r="Z342" s="4">
        <f>GroDB[[#This Row],[Unit_Price]]*GroDB[[#This Row],[Sales_Volume]]</f>
        <v>92</v>
      </c>
      <c r="AA342" s="22">
        <f>GroDB[[#This Row],[ADU]]/GroDB[[#Totals],[ADU]]</f>
        <v>2.6723262664052501E-4</v>
      </c>
      <c r="AB342" s="1">
        <f>GroDB[[#This Row],[Sales_Volume]]*GroDB[[#This Row],[Ordering Cost]]</f>
        <v>73.600000000000009</v>
      </c>
    </row>
    <row r="343" spans="1:28" x14ac:dyDescent="0.35">
      <c r="A343" s="5" t="s">
        <v>126</v>
      </c>
      <c r="B343" s="3" t="s">
        <v>127</v>
      </c>
      <c r="C343" s="3" t="s">
        <v>1378</v>
      </c>
      <c r="D343" s="3" t="s">
        <v>1379</v>
      </c>
      <c r="E343" s="3" t="s">
        <v>28</v>
      </c>
      <c r="F343" s="3" t="s">
        <v>1380</v>
      </c>
      <c r="G343" s="3" t="s">
        <v>1381</v>
      </c>
      <c r="H343" s="43">
        <v>45661</v>
      </c>
      <c r="I343" s="43">
        <v>45372</v>
      </c>
      <c r="J343" s="47" t="str">
        <f>IF(GroDB[[#This Row],[Last_Order_Date]]&lt;=GroDB[[#This Row],[Date_Received]], "Yes", "No")</f>
        <v>Yes</v>
      </c>
      <c r="K343" s="43">
        <f>IF(GroDB[[#This Row],[Column1]]="No",GroDB[[#This Row],[Last_Order_Date]],GroDB[[#This Row],[Date_Received]])</f>
        <v>45661</v>
      </c>
      <c r="L343" s="43">
        <f>IF(GroDB[[#This Row],[Column1]]="No",GroDB[[#This Row],[Date_Received]],GroDB[[#This Row],[Last_Order_Date]])</f>
        <v>45372</v>
      </c>
      <c r="M343" s="45">
        <f>GroDB[[#This Row],[Date_Received1]]-GroDB[[#This Row],[Procurement_Date]]</f>
        <v>289</v>
      </c>
      <c r="N343" s="43">
        <v>45357</v>
      </c>
      <c r="O343" s="91">
        <f>GroDB[[#This Row],[Expiration_Date]]-GroDB[[#This Row],[Date_Received1]]</f>
        <v>-304</v>
      </c>
      <c r="P343" s="4">
        <v>16</v>
      </c>
      <c r="Q343" s="3">
        <v>46</v>
      </c>
      <c r="R343" s="3">
        <v>31</v>
      </c>
      <c r="S343" s="3">
        <v>89</v>
      </c>
      <c r="T343" s="4">
        <v>20</v>
      </c>
      <c r="U343" s="3">
        <v>59</v>
      </c>
      <c r="V343" s="51">
        <f>IF(GroDB[[#This Row],[LeadTime]]=0,GroDB[[#This Row],[Sales_Volume]],GroDB[[#This Row],[Sales_Volume]]/GroDB[[#This Row],[LeadTime]])</f>
        <v>0.20415224913494809</v>
      </c>
      <c r="W343" s="51">
        <f>_xlfn.STDEV.S(GroDB[Daily Sales])</f>
        <v>5.1999899792654221</v>
      </c>
      <c r="X343" s="3">
        <v>65</v>
      </c>
      <c r="Y343" s="7">
        <v>0.8</v>
      </c>
      <c r="Z343" s="4">
        <f>GroDB[[#This Row],[Unit_Price]]*GroDB[[#This Row],[Sales_Volume]]</f>
        <v>1180</v>
      </c>
      <c r="AA343" s="22">
        <f>GroDB[[#This Row],[ADU]]/GroDB[[#Totals],[ADU]]</f>
        <v>3.4275489069110817E-3</v>
      </c>
      <c r="AB343" s="1">
        <f>GroDB[[#This Row],[Sales_Volume]]*GroDB[[#This Row],[Ordering Cost]]</f>
        <v>944</v>
      </c>
    </row>
    <row r="344" spans="1:28" x14ac:dyDescent="0.35">
      <c r="A344" s="5" t="s">
        <v>65</v>
      </c>
      <c r="B344" s="3" t="s">
        <v>32</v>
      </c>
      <c r="C344" s="3" t="s">
        <v>755</v>
      </c>
      <c r="D344" s="3" t="s">
        <v>1382</v>
      </c>
      <c r="E344" s="3" t="s">
        <v>21</v>
      </c>
      <c r="F344" s="3" t="s">
        <v>1383</v>
      </c>
      <c r="G344" s="3" t="s">
        <v>1384</v>
      </c>
      <c r="H344" s="43">
        <v>45661</v>
      </c>
      <c r="I344" s="43">
        <v>45650</v>
      </c>
      <c r="J344" s="47" t="str">
        <f>IF(GroDB[[#This Row],[Last_Order_Date]]&lt;=GroDB[[#This Row],[Date_Received]], "Yes", "No")</f>
        <v>Yes</v>
      </c>
      <c r="K344" s="43">
        <f>IF(GroDB[[#This Row],[Column1]]="No",GroDB[[#This Row],[Last_Order_Date]],GroDB[[#This Row],[Date_Received]])</f>
        <v>45661</v>
      </c>
      <c r="L344" s="43">
        <f>IF(GroDB[[#This Row],[Column1]]="No",GroDB[[#This Row],[Date_Received]],GroDB[[#This Row],[Last_Order_Date]])</f>
        <v>45650</v>
      </c>
      <c r="M344" s="45">
        <f>GroDB[[#This Row],[Date_Received1]]-GroDB[[#This Row],[Procurement_Date]]</f>
        <v>11</v>
      </c>
      <c r="N344" s="43">
        <v>45694</v>
      </c>
      <c r="O344" s="91">
        <f>GroDB[[#This Row],[Expiration_Date]]-GroDB[[#This Row],[Date_Received1]]</f>
        <v>33</v>
      </c>
      <c r="P344" s="4">
        <v>7.2</v>
      </c>
      <c r="Q344" s="3">
        <v>88</v>
      </c>
      <c r="R344" s="3">
        <v>53</v>
      </c>
      <c r="S344" s="3">
        <v>44</v>
      </c>
      <c r="T344" s="4">
        <v>9</v>
      </c>
      <c r="U344" s="3">
        <v>56</v>
      </c>
      <c r="V344" s="51">
        <f>IF(GroDB[[#This Row],[LeadTime]]=0,GroDB[[#This Row],[Sales_Volume]],GroDB[[#This Row],[Sales_Volume]]/GroDB[[#This Row],[LeadTime]])</f>
        <v>5.0909090909090908</v>
      </c>
      <c r="W344" s="51">
        <f>_xlfn.STDEV.S(GroDB[Daily Sales])</f>
        <v>5.1999899792654221</v>
      </c>
      <c r="X344" s="3">
        <v>14</v>
      </c>
      <c r="Y344" s="7">
        <v>-0.1</v>
      </c>
      <c r="Z344" s="4">
        <f>GroDB[[#This Row],[Unit_Price]]*GroDB[[#This Row],[Sales_Volume]]</f>
        <v>504</v>
      </c>
      <c r="AA344" s="22">
        <f>GroDB[[#This Row],[ADU]]/GroDB[[#Totals],[ADU]]</f>
        <v>1.4639700415959196E-3</v>
      </c>
      <c r="AB344" s="1">
        <f>GroDB[[#This Row],[Sales_Volume]]*GroDB[[#This Row],[Ordering Cost]]</f>
        <v>403.2</v>
      </c>
    </row>
    <row r="345" spans="1:28" x14ac:dyDescent="0.35">
      <c r="A345" s="5" t="s">
        <v>549</v>
      </c>
      <c r="B345" s="3" t="s">
        <v>32</v>
      </c>
      <c r="C345" s="3" t="s">
        <v>1139</v>
      </c>
      <c r="D345" s="3" t="s">
        <v>1385</v>
      </c>
      <c r="E345" s="3" t="s">
        <v>21</v>
      </c>
      <c r="F345" s="3" t="s">
        <v>1386</v>
      </c>
      <c r="G345" s="3" t="s">
        <v>1387</v>
      </c>
      <c r="H345" s="43">
        <v>45661</v>
      </c>
      <c r="I345" s="43">
        <v>45564</v>
      </c>
      <c r="J345" s="47" t="str">
        <f>IF(GroDB[[#This Row],[Last_Order_Date]]&lt;=GroDB[[#This Row],[Date_Received]], "Yes", "No")</f>
        <v>Yes</v>
      </c>
      <c r="K345" s="43">
        <f>IF(GroDB[[#This Row],[Column1]]="No",GroDB[[#This Row],[Last_Order_Date]],GroDB[[#This Row],[Date_Received]])</f>
        <v>45661</v>
      </c>
      <c r="L345" s="43">
        <f>IF(GroDB[[#This Row],[Column1]]="No",GroDB[[#This Row],[Date_Received]],GroDB[[#This Row],[Last_Order_Date]])</f>
        <v>45564</v>
      </c>
      <c r="M345" s="45">
        <f>GroDB[[#This Row],[Date_Received1]]-GroDB[[#This Row],[Procurement_Date]]</f>
        <v>97</v>
      </c>
      <c r="N345" s="43">
        <v>45696</v>
      </c>
      <c r="O345" s="91">
        <f>GroDB[[#This Row],[Expiration_Date]]-GroDB[[#This Row],[Date_Received1]]</f>
        <v>35</v>
      </c>
      <c r="P345" s="4">
        <v>2</v>
      </c>
      <c r="Q345" s="3">
        <v>88</v>
      </c>
      <c r="R345" s="3">
        <v>22</v>
      </c>
      <c r="S345" s="3">
        <v>61</v>
      </c>
      <c r="T345" s="4">
        <v>2.5</v>
      </c>
      <c r="U345" s="3">
        <v>54</v>
      </c>
      <c r="V345" s="51">
        <f>IF(GroDB[[#This Row],[LeadTime]]=0,GroDB[[#This Row],[Sales_Volume]],GroDB[[#This Row],[Sales_Volume]]/GroDB[[#This Row],[LeadTime]])</f>
        <v>0.55670103092783507</v>
      </c>
      <c r="W345" s="51">
        <f>_xlfn.STDEV.S(GroDB[Daily Sales])</f>
        <v>5.1999899792654221</v>
      </c>
      <c r="X345" s="3">
        <v>100</v>
      </c>
      <c r="Y345" s="7">
        <v>0.75</v>
      </c>
      <c r="Z345" s="4">
        <f>GroDB[[#This Row],[Unit_Price]]*GroDB[[#This Row],[Sales_Volume]]</f>
        <v>135</v>
      </c>
      <c r="AA345" s="22">
        <f>GroDB[[#This Row],[ADU]]/GroDB[[#Totals],[ADU]]</f>
        <v>3.9213483257033563E-4</v>
      </c>
      <c r="AB345" s="1">
        <f>GroDB[[#This Row],[Sales_Volume]]*GroDB[[#This Row],[Ordering Cost]]</f>
        <v>108</v>
      </c>
    </row>
    <row r="346" spans="1:28" x14ac:dyDescent="0.35">
      <c r="A346" s="5" t="s">
        <v>151</v>
      </c>
      <c r="B346" s="3" t="s">
        <v>91</v>
      </c>
      <c r="C346" s="3" t="s">
        <v>641</v>
      </c>
      <c r="D346" s="3" t="s">
        <v>1388</v>
      </c>
      <c r="E346" s="3" t="s">
        <v>28</v>
      </c>
      <c r="F346" s="3" t="s">
        <v>1389</v>
      </c>
      <c r="G346" s="3" t="s">
        <v>1390</v>
      </c>
      <c r="H346" s="43">
        <v>45661</v>
      </c>
      <c r="I346" s="43">
        <v>45628</v>
      </c>
      <c r="J346" s="47" t="str">
        <f>IF(GroDB[[#This Row],[Last_Order_Date]]&lt;=GroDB[[#This Row],[Date_Received]], "Yes", "No")</f>
        <v>Yes</v>
      </c>
      <c r="K346" s="43">
        <f>IF(GroDB[[#This Row],[Column1]]="No",GroDB[[#This Row],[Last_Order_Date]],GroDB[[#This Row],[Date_Received]])</f>
        <v>45661</v>
      </c>
      <c r="L346" s="43">
        <f>IF(GroDB[[#This Row],[Column1]]="No",GroDB[[#This Row],[Date_Received]],GroDB[[#This Row],[Last_Order_Date]])</f>
        <v>45628</v>
      </c>
      <c r="M346" s="45">
        <f>GroDB[[#This Row],[Date_Received1]]-GroDB[[#This Row],[Procurement_Date]]</f>
        <v>33</v>
      </c>
      <c r="N346" s="43">
        <v>45562</v>
      </c>
      <c r="O346" s="91">
        <f>GroDB[[#This Row],[Expiration_Date]]-GroDB[[#This Row],[Date_Received1]]</f>
        <v>-99</v>
      </c>
      <c r="P346" s="4">
        <v>3.2</v>
      </c>
      <c r="Q346" s="3">
        <v>94</v>
      </c>
      <c r="R346" s="3">
        <v>56</v>
      </c>
      <c r="S346" s="3">
        <v>80</v>
      </c>
      <c r="T346" s="4">
        <v>4</v>
      </c>
      <c r="U346" s="3">
        <v>47</v>
      </c>
      <c r="V346" s="51">
        <f>IF(GroDB[[#This Row],[LeadTime]]=0,GroDB[[#This Row],[Sales_Volume]],GroDB[[#This Row],[Sales_Volume]]/GroDB[[#This Row],[LeadTime]])</f>
        <v>1.4242424242424243</v>
      </c>
      <c r="W346" s="51">
        <f>_xlfn.STDEV.S(GroDB[Daily Sales])</f>
        <v>5.1999899792654221</v>
      </c>
      <c r="X346" s="3">
        <v>96</v>
      </c>
      <c r="Y346" s="7">
        <v>-0.85</v>
      </c>
      <c r="Z346" s="4">
        <f>GroDB[[#This Row],[Unit_Price]]*GroDB[[#This Row],[Sales_Volume]]</f>
        <v>188</v>
      </c>
      <c r="AA346" s="22">
        <f>GroDB[[#This Row],[ADU]]/GroDB[[#Totals],[ADU]]</f>
        <v>5.4608406313498591E-4</v>
      </c>
      <c r="AB346" s="1">
        <f>GroDB[[#This Row],[Sales_Volume]]*GroDB[[#This Row],[Ordering Cost]]</f>
        <v>150.4</v>
      </c>
    </row>
    <row r="347" spans="1:28" x14ac:dyDescent="0.35">
      <c r="A347" s="5" t="s">
        <v>329</v>
      </c>
      <c r="B347" s="3" t="s">
        <v>53</v>
      </c>
      <c r="C347" s="3" t="s">
        <v>1296</v>
      </c>
      <c r="D347" s="3" t="s">
        <v>1391</v>
      </c>
      <c r="E347" s="3" t="s">
        <v>56</v>
      </c>
      <c r="F347" s="3" t="s">
        <v>1392</v>
      </c>
      <c r="G347" s="3" t="s">
        <v>1393</v>
      </c>
      <c r="H347" s="43">
        <v>45661</v>
      </c>
      <c r="I347" s="43">
        <v>45478</v>
      </c>
      <c r="J347" s="47" t="str">
        <f>IF(GroDB[[#This Row],[Last_Order_Date]]&lt;=GroDB[[#This Row],[Date_Received]], "Yes", "No")</f>
        <v>Yes</v>
      </c>
      <c r="K347" s="43">
        <f>IF(GroDB[[#This Row],[Column1]]="No",GroDB[[#This Row],[Last_Order_Date]],GroDB[[#This Row],[Date_Received]])</f>
        <v>45661</v>
      </c>
      <c r="L347" s="43">
        <f>IF(GroDB[[#This Row],[Column1]]="No",GroDB[[#This Row],[Date_Received]],GroDB[[#This Row],[Last_Order_Date]])</f>
        <v>45478</v>
      </c>
      <c r="M347" s="45">
        <f>GroDB[[#This Row],[Date_Received1]]-GroDB[[#This Row],[Procurement_Date]]</f>
        <v>183</v>
      </c>
      <c r="N347" s="43">
        <v>45364</v>
      </c>
      <c r="O347" s="91">
        <f>GroDB[[#This Row],[Expiration_Date]]-GroDB[[#This Row],[Date_Received1]]</f>
        <v>-297</v>
      </c>
      <c r="P347" s="4">
        <v>4.8000000000000007</v>
      </c>
      <c r="Q347" s="3">
        <v>18</v>
      </c>
      <c r="R347" s="3">
        <v>78</v>
      </c>
      <c r="S347" s="3">
        <v>43</v>
      </c>
      <c r="T347" s="4">
        <v>6</v>
      </c>
      <c r="U347" s="3">
        <v>85</v>
      </c>
      <c r="V347" s="51">
        <f>IF(GroDB[[#This Row],[LeadTime]]=0,GroDB[[#This Row],[Sales_Volume]],GroDB[[#This Row],[Sales_Volume]]/GroDB[[#This Row],[LeadTime]])</f>
        <v>0.46448087431693991</v>
      </c>
      <c r="W347" s="51">
        <f>_xlfn.STDEV.S(GroDB[Daily Sales])</f>
        <v>5.1999899792654221</v>
      </c>
      <c r="X347" s="3">
        <v>97</v>
      </c>
      <c r="Y347" s="7">
        <v>-1.04</v>
      </c>
      <c r="Z347" s="4">
        <f>GroDB[[#This Row],[Unit_Price]]*GroDB[[#This Row],[Sales_Volume]]</f>
        <v>510</v>
      </c>
      <c r="AA347" s="22">
        <f>GroDB[[#This Row],[ADU]]/GroDB[[#Totals],[ADU]]</f>
        <v>1.4813982563768235E-3</v>
      </c>
      <c r="AB347" s="1">
        <f>GroDB[[#This Row],[Sales_Volume]]*GroDB[[#This Row],[Ordering Cost]]</f>
        <v>408.00000000000006</v>
      </c>
    </row>
    <row r="348" spans="1:28" x14ac:dyDescent="0.35">
      <c r="A348" s="5" t="s">
        <v>17</v>
      </c>
      <c r="B348" s="3" t="s">
        <v>18</v>
      </c>
      <c r="C348" s="3" t="s">
        <v>1394</v>
      </c>
      <c r="D348" s="3" t="s">
        <v>1395</v>
      </c>
      <c r="E348" s="3" t="s">
        <v>21</v>
      </c>
      <c r="F348" s="3" t="s">
        <v>1396</v>
      </c>
      <c r="G348" s="3" t="s">
        <v>1397</v>
      </c>
      <c r="H348" s="43">
        <v>45661</v>
      </c>
      <c r="I348" s="43">
        <v>45580</v>
      </c>
      <c r="J348" s="47" t="str">
        <f>IF(GroDB[[#This Row],[Last_Order_Date]]&lt;=GroDB[[#This Row],[Date_Received]], "Yes", "No")</f>
        <v>Yes</v>
      </c>
      <c r="K348" s="43">
        <f>IF(GroDB[[#This Row],[Column1]]="No",GroDB[[#This Row],[Last_Order_Date]],GroDB[[#This Row],[Date_Received]])</f>
        <v>45661</v>
      </c>
      <c r="L348" s="43">
        <f>IF(GroDB[[#This Row],[Column1]]="No",GroDB[[#This Row],[Date_Received]],GroDB[[#This Row],[Last_Order_Date]])</f>
        <v>45580</v>
      </c>
      <c r="M348" s="45">
        <f>GroDB[[#This Row],[Date_Received1]]-GroDB[[#This Row],[Procurement_Date]]</f>
        <v>81</v>
      </c>
      <c r="N348" s="43">
        <v>45552</v>
      </c>
      <c r="O348" s="91">
        <f>GroDB[[#This Row],[Expiration_Date]]-GroDB[[#This Row],[Date_Received1]]</f>
        <v>-109</v>
      </c>
      <c r="P348" s="4">
        <v>3.6</v>
      </c>
      <c r="Q348" s="3">
        <v>94</v>
      </c>
      <c r="R348" s="3">
        <v>18</v>
      </c>
      <c r="S348" s="3">
        <v>84</v>
      </c>
      <c r="T348" s="4">
        <v>4.5</v>
      </c>
      <c r="U348" s="3">
        <v>44</v>
      </c>
      <c r="V348" s="51">
        <f>IF(GroDB[[#This Row],[LeadTime]]=0,GroDB[[#This Row],[Sales_Volume]],GroDB[[#This Row],[Sales_Volume]]/GroDB[[#This Row],[LeadTime]])</f>
        <v>0.54320987654320985</v>
      </c>
      <c r="W348" s="51">
        <f>_xlfn.STDEV.S(GroDB[Daily Sales])</f>
        <v>5.1999899792654221</v>
      </c>
      <c r="X348" s="3">
        <v>49</v>
      </c>
      <c r="Y348" s="7">
        <v>-0.14000000000000001</v>
      </c>
      <c r="Z348" s="4">
        <f>GroDB[[#This Row],[Unit_Price]]*GroDB[[#This Row],[Sales_Volume]]</f>
        <v>198</v>
      </c>
      <c r="AA348" s="22">
        <f>GroDB[[#This Row],[ADU]]/GroDB[[#Totals],[ADU]]</f>
        <v>5.7513108776982558E-4</v>
      </c>
      <c r="AB348" s="1">
        <f>GroDB[[#This Row],[Sales_Volume]]*GroDB[[#This Row],[Ordering Cost]]</f>
        <v>158.4</v>
      </c>
    </row>
    <row r="349" spans="1:28" x14ac:dyDescent="0.35">
      <c r="A349" s="5" t="s">
        <v>85</v>
      </c>
      <c r="B349" s="3" t="s">
        <v>18</v>
      </c>
      <c r="C349" s="3" t="s">
        <v>1398</v>
      </c>
      <c r="D349" s="3" t="s">
        <v>1399</v>
      </c>
      <c r="E349" s="3" t="s">
        <v>21</v>
      </c>
      <c r="F349" s="3" t="s">
        <v>1400</v>
      </c>
      <c r="G349" s="3" t="s">
        <v>1401</v>
      </c>
      <c r="H349" s="43">
        <v>45692</v>
      </c>
      <c r="I349" s="43">
        <v>45499</v>
      </c>
      <c r="J349" s="47" t="str">
        <f>IF(GroDB[[#This Row],[Last_Order_Date]]&lt;=GroDB[[#This Row],[Date_Received]], "Yes", "No")</f>
        <v>Yes</v>
      </c>
      <c r="K349" s="43">
        <f>IF(GroDB[[#This Row],[Column1]]="No",GroDB[[#This Row],[Last_Order_Date]],GroDB[[#This Row],[Date_Received]])</f>
        <v>45692</v>
      </c>
      <c r="L349" s="43">
        <f>IF(GroDB[[#This Row],[Column1]]="No",GroDB[[#This Row],[Date_Received]],GroDB[[#This Row],[Last_Order_Date]])</f>
        <v>45499</v>
      </c>
      <c r="M349" s="45">
        <f>GroDB[[#This Row],[Date_Received1]]-GroDB[[#This Row],[Procurement_Date]]</f>
        <v>193</v>
      </c>
      <c r="N349" s="43">
        <v>45405</v>
      </c>
      <c r="O349" s="91">
        <f>GroDB[[#This Row],[Expiration_Date]]-GroDB[[#This Row],[Date_Received1]]</f>
        <v>-287</v>
      </c>
      <c r="P349" s="4">
        <v>2.4000000000000004</v>
      </c>
      <c r="Q349" s="3">
        <v>41</v>
      </c>
      <c r="R349" s="3">
        <v>94</v>
      </c>
      <c r="S349" s="3">
        <v>4</v>
      </c>
      <c r="T349" s="4">
        <v>3</v>
      </c>
      <c r="U349" s="3">
        <v>88</v>
      </c>
      <c r="V349" s="51">
        <f>IF(GroDB[[#This Row],[LeadTime]]=0,GroDB[[#This Row],[Sales_Volume]],GroDB[[#This Row],[Sales_Volume]]/GroDB[[#This Row],[LeadTime]])</f>
        <v>0.45595854922279794</v>
      </c>
      <c r="W349" s="51">
        <f>_xlfn.STDEV.S(GroDB[Daily Sales])</f>
        <v>5.1999899792654221</v>
      </c>
      <c r="X349" s="3">
        <v>92</v>
      </c>
      <c r="Y349" s="7">
        <v>-0.11</v>
      </c>
      <c r="Z349" s="4">
        <f>GroDB[[#This Row],[Unit_Price]]*GroDB[[#This Row],[Sales_Volume]]</f>
        <v>264</v>
      </c>
      <c r="AA349" s="22">
        <f>GroDB[[#This Row],[ADU]]/GroDB[[#Totals],[ADU]]</f>
        <v>7.6684145035976737E-4</v>
      </c>
      <c r="AB349" s="1">
        <f>GroDB[[#This Row],[Sales_Volume]]*GroDB[[#This Row],[Ordering Cost]]</f>
        <v>211.20000000000005</v>
      </c>
    </row>
    <row r="350" spans="1:28" x14ac:dyDescent="0.35">
      <c r="A350" s="5" t="s">
        <v>298</v>
      </c>
      <c r="B350" s="3" t="s">
        <v>32</v>
      </c>
      <c r="C350" s="3" t="s">
        <v>1402</v>
      </c>
      <c r="D350" s="3" t="s">
        <v>1403</v>
      </c>
      <c r="E350" s="3" t="s">
        <v>28</v>
      </c>
      <c r="F350" s="3" t="s">
        <v>1404</v>
      </c>
      <c r="G350" s="3" t="s">
        <v>1405</v>
      </c>
      <c r="H350" s="43">
        <v>45662</v>
      </c>
      <c r="I350" s="43">
        <v>45424</v>
      </c>
      <c r="J350" s="47" t="str">
        <f>IF(GroDB[[#This Row],[Last_Order_Date]]&lt;=GroDB[[#This Row],[Date_Received]], "Yes", "No")</f>
        <v>Yes</v>
      </c>
      <c r="K350" s="43">
        <f>IF(GroDB[[#This Row],[Column1]]="No",GroDB[[#This Row],[Last_Order_Date]],GroDB[[#This Row],[Date_Received]])</f>
        <v>45662</v>
      </c>
      <c r="L350" s="43">
        <f>IF(GroDB[[#This Row],[Column1]]="No",GroDB[[#This Row],[Date_Received]],GroDB[[#This Row],[Last_Order_Date]])</f>
        <v>45424</v>
      </c>
      <c r="M350" s="45">
        <f>GroDB[[#This Row],[Date_Received1]]-GroDB[[#This Row],[Procurement_Date]]</f>
        <v>238</v>
      </c>
      <c r="N350" s="43">
        <v>45437</v>
      </c>
      <c r="O350" s="91">
        <f>GroDB[[#This Row],[Expiration_Date]]-GroDB[[#This Row],[Date_Received1]]</f>
        <v>-225</v>
      </c>
      <c r="P350" s="4">
        <v>2</v>
      </c>
      <c r="Q350" s="3">
        <v>18</v>
      </c>
      <c r="R350" s="3">
        <v>14</v>
      </c>
      <c r="S350" s="3">
        <v>77</v>
      </c>
      <c r="T350" s="4">
        <v>2.5</v>
      </c>
      <c r="U350" s="3">
        <v>78</v>
      </c>
      <c r="V350" s="51">
        <f>IF(GroDB[[#This Row],[LeadTime]]=0,GroDB[[#This Row],[Sales_Volume]],GroDB[[#This Row],[Sales_Volume]]/GroDB[[#This Row],[LeadTime]])</f>
        <v>0.32773109243697479</v>
      </c>
      <c r="W350" s="51">
        <f>_xlfn.STDEV.S(GroDB[Daily Sales])</f>
        <v>5.1999899792654221</v>
      </c>
      <c r="X350" s="3">
        <v>4</v>
      </c>
      <c r="Y350" s="7">
        <v>-0.05</v>
      </c>
      <c r="Z350" s="4">
        <f>GroDB[[#This Row],[Unit_Price]]*GroDB[[#This Row],[Sales_Volume]]</f>
        <v>195</v>
      </c>
      <c r="AA350" s="22">
        <f>GroDB[[#This Row],[ADU]]/GroDB[[#Totals],[ADU]]</f>
        <v>5.6641698037937364E-4</v>
      </c>
      <c r="AB350" s="1">
        <f>GroDB[[#This Row],[Sales_Volume]]*GroDB[[#This Row],[Ordering Cost]]</f>
        <v>156</v>
      </c>
    </row>
    <row r="351" spans="1:28" x14ac:dyDescent="0.35">
      <c r="A351" s="5" t="s">
        <v>789</v>
      </c>
      <c r="B351" s="3" t="s">
        <v>18</v>
      </c>
      <c r="C351" s="3" t="s">
        <v>33</v>
      </c>
      <c r="D351" s="3" t="s">
        <v>1406</v>
      </c>
      <c r="E351" s="3" t="s">
        <v>56</v>
      </c>
      <c r="F351" s="3" t="s">
        <v>1407</v>
      </c>
      <c r="G351" s="3" t="s">
        <v>1408</v>
      </c>
      <c r="H351" s="43">
        <v>45662</v>
      </c>
      <c r="I351" s="43">
        <v>45668</v>
      </c>
      <c r="J351" s="47" t="str">
        <f>IF(GroDB[[#This Row],[Last_Order_Date]]&lt;=GroDB[[#This Row],[Date_Received]], "Yes", "No")</f>
        <v>No</v>
      </c>
      <c r="K351" s="43">
        <f>IF(GroDB[[#This Row],[Column1]]="No",GroDB[[#This Row],[Last_Order_Date]],GroDB[[#This Row],[Date_Received]])</f>
        <v>45668</v>
      </c>
      <c r="L351" s="43">
        <f>IF(GroDB[[#This Row],[Column1]]="No",GroDB[[#This Row],[Date_Received]],GroDB[[#This Row],[Last_Order_Date]])</f>
        <v>45662</v>
      </c>
      <c r="M351" s="45">
        <f>GroDB[[#This Row],[Date_Received1]]-GroDB[[#This Row],[Procurement_Date]]</f>
        <v>6</v>
      </c>
      <c r="N351" s="43">
        <v>45578</v>
      </c>
      <c r="O351" s="91">
        <f>GroDB[[#This Row],[Expiration_Date]]-GroDB[[#This Row],[Date_Received1]]</f>
        <v>-90</v>
      </c>
      <c r="P351" s="4">
        <v>1.6</v>
      </c>
      <c r="Q351" s="3">
        <v>19</v>
      </c>
      <c r="R351" s="3">
        <v>92</v>
      </c>
      <c r="S351" s="3">
        <v>41</v>
      </c>
      <c r="T351" s="4">
        <v>2</v>
      </c>
      <c r="U351" s="3">
        <v>51</v>
      </c>
      <c r="V351" s="51">
        <f>IF(GroDB[[#This Row],[LeadTime]]=0,GroDB[[#This Row],[Sales_Volume]],GroDB[[#This Row],[Sales_Volume]]/GroDB[[#This Row],[LeadTime]])</f>
        <v>8.5</v>
      </c>
      <c r="W351" s="51">
        <f>_xlfn.STDEV.S(GroDB[Daily Sales])</f>
        <v>5.1999899792654221</v>
      </c>
      <c r="X351" s="3">
        <v>79</v>
      </c>
      <c r="Y351" s="7">
        <v>0.95</v>
      </c>
      <c r="Z351" s="4">
        <f>GroDB[[#This Row],[Unit_Price]]*GroDB[[#This Row],[Sales_Volume]]</f>
        <v>102</v>
      </c>
      <c r="AA351" s="22">
        <f>GroDB[[#This Row],[ADU]]/GroDB[[#Totals],[ADU]]</f>
        <v>2.9627965127536468E-4</v>
      </c>
      <c r="AB351" s="1">
        <f>GroDB[[#This Row],[Sales_Volume]]*GroDB[[#This Row],[Ordering Cost]]</f>
        <v>81.600000000000009</v>
      </c>
    </row>
    <row r="352" spans="1:28" x14ac:dyDescent="0.35">
      <c r="A352" s="5" t="s">
        <v>329</v>
      </c>
      <c r="B352" s="3" t="s">
        <v>53</v>
      </c>
      <c r="C352" s="3" t="s">
        <v>1058</v>
      </c>
      <c r="D352" s="3" t="s">
        <v>1409</v>
      </c>
      <c r="E352" s="3" t="s">
        <v>28</v>
      </c>
      <c r="F352" s="3" t="s">
        <v>1410</v>
      </c>
      <c r="G352" s="3" t="s">
        <v>1411</v>
      </c>
      <c r="H352" s="43">
        <v>45662</v>
      </c>
      <c r="I352" s="43">
        <v>45535</v>
      </c>
      <c r="J352" s="47" t="str">
        <f>IF(GroDB[[#This Row],[Last_Order_Date]]&lt;=GroDB[[#This Row],[Date_Received]], "Yes", "No")</f>
        <v>Yes</v>
      </c>
      <c r="K352" s="43">
        <f>IF(GroDB[[#This Row],[Column1]]="No",GroDB[[#This Row],[Last_Order_Date]],GroDB[[#This Row],[Date_Received]])</f>
        <v>45662</v>
      </c>
      <c r="L352" s="43">
        <f>IF(GroDB[[#This Row],[Column1]]="No",GroDB[[#This Row],[Date_Received]],GroDB[[#This Row],[Last_Order_Date]])</f>
        <v>45535</v>
      </c>
      <c r="M352" s="45">
        <f>GroDB[[#This Row],[Date_Received1]]-GroDB[[#This Row],[Procurement_Date]]</f>
        <v>127</v>
      </c>
      <c r="N352" s="43">
        <v>45675</v>
      </c>
      <c r="O352" s="91">
        <f>GroDB[[#This Row],[Expiration_Date]]-GroDB[[#This Row],[Date_Received1]]</f>
        <v>13</v>
      </c>
      <c r="P352" s="4">
        <v>5.08</v>
      </c>
      <c r="Q352" s="3">
        <v>98</v>
      </c>
      <c r="R352" s="3">
        <v>41</v>
      </c>
      <c r="S352" s="3">
        <v>98</v>
      </c>
      <c r="T352" s="4">
        <v>6.35</v>
      </c>
      <c r="U352" s="3">
        <v>70</v>
      </c>
      <c r="V352" s="51">
        <f>IF(GroDB[[#This Row],[LeadTime]]=0,GroDB[[#This Row],[Sales_Volume]],GroDB[[#This Row],[Sales_Volume]]/GroDB[[#This Row],[LeadTime]])</f>
        <v>0.55118110236220474</v>
      </c>
      <c r="W352" s="51">
        <f>_xlfn.STDEV.S(GroDB[Daily Sales])</f>
        <v>5.1999899792654221</v>
      </c>
      <c r="X352" s="3">
        <v>75</v>
      </c>
      <c r="Y352" s="7">
        <v>-0.55000000000000004</v>
      </c>
      <c r="Z352" s="4">
        <f>GroDB[[#This Row],[Unit_Price]]*GroDB[[#This Row],[Sales_Volume]]</f>
        <v>444.5</v>
      </c>
      <c r="AA352" s="22">
        <f>GroDB[[#This Row],[ADU]]/GroDB[[#Totals],[ADU]]</f>
        <v>1.2911402450186235E-3</v>
      </c>
      <c r="AB352" s="1">
        <f>GroDB[[#This Row],[Sales_Volume]]*GroDB[[#This Row],[Ordering Cost]]</f>
        <v>355.6</v>
      </c>
    </row>
    <row r="353" spans="1:28" x14ac:dyDescent="0.35">
      <c r="A353" s="5" t="s">
        <v>627</v>
      </c>
      <c r="B353" s="3" t="s">
        <v>53</v>
      </c>
      <c r="C353" s="3" t="s">
        <v>926</v>
      </c>
      <c r="D353" s="3" t="s">
        <v>1412</v>
      </c>
      <c r="E353" s="3" t="s">
        <v>56</v>
      </c>
      <c r="F353" s="3" t="s">
        <v>1413</v>
      </c>
      <c r="G353" s="3" t="s">
        <v>1414</v>
      </c>
      <c r="H353" s="43">
        <v>45693</v>
      </c>
      <c r="I353" s="43">
        <v>45576</v>
      </c>
      <c r="J353" s="47" t="str">
        <f>IF(GroDB[[#This Row],[Last_Order_Date]]&lt;=GroDB[[#This Row],[Date_Received]], "Yes", "No")</f>
        <v>Yes</v>
      </c>
      <c r="K353" s="43">
        <f>IF(GroDB[[#This Row],[Column1]]="No",GroDB[[#This Row],[Last_Order_Date]],GroDB[[#This Row],[Date_Received]])</f>
        <v>45693</v>
      </c>
      <c r="L353" s="43">
        <f>IF(GroDB[[#This Row],[Column1]]="No",GroDB[[#This Row],[Date_Received]],GroDB[[#This Row],[Last_Order_Date]])</f>
        <v>45576</v>
      </c>
      <c r="M353" s="45">
        <f>GroDB[[#This Row],[Date_Received1]]-GroDB[[#This Row],[Procurement_Date]]</f>
        <v>117</v>
      </c>
      <c r="N353" s="43">
        <v>45512</v>
      </c>
      <c r="O353" s="91">
        <f>GroDB[[#This Row],[Expiration_Date]]-GroDB[[#This Row],[Date_Received1]]</f>
        <v>-181</v>
      </c>
      <c r="P353" s="4">
        <v>2</v>
      </c>
      <c r="Q353" s="3">
        <v>21</v>
      </c>
      <c r="R353" s="3">
        <v>15</v>
      </c>
      <c r="S353" s="3">
        <v>27</v>
      </c>
      <c r="T353" s="4">
        <v>2.5</v>
      </c>
      <c r="U353" s="3">
        <v>37</v>
      </c>
      <c r="V353" s="51">
        <f>IF(GroDB[[#This Row],[LeadTime]]=0,GroDB[[#This Row],[Sales_Volume]],GroDB[[#This Row],[Sales_Volume]]/GroDB[[#This Row],[LeadTime]])</f>
        <v>0.31623931623931623</v>
      </c>
      <c r="W353" s="51">
        <f>_xlfn.STDEV.S(GroDB[Daily Sales])</f>
        <v>5.1999899792654221</v>
      </c>
      <c r="X353" s="3">
        <v>41</v>
      </c>
      <c r="Y353" s="7">
        <v>-7.0000000000000007E-2</v>
      </c>
      <c r="Z353" s="4">
        <f>GroDB[[#This Row],[Unit_Price]]*GroDB[[#This Row],[Sales_Volume]]</f>
        <v>92.5</v>
      </c>
      <c r="AA353" s="22">
        <f>GroDB[[#This Row],[ADU]]/GroDB[[#Totals],[ADU]]</f>
        <v>2.6868497787226698E-4</v>
      </c>
      <c r="AB353" s="1">
        <f>GroDB[[#This Row],[Sales_Volume]]*GroDB[[#This Row],[Ordering Cost]]</f>
        <v>74</v>
      </c>
    </row>
    <row r="354" spans="1:28" x14ac:dyDescent="0.35">
      <c r="A354" s="5" t="s">
        <v>1117</v>
      </c>
      <c r="B354" s="3" t="s">
        <v>91</v>
      </c>
      <c r="C354" s="3" t="s">
        <v>868</v>
      </c>
      <c r="D354" s="3" t="s">
        <v>1415</v>
      </c>
      <c r="E354" s="3" t="s">
        <v>56</v>
      </c>
      <c r="F354" s="3" t="s">
        <v>1416</v>
      </c>
      <c r="G354" s="3" t="s">
        <v>1417</v>
      </c>
      <c r="H354" s="43">
        <v>45693</v>
      </c>
      <c r="I354" s="43">
        <v>45414</v>
      </c>
      <c r="J354" s="47" t="str">
        <f>IF(GroDB[[#This Row],[Last_Order_Date]]&lt;=GroDB[[#This Row],[Date_Received]], "Yes", "No")</f>
        <v>Yes</v>
      </c>
      <c r="K354" s="43">
        <f>IF(GroDB[[#This Row],[Column1]]="No",GroDB[[#This Row],[Last_Order_Date]],GroDB[[#This Row],[Date_Received]])</f>
        <v>45693</v>
      </c>
      <c r="L354" s="43">
        <f>IF(GroDB[[#This Row],[Column1]]="No",GroDB[[#This Row],[Date_Received]],GroDB[[#This Row],[Last_Order_Date]])</f>
        <v>45414</v>
      </c>
      <c r="M354" s="45">
        <f>GroDB[[#This Row],[Date_Received1]]-GroDB[[#This Row],[Procurement_Date]]</f>
        <v>279</v>
      </c>
      <c r="N354" s="43">
        <v>45439</v>
      </c>
      <c r="O354" s="91">
        <f>GroDB[[#This Row],[Expiration_Date]]-GroDB[[#This Row],[Date_Received1]]</f>
        <v>-254</v>
      </c>
      <c r="P354" s="4">
        <v>4.8000000000000007</v>
      </c>
      <c r="Q354" s="3">
        <v>74</v>
      </c>
      <c r="R354" s="3">
        <v>81</v>
      </c>
      <c r="S354" s="3">
        <v>41</v>
      </c>
      <c r="T354" s="4">
        <v>6</v>
      </c>
      <c r="U354" s="3">
        <v>51</v>
      </c>
      <c r="V354" s="51">
        <f>IF(GroDB[[#This Row],[LeadTime]]=0,GroDB[[#This Row],[Sales_Volume]],GroDB[[#This Row],[Sales_Volume]]/GroDB[[#This Row],[LeadTime]])</f>
        <v>0.18279569892473119</v>
      </c>
      <c r="W354" s="51">
        <f>_xlfn.STDEV.S(GroDB[Daily Sales])</f>
        <v>5.1999899792654221</v>
      </c>
      <c r="X354" s="3">
        <v>67</v>
      </c>
      <c r="Y354" s="7">
        <v>-0.11</v>
      </c>
      <c r="Z354" s="4">
        <f>GroDB[[#This Row],[Unit_Price]]*GroDB[[#This Row],[Sales_Volume]]</f>
        <v>306</v>
      </c>
      <c r="AA354" s="22">
        <f>GroDB[[#This Row],[ADU]]/GroDB[[#Totals],[ADU]]</f>
        <v>8.8883895382609404E-4</v>
      </c>
      <c r="AB354" s="1">
        <f>GroDB[[#This Row],[Sales_Volume]]*GroDB[[#This Row],[Ordering Cost]]</f>
        <v>244.80000000000004</v>
      </c>
    </row>
    <row r="355" spans="1:28" x14ac:dyDescent="0.35">
      <c r="A355" s="5" t="s">
        <v>526</v>
      </c>
      <c r="B355" s="3" t="s">
        <v>53</v>
      </c>
      <c r="C355" s="3" t="s">
        <v>1418</v>
      </c>
      <c r="D355" s="3" t="s">
        <v>1419</v>
      </c>
      <c r="E355" s="3" t="s">
        <v>28</v>
      </c>
      <c r="F355" s="3" t="s">
        <v>1420</v>
      </c>
      <c r="G355" s="3" t="s">
        <v>1421</v>
      </c>
      <c r="H355" s="43">
        <v>45663</v>
      </c>
      <c r="I355" s="43">
        <v>45444</v>
      </c>
      <c r="J355" s="47" t="str">
        <f>IF(GroDB[[#This Row],[Last_Order_Date]]&lt;=GroDB[[#This Row],[Date_Received]], "Yes", "No")</f>
        <v>Yes</v>
      </c>
      <c r="K355" s="43">
        <f>IF(GroDB[[#This Row],[Column1]]="No",GroDB[[#This Row],[Last_Order_Date]],GroDB[[#This Row],[Date_Received]])</f>
        <v>45663</v>
      </c>
      <c r="L355" s="43">
        <f>IF(GroDB[[#This Row],[Column1]]="No",GroDB[[#This Row],[Date_Received]],GroDB[[#This Row],[Last_Order_Date]])</f>
        <v>45444</v>
      </c>
      <c r="M355" s="45">
        <f>GroDB[[#This Row],[Date_Received1]]-GroDB[[#This Row],[Procurement_Date]]</f>
        <v>219</v>
      </c>
      <c r="N355" s="43">
        <v>45418</v>
      </c>
      <c r="O355" s="91">
        <f>GroDB[[#This Row],[Expiration_Date]]-GroDB[[#This Row],[Date_Received1]]</f>
        <v>-245</v>
      </c>
      <c r="P355" s="4">
        <v>1.4400000000000002</v>
      </c>
      <c r="Q355" s="3">
        <v>20</v>
      </c>
      <c r="R355" s="3">
        <v>20</v>
      </c>
      <c r="S355" s="3">
        <v>56</v>
      </c>
      <c r="T355" s="4">
        <v>1.8</v>
      </c>
      <c r="U355" s="3">
        <v>62</v>
      </c>
      <c r="V355" s="51">
        <f>IF(GroDB[[#This Row],[LeadTime]]=0,GroDB[[#This Row],[Sales_Volume]],GroDB[[#This Row],[Sales_Volume]]/GroDB[[#This Row],[LeadTime]])</f>
        <v>0.28310502283105021</v>
      </c>
      <c r="W355" s="51">
        <f>_xlfn.STDEV.S(GroDB[Daily Sales])</f>
        <v>5.1999899792654221</v>
      </c>
      <c r="X355" s="3">
        <v>69</v>
      </c>
      <c r="Y355" s="7">
        <v>-0.31</v>
      </c>
      <c r="Z355" s="4">
        <f>GroDB[[#This Row],[Unit_Price]]*GroDB[[#This Row],[Sales_Volume]]</f>
        <v>111.60000000000001</v>
      </c>
      <c r="AA355" s="22">
        <f>GroDB[[#This Row],[ADU]]/GroDB[[#Totals],[ADU]]</f>
        <v>3.2416479492481081E-4</v>
      </c>
      <c r="AB355" s="1">
        <f>GroDB[[#This Row],[Sales_Volume]]*GroDB[[#This Row],[Ordering Cost]]</f>
        <v>89.280000000000015</v>
      </c>
    </row>
    <row r="356" spans="1:28" x14ac:dyDescent="0.35">
      <c r="A356" s="5" t="s">
        <v>495</v>
      </c>
      <c r="B356" s="3" t="s">
        <v>18</v>
      </c>
      <c r="C356" s="3" t="s">
        <v>1207</v>
      </c>
      <c r="D356" s="3" t="s">
        <v>1422</v>
      </c>
      <c r="E356" s="3" t="s">
        <v>28</v>
      </c>
      <c r="F356" s="3" t="s">
        <v>1423</v>
      </c>
      <c r="G356" s="3" t="s">
        <v>1424</v>
      </c>
      <c r="H356" s="43">
        <v>45663</v>
      </c>
      <c r="I356" s="43">
        <v>45626</v>
      </c>
      <c r="J356" s="47" t="str">
        <f>IF(GroDB[[#This Row],[Last_Order_Date]]&lt;=GroDB[[#This Row],[Date_Received]], "Yes", "No")</f>
        <v>Yes</v>
      </c>
      <c r="K356" s="43">
        <f>IF(GroDB[[#This Row],[Column1]]="No",GroDB[[#This Row],[Last_Order_Date]],GroDB[[#This Row],[Date_Received]])</f>
        <v>45663</v>
      </c>
      <c r="L356" s="43">
        <f>IF(GroDB[[#This Row],[Column1]]="No",GroDB[[#This Row],[Date_Received]],GroDB[[#This Row],[Last_Order_Date]])</f>
        <v>45626</v>
      </c>
      <c r="M356" s="45">
        <f>GroDB[[#This Row],[Date_Received1]]-GroDB[[#This Row],[Procurement_Date]]</f>
        <v>37</v>
      </c>
      <c r="N356" s="43">
        <v>45605</v>
      </c>
      <c r="O356" s="91">
        <f>GroDB[[#This Row],[Expiration_Date]]-GroDB[[#This Row],[Date_Received1]]</f>
        <v>-58</v>
      </c>
      <c r="P356" s="4">
        <v>5.2</v>
      </c>
      <c r="Q356" s="3">
        <v>35</v>
      </c>
      <c r="R356" s="3">
        <v>19</v>
      </c>
      <c r="S356" s="3">
        <v>30</v>
      </c>
      <c r="T356" s="4">
        <v>6.5</v>
      </c>
      <c r="U356" s="3">
        <v>88</v>
      </c>
      <c r="V356" s="51">
        <f>IF(GroDB[[#This Row],[LeadTime]]=0,GroDB[[#This Row],[Sales_Volume]],GroDB[[#This Row],[Sales_Volume]]/GroDB[[#This Row],[LeadTime]])</f>
        <v>2.3783783783783785</v>
      </c>
      <c r="W356" s="51">
        <f>_xlfn.STDEV.S(GroDB[Daily Sales])</f>
        <v>5.1999899792654221</v>
      </c>
      <c r="X356" s="3">
        <v>6</v>
      </c>
      <c r="Y356" s="7">
        <v>-0.11</v>
      </c>
      <c r="Z356" s="4">
        <f>GroDB[[#This Row],[Unit_Price]]*GroDB[[#This Row],[Sales_Volume]]</f>
        <v>572</v>
      </c>
      <c r="AA356" s="22">
        <f>GroDB[[#This Row],[ADU]]/GroDB[[#Totals],[ADU]]</f>
        <v>1.6614898091128294E-3</v>
      </c>
      <c r="AB356" s="1">
        <f>GroDB[[#This Row],[Sales_Volume]]*GroDB[[#This Row],[Ordering Cost]]</f>
        <v>457.6</v>
      </c>
    </row>
    <row r="357" spans="1:28" x14ac:dyDescent="0.35">
      <c r="A357" s="5" t="s">
        <v>1278</v>
      </c>
      <c r="B357" s="3" t="s">
        <v>18</v>
      </c>
      <c r="C357" s="3" t="s">
        <v>518</v>
      </c>
      <c r="D357" s="3" t="s">
        <v>1425</v>
      </c>
      <c r="E357" s="3" t="s">
        <v>28</v>
      </c>
      <c r="F357" s="3" t="s">
        <v>1426</v>
      </c>
      <c r="G357" s="3" t="s">
        <v>1427</v>
      </c>
      <c r="H357" s="43">
        <v>45663</v>
      </c>
      <c r="I357" s="43">
        <v>45508</v>
      </c>
      <c r="J357" s="47" t="str">
        <f>IF(GroDB[[#This Row],[Last_Order_Date]]&lt;=GroDB[[#This Row],[Date_Received]], "Yes", "No")</f>
        <v>Yes</v>
      </c>
      <c r="K357" s="43">
        <f>IF(GroDB[[#This Row],[Column1]]="No",GroDB[[#This Row],[Last_Order_Date]],GroDB[[#This Row],[Date_Received]])</f>
        <v>45663</v>
      </c>
      <c r="L357" s="43">
        <f>IF(GroDB[[#This Row],[Column1]]="No",GroDB[[#This Row],[Date_Received]],GroDB[[#This Row],[Last_Order_Date]])</f>
        <v>45508</v>
      </c>
      <c r="M357" s="45">
        <f>GroDB[[#This Row],[Date_Received1]]-GroDB[[#This Row],[Procurement_Date]]</f>
        <v>155</v>
      </c>
      <c r="N357" s="43">
        <v>45498</v>
      </c>
      <c r="O357" s="91">
        <f>GroDB[[#This Row],[Expiration_Date]]-GroDB[[#This Row],[Date_Received1]]</f>
        <v>-165</v>
      </c>
      <c r="P357" s="4">
        <v>3.44</v>
      </c>
      <c r="Q357" s="3">
        <v>81</v>
      </c>
      <c r="R357" s="3">
        <v>16</v>
      </c>
      <c r="S357" s="3">
        <v>69</v>
      </c>
      <c r="T357" s="4">
        <v>4.3</v>
      </c>
      <c r="U357" s="3">
        <v>23</v>
      </c>
      <c r="V357" s="51">
        <f>IF(GroDB[[#This Row],[LeadTime]]=0,GroDB[[#This Row],[Sales_Volume]],GroDB[[#This Row],[Sales_Volume]]/GroDB[[#This Row],[LeadTime]])</f>
        <v>0.14838709677419354</v>
      </c>
      <c r="W357" s="51">
        <f>_xlfn.STDEV.S(GroDB[Daily Sales])</f>
        <v>5.1999899792654221</v>
      </c>
      <c r="X357" s="3">
        <v>96</v>
      </c>
      <c r="Y357" s="7">
        <v>0.93</v>
      </c>
      <c r="Z357" s="4">
        <f>GroDB[[#This Row],[Unit_Price]]*GroDB[[#This Row],[Sales_Volume]]</f>
        <v>98.899999999999991</v>
      </c>
      <c r="AA357" s="22">
        <f>GroDB[[#This Row],[ADU]]/GroDB[[#Totals],[ADU]]</f>
        <v>2.8727507363856435E-4</v>
      </c>
      <c r="AB357" s="1">
        <f>GroDB[[#This Row],[Sales_Volume]]*GroDB[[#This Row],[Ordering Cost]]</f>
        <v>79.12</v>
      </c>
    </row>
    <row r="358" spans="1:28" x14ac:dyDescent="0.35">
      <c r="A358" s="5" t="s">
        <v>1369</v>
      </c>
      <c r="B358" s="3" t="s">
        <v>32</v>
      </c>
      <c r="C358" s="3" t="s">
        <v>226</v>
      </c>
      <c r="D358" s="3" t="s">
        <v>1428</v>
      </c>
      <c r="E358" s="3" t="s">
        <v>21</v>
      </c>
      <c r="F358" s="3" t="s">
        <v>1429</v>
      </c>
      <c r="G358" s="3" t="s">
        <v>1430</v>
      </c>
      <c r="H358" s="43">
        <v>45663</v>
      </c>
      <c r="I358" s="43">
        <v>45596</v>
      </c>
      <c r="J358" s="47" t="str">
        <f>IF(GroDB[[#This Row],[Last_Order_Date]]&lt;=GroDB[[#This Row],[Date_Received]], "Yes", "No")</f>
        <v>Yes</v>
      </c>
      <c r="K358" s="43">
        <f>IF(GroDB[[#This Row],[Column1]]="No",GroDB[[#This Row],[Last_Order_Date]],GroDB[[#This Row],[Date_Received]])</f>
        <v>45663</v>
      </c>
      <c r="L358" s="43">
        <f>IF(GroDB[[#This Row],[Column1]]="No",GroDB[[#This Row],[Date_Received]],GroDB[[#This Row],[Last_Order_Date]])</f>
        <v>45596</v>
      </c>
      <c r="M358" s="45">
        <f>GroDB[[#This Row],[Date_Received1]]-GroDB[[#This Row],[Procurement_Date]]</f>
        <v>67</v>
      </c>
      <c r="N358" s="43">
        <v>45544</v>
      </c>
      <c r="O358" s="91">
        <f>GroDB[[#This Row],[Expiration_Date]]-GroDB[[#This Row],[Date_Received1]]</f>
        <v>-119</v>
      </c>
      <c r="P358" s="4">
        <v>3.3600000000000003</v>
      </c>
      <c r="Q358" s="3">
        <v>85</v>
      </c>
      <c r="R358" s="3">
        <v>66</v>
      </c>
      <c r="S358" s="3">
        <v>85</v>
      </c>
      <c r="T358" s="4">
        <v>4.2</v>
      </c>
      <c r="U358" s="3">
        <v>65</v>
      </c>
      <c r="V358" s="51">
        <f>IF(GroDB[[#This Row],[LeadTime]]=0,GroDB[[#This Row],[Sales_Volume]],GroDB[[#This Row],[Sales_Volume]]/GroDB[[#This Row],[LeadTime]])</f>
        <v>0.97014925373134331</v>
      </c>
      <c r="W358" s="51">
        <f>_xlfn.STDEV.S(GroDB[Daily Sales])</f>
        <v>5.1999899792654221</v>
      </c>
      <c r="X358" s="3">
        <v>58</v>
      </c>
      <c r="Y358" s="7">
        <v>-3.17</v>
      </c>
      <c r="Z358" s="4">
        <f>GroDB[[#This Row],[Unit_Price]]*GroDB[[#This Row],[Sales_Volume]]</f>
        <v>273</v>
      </c>
      <c r="AA358" s="22">
        <f>GroDB[[#This Row],[ADU]]/GroDB[[#Totals],[ADU]]</f>
        <v>7.9298377253112309E-4</v>
      </c>
      <c r="AB358" s="1">
        <f>GroDB[[#This Row],[Sales_Volume]]*GroDB[[#This Row],[Ordering Cost]]</f>
        <v>218.40000000000003</v>
      </c>
    </row>
    <row r="359" spans="1:28" x14ac:dyDescent="0.35">
      <c r="A359" s="5" t="s">
        <v>508</v>
      </c>
      <c r="B359" s="3" t="s">
        <v>127</v>
      </c>
      <c r="C359" s="3" t="s">
        <v>1431</v>
      </c>
      <c r="D359" s="3" t="s">
        <v>1432</v>
      </c>
      <c r="E359" s="3" t="s">
        <v>56</v>
      </c>
      <c r="F359" s="3" t="s">
        <v>1433</v>
      </c>
      <c r="G359" s="3" t="s">
        <v>1434</v>
      </c>
      <c r="H359" s="43">
        <v>45663</v>
      </c>
      <c r="I359" s="43">
        <v>45372</v>
      </c>
      <c r="J359" s="47" t="str">
        <f>IF(GroDB[[#This Row],[Last_Order_Date]]&lt;=GroDB[[#This Row],[Date_Received]], "Yes", "No")</f>
        <v>Yes</v>
      </c>
      <c r="K359" s="43">
        <f>IF(GroDB[[#This Row],[Column1]]="No",GroDB[[#This Row],[Last_Order_Date]],GroDB[[#This Row],[Date_Received]])</f>
        <v>45663</v>
      </c>
      <c r="L359" s="43">
        <f>IF(GroDB[[#This Row],[Column1]]="No",GroDB[[#This Row],[Date_Received]],GroDB[[#This Row],[Last_Order_Date]])</f>
        <v>45372</v>
      </c>
      <c r="M359" s="45">
        <f>GroDB[[#This Row],[Date_Received1]]-GroDB[[#This Row],[Procurement_Date]]</f>
        <v>291</v>
      </c>
      <c r="N359" s="43">
        <v>45381</v>
      </c>
      <c r="O359" s="91">
        <f>GroDB[[#This Row],[Expiration_Date]]-GroDB[[#This Row],[Date_Received1]]</f>
        <v>-282</v>
      </c>
      <c r="P359" s="4">
        <v>4</v>
      </c>
      <c r="Q359" s="3">
        <v>45</v>
      </c>
      <c r="R359" s="3">
        <v>58</v>
      </c>
      <c r="S359" s="3">
        <v>84</v>
      </c>
      <c r="T359" s="4">
        <v>5</v>
      </c>
      <c r="U359" s="3">
        <v>90</v>
      </c>
      <c r="V359" s="51">
        <f>IF(GroDB[[#This Row],[LeadTime]]=0,GroDB[[#This Row],[Sales_Volume]],GroDB[[#This Row],[Sales_Volume]]/GroDB[[#This Row],[LeadTime]])</f>
        <v>0.30927835051546393</v>
      </c>
      <c r="W359" s="51">
        <f>_xlfn.STDEV.S(GroDB[Daily Sales])</f>
        <v>5.1999899792654221</v>
      </c>
      <c r="X359" s="3">
        <v>67</v>
      </c>
      <c r="Y359" s="7">
        <v>0.11</v>
      </c>
      <c r="Z359" s="4">
        <f>GroDB[[#This Row],[Unit_Price]]*GroDB[[#This Row],[Sales_Volume]]</f>
        <v>450</v>
      </c>
      <c r="AA359" s="22">
        <f>GroDB[[#This Row],[ADU]]/GroDB[[#Totals],[ADU]]</f>
        <v>1.3071161085677853E-3</v>
      </c>
      <c r="AB359" s="1">
        <f>GroDB[[#This Row],[Sales_Volume]]*GroDB[[#This Row],[Ordering Cost]]</f>
        <v>360</v>
      </c>
    </row>
    <row r="360" spans="1:28" x14ac:dyDescent="0.35">
      <c r="A360" s="5" t="s">
        <v>665</v>
      </c>
      <c r="B360" s="3" t="s">
        <v>18</v>
      </c>
      <c r="C360" s="3" t="s">
        <v>774</v>
      </c>
      <c r="D360" s="3" t="s">
        <v>1435</v>
      </c>
      <c r="E360" s="3" t="s">
        <v>21</v>
      </c>
      <c r="F360" s="3" t="s">
        <v>1436</v>
      </c>
      <c r="G360" s="3" t="s">
        <v>1437</v>
      </c>
      <c r="H360" s="43">
        <v>45694</v>
      </c>
      <c r="I360" s="43">
        <v>45568</v>
      </c>
      <c r="J360" s="47" t="str">
        <f>IF(GroDB[[#This Row],[Last_Order_Date]]&lt;=GroDB[[#This Row],[Date_Received]], "Yes", "No")</f>
        <v>Yes</v>
      </c>
      <c r="K360" s="43">
        <f>IF(GroDB[[#This Row],[Column1]]="No",GroDB[[#This Row],[Last_Order_Date]],GroDB[[#This Row],[Date_Received]])</f>
        <v>45694</v>
      </c>
      <c r="L360" s="43">
        <f>IF(GroDB[[#This Row],[Column1]]="No",GroDB[[#This Row],[Date_Received]],GroDB[[#This Row],[Last_Order_Date]])</f>
        <v>45568</v>
      </c>
      <c r="M360" s="45">
        <f>GroDB[[#This Row],[Date_Received1]]-GroDB[[#This Row],[Procurement_Date]]</f>
        <v>126</v>
      </c>
      <c r="N360" s="43">
        <v>45476</v>
      </c>
      <c r="O360" s="91">
        <f>GroDB[[#This Row],[Expiration_Date]]-GroDB[[#This Row],[Date_Received1]]</f>
        <v>-218</v>
      </c>
      <c r="P360" s="4">
        <v>4.8000000000000007</v>
      </c>
      <c r="Q360" s="3">
        <v>47</v>
      </c>
      <c r="R360" s="3">
        <v>75</v>
      </c>
      <c r="S360" s="3">
        <v>53</v>
      </c>
      <c r="T360" s="4">
        <v>6</v>
      </c>
      <c r="U360" s="3">
        <v>70</v>
      </c>
      <c r="V360" s="51">
        <f>IF(GroDB[[#This Row],[LeadTime]]=0,GroDB[[#This Row],[Sales_Volume]],GroDB[[#This Row],[Sales_Volume]]/GroDB[[#This Row],[LeadTime]])</f>
        <v>0.55555555555555558</v>
      </c>
      <c r="W360" s="51">
        <f>_xlfn.STDEV.S(GroDB[Daily Sales])</f>
        <v>5.1999899792654221</v>
      </c>
      <c r="X360" s="3">
        <v>20</v>
      </c>
      <c r="Y360" s="7">
        <v>0.26</v>
      </c>
      <c r="Z360" s="4">
        <f>GroDB[[#This Row],[Unit_Price]]*GroDB[[#This Row],[Sales_Volume]]</f>
        <v>420</v>
      </c>
      <c r="AA360" s="22">
        <f>GroDB[[#This Row],[ADU]]/GroDB[[#Totals],[ADU]]</f>
        <v>1.2199750346632663E-3</v>
      </c>
      <c r="AB360" s="1">
        <f>GroDB[[#This Row],[Sales_Volume]]*GroDB[[#This Row],[Ordering Cost]]</f>
        <v>336.00000000000006</v>
      </c>
    </row>
    <row r="361" spans="1:28" x14ac:dyDescent="0.35">
      <c r="A361" s="5" t="s">
        <v>1117</v>
      </c>
      <c r="B361" s="3" t="s">
        <v>91</v>
      </c>
      <c r="C361" s="3" t="s">
        <v>1438</v>
      </c>
      <c r="D361" s="3" t="s">
        <v>1439</v>
      </c>
      <c r="E361" s="3" t="s">
        <v>21</v>
      </c>
      <c r="F361" s="3" t="s">
        <v>1440</v>
      </c>
      <c r="G361" s="3" t="s">
        <v>1441</v>
      </c>
      <c r="H361" s="43">
        <v>45694</v>
      </c>
      <c r="I361" s="43">
        <v>45705</v>
      </c>
      <c r="J361" s="47" t="str">
        <f>IF(GroDB[[#This Row],[Last_Order_Date]]&lt;=GroDB[[#This Row],[Date_Received]], "Yes", "No")</f>
        <v>No</v>
      </c>
      <c r="K361" s="43">
        <f>IF(GroDB[[#This Row],[Column1]]="No",GroDB[[#This Row],[Last_Order_Date]],GroDB[[#This Row],[Date_Received]])</f>
        <v>45705</v>
      </c>
      <c r="L361" s="43">
        <f>IF(GroDB[[#This Row],[Column1]]="No",GroDB[[#This Row],[Date_Received]],GroDB[[#This Row],[Last_Order_Date]])</f>
        <v>45694</v>
      </c>
      <c r="M361" s="45">
        <f>GroDB[[#This Row],[Date_Received1]]-GroDB[[#This Row],[Procurement_Date]]</f>
        <v>11</v>
      </c>
      <c r="N361" s="43">
        <v>45466</v>
      </c>
      <c r="O361" s="91">
        <f>GroDB[[#This Row],[Expiration_Date]]-GroDB[[#This Row],[Date_Received1]]</f>
        <v>-239</v>
      </c>
      <c r="P361" s="4">
        <v>4.8000000000000007</v>
      </c>
      <c r="Q361" s="3">
        <v>12</v>
      </c>
      <c r="R361" s="3">
        <v>7</v>
      </c>
      <c r="S361" s="3">
        <v>23</v>
      </c>
      <c r="T361" s="4">
        <v>6</v>
      </c>
      <c r="U361" s="3">
        <v>72</v>
      </c>
      <c r="V361" s="51">
        <f>IF(GroDB[[#This Row],[LeadTime]]=0,GroDB[[#This Row],[Sales_Volume]],GroDB[[#This Row],[Sales_Volume]]/GroDB[[#This Row],[LeadTime]])</f>
        <v>6.5454545454545459</v>
      </c>
      <c r="W361" s="51">
        <f>_xlfn.STDEV.S(GroDB[Daily Sales])</f>
        <v>5.1999899792654221</v>
      </c>
      <c r="X361" s="3">
        <v>16</v>
      </c>
      <c r="Y361" s="7">
        <v>0.71</v>
      </c>
      <c r="Z361" s="4">
        <f>GroDB[[#This Row],[Unit_Price]]*GroDB[[#This Row],[Sales_Volume]]</f>
        <v>432</v>
      </c>
      <c r="AA361" s="22">
        <f>GroDB[[#This Row],[ADU]]/GroDB[[#Totals],[ADU]]</f>
        <v>1.2548314642250741E-3</v>
      </c>
      <c r="AB361" s="1">
        <f>GroDB[[#This Row],[Sales_Volume]]*GroDB[[#This Row],[Ordering Cost]]</f>
        <v>345.6</v>
      </c>
    </row>
    <row r="362" spans="1:28" x14ac:dyDescent="0.35">
      <c r="A362" s="5" t="s">
        <v>517</v>
      </c>
      <c r="B362" s="3" t="s">
        <v>127</v>
      </c>
      <c r="C362" s="3" t="s">
        <v>482</v>
      </c>
      <c r="D362" s="3" t="s">
        <v>1442</v>
      </c>
      <c r="E362" s="3" t="s">
        <v>56</v>
      </c>
      <c r="F362" s="3" t="s">
        <v>1443</v>
      </c>
      <c r="G362" s="3" t="s">
        <v>1444</v>
      </c>
      <c r="H362" s="43">
        <v>45664</v>
      </c>
      <c r="I362" s="43">
        <v>45349</v>
      </c>
      <c r="J362" s="47" t="str">
        <f>IF(GroDB[[#This Row],[Last_Order_Date]]&lt;=GroDB[[#This Row],[Date_Received]], "Yes", "No")</f>
        <v>Yes</v>
      </c>
      <c r="K362" s="43">
        <f>IF(GroDB[[#This Row],[Column1]]="No",GroDB[[#This Row],[Last_Order_Date]],GroDB[[#This Row],[Date_Received]])</f>
        <v>45664</v>
      </c>
      <c r="L362" s="43">
        <f>IF(GroDB[[#This Row],[Column1]]="No",GroDB[[#This Row],[Date_Received]],GroDB[[#This Row],[Last_Order_Date]])</f>
        <v>45349</v>
      </c>
      <c r="M362" s="45">
        <f>GroDB[[#This Row],[Date_Received1]]-GroDB[[#This Row],[Procurement_Date]]</f>
        <v>315</v>
      </c>
      <c r="N362" s="43">
        <v>45380</v>
      </c>
      <c r="O362" s="91">
        <f>GroDB[[#This Row],[Expiration_Date]]-GroDB[[#This Row],[Date_Received1]]</f>
        <v>-284</v>
      </c>
      <c r="P362" s="4">
        <v>20</v>
      </c>
      <c r="Q362" s="3">
        <v>20</v>
      </c>
      <c r="R362" s="3">
        <v>43</v>
      </c>
      <c r="S362" s="3">
        <v>43</v>
      </c>
      <c r="T362" s="4">
        <v>25</v>
      </c>
      <c r="U362" s="3">
        <v>73</v>
      </c>
      <c r="V362" s="51">
        <f>IF(GroDB[[#This Row],[LeadTime]]=0,GroDB[[#This Row],[Sales_Volume]],GroDB[[#This Row],[Sales_Volume]]/GroDB[[#This Row],[LeadTime]])</f>
        <v>0.23174603174603176</v>
      </c>
      <c r="W362" s="51">
        <f>_xlfn.STDEV.S(GroDB[Daily Sales])</f>
        <v>5.1999899792654221</v>
      </c>
      <c r="X362" s="3">
        <v>6</v>
      </c>
      <c r="Y362" s="7">
        <v>0.78</v>
      </c>
      <c r="Z362" s="4">
        <f>GroDB[[#This Row],[Unit_Price]]*GroDB[[#This Row],[Sales_Volume]]</f>
        <v>1825</v>
      </c>
      <c r="AA362" s="22">
        <f>GroDB[[#This Row],[ADU]]/GroDB[[#Totals],[ADU]]</f>
        <v>5.3010819958582405E-3</v>
      </c>
      <c r="AB362" s="1">
        <f>GroDB[[#This Row],[Sales_Volume]]*GroDB[[#This Row],[Ordering Cost]]</f>
        <v>1460</v>
      </c>
    </row>
    <row r="363" spans="1:28" x14ac:dyDescent="0.35">
      <c r="A363" s="5" t="s">
        <v>1445</v>
      </c>
      <c r="B363" s="3" t="s">
        <v>18</v>
      </c>
      <c r="C363" s="3" t="s">
        <v>1365</v>
      </c>
      <c r="D363" s="3" t="s">
        <v>1446</v>
      </c>
      <c r="E363" s="3" t="s">
        <v>28</v>
      </c>
      <c r="F363" s="3" t="s">
        <v>1447</v>
      </c>
      <c r="G363" s="3" t="s">
        <v>1448</v>
      </c>
      <c r="H363" s="43">
        <v>45664</v>
      </c>
      <c r="I363" s="43">
        <v>45448</v>
      </c>
      <c r="J363" s="47" t="str">
        <f>IF(GroDB[[#This Row],[Last_Order_Date]]&lt;=GroDB[[#This Row],[Date_Received]], "Yes", "No")</f>
        <v>Yes</v>
      </c>
      <c r="K363" s="43">
        <f>IF(GroDB[[#This Row],[Column1]]="No",GroDB[[#This Row],[Last_Order_Date]],GroDB[[#This Row],[Date_Received]])</f>
        <v>45664</v>
      </c>
      <c r="L363" s="43">
        <f>IF(GroDB[[#This Row],[Column1]]="No",GroDB[[#This Row],[Date_Received]],GroDB[[#This Row],[Last_Order_Date]])</f>
        <v>45448</v>
      </c>
      <c r="M363" s="45">
        <f>GroDB[[#This Row],[Date_Received1]]-GroDB[[#This Row],[Procurement_Date]]</f>
        <v>216</v>
      </c>
      <c r="N363" s="43">
        <v>45418</v>
      </c>
      <c r="O363" s="91">
        <f>GroDB[[#This Row],[Expiration_Date]]-GroDB[[#This Row],[Date_Received1]]</f>
        <v>-246</v>
      </c>
      <c r="P363" s="4">
        <v>8</v>
      </c>
      <c r="Q363" s="3">
        <v>87</v>
      </c>
      <c r="R363" s="3">
        <v>51</v>
      </c>
      <c r="S363" s="3">
        <v>67</v>
      </c>
      <c r="T363" s="4">
        <v>10</v>
      </c>
      <c r="U363" s="3">
        <v>55</v>
      </c>
      <c r="V363" s="51">
        <f>IF(GroDB[[#This Row],[LeadTime]]=0,GroDB[[#This Row],[Sales_Volume]],GroDB[[#This Row],[Sales_Volume]]/GroDB[[#This Row],[LeadTime]])</f>
        <v>0.25462962962962965</v>
      </c>
      <c r="W363" s="51">
        <f>_xlfn.STDEV.S(GroDB[Daily Sales])</f>
        <v>5.1999899792654221</v>
      </c>
      <c r="X363" s="3">
        <v>100</v>
      </c>
      <c r="Y363" s="7">
        <v>0.92</v>
      </c>
      <c r="Z363" s="4">
        <f>GroDB[[#This Row],[Unit_Price]]*GroDB[[#This Row],[Sales_Volume]]</f>
        <v>550</v>
      </c>
      <c r="AA363" s="22">
        <f>GroDB[[#This Row],[ADU]]/GroDB[[#Totals],[ADU]]</f>
        <v>1.5975863549161822E-3</v>
      </c>
      <c r="AB363" s="1">
        <f>GroDB[[#This Row],[Sales_Volume]]*GroDB[[#This Row],[Ordering Cost]]</f>
        <v>440</v>
      </c>
    </row>
    <row r="364" spans="1:28" x14ac:dyDescent="0.35">
      <c r="A364" s="5" t="s">
        <v>225</v>
      </c>
      <c r="B364" s="3" t="s">
        <v>91</v>
      </c>
      <c r="C364" s="3" t="s">
        <v>381</v>
      </c>
      <c r="D364" s="3" t="s">
        <v>1449</v>
      </c>
      <c r="E364" s="3" t="s">
        <v>28</v>
      </c>
      <c r="F364" s="3" t="s">
        <v>1450</v>
      </c>
      <c r="G364" s="3" t="s">
        <v>1451</v>
      </c>
      <c r="H364" s="43">
        <v>45664</v>
      </c>
      <c r="I364" s="43">
        <v>45554</v>
      </c>
      <c r="J364" s="47" t="str">
        <f>IF(GroDB[[#This Row],[Last_Order_Date]]&lt;=GroDB[[#This Row],[Date_Received]], "Yes", "No")</f>
        <v>Yes</v>
      </c>
      <c r="K364" s="43">
        <f>IF(GroDB[[#This Row],[Column1]]="No",GroDB[[#This Row],[Last_Order_Date]],GroDB[[#This Row],[Date_Received]])</f>
        <v>45664</v>
      </c>
      <c r="L364" s="43">
        <f>IF(GroDB[[#This Row],[Column1]]="No",GroDB[[#This Row],[Date_Received]],GroDB[[#This Row],[Last_Order_Date]])</f>
        <v>45554</v>
      </c>
      <c r="M364" s="45">
        <f>GroDB[[#This Row],[Date_Received1]]-GroDB[[#This Row],[Procurement_Date]]</f>
        <v>110</v>
      </c>
      <c r="N364" s="43">
        <v>45536</v>
      </c>
      <c r="O364" s="91">
        <f>GroDB[[#This Row],[Expiration_Date]]-GroDB[[#This Row],[Date_Received1]]</f>
        <v>-128</v>
      </c>
      <c r="P364" s="4">
        <v>4</v>
      </c>
      <c r="Q364" s="3">
        <v>23</v>
      </c>
      <c r="R364" s="3">
        <v>76</v>
      </c>
      <c r="S364" s="3">
        <v>70</v>
      </c>
      <c r="T364" s="4">
        <v>5</v>
      </c>
      <c r="U364" s="3">
        <v>97</v>
      </c>
      <c r="V364" s="51">
        <f>IF(GroDB[[#This Row],[LeadTime]]=0,GroDB[[#This Row],[Sales_Volume]],GroDB[[#This Row],[Sales_Volume]]/GroDB[[#This Row],[LeadTime]])</f>
        <v>0.88181818181818183</v>
      </c>
      <c r="W364" s="51">
        <f>_xlfn.STDEV.S(GroDB[Daily Sales])</f>
        <v>5.1999899792654221</v>
      </c>
      <c r="X364" s="3">
        <v>38</v>
      </c>
      <c r="Y364" s="7">
        <v>-0.82</v>
      </c>
      <c r="Z364" s="4">
        <f>GroDB[[#This Row],[Unit_Price]]*GroDB[[#This Row],[Sales_Volume]]</f>
        <v>485</v>
      </c>
      <c r="AA364" s="22">
        <f>GroDB[[#This Row],[ADU]]/GroDB[[#Totals],[ADU]]</f>
        <v>1.4087806947897243E-3</v>
      </c>
      <c r="AB364" s="1">
        <f>GroDB[[#This Row],[Sales_Volume]]*GroDB[[#This Row],[Ordering Cost]]</f>
        <v>388</v>
      </c>
    </row>
    <row r="365" spans="1:28" x14ac:dyDescent="0.35">
      <c r="A365" s="5" t="s">
        <v>85</v>
      </c>
      <c r="B365" s="3" t="s">
        <v>18</v>
      </c>
      <c r="C365" s="3" t="s">
        <v>687</v>
      </c>
      <c r="D365" s="3" t="s">
        <v>1452</v>
      </c>
      <c r="E365" s="3" t="s">
        <v>28</v>
      </c>
      <c r="F365" s="3" t="s">
        <v>1453</v>
      </c>
      <c r="G365" s="3" t="s">
        <v>1454</v>
      </c>
      <c r="H365" s="43">
        <v>45695</v>
      </c>
      <c r="I365" s="43">
        <v>45674</v>
      </c>
      <c r="J365" s="47" t="str">
        <f>IF(GroDB[[#This Row],[Last_Order_Date]]&lt;=GroDB[[#This Row],[Date_Received]], "Yes", "No")</f>
        <v>Yes</v>
      </c>
      <c r="K365" s="43">
        <f>IF(GroDB[[#This Row],[Column1]]="No",GroDB[[#This Row],[Last_Order_Date]],GroDB[[#This Row],[Date_Received]])</f>
        <v>45695</v>
      </c>
      <c r="L365" s="43">
        <f>IF(GroDB[[#This Row],[Column1]]="No",GroDB[[#This Row],[Date_Received]],GroDB[[#This Row],[Last_Order_Date]])</f>
        <v>45674</v>
      </c>
      <c r="M365" s="45">
        <f>GroDB[[#This Row],[Date_Received1]]-GroDB[[#This Row],[Procurement_Date]]</f>
        <v>21</v>
      </c>
      <c r="N365" s="43">
        <v>45639</v>
      </c>
      <c r="O365" s="91">
        <f>GroDB[[#This Row],[Expiration_Date]]-GroDB[[#This Row],[Date_Received1]]</f>
        <v>-56</v>
      </c>
      <c r="P365" s="4">
        <v>2.4800000000000004</v>
      </c>
      <c r="Q365" s="3">
        <v>92</v>
      </c>
      <c r="R365" s="3">
        <v>54</v>
      </c>
      <c r="S365" s="3">
        <v>73</v>
      </c>
      <c r="T365" s="4">
        <v>3.1</v>
      </c>
      <c r="U365" s="3">
        <v>79</v>
      </c>
      <c r="V365" s="51">
        <f>IF(GroDB[[#This Row],[LeadTime]]=0,GroDB[[#This Row],[Sales_Volume]],GroDB[[#This Row],[Sales_Volume]]/GroDB[[#This Row],[LeadTime]])</f>
        <v>3.7619047619047619</v>
      </c>
      <c r="W365" s="51">
        <f>_xlfn.STDEV.S(GroDB[Daily Sales])</f>
        <v>5.1999899792654221</v>
      </c>
      <c r="X365" s="3">
        <v>1</v>
      </c>
      <c r="Y365" s="7">
        <v>0.61</v>
      </c>
      <c r="Z365" s="4">
        <f>GroDB[[#This Row],[Unit_Price]]*GroDB[[#This Row],[Sales_Volume]]</f>
        <v>244.9</v>
      </c>
      <c r="AA365" s="22">
        <f>GroDB[[#This Row],[ADU]]/GroDB[[#Totals],[ADU]]</f>
        <v>7.113616333072237E-4</v>
      </c>
      <c r="AB365" s="1">
        <f>GroDB[[#This Row],[Sales_Volume]]*GroDB[[#This Row],[Ordering Cost]]</f>
        <v>195.92000000000004</v>
      </c>
    </row>
    <row r="366" spans="1:28" x14ac:dyDescent="0.35">
      <c r="A366" s="5" t="s">
        <v>1138</v>
      </c>
      <c r="B366" s="3" t="s">
        <v>32</v>
      </c>
      <c r="C366" s="3" t="s">
        <v>1455</v>
      </c>
      <c r="D366" s="3" t="s">
        <v>1456</v>
      </c>
      <c r="E366" s="3" t="s">
        <v>56</v>
      </c>
      <c r="F366" s="3" t="s">
        <v>1457</v>
      </c>
      <c r="G366" s="3" t="s">
        <v>1458</v>
      </c>
      <c r="H366" s="43">
        <v>45695</v>
      </c>
      <c r="I366" s="43">
        <v>45471</v>
      </c>
      <c r="J366" s="47" t="str">
        <f>IF(GroDB[[#This Row],[Last_Order_Date]]&lt;=GroDB[[#This Row],[Date_Received]], "Yes", "No")</f>
        <v>Yes</v>
      </c>
      <c r="K366" s="43">
        <f>IF(GroDB[[#This Row],[Column1]]="No",GroDB[[#This Row],[Last_Order_Date]],GroDB[[#This Row],[Date_Received]])</f>
        <v>45695</v>
      </c>
      <c r="L366" s="43">
        <f>IF(GroDB[[#This Row],[Column1]]="No",GroDB[[#This Row],[Date_Received]],GroDB[[#This Row],[Last_Order_Date]])</f>
        <v>45471</v>
      </c>
      <c r="M366" s="45">
        <f>GroDB[[#This Row],[Date_Received1]]-GroDB[[#This Row],[Procurement_Date]]</f>
        <v>224</v>
      </c>
      <c r="N366" s="43">
        <v>45610</v>
      </c>
      <c r="O366" s="91">
        <f>GroDB[[#This Row],[Expiration_Date]]-GroDB[[#This Row],[Date_Received1]]</f>
        <v>-85</v>
      </c>
      <c r="P366" s="4">
        <v>0.16000000000000003</v>
      </c>
      <c r="Q366" s="3">
        <v>22</v>
      </c>
      <c r="R366" s="3">
        <v>58</v>
      </c>
      <c r="S366" s="3">
        <v>2</v>
      </c>
      <c r="T366" s="4">
        <v>0.2</v>
      </c>
      <c r="U366" s="3">
        <v>33</v>
      </c>
      <c r="V366" s="51">
        <f>IF(GroDB[[#This Row],[LeadTime]]=0,GroDB[[#This Row],[Sales_Volume]],GroDB[[#This Row],[Sales_Volume]]/GroDB[[#This Row],[LeadTime]])</f>
        <v>0.14732142857142858</v>
      </c>
      <c r="W366" s="51">
        <f>_xlfn.STDEV.S(GroDB[Daily Sales])</f>
        <v>5.1999899792654221</v>
      </c>
      <c r="X366" s="3">
        <v>68</v>
      </c>
      <c r="Y366" s="7">
        <v>0.99</v>
      </c>
      <c r="Z366" s="4">
        <f>GroDB[[#This Row],[Unit_Price]]*GroDB[[#This Row],[Sales_Volume]]</f>
        <v>6.6000000000000005</v>
      </c>
      <c r="AA366" s="22">
        <f>GroDB[[#This Row],[ADU]]/GroDB[[#Totals],[ADU]]</f>
        <v>1.9171036258994186E-5</v>
      </c>
      <c r="AB366" s="1">
        <f>GroDB[[#This Row],[Sales_Volume]]*GroDB[[#This Row],[Ordering Cost]]</f>
        <v>5.2800000000000011</v>
      </c>
    </row>
    <row r="367" spans="1:28" x14ac:dyDescent="0.35">
      <c r="A367" s="5" t="s">
        <v>146</v>
      </c>
      <c r="B367" s="3" t="s">
        <v>53</v>
      </c>
      <c r="C367" s="3" t="s">
        <v>19</v>
      </c>
      <c r="D367" s="3" t="s">
        <v>1459</v>
      </c>
      <c r="E367" s="3" t="s">
        <v>28</v>
      </c>
      <c r="F367" s="3" t="s">
        <v>1460</v>
      </c>
      <c r="G367" s="3" t="s">
        <v>1461</v>
      </c>
      <c r="H367" s="43">
        <v>45695</v>
      </c>
      <c r="I367" s="43">
        <v>45594</v>
      </c>
      <c r="J367" s="47" t="str">
        <f>IF(GroDB[[#This Row],[Last_Order_Date]]&lt;=GroDB[[#This Row],[Date_Received]], "Yes", "No")</f>
        <v>Yes</v>
      </c>
      <c r="K367" s="43">
        <f>IF(GroDB[[#This Row],[Column1]]="No",GroDB[[#This Row],[Last_Order_Date]],GroDB[[#This Row],[Date_Received]])</f>
        <v>45695</v>
      </c>
      <c r="L367" s="43">
        <f>IF(GroDB[[#This Row],[Column1]]="No",GroDB[[#This Row],[Date_Received]],GroDB[[#This Row],[Last_Order_Date]])</f>
        <v>45594</v>
      </c>
      <c r="M367" s="45">
        <f>GroDB[[#This Row],[Date_Received1]]-GroDB[[#This Row],[Procurement_Date]]</f>
        <v>101</v>
      </c>
      <c r="N367" s="43">
        <v>45429</v>
      </c>
      <c r="O367" s="91">
        <f>GroDB[[#This Row],[Expiration_Date]]-GroDB[[#This Row],[Date_Received1]]</f>
        <v>-266</v>
      </c>
      <c r="P367" s="4">
        <v>3.8000000000000003</v>
      </c>
      <c r="Q367" s="3">
        <v>26</v>
      </c>
      <c r="R367" s="3">
        <v>83</v>
      </c>
      <c r="S367" s="3">
        <v>24</v>
      </c>
      <c r="T367" s="4">
        <v>4.75</v>
      </c>
      <c r="U367" s="3">
        <v>75</v>
      </c>
      <c r="V367" s="51">
        <f>IF(GroDB[[#This Row],[LeadTime]]=0,GroDB[[#This Row],[Sales_Volume]],GroDB[[#This Row],[Sales_Volume]]/GroDB[[#This Row],[LeadTime]])</f>
        <v>0.74257425742574257</v>
      </c>
      <c r="W367" s="51">
        <f>_xlfn.STDEV.S(GroDB[Daily Sales])</f>
        <v>5.1999899792654221</v>
      </c>
      <c r="X367" s="3">
        <v>12</v>
      </c>
      <c r="Y367" s="7">
        <v>-1.06</v>
      </c>
      <c r="Z367" s="4">
        <f>GroDB[[#This Row],[Unit_Price]]*GroDB[[#This Row],[Sales_Volume]]</f>
        <v>356.25</v>
      </c>
      <c r="AA367" s="22">
        <f>GroDB[[#This Row],[ADU]]/GroDB[[#Totals],[ADU]]</f>
        <v>1.0348002526161634E-3</v>
      </c>
      <c r="AB367" s="1">
        <f>GroDB[[#This Row],[Sales_Volume]]*GroDB[[#This Row],[Ordering Cost]]</f>
        <v>285</v>
      </c>
    </row>
    <row r="368" spans="1:28" x14ac:dyDescent="0.35">
      <c r="A368" s="5" t="s">
        <v>465</v>
      </c>
      <c r="B368" s="3" t="s">
        <v>18</v>
      </c>
      <c r="C368" s="3" t="s">
        <v>343</v>
      </c>
      <c r="D368" s="3" t="s">
        <v>1462</v>
      </c>
      <c r="E368" s="3" t="s">
        <v>21</v>
      </c>
      <c r="F368" s="3" t="s">
        <v>1463</v>
      </c>
      <c r="G368" s="3" t="s">
        <v>1464</v>
      </c>
      <c r="H368" s="43">
        <v>45665</v>
      </c>
      <c r="I368" s="43">
        <v>45398</v>
      </c>
      <c r="J368" s="47" t="str">
        <f>IF(GroDB[[#This Row],[Last_Order_Date]]&lt;=GroDB[[#This Row],[Date_Received]], "Yes", "No")</f>
        <v>Yes</v>
      </c>
      <c r="K368" s="43">
        <f>IF(GroDB[[#This Row],[Column1]]="No",GroDB[[#This Row],[Last_Order_Date]],GroDB[[#This Row],[Date_Received]])</f>
        <v>45665</v>
      </c>
      <c r="L368" s="43">
        <f>IF(GroDB[[#This Row],[Column1]]="No",GroDB[[#This Row],[Date_Received]],GroDB[[#This Row],[Last_Order_Date]])</f>
        <v>45398</v>
      </c>
      <c r="M368" s="45">
        <f>GroDB[[#This Row],[Date_Received1]]-GroDB[[#This Row],[Procurement_Date]]</f>
        <v>267</v>
      </c>
      <c r="N368" s="43">
        <v>45486</v>
      </c>
      <c r="O368" s="91">
        <f>GroDB[[#This Row],[Expiration_Date]]-GroDB[[#This Row],[Date_Received1]]</f>
        <v>-179</v>
      </c>
      <c r="P368" s="4">
        <v>40.936000000000007</v>
      </c>
      <c r="Q368" s="3">
        <v>62</v>
      </c>
      <c r="R368" s="3">
        <v>44</v>
      </c>
      <c r="S368" s="3">
        <v>11</v>
      </c>
      <c r="T368" s="4">
        <v>51.17</v>
      </c>
      <c r="U368" s="3">
        <v>92</v>
      </c>
      <c r="V368" s="51">
        <f>IF(GroDB[[#This Row],[LeadTime]]=0,GroDB[[#This Row],[Sales_Volume]],GroDB[[#This Row],[Sales_Volume]]/GroDB[[#This Row],[LeadTime]])</f>
        <v>0.34456928838951312</v>
      </c>
      <c r="W368" s="51">
        <f>_xlfn.STDEV.S(GroDB[Daily Sales])</f>
        <v>5.1999899792654221</v>
      </c>
      <c r="X368" s="3">
        <v>37</v>
      </c>
      <c r="Y368" s="7">
        <v>0.84</v>
      </c>
      <c r="Z368" s="4">
        <f>GroDB[[#This Row],[Unit_Price]]*GroDB[[#This Row],[Sales_Volume]]</f>
        <v>4707.6400000000003</v>
      </c>
      <c r="AA368" s="22">
        <f>GroDB[[#This Row],[ADU]]/GroDB[[#Totals],[ADU]]</f>
        <v>1.3674293505195665E-2</v>
      </c>
      <c r="AB368" s="1">
        <f>GroDB[[#This Row],[Sales_Volume]]*GroDB[[#This Row],[Ordering Cost]]</f>
        <v>3766.1120000000005</v>
      </c>
    </row>
    <row r="369" spans="1:28" x14ac:dyDescent="0.35">
      <c r="A369" s="5" t="s">
        <v>175</v>
      </c>
      <c r="B369" s="3" t="s">
        <v>53</v>
      </c>
      <c r="C369" s="3" t="s">
        <v>1465</v>
      </c>
      <c r="D369" s="3" t="s">
        <v>1466</v>
      </c>
      <c r="E369" s="3" t="s">
        <v>28</v>
      </c>
      <c r="F369" s="3" t="s">
        <v>1467</v>
      </c>
      <c r="G369" s="3" t="s">
        <v>1468</v>
      </c>
      <c r="H369" s="43">
        <v>45665</v>
      </c>
      <c r="I369" s="43">
        <v>45633</v>
      </c>
      <c r="J369" s="47" t="str">
        <f>IF(GroDB[[#This Row],[Last_Order_Date]]&lt;=GroDB[[#This Row],[Date_Received]], "Yes", "No")</f>
        <v>Yes</v>
      </c>
      <c r="K369" s="43">
        <f>IF(GroDB[[#This Row],[Column1]]="No",GroDB[[#This Row],[Last_Order_Date]],GroDB[[#This Row],[Date_Received]])</f>
        <v>45665</v>
      </c>
      <c r="L369" s="43">
        <f>IF(GroDB[[#This Row],[Column1]]="No",GroDB[[#This Row],[Date_Received]],GroDB[[#This Row],[Last_Order_Date]])</f>
        <v>45633</v>
      </c>
      <c r="M369" s="45">
        <f>GroDB[[#This Row],[Date_Received1]]-GroDB[[#This Row],[Procurement_Date]]</f>
        <v>32</v>
      </c>
      <c r="N369" s="43">
        <v>45618</v>
      </c>
      <c r="O369" s="91">
        <f>GroDB[[#This Row],[Expiration_Date]]-GroDB[[#This Row],[Date_Received1]]</f>
        <v>-47</v>
      </c>
      <c r="P369" s="4">
        <v>1.2000000000000002</v>
      </c>
      <c r="Q369" s="3">
        <v>84</v>
      </c>
      <c r="R369" s="3">
        <v>91</v>
      </c>
      <c r="S369" s="3">
        <v>86</v>
      </c>
      <c r="T369" s="4">
        <v>1.5</v>
      </c>
      <c r="U369" s="3">
        <v>83</v>
      </c>
      <c r="V369" s="51">
        <f>IF(GroDB[[#This Row],[LeadTime]]=0,GroDB[[#This Row],[Sales_Volume]],GroDB[[#This Row],[Sales_Volume]]/GroDB[[#This Row],[LeadTime]])</f>
        <v>2.59375</v>
      </c>
      <c r="W369" s="51">
        <f>_xlfn.STDEV.S(GroDB[Daily Sales])</f>
        <v>5.1999899792654221</v>
      </c>
      <c r="X369" s="3">
        <v>95</v>
      </c>
      <c r="Y369" s="7">
        <v>0.6</v>
      </c>
      <c r="Z369" s="4">
        <f>GroDB[[#This Row],[Unit_Price]]*GroDB[[#This Row],[Sales_Volume]]</f>
        <v>124.5</v>
      </c>
      <c r="AA369" s="22">
        <f>GroDB[[#This Row],[ADU]]/GroDB[[#Totals],[ADU]]</f>
        <v>3.6163545670375393E-4</v>
      </c>
      <c r="AB369" s="1">
        <f>GroDB[[#This Row],[Sales_Volume]]*GroDB[[#This Row],[Ordering Cost]]</f>
        <v>99.600000000000009</v>
      </c>
    </row>
    <row r="370" spans="1:28" x14ac:dyDescent="0.35">
      <c r="A370" s="5" t="s">
        <v>342</v>
      </c>
      <c r="B370" s="3" t="s">
        <v>18</v>
      </c>
      <c r="C370" s="3" t="s">
        <v>562</v>
      </c>
      <c r="D370" s="3" t="s">
        <v>1469</v>
      </c>
      <c r="E370" s="3" t="s">
        <v>28</v>
      </c>
      <c r="F370" s="3" t="s">
        <v>1470</v>
      </c>
      <c r="G370" s="3" t="s">
        <v>1471</v>
      </c>
      <c r="H370" s="43">
        <v>45665</v>
      </c>
      <c r="I370" s="43">
        <v>45682</v>
      </c>
      <c r="J370" s="47" t="str">
        <f>IF(GroDB[[#This Row],[Last_Order_Date]]&lt;=GroDB[[#This Row],[Date_Received]], "Yes", "No")</f>
        <v>No</v>
      </c>
      <c r="K370" s="43">
        <f>IF(GroDB[[#This Row],[Column1]]="No",GroDB[[#This Row],[Last_Order_Date]],GroDB[[#This Row],[Date_Received]])</f>
        <v>45682</v>
      </c>
      <c r="L370" s="43">
        <f>IF(GroDB[[#This Row],[Column1]]="No",GroDB[[#This Row],[Date_Received]],GroDB[[#This Row],[Last_Order_Date]])</f>
        <v>45665</v>
      </c>
      <c r="M370" s="45">
        <f>GroDB[[#This Row],[Date_Received1]]-GroDB[[#This Row],[Procurement_Date]]</f>
        <v>17</v>
      </c>
      <c r="N370" s="43">
        <v>45544</v>
      </c>
      <c r="O370" s="91">
        <f>GroDB[[#This Row],[Expiration_Date]]-GroDB[[#This Row],[Date_Received1]]</f>
        <v>-138</v>
      </c>
      <c r="P370" s="4">
        <v>4.8000000000000007</v>
      </c>
      <c r="Q370" s="3">
        <v>81</v>
      </c>
      <c r="R370" s="3">
        <v>87</v>
      </c>
      <c r="S370" s="3">
        <v>15</v>
      </c>
      <c r="T370" s="4">
        <v>6</v>
      </c>
      <c r="U370" s="3">
        <v>94</v>
      </c>
      <c r="V370" s="51">
        <f>IF(GroDB[[#This Row],[LeadTime]]=0,GroDB[[#This Row],[Sales_Volume]],GroDB[[#This Row],[Sales_Volume]]/GroDB[[#This Row],[LeadTime]])</f>
        <v>5.5294117647058822</v>
      </c>
      <c r="W370" s="51">
        <f>_xlfn.STDEV.S(GroDB[Daily Sales])</f>
        <v>5.1999899792654221</v>
      </c>
      <c r="X370" s="3">
        <v>10</v>
      </c>
      <c r="Y370" s="7">
        <v>-0.14000000000000001</v>
      </c>
      <c r="Z370" s="4">
        <f>GroDB[[#This Row],[Unit_Price]]*GroDB[[#This Row],[Sales_Volume]]</f>
        <v>564</v>
      </c>
      <c r="AA370" s="22">
        <f>GroDB[[#This Row],[ADU]]/GroDB[[#Totals],[ADU]]</f>
        <v>1.6382521894049576E-3</v>
      </c>
      <c r="AB370" s="1">
        <f>GroDB[[#This Row],[Sales_Volume]]*GroDB[[#This Row],[Ordering Cost]]</f>
        <v>451.20000000000005</v>
      </c>
    </row>
    <row r="371" spans="1:28" x14ac:dyDescent="0.35">
      <c r="A371" s="5" t="s">
        <v>674</v>
      </c>
      <c r="B371" s="3" t="s">
        <v>60</v>
      </c>
      <c r="C371" s="3" t="s">
        <v>92</v>
      </c>
      <c r="D371" s="3" t="s">
        <v>1472</v>
      </c>
      <c r="E371" s="3" t="s">
        <v>56</v>
      </c>
      <c r="F371" s="3" t="s">
        <v>1473</v>
      </c>
      <c r="G371" s="3" t="s">
        <v>1474</v>
      </c>
      <c r="H371" s="43">
        <v>45665</v>
      </c>
      <c r="I371" s="43">
        <v>45531</v>
      </c>
      <c r="J371" s="47" t="str">
        <f>IF(GroDB[[#This Row],[Last_Order_Date]]&lt;=GroDB[[#This Row],[Date_Received]], "Yes", "No")</f>
        <v>Yes</v>
      </c>
      <c r="K371" s="43">
        <f>IF(GroDB[[#This Row],[Column1]]="No",GroDB[[#This Row],[Last_Order_Date]],GroDB[[#This Row],[Date_Received]])</f>
        <v>45665</v>
      </c>
      <c r="L371" s="43">
        <f>IF(GroDB[[#This Row],[Column1]]="No",GroDB[[#This Row],[Date_Received]],GroDB[[#This Row],[Last_Order_Date]])</f>
        <v>45531</v>
      </c>
      <c r="M371" s="45">
        <f>GroDB[[#This Row],[Date_Received1]]-GroDB[[#This Row],[Procurement_Date]]</f>
        <v>134</v>
      </c>
      <c r="N371" s="43">
        <v>45452</v>
      </c>
      <c r="O371" s="91">
        <f>GroDB[[#This Row],[Expiration_Date]]-GroDB[[#This Row],[Date_Received1]]</f>
        <v>-213</v>
      </c>
      <c r="P371" s="4">
        <v>7.2</v>
      </c>
      <c r="Q371" s="3">
        <v>61</v>
      </c>
      <c r="R371" s="3">
        <v>91</v>
      </c>
      <c r="S371" s="3">
        <v>40</v>
      </c>
      <c r="T371" s="4">
        <v>9</v>
      </c>
      <c r="U371" s="3">
        <v>34</v>
      </c>
      <c r="V371" s="51">
        <f>IF(GroDB[[#This Row],[LeadTime]]=0,GroDB[[#This Row],[Sales_Volume]],GroDB[[#This Row],[Sales_Volume]]/GroDB[[#This Row],[LeadTime]])</f>
        <v>0.2537313432835821</v>
      </c>
      <c r="W371" s="51">
        <f>_xlfn.STDEV.S(GroDB[Daily Sales])</f>
        <v>5.1999899792654221</v>
      </c>
      <c r="X371" s="3">
        <v>76</v>
      </c>
      <c r="Y371" s="7">
        <v>0.89</v>
      </c>
      <c r="Z371" s="4">
        <f>GroDB[[#This Row],[Unit_Price]]*GroDB[[#This Row],[Sales_Volume]]</f>
        <v>306</v>
      </c>
      <c r="AA371" s="22">
        <f>GroDB[[#This Row],[ADU]]/GroDB[[#Totals],[ADU]]</f>
        <v>8.8883895382609404E-4</v>
      </c>
      <c r="AB371" s="1">
        <f>GroDB[[#This Row],[Sales_Volume]]*GroDB[[#This Row],[Ordering Cost]]</f>
        <v>244.8</v>
      </c>
    </row>
    <row r="372" spans="1:28" x14ac:dyDescent="0.35">
      <c r="A372" s="5" t="s">
        <v>75</v>
      </c>
      <c r="B372" s="3" t="s">
        <v>32</v>
      </c>
      <c r="C372" s="3" t="s">
        <v>1475</v>
      </c>
      <c r="D372" s="3" t="s">
        <v>1476</v>
      </c>
      <c r="E372" s="3" t="s">
        <v>28</v>
      </c>
      <c r="F372" s="3" t="s">
        <v>1477</v>
      </c>
      <c r="G372" s="3" t="s">
        <v>1478</v>
      </c>
      <c r="H372" s="43">
        <v>45696</v>
      </c>
      <c r="I372" s="43">
        <v>45467</v>
      </c>
      <c r="J372" s="47" t="str">
        <f>IF(GroDB[[#This Row],[Last_Order_Date]]&lt;=GroDB[[#This Row],[Date_Received]], "Yes", "No")</f>
        <v>Yes</v>
      </c>
      <c r="K372" s="43">
        <f>IF(GroDB[[#This Row],[Column1]]="No",GroDB[[#This Row],[Last_Order_Date]],GroDB[[#This Row],[Date_Received]])</f>
        <v>45696</v>
      </c>
      <c r="L372" s="43">
        <f>IF(GroDB[[#This Row],[Column1]]="No",GroDB[[#This Row],[Date_Received]],GroDB[[#This Row],[Last_Order_Date]])</f>
        <v>45467</v>
      </c>
      <c r="M372" s="45">
        <f>GroDB[[#This Row],[Date_Received1]]-GroDB[[#This Row],[Procurement_Date]]</f>
        <v>229</v>
      </c>
      <c r="N372" s="43">
        <v>45674</v>
      </c>
      <c r="O372" s="91">
        <f>GroDB[[#This Row],[Expiration_Date]]-GroDB[[#This Row],[Date_Received1]]</f>
        <v>-22</v>
      </c>
      <c r="P372" s="4">
        <v>7.2</v>
      </c>
      <c r="Q372" s="3">
        <v>70</v>
      </c>
      <c r="R372" s="3">
        <v>96</v>
      </c>
      <c r="S372" s="3">
        <v>35</v>
      </c>
      <c r="T372" s="4">
        <v>9</v>
      </c>
      <c r="U372" s="3">
        <v>63</v>
      </c>
      <c r="V372" s="51">
        <f>IF(GroDB[[#This Row],[LeadTime]]=0,GroDB[[#This Row],[Sales_Volume]],GroDB[[#This Row],[Sales_Volume]]/GroDB[[#This Row],[LeadTime]])</f>
        <v>0.27510917030567683</v>
      </c>
      <c r="W372" s="51">
        <f>_xlfn.STDEV.S(GroDB[Daily Sales])</f>
        <v>5.1999899792654221</v>
      </c>
      <c r="X372" s="3">
        <v>84</v>
      </c>
      <c r="Y372" s="7">
        <v>-1.24</v>
      </c>
      <c r="Z372" s="4">
        <f>GroDB[[#This Row],[Unit_Price]]*GroDB[[#This Row],[Sales_Volume]]</f>
        <v>567</v>
      </c>
      <c r="AA372" s="22">
        <f>GroDB[[#This Row],[ADU]]/GroDB[[#Totals],[ADU]]</f>
        <v>1.6469662967954096E-3</v>
      </c>
      <c r="AB372" s="1">
        <f>GroDB[[#This Row],[Sales_Volume]]*GroDB[[#This Row],[Ordering Cost]]</f>
        <v>453.6</v>
      </c>
    </row>
    <row r="373" spans="1:28" x14ac:dyDescent="0.35">
      <c r="A373" s="5" t="s">
        <v>111</v>
      </c>
      <c r="B373" s="3" t="s">
        <v>32</v>
      </c>
      <c r="C373" s="3" t="s">
        <v>1479</v>
      </c>
      <c r="D373" s="3" t="s">
        <v>1480</v>
      </c>
      <c r="E373" s="3" t="s">
        <v>21</v>
      </c>
      <c r="F373" s="3" t="s">
        <v>1481</v>
      </c>
      <c r="G373" s="3" t="s">
        <v>1482</v>
      </c>
      <c r="H373" s="43">
        <v>45666</v>
      </c>
      <c r="I373" s="43">
        <v>45671</v>
      </c>
      <c r="J373" s="47" t="str">
        <f>IF(GroDB[[#This Row],[Last_Order_Date]]&lt;=GroDB[[#This Row],[Date_Received]], "Yes", "No")</f>
        <v>No</v>
      </c>
      <c r="K373" s="43">
        <f>IF(GroDB[[#This Row],[Column1]]="No",GroDB[[#This Row],[Last_Order_Date]],GroDB[[#This Row],[Date_Received]])</f>
        <v>45671</v>
      </c>
      <c r="L373" s="43">
        <f>IF(GroDB[[#This Row],[Column1]]="No",GroDB[[#This Row],[Date_Received]],GroDB[[#This Row],[Last_Order_Date]])</f>
        <v>45666</v>
      </c>
      <c r="M373" s="45">
        <f>GroDB[[#This Row],[Date_Received1]]-GroDB[[#This Row],[Procurement_Date]]</f>
        <v>5</v>
      </c>
      <c r="N373" s="43">
        <v>45407</v>
      </c>
      <c r="O373" s="91">
        <f>GroDB[[#This Row],[Expiration_Date]]-GroDB[[#This Row],[Date_Received1]]</f>
        <v>-264</v>
      </c>
      <c r="P373" s="4">
        <v>4.8000000000000007</v>
      </c>
      <c r="Q373" s="3">
        <v>49</v>
      </c>
      <c r="R373" s="3">
        <v>28</v>
      </c>
      <c r="S373" s="3">
        <v>74</v>
      </c>
      <c r="T373" s="4">
        <v>6</v>
      </c>
      <c r="U373" s="3">
        <v>70</v>
      </c>
      <c r="V373" s="51">
        <f>IF(GroDB[[#This Row],[LeadTime]]=0,GroDB[[#This Row],[Sales_Volume]],GroDB[[#This Row],[Sales_Volume]]/GroDB[[#This Row],[LeadTime]])</f>
        <v>14</v>
      </c>
      <c r="W373" s="51">
        <f>_xlfn.STDEV.S(GroDB[Daily Sales])</f>
        <v>5.1999899792654221</v>
      </c>
      <c r="X373" s="3">
        <v>38</v>
      </c>
      <c r="Y373" s="7">
        <v>-0.33</v>
      </c>
      <c r="Z373" s="4">
        <f>GroDB[[#This Row],[Unit_Price]]*GroDB[[#This Row],[Sales_Volume]]</f>
        <v>420</v>
      </c>
      <c r="AA373" s="22">
        <f>GroDB[[#This Row],[ADU]]/GroDB[[#Totals],[ADU]]</f>
        <v>1.2199750346632663E-3</v>
      </c>
      <c r="AB373" s="1">
        <f>GroDB[[#This Row],[Sales_Volume]]*GroDB[[#This Row],[Ordering Cost]]</f>
        <v>336.00000000000006</v>
      </c>
    </row>
    <row r="374" spans="1:28" x14ac:dyDescent="0.35">
      <c r="A374" s="5" t="s">
        <v>156</v>
      </c>
      <c r="B374" s="3" t="s">
        <v>127</v>
      </c>
      <c r="C374" s="3" t="s">
        <v>1175</v>
      </c>
      <c r="D374" s="3" t="s">
        <v>1483</v>
      </c>
      <c r="E374" s="3" t="s">
        <v>56</v>
      </c>
      <c r="F374" s="3" t="s">
        <v>1484</v>
      </c>
      <c r="G374" s="3" t="s">
        <v>1485</v>
      </c>
      <c r="H374" s="43">
        <v>45666</v>
      </c>
      <c r="I374" s="43">
        <v>45477</v>
      </c>
      <c r="J374" s="47" t="str">
        <f>IF(GroDB[[#This Row],[Last_Order_Date]]&lt;=GroDB[[#This Row],[Date_Received]], "Yes", "No")</f>
        <v>Yes</v>
      </c>
      <c r="K374" s="43">
        <f>IF(GroDB[[#This Row],[Column1]]="No",GroDB[[#This Row],[Last_Order_Date]],GroDB[[#This Row],[Date_Received]])</f>
        <v>45666</v>
      </c>
      <c r="L374" s="43">
        <f>IF(GroDB[[#This Row],[Column1]]="No",GroDB[[#This Row],[Date_Received]],GroDB[[#This Row],[Last_Order_Date]])</f>
        <v>45477</v>
      </c>
      <c r="M374" s="45">
        <f>GroDB[[#This Row],[Date_Received1]]-GroDB[[#This Row],[Procurement_Date]]</f>
        <v>189</v>
      </c>
      <c r="N374" s="43">
        <v>45598</v>
      </c>
      <c r="O374" s="91">
        <f>GroDB[[#This Row],[Expiration_Date]]-GroDB[[#This Row],[Date_Received1]]</f>
        <v>-68</v>
      </c>
      <c r="P374" s="4">
        <v>9.6000000000000014</v>
      </c>
      <c r="Q374" s="3">
        <v>20</v>
      </c>
      <c r="R374" s="3">
        <v>68</v>
      </c>
      <c r="S374" s="3">
        <v>20</v>
      </c>
      <c r="T374" s="4">
        <v>12</v>
      </c>
      <c r="U374" s="3">
        <v>38</v>
      </c>
      <c r="V374" s="51">
        <f>IF(GroDB[[#This Row],[LeadTime]]=0,GroDB[[#This Row],[Sales_Volume]],GroDB[[#This Row],[Sales_Volume]]/GroDB[[#This Row],[LeadTime]])</f>
        <v>0.20105820105820105</v>
      </c>
      <c r="W374" s="51">
        <f>_xlfn.STDEV.S(GroDB[Daily Sales])</f>
        <v>5.1999899792654221</v>
      </c>
      <c r="X374" s="3">
        <v>51</v>
      </c>
      <c r="Y374" s="7">
        <v>0.46</v>
      </c>
      <c r="Z374" s="4">
        <f>GroDB[[#This Row],[Unit_Price]]*GroDB[[#This Row],[Sales_Volume]]</f>
        <v>456</v>
      </c>
      <c r="AA374" s="22">
        <f>GroDB[[#This Row],[ADU]]/GroDB[[#Totals],[ADU]]</f>
        <v>1.3245443233486892E-3</v>
      </c>
      <c r="AB374" s="1">
        <f>GroDB[[#This Row],[Sales_Volume]]*GroDB[[#This Row],[Ordering Cost]]</f>
        <v>364.80000000000007</v>
      </c>
    </row>
    <row r="375" spans="1:28" x14ac:dyDescent="0.35">
      <c r="A375" s="5" t="s">
        <v>146</v>
      </c>
      <c r="B375" s="3" t="s">
        <v>53</v>
      </c>
      <c r="C375" s="3" t="s">
        <v>1040</v>
      </c>
      <c r="D375" s="3" t="s">
        <v>1486</v>
      </c>
      <c r="E375" s="3" t="s">
        <v>56</v>
      </c>
      <c r="F375" s="3" t="s">
        <v>1487</v>
      </c>
      <c r="G375" s="3" t="s">
        <v>1488</v>
      </c>
      <c r="H375" s="43">
        <v>45666</v>
      </c>
      <c r="I375" s="43">
        <v>45379</v>
      </c>
      <c r="J375" s="47" t="str">
        <f>IF(GroDB[[#This Row],[Last_Order_Date]]&lt;=GroDB[[#This Row],[Date_Received]], "Yes", "No")</f>
        <v>Yes</v>
      </c>
      <c r="K375" s="43">
        <f>IF(GroDB[[#This Row],[Column1]]="No",GroDB[[#This Row],[Last_Order_Date]],GroDB[[#This Row],[Date_Received]])</f>
        <v>45666</v>
      </c>
      <c r="L375" s="43">
        <f>IF(GroDB[[#This Row],[Column1]]="No",GroDB[[#This Row],[Date_Received]],GroDB[[#This Row],[Last_Order_Date]])</f>
        <v>45379</v>
      </c>
      <c r="M375" s="45">
        <f>GroDB[[#This Row],[Date_Received1]]-GroDB[[#This Row],[Procurement_Date]]</f>
        <v>287</v>
      </c>
      <c r="N375" s="43">
        <v>45397</v>
      </c>
      <c r="O375" s="91">
        <f>GroDB[[#This Row],[Expiration_Date]]-GroDB[[#This Row],[Date_Received1]]</f>
        <v>-269</v>
      </c>
      <c r="P375" s="4">
        <v>3.8000000000000003</v>
      </c>
      <c r="Q375" s="3">
        <v>50</v>
      </c>
      <c r="R375" s="3">
        <v>14</v>
      </c>
      <c r="S375" s="3">
        <v>99</v>
      </c>
      <c r="T375" s="4">
        <v>4.75</v>
      </c>
      <c r="U375" s="3">
        <v>52</v>
      </c>
      <c r="V375" s="51">
        <f>IF(GroDB[[#This Row],[LeadTime]]=0,GroDB[[#This Row],[Sales_Volume]],GroDB[[#This Row],[Sales_Volume]]/GroDB[[#This Row],[LeadTime]])</f>
        <v>0.18118466898954705</v>
      </c>
      <c r="W375" s="51">
        <f>_xlfn.STDEV.S(GroDB[Daily Sales])</f>
        <v>5.1999899792654221</v>
      </c>
      <c r="X375" s="3">
        <v>75</v>
      </c>
      <c r="Y375" s="7">
        <v>-0.34</v>
      </c>
      <c r="Z375" s="4">
        <f>GroDB[[#This Row],[Unit_Price]]*GroDB[[#This Row],[Sales_Volume]]</f>
        <v>247</v>
      </c>
      <c r="AA375" s="22">
        <f>GroDB[[#This Row],[ADU]]/GroDB[[#Totals],[ADU]]</f>
        <v>7.1746150848053998E-4</v>
      </c>
      <c r="AB375" s="1">
        <f>GroDB[[#This Row],[Sales_Volume]]*GroDB[[#This Row],[Ordering Cost]]</f>
        <v>197.60000000000002</v>
      </c>
    </row>
    <row r="376" spans="1:28" x14ac:dyDescent="0.35">
      <c r="A376" s="5" t="s">
        <v>1109</v>
      </c>
      <c r="B376" s="3" t="s">
        <v>18</v>
      </c>
      <c r="C376" s="3" t="s">
        <v>912</v>
      </c>
      <c r="D376" s="3" t="s">
        <v>1489</v>
      </c>
      <c r="E376" s="3" t="s">
        <v>28</v>
      </c>
      <c r="F376" s="3" t="s">
        <v>1490</v>
      </c>
      <c r="G376" s="3" t="s">
        <v>1491</v>
      </c>
      <c r="H376" s="43">
        <v>45666</v>
      </c>
      <c r="I376" s="43">
        <v>45450</v>
      </c>
      <c r="J376" s="47" t="str">
        <f>IF(GroDB[[#This Row],[Last_Order_Date]]&lt;=GroDB[[#This Row],[Date_Received]], "Yes", "No")</f>
        <v>Yes</v>
      </c>
      <c r="K376" s="43">
        <f>IF(GroDB[[#This Row],[Column1]]="No",GroDB[[#This Row],[Last_Order_Date]],GroDB[[#This Row],[Date_Received]])</f>
        <v>45666</v>
      </c>
      <c r="L376" s="43">
        <f>IF(GroDB[[#This Row],[Column1]]="No",GroDB[[#This Row],[Date_Received]],GroDB[[#This Row],[Last_Order_Date]])</f>
        <v>45450</v>
      </c>
      <c r="M376" s="45">
        <f>GroDB[[#This Row],[Date_Received1]]-GroDB[[#This Row],[Procurement_Date]]</f>
        <v>216</v>
      </c>
      <c r="N376" s="43">
        <v>45581</v>
      </c>
      <c r="O376" s="91">
        <f>GroDB[[#This Row],[Expiration_Date]]-GroDB[[#This Row],[Date_Received1]]</f>
        <v>-85</v>
      </c>
      <c r="P376" s="4">
        <v>2</v>
      </c>
      <c r="Q376" s="3">
        <v>63</v>
      </c>
      <c r="R376" s="3">
        <v>56</v>
      </c>
      <c r="S376" s="3">
        <v>33</v>
      </c>
      <c r="T376" s="4">
        <v>2.5</v>
      </c>
      <c r="U376" s="3">
        <v>35</v>
      </c>
      <c r="V376" s="51">
        <f>IF(GroDB[[#This Row],[LeadTime]]=0,GroDB[[#This Row],[Sales_Volume]],GroDB[[#This Row],[Sales_Volume]]/GroDB[[#This Row],[LeadTime]])</f>
        <v>0.16203703703703703</v>
      </c>
      <c r="W376" s="51">
        <f>_xlfn.STDEV.S(GroDB[Daily Sales])</f>
        <v>5.1999899792654221</v>
      </c>
      <c r="X376" s="3">
        <v>16</v>
      </c>
      <c r="Y376" s="7">
        <v>-0.44</v>
      </c>
      <c r="Z376" s="4">
        <f>GroDB[[#This Row],[Unit_Price]]*GroDB[[#This Row],[Sales_Volume]]</f>
        <v>87.5</v>
      </c>
      <c r="AA376" s="22">
        <f>GroDB[[#This Row],[ADU]]/GroDB[[#Totals],[ADU]]</f>
        <v>2.5416146555484715E-4</v>
      </c>
      <c r="AB376" s="1">
        <f>GroDB[[#This Row],[Sales_Volume]]*GroDB[[#This Row],[Ordering Cost]]</f>
        <v>70</v>
      </c>
    </row>
    <row r="377" spans="1:28" x14ac:dyDescent="0.35">
      <c r="A377" s="5" t="s">
        <v>789</v>
      </c>
      <c r="B377" s="3" t="s">
        <v>18</v>
      </c>
      <c r="C377" s="3" t="s">
        <v>181</v>
      </c>
      <c r="D377" s="3" t="s">
        <v>1492</v>
      </c>
      <c r="E377" s="3" t="s">
        <v>56</v>
      </c>
      <c r="F377" s="3" t="s">
        <v>1493</v>
      </c>
      <c r="G377" s="3" t="s">
        <v>1494</v>
      </c>
      <c r="H377" s="43">
        <v>45666</v>
      </c>
      <c r="I377" s="43">
        <v>45401</v>
      </c>
      <c r="J377" s="47" t="str">
        <f>IF(GroDB[[#This Row],[Last_Order_Date]]&lt;=GroDB[[#This Row],[Date_Received]], "Yes", "No")</f>
        <v>Yes</v>
      </c>
      <c r="K377" s="43">
        <f>IF(GroDB[[#This Row],[Column1]]="No",GroDB[[#This Row],[Last_Order_Date]],GroDB[[#This Row],[Date_Received]])</f>
        <v>45666</v>
      </c>
      <c r="L377" s="43">
        <f>IF(GroDB[[#This Row],[Column1]]="No",GroDB[[#This Row],[Date_Received]],GroDB[[#This Row],[Last_Order_Date]])</f>
        <v>45401</v>
      </c>
      <c r="M377" s="45">
        <f>GroDB[[#This Row],[Date_Received1]]-GroDB[[#This Row],[Procurement_Date]]</f>
        <v>265</v>
      </c>
      <c r="N377" s="43">
        <v>45405</v>
      </c>
      <c r="O377" s="91">
        <f>GroDB[[#This Row],[Expiration_Date]]-GroDB[[#This Row],[Date_Received1]]</f>
        <v>-261</v>
      </c>
      <c r="P377" s="4">
        <v>1.6</v>
      </c>
      <c r="Q377" s="3">
        <v>42</v>
      </c>
      <c r="R377" s="3">
        <v>48</v>
      </c>
      <c r="S377" s="3">
        <v>18</v>
      </c>
      <c r="T377" s="4">
        <v>2</v>
      </c>
      <c r="U377" s="3">
        <v>39</v>
      </c>
      <c r="V377" s="51">
        <f>IF(GroDB[[#This Row],[LeadTime]]=0,GroDB[[#This Row],[Sales_Volume]],GroDB[[#This Row],[Sales_Volume]]/GroDB[[#This Row],[LeadTime]])</f>
        <v>0.14716981132075471</v>
      </c>
      <c r="W377" s="51">
        <f>_xlfn.STDEV.S(GroDB[Daily Sales])</f>
        <v>5.1999899792654221</v>
      </c>
      <c r="X377" s="3">
        <v>57</v>
      </c>
      <c r="Y377" s="7">
        <v>0.54</v>
      </c>
      <c r="Z377" s="4">
        <f>GroDB[[#This Row],[Unit_Price]]*GroDB[[#This Row],[Sales_Volume]]</f>
        <v>78</v>
      </c>
      <c r="AA377" s="22">
        <f>GroDB[[#This Row],[ADU]]/GroDB[[#Totals],[ADU]]</f>
        <v>2.2656679215174945E-4</v>
      </c>
      <c r="AB377" s="1">
        <f>GroDB[[#This Row],[Sales_Volume]]*GroDB[[#This Row],[Ordering Cost]]</f>
        <v>62.400000000000006</v>
      </c>
    </row>
    <row r="378" spans="1:28" x14ac:dyDescent="0.35">
      <c r="A378" s="5" t="s">
        <v>392</v>
      </c>
      <c r="B378" s="3" t="s">
        <v>18</v>
      </c>
      <c r="C378" s="3" t="s">
        <v>813</v>
      </c>
      <c r="D378" s="3" t="s">
        <v>1495</v>
      </c>
      <c r="E378" s="3" t="s">
        <v>28</v>
      </c>
      <c r="F378" s="3" t="s">
        <v>1496</v>
      </c>
      <c r="G378" s="3" t="s">
        <v>1497</v>
      </c>
      <c r="H378" s="43">
        <v>45697</v>
      </c>
      <c r="I378" s="43">
        <v>45458</v>
      </c>
      <c r="J378" s="47" t="str">
        <f>IF(GroDB[[#This Row],[Last_Order_Date]]&lt;=GroDB[[#This Row],[Date_Received]], "Yes", "No")</f>
        <v>Yes</v>
      </c>
      <c r="K378" s="43">
        <f>IF(GroDB[[#This Row],[Column1]]="No",GroDB[[#This Row],[Last_Order_Date]],GroDB[[#This Row],[Date_Received]])</f>
        <v>45697</v>
      </c>
      <c r="L378" s="43">
        <f>IF(GroDB[[#This Row],[Column1]]="No",GroDB[[#This Row],[Date_Received]],GroDB[[#This Row],[Last_Order_Date]])</f>
        <v>45458</v>
      </c>
      <c r="M378" s="45">
        <f>GroDB[[#This Row],[Date_Received1]]-GroDB[[#This Row],[Procurement_Date]]</f>
        <v>239</v>
      </c>
      <c r="N378" s="43">
        <v>45708</v>
      </c>
      <c r="O378" s="91">
        <f>GroDB[[#This Row],[Expiration_Date]]-GroDB[[#This Row],[Date_Received1]]</f>
        <v>11</v>
      </c>
      <c r="P378" s="4">
        <v>4.4000000000000004</v>
      </c>
      <c r="Q378" s="3">
        <v>22</v>
      </c>
      <c r="R378" s="3">
        <v>69</v>
      </c>
      <c r="S378" s="3">
        <v>87</v>
      </c>
      <c r="T378" s="4">
        <v>5.5</v>
      </c>
      <c r="U378" s="3">
        <v>34</v>
      </c>
      <c r="V378" s="51">
        <f>IF(GroDB[[#This Row],[LeadTime]]=0,GroDB[[#This Row],[Sales_Volume]],GroDB[[#This Row],[Sales_Volume]]/GroDB[[#This Row],[LeadTime]])</f>
        <v>0.14225941422594143</v>
      </c>
      <c r="W378" s="51">
        <f>_xlfn.STDEV.S(GroDB[Daily Sales])</f>
        <v>5.1999899792654221</v>
      </c>
      <c r="X378" s="3">
        <v>26</v>
      </c>
      <c r="Y378" s="7">
        <v>-0.46</v>
      </c>
      <c r="Z378" s="4">
        <f>GroDB[[#This Row],[Unit_Price]]*GroDB[[#This Row],[Sales_Volume]]</f>
        <v>187</v>
      </c>
      <c r="AA378" s="22">
        <f>GroDB[[#This Row],[ADU]]/GroDB[[#Totals],[ADU]]</f>
        <v>5.4317936067150197E-4</v>
      </c>
      <c r="AB378" s="1">
        <f>GroDB[[#This Row],[Sales_Volume]]*GroDB[[#This Row],[Ordering Cost]]</f>
        <v>149.60000000000002</v>
      </c>
    </row>
    <row r="379" spans="1:28" x14ac:dyDescent="0.35">
      <c r="A379" s="5" t="s">
        <v>1278</v>
      </c>
      <c r="B379" s="3" t="s">
        <v>18</v>
      </c>
      <c r="C379" s="3" t="s">
        <v>1498</v>
      </c>
      <c r="D379" s="3" t="s">
        <v>1499</v>
      </c>
      <c r="E379" s="3" t="s">
        <v>21</v>
      </c>
      <c r="F379" s="3" t="s">
        <v>1500</v>
      </c>
      <c r="G379" s="3" t="s">
        <v>1501</v>
      </c>
      <c r="H379" s="43">
        <v>45697</v>
      </c>
      <c r="I379" s="43">
        <v>45703</v>
      </c>
      <c r="J379" s="47" t="str">
        <f>IF(GroDB[[#This Row],[Last_Order_Date]]&lt;=GroDB[[#This Row],[Date_Received]], "Yes", "No")</f>
        <v>No</v>
      </c>
      <c r="K379" s="43">
        <f>IF(GroDB[[#This Row],[Column1]]="No",GroDB[[#This Row],[Last_Order_Date]],GroDB[[#This Row],[Date_Received]])</f>
        <v>45703</v>
      </c>
      <c r="L379" s="43">
        <f>IF(GroDB[[#This Row],[Column1]]="No",GroDB[[#This Row],[Date_Received]],GroDB[[#This Row],[Last_Order_Date]])</f>
        <v>45697</v>
      </c>
      <c r="M379" s="45">
        <f>GroDB[[#This Row],[Date_Received1]]-GroDB[[#This Row],[Procurement_Date]]</f>
        <v>6</v>
      </c>
      <c r="N379" s="43">
        <v>45640</v>
      </c>
      <c r="O379" s="91">
        <f>GroDB[[#This Row],[Expiration_Date]]-GroDB[[#This Row],[Date_Received1]]</f>
        <v>-63</v>
      </c>
      <c r="P379" s="4">
        <v>3.5200000000000005</v>
      </c>
      <c r="Q379" s="3">
        <v>84</v>
      </c>
      <c r="R379" s="3">
        <v>28</v>
      </c>
      <c r="S379" s="3">
        <v>29</v>
      </c>
      <c r="T379" s="4">
        <v>4.4000000000000004</v>
      </c>
      <c r="U379" s="3">
        <v>54</v>
      </c>
      <c r="V379" s="51">
        <f>IF(GroDB[[#This Row],[LeadTime]]=0,GroDB[[#This Row],[Sales_Volume]],GroDB[[#This Row],[Sales_Volume]]/GroDB[[#This Row],[LeadTime]])</f>
        <v>9</v>
      </c>
      <c r="W379" s="51">
        <f>_xlfn.STDEV.S(GroDB[Daily Sales])</f>
        <v>5.1999899792654221</v>
      </c>
      <c r="X379" s="3">
        <v>32</v>
      </c>
      <c r="Y379" s="7">
        <v>0.24</v>
      </c>
      <c r="Z379" s="4">
        <f>GroDB[[#This Row],[Unit_Price]]*GroDB[[#This Row],[Sales_Volume]]</f>
        <v>237.60000000000002</v>
      </c>
      <c r="AA379" s="22">
        <f>GroDB[[#This Row],[ADU]]/GroDB[[#Totals],[ADU]]</f>
        <v>6.9015730532379072E-4</v>
      </c>
      <c r="AB379" s="1">
        <f>GroDB[[#This Row],[Sales_Volume]]*GroDB[[#This Row],[Ordering Cost]]</f>
        <v>190.08</v>
      </c>
    </row>
    <row r="380" spans="1:28" x14ac:dyDescent="0.35">
      <c r="A380" s="5" t="s">
        <v>582</v>
      </c>
      <c r="B380" s="3" t="s">
        <v>32</v>
      </c>
      <c r="C380" s="3" t="s">
        <v>751</v>
      </c>
      <c r="D380" s="3" t="s">
        <v>1502</v>
      </c>
      <c r="E380" s="3" t="s">
        <v>21</v>
      </c>
      <c r="F380" s="3" t="s">
        <v>1503</v>
      </c>
      <c r="G380" s="3" t="s">
        <v>1504</v>
      </c>
      <c r="H380" s="43">
        <v>45697</v>
      </c>
      <c r="I380" s="43">
        <v>45362</v>
      </c>
      <c r="J380" s="47" t="str">
        <f>IF(GroDB[[#This Row],[Last_Order_Date]]&lt;=GroDB[[#This Row],[Date_Received]], "Yes", "No")</f>
        <v>Yes</v>
      </c>
      <c r="K380" s="43">
        <f>IF(GroDB[[#This Row],[Column1]]="No",GroDB[[#This Row],[Last_Order_Date]],GroDB[[#This Row],[Date_Received]])</f>
        <v>45697</v>
      </c>
      <c r="L380" s="43">
        <f>IF(GroDB[[#This Row],[Column1]]="No",GroDB[[#This Row],[Date_Received]],GroDB[[#This Row],[Last_Order_Date]])</f>
        <v>45362</v>
      </c>
      <c r="M380" s="45">
        <f>GroDB[[#This Row],[Date_Received1]]-GroDB[[#This Row],[Procurement_Date]]</f>
        <v>335</v>
      </c>
      <c r="N380" s="43">
        <v>45552</v>
      </c>
      <c r="O380" s="91">
        <f>GroDB[[#This Row],[Expiration_Date]]-GroDB[[#This Row],[Date_Received1]]</f>
        <v>-145</v>
      </c>
      <c r="P380" s="4">
        <v>0.64000000000000012</v>
      </c>
      <c r="Q380" s="3">
        <v>93</v>
      </c>
      <c r="R380" s="3">
        <v>68</v>
      </c>
      <c r="S380" s="3">
        <v>71</v>
      </c>
      <c r="T380" s="4">
        <v>0.8</v>
      </c>
      <c r="U380" s="3">
        <v>30</v>
      </c>
      <c r="V380" s="51">
        <f>IF(GroDB[[#This Row],[LeadTime]]=0,GroDB[[#This Row],[Sales_Volume]],GroDB[[#This Row],[Sales_Volume]]/GroDB[[#This Row],[LeadTime]])</f>
        <v>8.9552238805970144E-2</v>
      </c>
      <c r="W380" s="51">
        <f>_xlfn.STDEV.S(GroDB[Daily Sales])</f>
        <v>5.1999899792654221</v>
      </c>
      <c r="X380" s="3">
        <v>37</v>
      </c>
      <c r="Y380" s="7">
        <v>0.41</v>
      </c>
      <c r="Z380" s="4">
        <f>GroDB[[#This Row],[Unit_Price]]*GroDB[[#This Row],[Sales_Volume]]</f>
        <v>24</v>
      </c>
      <c r="AA380" s="22">
        <f>GroDB[[#This Row],[ADU]]/GroDB[[#Totals],[ADU]]</f>
        <v>6.9712859123615225E-5</v>
      </c>
      <c r="AB380" s="1">
        <f>GroDB[[#This Row],[Sales_Volume]]*GroDB[[#This Row],[Ordering Cost]]</f>
        <v>19.200000000000003</v>
      </c>
    </row>
    <row r="381" spans="1:28" x14ac:dyDescent="0.35">
      <c r="A381" s="5" t="s">
        <v>836</v>
      </c>
      <c r="B381" s="3" t="s">
        <v>91</v>
      </c>
      <c r="C381" s="3" t="s">
        <v>1505</v>
      </c>
      <c r="D381" s="3" t="s">
        <v>1506</v>
      </c>
      <c r="E381" s="3" t="s">
        <v>28</v>
      </c>
      <c r="F381" s="3" t="s">
        <v>1507</v>
      </c>
      <c r="G381" s="3" t="s">
        <v>1508</v>
      </c>
      <c r="H381" s="43">
        <v>45667</v>
      </c>
      <c r="I381" s="43">
        <v>45570</v>
      </c>
      <c r="J381" s="47" t="str">
        <f>IF(GroDB[[#This Row],[Last_Order_Date]]&lt;=GroDB[[#This Row],[Date_Received]], "Yes", "No")</f>
        <v>Yes</v>
      </c>
      <c r="K381" s="43">
        <f>IF(GroDB[[#This Row],[Column1]]="No",GroDB[[#This Row],[Last_Order_Date]],GroDB[[#This Row],[Date_Received]])</f>
        <v>45667</v>
      </c>
      <c r="L381" s="43">
        <f>IF(GroDB[[#This Row],[Column1]]="No",GroDB[[#This Row],[Date_Received]],GroDB[[#This Row],[Last_Order_Date]])</f>
        <v>45570</v>
      </c>
      <c r="M381" s="45">
        <f>GroDB[[#This Row],[Date_Received1]]-GroDB[[#This Row],[Procurement_Date]]</f>
        <v>97</v>
      </c>
      <c r="N381" s="43">
        <v>45552</v>
      </c>
      <c r="O381" s="91">
        <f>GroDB[[#This Row],[Expiration_Date]]-GroDB[[#This Row],[Date_Received1]]</f>
        <v>-115</v>
      </c>
      <c r="P381" s="4">
        <v>2.8000000000000003</v>
      </c>
      <c r="Q381" s="3">
        <v>46</v>
      </c>
      <c r="R381" s="3">
        <v>43</v>
      </c>
      <c r="S381" s="3">
        <v>46</v>
      </c>
      <c r="T381" s="4">
        <v>3.5</v>
      </c>
      <c r="U381" s="3">
        <v>68</v>
      </c>
      <c r="V381" s="51">
        <f>IF(GroDB[[#This Row],[LeadTime]]=0,GroDB[[#This Row],[Sales_Volume]],GroDB[[#This Row],[Sales_Volume]]/GroDB[[#This Row],[LeadTime]])</f>
        <v>0.7010309278350515</v>
      </c>
      <c r="W381" s="51">
        <f>_xlfn.STDEV.S(GroDB[Daily Sales])</f>
        <v>5.1999899792654221</v>
      </c>
      <c r="X381" s="3">
        <v>59</v>
      </c>
      <c r="Y381" s="7">
        <v>-0.23</v>
      </c>
      <c r="Z381" s="4">
        <f>GroDB[[#This Row],[Unit_Price]]*GroDB[[#This Row],[Sales_Volume]]</f>
        <v>238</v>
      </c>
      <c r="AA381" s="22">
        <f>GroDB[[#This Row],[ADU]]/GroDB[[#Totals],[ADU]]</f>
        <v>6.9131918630918425E-4</v>
      </c>
      <c r="AB381" s="1">
        <f>GroDB[[#This Row],[Sales_Volume]]*GroDB[[#This Row],[Ordering Cost]]</f>
        <v>190.4</v>
      </c>
    </row>
    <row r="382" spans="1:28" x14ac:dyDescent="0.35">
      <c r="A382" s="5" t="s">
        <v>1445</v>
      </c>
      <c r="B382" s="3" t="s">
        <v>18</v>
      </c>
      <c r="C382" s="3" t="s">
        <v>1509</v>
      </c>
      <c r="D382" s="3" t="s">
        <v>1510</v>
      </c>
      <c r="E382" s="3" t="s">
        <v>56</v>
      </c>
      <c r="F382" s="3" t="s">
        <v>1511</v>
      </c>
      <c r="G382" s="3" t="s">
        <v>1512</v>
      </c>
      <c r="H382" s="43">
        <v>45667</v>
      </c>
      <c r="I382" s="43">
        <v>45478</v>
      </c>
      <c r="J382" s="47" t="str">
        <f>IF(GroDB[[#This Row],[Last_Order_Date]]&lt;=GroDB[[#This Row],[Date_Received]], "Yes", "No")</f>
        <v>Yes</v>
      </c>
      <c r="K382" s="43">
        <f>IF(GroDB[[#This Row],[Column1]]="No",GroDB[[#This Row],[Last_Order_Date]],GroDB[[#This Row],[Date_Received]])</f>
        <v>45667</v>
      </c>
      <c r="L382" s="43">
        <f>IF(GroDB[[#This Row],[Column1]]="No",GroDB[[#This Row],[Date_Received]],GroDB[[#This Row],[Last_Order_Date]])</f>
        <v>45478</v>
      </c>
      <c r="M382" s="45">
        <f>GroDB[[#This Row],[Date_Received1]]-GroDB[[#This Row],[Procurement_Date]]</f>
        <v>189</v>
      </c>
      <c r="N382" s="43">
        <v>45394</v>
      </c>
      <c r="O382" s="91">
        <f>GroDB[[#This Row],[Expiration_Date]]-GroDB[[#This Row],[Date_Received1]]</f>
        <v>-273</v>
      </c>
      <c r="P382" s="4">
        <v>8</v>
      </c>
      <c r="Q382" s="3">
        <v>42</v>
      </c>
      <c r="R382" s="3">
        <v>4</v>
      </c>
      <c r="S382" s="3">
        <v>53</v>
      </c>
      <c r="T382" s="4">
        <v>10</v>
      </c>
      <c r="U382" s="3">
        <v>37</v>
      </c>
      <c r="V382" s="51">
        <f>IF(GroDB[[#This Row],[LeadTime]]=0,GroDB[[#This Row],[Sales_Volume]],GroDB[[#This Row],[Sales_Volume]]/GroDB[[#This Row],[LeadTime]])</f>
        <v>0.19576719576719576</v>
      </c>
      <c r="W382" s="51">
        <f>_xlfn.STDEV.S(GroDB[Daily Sales])</f>
        <v>5.1999899792654221</v>
      </c>
      <c r="X382" s="3">
        <v>53</v>
      </c>
      <c r="Y382" s="7">
        <v>0.13</v>
      </c>
      <c r="Z382" s="4">
        <f>GroDB[[#This Row],[Unit_Price]]*GroDB[[#This Row],[Sales_Volume]]</f>
        <v>370</v>
      </c>
      <c r="AA382" s="22">
        <f>GroDB[[#This Row],[ADU]]/GroDB[[#Totals],[ADU]]</f>
        <v>1.0747399114890679E-3</v>
      </c>
      <c r="AB382" s="1">
        <f>GroDB[[#This Row],[Sales_Volume]]*GroDB[[#This Row],[Ordering Cost]]</f>
        <v>296</v>
      </c>
    </row>
    <row r="383" spans="1:28" x14ac:dyDescent="0.35">
      <c r="A383" s="5" t="s">
        <v>216</v>
      </c>
      <c r="B383" s="3" t="s">
        <v>91</v>
      </c>
      <c r="C383" s="3" t="s">
        <v>696</v>
      </c>
      <c r="D383" s="3" t="s">
        <v>1513</v>
      </c>
      <c r="E383" s="3" t="s">
        <v>56</v>
      </c>
      <c r="F383" s="3" t="s">
        <v>1514</v>
      </c>
      <c r="G383" s="3" t="s">
        <v>1515</v>
      </c>
      <c r="H383" s="43">
        <v>45667</v>
      </c>
      <c r="I383" s="43">
        <v>45505</v>
      </c>
      <c r="J383" s="47" t="str">
        <f>IF(GroDB[[#This Row],[Last_Order_Date]]&lt;=GroDB[[#This Row],[Date_Received]], "Yes", "No")</f>
        <v>Yes</v>
      </c>
      <c r="K383" s="43">
        <f>IF(GroDB[[#This Row],[Column1]]="No",GroDB[[#This Row],[Last_Order_Date]],GroDB[[#This Row],[Date_Received]])</f>
        <v>45667</v>
      </c>
      <c r="L383" s="43">
        <f>IF(GroDB[[#This Row],[Column1]]="No",GroDB[[#This Row],[Date_Received]],GroDB[[#This Row],[Last_Order_Date]])</f>
        <v>45505</v>
      </c>
      <c r="M383" s="45">
        <f>GroDB[[#This Row],[Date_Received1]]-GroDB[[#This Row],[Procurement_Date]]</f>
        <v>162</v>
      </c>
      <c r="N383" s="43">
        <v>45446</v>
      </c>
      <c r="O383" s="91">
        <f>GroDB[[#This Row],[Expiration_Date]]-GroDB[[#This Row],[Date_Received1]]</f>
        <v>-221</v>
      </c>
      <c r="P383" s="4">
        <v>2.8000000000000003</v>
      </c>
      <c r="Q383" s="3">
        <v>91</v>
      </c>
      <c r="R383" s="3">
        <v>71</v>
      </c>
      <c r="S383" s="3">
        <v>17</v>
      </c>
      <c r="T383" s="4">
        <v>3.5</v>
      </c>
      <c r="U383" s="3">
        <v>74</v>
      </c>
      <c r="V383" s="51">
        <f>IF(GroDB[[#This Row],[LeadTime]]=0,GroDB[[#This Row],[Sales_Volume]],GroDB[[#This Row],[Sales_Volume]]/GroDB[[#This Row],[LeadTime]])</f>
        <v>0.4567901234567901</v>
      </c>
      <c r="W383" s="51">
        <f>_xlfn.STDEV.S(GroDB[Daily Sales])</f>
        <v>5.1999899792654221</v>
      </c>
      <c r="X383" s="3">
        <v>57</v>
      </c>
      <c r="Y383" s="7">
        <v>-0.43</v>
      </c>
      <c r="Z383" s="4">
        <f>GroDB[[#This Row],[Unit_Price]]*GroDB[[#This Row],[Sales_Volume]]</f>
        <v>259</v>
      </c>
      <c r="AA383" s="22">
        <f>GroDB[[#This Row],[ADU]]/GroDB[[#Totals],[ADU]]</f>
        <v>7.5231793804234753E-4</v>
      </c>
      <c r="AB383" s="1">
        <f>GroDB[[#This Row],[Sales_Volume]]*GroDB[[#This Row],[Ordering Cost]]</f>
        <v>207.20000000000002</v>
      </c>
    </row>
    <row r="384" spans="1:28" x14ac:dyDescent="0.35">
      <c r="A384" s="5" t="s">
        <v>1516</v>
      </c>
      <c r="B384" s="3" t="s">
        <v>32</v>
      </c>
      <c r="C384" s="3" t="s">
        <v>1286</v>
      </c>
      <c r="D384" s="3" t="s">
        <v>1517</v>
      </c>
      <c r="E384" s="3" t="s">
        <v>21</v>
      </c>
      <c r="F384" s="3" t="s">
        <v>1518</v>
      </c>
      <c r="G384" s="3" t="s">
        <v>1519</v>
      </c>
      <c r="H384" s="43">
        <v>45698</v>
      </c>
      <c r="I384" s="43">
        <v>45361</v>
      </c>
      <c r="J384" s="47" t="str">
        <f>IF(GroDB[[#This Row],[Last_Order_Date]]&lt;=GroDB[[#This Row],[Date_Received]], "Yes", "No")</f>
        <v>Yes</v>
      </c>
      <c r="K384" s="43">
        <f>IF(GroDB[[#This Row],[Column1]]="No",GroDB[[#This Row],[Last_Order_Date]],GroDB[[#This Row],[Date_Received]])</f>
        <v>45698</v>
      </c>
      <c r="L384" s="43">
        <f>IF(GroDB[[#This Row],[Column1]]="No",GroDB[[#This Row],[Date_Received]],GroDB[[#This Row],[Last_Order_Date]])</f>
        <v>45361</v>
      </c>
      <c r="M384" s="45">
        <f>GroDB[[#This Row],[Date_Received1]]-GroDB[[#This Row],[Procurement_Date]]</f>
        <v>337</v>
      </c>
      <c r="N384" s="43">
        <v>45567</v>
      </c>
      <c r="O384" s="91">
        <f>GroDB[[#This Row],[Expiration_Date]]-GroDB[[#This Row],[Date_Received1]]</f>
        <v>-131</v>
      </c>
      <c r="P384" s="4">
        <v>5.7600000000000007</v>
      </c>
      <c r="Q384" s="3">
        <v>16</v>
      </c>
      <c r="R384" s="3">
        <v>56</v>
      </c>
      <c r="S384" s="3">
        <v>13</v>
      </c>
      <c r="T384" s="4">
        <v>7.2</v>
      </c>
      <c r="U384" s="3">
        <v>56</v>
      </c>
      <c r="V384" s="51">
        <f>IF(GroDB[[#This Row],[LeadTime]]=0,GroDB[[#This Row],[Sales_Volume]],GroDB[[#This Row],[Sales_Volume]]/GroDB[[#This Row],[LeadTime]])</f>
        <v>0.16617210682492581</v>
      </c>
      <c r="W384" s="51">
        <f>_xlfn.STDEV.S(GroDB[Daily Sales])</f>
        <v>5.1999899792654221</v>
      </c>
      <c r="X384" s="3">
        <v>28</v>
      </c>
      <c r="Y384" s="7">
        <v>0.23</v>
      </c>
      <c r="Z384" s="4">
        <f>GroDB[[#This Row],[Unit_Price]]*GroDB[[#This Row],[Sales_Volume]]</f>
        <v>403.2</v>
      </c>
      <c r="AA384" s="22">
        <f>GroDB[[#This Row],[ADU]]/GroDB[[#Totals],[ADU]]</f>
        <v>1.1711760332767357E-3</v>
      </c>
      <c r="AB384" s="1">
        <f>GroDB[[#This Row],[Sales_Volume]]*GroDB[[#This Row],[Ordering Cost]]</f>
        <v>322.56000000000006</v>
      </c>
    </row>
    <row r="385" spans="1:28" x14ac:dyDescent="0.35">
      <c r="A385" s="5" t="s">
        <v>111</v>
      </c>
      <c r="B385" s="3" t="s">
        <v>32</v>
      </c>
      <c r="C385" s="3" t="s">
        <v>1402</v>
      </c>
      <c r="D385" s="3" t="s">
        <v>1520</v>
      </c>
      <c r="E385" s="3" t="s">
        <v>28</v>
      </c>
      <c r="F385" s="3" t="s">
        <v>1521</v>
      </c>
      <c r="G385" s="3" t="s">
        <v>1522</v>
      </c>
      <c r="H385" s="43">
        <v>45698</v>
      </c>
      <c r="I385" s="43">
        <v>45682</v>
      </c>
      <c r="J385" s="47" t="str">
        <f>IF(GroDB[[#This Row],[Last_Order_Date]]&lt;=GroDB[[#This Row],[Date_Received]], "Yes", "No")</f>
        <v>Yes</v>
      </c>
      <c r="K385" s="43">
        <f>IF(GroDB[[#This Row],[Column1]]="No",GroDB[[#This Row],[Last_Order_Date]],GroDB[[#This Row],[Date_Received]])</f>
        <v>45698</v>
      </c>
      <c r="L385" s="43">
        <f>IF(GroDB[[#This Row],[Column1]]="No",GroDB[[#This Row],[Date_Received]],GroDB[[#This Row],[Last_Order_Date]])</f>
        <v>45682</v>
      </c>
      <c r="M385" s="45">
        <f>GroDB[[#This Row],[Date_Received1]]-GroDB[[#This Row],[Procurement_Date]]</f>
        <v>16</v>
      </c>
      <c r="N385" s="43">
        <v>45679</v>
      </c>
      <c r="O385" s="91">
        <f>GroDB[[#This Row],[Expiration_Date]]-GroDB[[#This Row],[Date_Received1]]</f>
        <v>-19</v>
      </c>
      <c r="P385" s="4">
        <v>4.8000000000000007</v>
      </c>
      <c r="Q385" s="3">
        <v>91</v>
      </c>
      <c r="R385" s="3">
        <v>14</v>
      </c>
      <c r="S385" s="3">
        <v>99</v>
      </c>
      <c r="T385" s="4">
        <v>6</v>
      </c>
      <c r="U385" s="3">
        <v>50</v>
      </c>
      <c r="V385" s="51">
        <f>IF(GroDB[[#This Row],[LeadTime]]=0,GroDB[[#This Row],[Sales_Volume]],GroDB[[#This Row],[Sales_Volume]]/GroDB[[#This Row],[LeadTime]])</f>
        <v>3.125</v>
      </c>
      <c r="W385" s="51">
        <f>_xlfn.STDEV.S(GroDB[Daily Sales])</f>
        <v>5.1999899792654221</v>
      </c>
      <c r="X385" s="3">
        <v>5</v>
      </c>
      <c r="Y385" s="7">
        <v>0.5</v>
      </c>
      <c r="Z385" s="4">
        <f>GroDB[[#This Row],[Unit_Price]]*GroDB[[#This Row],[Sales_Volume]]</f>
        <v>300</v>
      </c>
      <c r="AA385" s="22">
        <f>GroDB[[#This Row],[ADU]]/GroDB[[#Totals],[ADU]]</f>
        <v>8.7141073904519026E-4</v>
      </c>
      <c r="AB385" s="1">
        <f>GroDB[[#This Row],[Sales_Volume]]*GroDB[[#This Row],[Ordering Cost]]</f>
        <v>240.00000000000003</v>
      </c>
    </row>
    <row r="386" spans="1:28" x14ac:dyDescent="0.35">
      <c r="A386" s="5" t="s">
        <v>342</v>
      </c>
      <c r="B386" s="3" t="s">
        <v>18</v>
      </c>
      <c r="C386" s="3" t="s">
        <v>138</v>
      </c>
      <c r="D386" s="3" t="s">
        <v>1523</v>
      </c>
      <c r="E386" s="3" t="s">
        <v>28</v>
      </c>
      <c r="F386" s="3" t="s">
        <v>1524</v>
      </c>
      <c r="G386" s="3" t="s">
        <v>1525</v>
      </c>
      <c r="H386" s="43">
        <v>45698</v>
      </c>
      <c r="I386" s="43">
        <v>45387</v>
      </c>
      <c r="J386" s="47" t="str">
        <f>IF(GroDB[[#This Row],[Last_Order_Date]]&lt;=GroDB[[#This Row],[Date_Received]], "Yes", "No")</f>
        <v>Yes</v>
      </c>
      <c r="K386" s="43">
        <f>IF(GroDB[[#This Row],[Column1]]="No",GroDB[[#This Row],[Last_Order_Date]],GroDB[[#This Row],[Date_Received]])</f>
        <v>45698</v>
      </c>
      <c r="L386" s="43">
        <f>IF(GroDB[[#This Row],[Column1]]="No",GroDB[[#This Row],[Date_Received]],GroDB[[#This Row],[Last_Order_Date]])</f>
        <v>45387</v>
      </c>
      <c r="M386" s="45">
        <f>GroDB[[#This Row],[Date_Received1]]-GroDB[[#This Row],[Procurement_Date]]</f>
        <v>311</v>
      </c>
      <c r="N386" s="43">
        <v>45628</v>
      </c>
      <c r="O386" s="91">
        <f>GroDB[[#This Row],[Expiration_Date]]-GroDB[[#This Row],[Date_Received1]]</f>
        <v>-70</v>
      </c>
      <c r="P386" s="4">
        <v>4.8000000000000007</v>
      </c>
      <c r="Q386" s="3">
        <v>26</v>
      </c>
      <c r="R386" s="3">
        <v>1</v>
      </c>
      <c r="S386" s="3">
        <v>9</v>
      </c>
      <c r="T386" s="4">
        <v>6</v>
      </c>
      <c r="U386" s="3">
        <v>82</v>
      </c>
      <c r="V386" s="51">
        <f>IF(GroDB[[#This Row],[LeadTime]]=0,GroDB[[#This Row],[Sales_Volume]],GroDB[[#This Row],[Sales_Volume]]/GroDB[[#This Row],[LeadTime]])</f>
        <v>0.26366559485530544</v>
      </c>
      <c r="W386" s="51">
        <f>_xlfn.STDEV.S(GroDB[Daily Sales])</f>
        <v>5.1999899792654221</v>
      </c>
      <c r="X386" s="3">
        <v>8</v>
      </c>
      <c r="Y386" s="7">
        <v>0.9</v>
      </c>
      <c r="Z386" s="4">
        <f>GroDB[[#This Row],[Unit_Price]]*GroDB[[#This Row],[Sales_Volume]]</f>
        <v>492</v>
      </c>
      <c r="AA386" s="22">
        <f>GroDB[[#This Row],[ADU]]/GroDB[[#Totals],[ADU]]</f>
        <v>1.4291136120341121E-3</v>
      </c>
      <c r="AB386" s="1">
        <f>GroDB[[#This Row],[Sales_Volume]]*GroDB[[#This Row],[Ordering Cost]]</f>
        <v>393.60000000000008</v>
      </c>
    </row>
    <row r="387" spans="1:28" x14ac:dyDescent="0.35">
      <c r="A387" s="5" t="s">
        <v>665</v>
      </c>
      <c r="B387" s="3" t="s">
        <v>18</v>
      </c>
      <c r="C387" s="3" t="s">
        <v>1526</v>
      </c>
      <c r="D387" s="3" t="s">
        <v>1527</v>
      </c>
      <c r="E387" s="3" t="s">
        <v>21</v>
      </c>
      <c r="F387" s="3" t="s">
        <v>1528</v>
      </c>
      <c r="G387" s="3" t="s">
        <v>1529</v>
      </c>
      <c r="H387" s="43">
        <v>45668</v>
      </c>
      <c r="I387" s="43">
        <v>45649</v>
      </c>
      <c r="J387" s="47" t="str">
        <f>IF(GroDB[[#This Row],[Last_Order_Date]]&lt;=GroDB[[#This Row],[Date_Received]], "Yes", "No")</f>
        <v>Yes</v>
      </c>
      <c r="K387" s="43">
        <f>IF(GroDB[[#This Row],[Column1]]="No",GroDB[[#This Row],[Last_Order_Date]],GroDB[[#This Row],[Date_Received]])</f>
        <v>45668</v>
      </c>
      <c r="L387" s="43">
        <f>IF(GroDB[[#This Row],[Column1]]="No",GroDB[[#This Row],[Date_Received]],GroDB[[#This Row],[Last_Order_Date]])</f>
        <v>45649</v>
      </c>
      <c r="M387" s="45">
        <f>GroDB[[#This Row],[Date_Received1]]-GroDB[[#This Row],[Procurement_Date]]</f>
        <v>19</v>
      </c>
      <c r="N387" s="43">
        <v>45422</v>
      </c>
      <c r="O387" s="91">
        <f>GroDB[[#This Row],[Expiration_Date]]-GroDB[[#This Row],[Date_Received1]]</f>
        <v>-246</v>
      </c>
      <c r="P387" s="4">
        <v>4.6399999999999997</v>
      </c>
      <c r="Q387" s="3">
        <v>63</v>
      </c>
      <c r="R387" s="3">
        <v>57</v>
      </c>
      <c r="S387" s="3">
        <v>11</v>
      </c>
      <c r="T387" s="4">
        <v>5.8</v>
      </c>
      <c r="U387" s="3">
        <v>20</v>
      </c>
      <c r="V387" s="51">
        <f>IF(GroDB[[#This Row],[LeadTime]]=0,GroDB[[#This Row],[Sales_Volume]],GroDB[[#This Row],[Sales_Volume]]/GroDB[[#This Row],[LeadTime]])</f>
        <v>1.0526315789473684</v>
      </c>
      <c r="W387" s="51">
        <f>_xlfn.STDEV.S(GroDB[Daily Sales])</f>
        <v>5.1999899792654221</v>
      </c>
      <c r="X387" s="3">
        <v>100</v>
      </c>
      <c r="Y387" s="7">
        <v>0.9</v>
      </c>
      <c r="Z387" s="4">
        <f>GroDB[[#This Row],[Unit_Price]]*GroDB[[#This Row],[Sales_Volume]]</f>
        <v>116</v>
      </c>
      <c r="AA387" s="22">
        <f>GroDB[[#This Row],[ADU]]/GroDB[[#Totals],[ADU]]</f>
        <v>3.3694548576414024E-4</v>
      </c>
      <c r="AB387" s="1">
        <f>GroDB[[#This Row],[Sales_Volume]]*GroDB[[#This Row],[Ordering Cost]]</f>
        <v>92.8</v>
      </c>
    </row>
    <row r="388" spans="1:28" x14ac:dyDescent="0.35">
      <c r="A388" s="5" t="s">
        <v>549</v>
      </c>
      <c r="B388" s="3" t="s">
        <v>32</v>
      </c>
      <c r="C388" s="3" t="s">
        <v>641</v>
      </c>
      <c r="D388" s="3" t="s">
        <v>1530</v>
      </c>
      <c r="E388" s="3" t="s">
        <v>28</v>
      </c>
      <c r="F388" s="3" t="s">
        <v>1531</v>
      </c>
      <c r="G388" s="3" t="s">
        <v>1532</v>
      </c>
      <c r="H388" s="43">
        <v>45668</v>
      </c>
      <c r="I388" s="43">
        <v>45353</v>
      </c>
      <c r="J388" s="47" t="str">
        <f>IF(GroDB[[#This Row],[Last_Order_Date]]&lt;=GroDB[[#This Row],[Date_Received]], "Yes", "No")</f>
        <v>Yes</v>
      </c>
      <c r="K388" s="43">
        <f>IF(GroDB[[#This Row],[Column1]]="No",GroDB[[#This Row],[Last_Order_Date]],GroDB[[#This Row],[Date_Received]])</f>
        <v>45668</v>
      </c>
      <c r="L388" s="43">
        <f>IF(GroDB[[#This Row],[Column1]]="No",GroDB[[#This Row],[Date_Received]],GroDB[[#This Row],[Last_Order_Date]])</f>
        <v>45353</v>
      </c>
      <c r="M388" s="45">
        <f>GroDB[[#This Row],[Date_Received1]]-GroDB[[#This Row],[Procurement_Date]]</f>
        <v>315</v>
      </c>
      <c r="N388" s="43">
        <v>45424</v>
      </c>
      <c r="O388" s="91">
        <f>GroDB[[#This Row],[Expiration_Date]]-GroDB[[#This Row],[Date_Received1]]</f>
        <v>-244</v>
      </c>
      <c r="P388" s="4">
        <v>1.9600000000000002</v>
      </c>
      <c r="Q388" s="3">
        <v>50</v>
      </c>
      <c r="R388" s="3">
        <v>93</v>
      </c>
      <c r="S388" s="3">
        <v>37</v>
      </c>
      <c r="T388" s="4">
        <v>2.4500000000000002</v>
      </c>
      <c r="U388" s="3">
        <v>78</v>
      </c>
      <c r="V388" s="51">
        <f>IF(GroDB[[#This Row],[LeadTime]]=0,GroDB[[#This Row],[Sales_Volume]],GroDB[[#This Row],[Sales_Volume]]/GroDB[[#This Row],[LeadTime]])</f>
        <v>0.24761904761904763</v>
      </c>
      <c r="W388" s="51">
        <f>_xlfn.STDEV.S(GroDB[Daily Sales])</f>
        <v>5.1999899792654221</v>
      </c>
      <c r="X388" s="3">
        <v>79</v>
      </c>
      <c r="Y388" s="7">
        <v>-4</v>
      </c>
      <c r="Z388" s="4">
        <f>GroDB[[#This Row],[Unit_Price]]*GroDB[[#This Row],[Sales_Volume]]</f>
        <v>191.10000000000002</v>
      </c>
      <c r="AA388" s="22">
        <f>GroDB[[#This Row],[ADU]]/GroDB[[#Totals],[ADU]]</f>
        <v>5.5508864077178624E-4</v>
      </c>
      <c r="AB388" s="1">
        <f>GroDB[[#This Row],[Sales_Volume]]*GroDB[[#This Row],[Ordering Cost]]</f>
        <v>152.88000000000002</v>
      </c>
    </row>
    <row r="389" spans="1:28" x14ac:dyDescent="0.35">
      <c r="A389" s="5" t="s">
        <v>836</v>
      </c>
      <c r="B389" s="3" t="s">
        <v>91</v>
      </c>
      <c r="C389" s="3" t="s">
        <v>43</v>
      </c>
      <c r="D389" s="3" t="s">
        <v>1533</v>
      </c>
      <c r="E389" s="3" t="s">
        <v>28</v>
      </c>
      <c r="F389" s="3" t="s">
        <v>1534</v>
      </c>
      <c r="G389" s="3" t="s">
        <v>1535</v>
      </c>
      <c r="H389" s="43">
        <v>45699</v>
      </c>
      <c r="I389" s="43">
        <v>45356</v>
      </c>
      <c r="J389" s="47" t="str">
        <f>IF(GroDB[[#This Row],[Last_Order_Date]]&lt;=GroDB[[#This Row],[Date_Received]], "Yes", "No")</f>
        <v>Yes</v>
      </c>
      <c r="K389" s="43">
        <f>IF(GroDB[[#This Row],[Column1]]="No",GroDB[[#This Row],[Last_Order_Date]],GroDB[[#This Row],[Date_Received]])</f>
        <v>45699</v>
      </c>
      <c r="L389" s="43">
        <f>IF(GroDB[[#This Row],[Column1]]="No",GroDB[[#This Row],[Date_Received]],GroDB[[#This Row],[Last_Order_Date]])</f>
        <v>45356</v>
      </c>
      <c r="M389" s="45">
        <f>GroDB[[#This Row],[Date_Received1]]-GroDB[[#This Row],[Procurement_Date]]</f>
        <v>343</v>
      </c>
      <c r="N389" s="43">
        <v>45645</v>
      </c>
      <c r="O389" s="91">
        <f>GroDB[[#This Row],[Expiration_Date]]-GroDB[[#This Row],[Date_Received1]]</f>
        <v>-54</v>
      </c>
      <c r="P389" s="4">
        <v>2.6</v>
      </c>
      <c r="Q389" s="3">
        <v>93</v>
      </c>
      <c r="R389" s="3">
        <v>55</v>
      </c>
      <c r="S389" s="3">
        <v>95</v>
      </c>
      <c r="T389" s="4">
        <v>3.25</v>
      </c>
      <c r="U389" s="3">
        <v>56</v>
      </c>
      <c r="V389" s="51">
        <f>IF(GroDB[[#This Row],[LeadTime]]=0,GroDB[[#This Row],[Sales_Volume]],GroDB[[#This Row],[Sales_Volume]]/GroDB[[#This Row],[LeadTime]])</f>
        <v>0.16326530612244897</v>
      </c>
      <c r="W389" s="51">
        <f>_xlfn.STDEV.S(GroDB[Daily Sales])</f>
        <v>5.1999899792654221</v>
      </c>
      <c r="X389" s="3">
        <v>72</v>
      </c>
      <c r="Y389" s="7">
        <v>-0.01</v>
      </c>
      <c r="Z389" s="4">
        <f>GroDB[[#This Row],[Unit_Price]]*GroDB[[#This Row],[Sales_Volume]]</f>
        <v>182</v>
      </c>
      <c r="AA389" s="22">
        <f>GroDB[[#This Row],[ADU]]/GroDB[[#Totals],[ADU]]</f>
        <v>5.2865584835408213E-4</v>
      </c>
      <c r="AB389" s="1">
        <f>GroDB[[#This Row],[Sales_Volume]]*GroDB[[#This Row],[Ordering Cost]]</f>
        <v>145.6</v>
      </c>
    </row>
    <row r="390" spans="1:28" x14ac:dyDescent="0.35">
      <c r="A390" s="5" t="s">
        <v>243</v>
      </c>
      <c r="B390" s="3" t="s">
        <v>18</v>
      </c>
      <c r="C390" s="3" t="s">
        <v>1536</v>
      </c>
      <c r="D390" s="3" t="s">
        <v>1537</v>
      </c>
      <c r="E390" s="3" t="s">
        <v>56</v>
      </c>
      <c r="F390" s="3" t="s">
        <v>1538</v>
      </c>
      <c r="G390" s="3" t="s">
        <v>1539</v>
      </c>
      <c r="H390" s="43">
        <v>45669</v>
      </c>
      <c r="I390" s="43">
        <v>45394</v>
      </c>
      <c r="J390" s="47" t="str">
        <f>IF(GroDB[[#This Row],[Last_Order_Date]]&lt;=GroDB[[#This Row],[Date_Received]], "Yes", "No")</f>
        <v>Yes</v>
      </c>
      <c r="K390" s="43">
        <f>IF(GroDB[[#This Row],[Column1]]="No",GroDB[[#This Row],[Last_Order_Date]],GroDB[[#This Row],[Date_Received]])</f>
        <v>45669</v>
      </c>
      <c r="L390" s="43">
        <f>IF(GroDB[[#This Row],[Column1]]="No",GroDB[[#This Row],[Date_Received]],GroDB[[#This Row],[Last_Order_Date]])</f>
        <v>45394</v>
      </c>
      <c r="M390" s="45">
        <f>GroDB[[#This Row],[Date_Received1]]-GroDB[[#This Row],[Procurement_Date]]</f>
        <v>275</v>
      </c>
      <c r="N390" s="43">
        <v>45471</v>
      </c>
      <c r="O390" s="91">
        <f>GroDB[[#This Row],[Expiration_Date]]-GroDB[[#This Row],[Date_Received1]]</f>
        <v>-198</v>
      </c>
      <c r="P390" s="4">
        <v>1.6</v>
      </c>
      <c r="Q390" s="3">
        <v>88</v>
      </c>
      <c r="R390" s="3">
        <v>56</v>
      </c>
      <c r="S390" s="3">
        <v>72</v>
      </c>
      <c r="T390" s="4">
        <v>2</v>
      </c>
      <c r="U390" s="3">
        <v>25</v>
      </c>
      <c r="V390" s="51">
        <f>IF(GroDB[[#This Row],[LeadTime]]=0,GroDB[[#This Row],[Sales_Volume]],GroDB[[#This Row],[Sales_Volume]]/GroDB[[#This Row],[LeadTime]])</f>
        <v>9.0909090909090912E-2</v>
      </c>
      <c r="W390" s="51">
        <f>_xlfn.STDEV.S(GroDB[Daily Sales])</f>
        <v>5.1999899792654221</v>
      </c>
      <c r="X390" s="3">
        <v>36</v>
      </c>
      <c r="Y390" s="7">
        <v>-0.28999999999999998</v>
      </c>
      <c r="Z390" s="4">
        <f>GroDB[[#This Row],[Unit_Price]]*GroDB[[#This Row],[Sales_Volume]]</f>
        <v>50</v>
      </c>
      <c r="AA390" s="22">
        <f>GroDB[[#This Row],[ADU]]/GroDB[[#Totals],[ADU]]</f>
        <v>1.4523512317419837E-4</v>
      </c>
      <c r="AB390" s="1">
        <f>GroDB[[#This Row],[Sales_Volume]]*GroDB[[#This Row],[Ordering Cost]]</f>
        <v>40</v>
      </c>
    </row>
    <row r="391" spans="1:28" x14ac:dyDescent="0.35">
      <c r="A391" s="5" t="s">
        <v>392</v>
      </c>
      <c r="B391" s="3" t="s">
        <v>18</v>
      </c>
      <c r="C391" s="3" t="s">
        <v>1540</v>
      </c>
      <c r="D391" s="3" t="s">
        <v>1541</v>
      </c>
      <c r="E391" s="3" t="s">
        <v>28</v>
      </c>
      <c r="F391" s="3" t="s">
        <v>1542</v>
      </c>
      <c r="G391" s="3" t="s">
        <v>1543</v>
      </c>
      <c r="H391" s="43">
        <v>45700</v>
      </c>
      <c r="I391" s="43">
        <v>45436</v>
      </c>
      <c r="J391" s="47" t="str">
        <f>IF(GroDB[[#This Row],[Last_Order_Date]]&lt;=GroDB[[#This Row],[Date_Received]], "Yes", "No")</f>
        <v>Yes</v>
      </c>
      <c r="K391" s="43">
        <f>IF(GroDB[[#This Row],[Column1]]="No",GroDB[[#This Row],[Last_Order_Date]],GroDB[[#This Row],[Date_Received]])</f>
        <v>45700</v>
      </c>
      <c r="L391" s="43">
        <f>IF(GroDB[[#This Row],[Column1]]="No",GroDB[[#This Row],[Date_Received]],GroDB[[#This Row],[Last_Order_Date]])</f>
        <v>45436</v>
      </c>
      <c r="M391" s="45">
        <f>GroDB[[#This Row],[Date_Received1]]-GroDB[[#This Row],[Procurement_Date]]</f>
        <v>264</v>
      </c>
      <c r="N391" s="43">
        <v>45401</v>
      </c>
      <c r="O391" s="91">
        <f>GroDB[[#This Row],[Expiration_Date]]-GroDB[[#This Row],[Date_Received1]]</f>
        <v>-299</v>
      </c>
      <c r="P391" s="4">
        <v>4.4000000000000004</v>
      </c>
      <c r="Q391" s="3">
        <v>54</v>
      </c>
      <c r="R391" s="3">
        <v>88</v>
      </c>
      <c r="S391" s="3">
        <v>43</v>
      </c>
      <c r="T391" s="4">
        <v>5.5</v>
      </c>
      <c r="U391" s="3">
        <v>81</v>
      </c>
      <c r="V391" s="51">
        <f>IF(GroDB[[#This Row],[LeadTime]]=0,GroDB[[#This Row],[Sales_Volume]],GroDB[[#This Row],[Sales_Volume]]/GroDB[[#This Row],[LeadTime]])</f>
        <v>0.30681818181818182</v>
      </c>
      <c r="W391" s="51">
        <f>_xlfn.STDEV.S(GroDB[Daily Sales])</f>
        <v>5.1999899792654221</v>
      </c>
      <c r="X391" s="3">
        <v>77</v>
      </c>
      <c r="Y391" s="7">
        <v>-0.44</v>
      </c>
      <c r="Z391" s="4">
        <f>GroDB[[#This Row],[Unit_Price]]*GroDB[[#This Row],[Sales_Volume]]</f>
        <v>445.5</v>
      </c>
      <c r="AA391" s="22">
        <f>GroDB[[#This Row],[ADU]]/GroDB[[#Totals],[ADU]]</f>
        <v>1.2940449474821076E-3</v>
      </c>
      <c r="AB391" s="1">
        <f>GroDB[[#This Row],[Sales_Volume]]*GroDB[[#This Row],[Ordering Cost]]</f>
        <v>356.40000000000003</v>
      </c>
    </row>
    <row r="392" spans="1:28" x14ac:dyDescent="0.35">
      <c r="A392" s="5" t="s">
        <v>70</v>
      </c>
      <c r="B392" s="3" t="s">
        <v>32</v>
      </c>
      <c r="C392" s="3" t="s">
        <v>832</v>
      </c>
      <c r="D392" s="3" t="s">
        <v>1544</v>
      </c>
      <c r="E392" s="3" t="s">
        <v>21</v>
      </c>
      <c r="F392" s="3" t="s">
        <v>1545</v>
      </c>
      <c r="G392" s="3" t="s">
        <v>1546</v>
      </c>
      <c r="H392" s="43">
        <v>45700</v>
      </c>
      <c r="I392" s="43">
        <v>45480</v>
      </c>
      <c r="J392" s="47" t="str">
        <f>IF(GroDB[[#This Row],[Last_Order_Date]]&lt;=GroDB[[#This Row],[Date_Received]], "Yes", "No")</f>
        <v>Yes</v>
      </c>
      <c r="K392" s="43">
        <f>IF(GroDB[[#This Row],[Column1]]="No",GroDB[[#This Row],[Last_Order_Date]],GroDB[[#This Row],[Date_Received]])</f>
        <v>45700</v>
      </c>
      <c r="L392" s="43">
        <f>IF(GroDB[[#This Row],[Column1]]="No",GroDB[[#This Row],[Date_Received]],GroDB[[#This Row],[Last_Order_Date]])</f>
        <v>45480</v>
      </c>
      <c r="M392" s="45">
        <f>GroDB[[#This Row],[Date_Received1]]-GroDB[[#This Row],[Procurement_Date]]</f>
        <v>220</v>
      </c>
      <c r="N392" s="43">
        <v>45507</v>
      </c>
      <c r="O392" s="91">
        <f>GroDB[[#This Row],[Expiration_Date]]-GroDB[[#This Row],[Date_Received1]]</f>
        <v>-193</v>
      </c>
      <c r="P392" s="4">
        <v>1.4000000000000001</v>
      </c>
      <c r="Q392" s="3">
        <v>86</v>
      </c>
      <c r="R392" s="3">
        <v>20</v>
      </c>
      <c r="S392" s="3">
        <v>67</v>
      </c>
      <c r="T392" s="4">
        <v>1.75</v>
      </c>
      <c r="U392" s="3">
        <v>83</v>
      </c>
      <c r="V392" s="51">
        <f>IF(GroDB[[#This Row],[LeadTime]]=0,GroDB[[#This Row],[Sales_Volume]],GroDB[[#This Row],[Sales_Volume]]/GroDB[[#This Row],[LeadTime]])</f>
        <v>0.37727272727272726</v>
      </c>
      <c r="W392" s="51">
        <f>_xlfn.STDEV.S(GroDB[Daily Sales])</f>
        <v>5.1999899792654221</v>
      </c>
      <c r="X392" s="3">
        <v>82</v>
      </c>
      <c r="Y392" s="7">
        <v>0.05</v>
      </c>
      <c r="Z392" s="4">
        <f>GroDB[[#This Row],[Unit_Price]]*GroDB[[#This Row],[Sales_Volume]]</f>
        <v>145.25</v>
      </c>
      <c r="AA392" s="22">
        <f>GroDB[[#This Row],[ADU]]/GroDB[[#Totals],[ADU]]</f>
        <v>4.2190803282104625E-4</v>
      </c>
      <c r="AB392" s="1">
        <f>GroDB[[#This Row],[Sales_Volume]]*GroDB[[#This Row],[Ordering Cost]]</f>
        <v>116.20000000000002</v>
      </c>
    </row>
    <row r="393" spans="1:28" x14ac:dyDescent="0.35">
      <c r="A393" s="5" t="s">
        <v>96</v>
      </c>
      <c r="B393" s="3" t="s">
        <v>18</v>
      </c>
      <c r="C393" s="3" t="s">
        <v>583</v>
      </c>
      <c r="D393" s="3" t="s">
        <v>1547</v>
      </c>
      <c r="E393" s="3" t="s">
        <v>21</v>
      </c>
      <c r="F393" s="3" t="s">
        <v>1548</v>
      </c>
      <c r="G393" s="3" t="s">
        <v>1549</v>
      </c>
      <c r="H393" s="43">
        <v>45670</v>
      </c>
      <c r="I393" s="43">
        <v>45394</v>
      </c>
      <c r="J393" s="47" t="str">
        <f>IF(GroDB[[#This Row],[Last_Order_Date]]&lt;=GroDB[[#This Row],[Date_Received]], "Yes", "No")</f>
        <v>Yes</v>
      </c>
      <c r="K393" s="43">
        <f>IF(GroDB[[#This Row],[Column1]]="No",GroDB[[#This Row],[Last_Order_Date]],GroDB[[#This Row],[Date_Received]])</f>
        <v>45670</v>
      </c>
      <c r="L393" s="43">
        <f>IF(GroDB[[#This Row],[Column1]]="No",GroDB[[#This Row],[Date_Received]],GroDB[[#This Row],[Last_Order_Date]])</f>
        <v>45394</v>
      </c>
      <c r="M393" s="45">
        <f>GroDB[[#This Row],[Date_Received1]]-GroDB[[#This Row],[Procurement_Date]]</f>
        <v>276</v>
      </c>
      <c r="N393" s="43">
        <v>45442</v>
      </c>
      <c r="O393" s="91">
        <f>GroDB[[#This Row],[Expiration_Date]]-GroDB[[#This Row],[Date_Received1]]</f>
        <v>-228</v>
      </c>
      <c r="P393" s="4">
        <v>2.04</v>
      </c>
      <c r="Q393" s="3">
        <v>48</v>
      </c>
      <c r="R393" s="3">
        <v>27</v>
      </c>
      <c r="S393" s="3">
        <v>73</v>
      </c>
      <c r="T393" s="4">
        <v>2.5499999999999998</v>
      </c>
      <c r="U393" s="3">
        <v>52</v>
      </c>
      <c r="V393" s="51">
        <f>IF(GroDB[[#This Row],[LeadTime]]=0,GroDB[[#This Row],[Sales_Volume]],GroDB[[#This Row],[Sales_Volume]]/GroDB[[#This Row],[LeadTime]])</f>
        <v>0.18840579710144928</v>
      </c>
      <c r="W393" s="51">
        <f>_xlfn.STDEV.S(GroDB[Daily Sales])</f>
        <v>5.1999899792654221</v>
      </c>
      <c r="X393" s="3">
        <v>97</v>
      </c>
      <c r="Y393" s="7">
        <v>0.01</v>
      </c>
      <c r="Z393" s="4">
        <f>GroDB[[#This Row],[Unit_Price]]*GroDB[[#This Row],[Sales_Volume]]</f>
        <v>132.6</v>
      </c>
      <c r="AA393" s="22">
        <f>GroDB[[#This Row],[ADU]]/GroDB[[#Totals],[ADU]]</f>
        <v>3.8516354665797409E-4</v>
      </c>
      <c r="AB393" s="1">
        <f>GroDB[[#This Row],[Sales_Volume]]*GroDB[[#This Row],[Ordering Cost]]</f>
        <v>106.08</v>
      </c>
    </row>
    <row r="394" spans="1:28" x14ac:dyDescent="0.35">
      <c r="A394" s="5" t="s">
        <v>239</v>
      </c>
      <c r="B394" s="3" t="s">
        <v>25</v>
      </c>
      <c r="C394" s="3" t="s">
        <v>1550</v>
      </c>
      <c r="D394" s="3" t="s">
        <v>1551</v>
      </c>
      <c r="E394" s="3" t="s">
        <v>56</v>
      </c>
      <c r="F394" s="3" t="s">
        <v>1552</v>
      </c>
      <c r="G394" s="3" t="s">
        <v>1553</v>
      </c>
      <c r="H394" s="43">
        <v>45670</v>
      </c>
      <c r="I394" s="43">
        <v>45615</v>
      </c>
      <c r="J394" s="47" t="str">
        <f>IF(GroDB[[#This Row],[Last_Order_Date]]&lt;=GroDB[[#This Row],[Date_Received]], "Yes", "No")</f>
        <v>Yes</v>
      </c>
      <c r="K394" s="43">
        <f>IF(GroDB[[#This Row],[Column1]]="No",GroDB[[#This Row],[Last_Order_Date]],GroDB[[#This Row],[Date_Received]])</f>
        <v>45670</v>
      </c>
      <c r="L394" s="43">
        <f>IF(GroDB[[#This Row],[Column1]]="No",GroDB[[#This Row],[Date_Received]],GroDB[[#This Row],[Last_Order_Date]])</f>
        <v>45615</v>
      </c>
      <c r="M394" s="45">
        <f>GroDB[[#This Row],[Date_Received1]]-GroDB[[#This Row],[Procurement_Date]]</f>
        <v>55</v>
      </c>
      <c r="N394" s="43">
        <v>45621</v>
      </c>
      <c r="O394" s="91">
        <f>GroDB[[#This Row],[Expiration_Date]]-GroDB[[#This Row],[Date_Received1]]</f>
        <v>-49</v>
      </c>
      <c r="P394" s="4">
        <v>5.2</v>
      </c>
      <c r="Q394" s="3">
        <v>89</v>
      </c>
      <c r="R394" s="3">
        <v>66</v>
      </c>
      <c r="S394" s="3">
        <v>28</v>
      </c>
      <c r="T394" s="4">
        <v>6.5</v>
      </c>
      <c r="U394" s="3">
        <v>39</v>
      </c>
      <c r="V394" s="51">
        <f>IF(GroDB[[#This Row],[LeadTime]]=0,GroDB[[#This Row],[Sales_Volume]],GroDB[[#This Row],[Sales_Volume]]/GroDB[[#This Row],[LeadTime]])</f>
        <v>0.70909090909090911</v>
      </c>
      <c r="W394" s="51">
        <f>_xlfn.STDEV.S(GroDB[Daily Sales])</f>
        <v>5.1999899792654221</v>
      </c>
      <c r="X394" s="3">
        <v>25</v>
      </c>
      <c r="Y394" s="7">
        <v>-0.87</v>
      </c>
      <c r="Z394" s="4">
        <f>GroDB[[#This Row],[Unit_Price]]*GroDB[[#This Row],[Sales_Volume]]</f>
        <v>253.5</v>
      </c>
      <c r="AA394" s="22">
        <f>GroDB[[#This Row],[ADU]]/GroDB[[#Totals],[ADU]]</f>
        <v>7.3634207449318578E-4</v>
      </c>
      <c r="AB394" s="1">
        <f>GroDB[[#This Row],[Sales_Volume]]*GroDB[[#This Row],[Ordering Cost]]</f>
        <v>202.8</v>
      </c>
    </row>
    <row r="395" spans="1:28" x14ac:dyDescent="0.35">
      <c r="A395" s="5" t="s">
        <v>175</v>
      </c>
      <c r="B395" s="3" t="s">
        <v>53</v>
      </c>
      <c r="C395" s="3" t="s">
        <v>500</v>
      </c>
      <c r="D395" s="3" t="s">
        <v>1554</v>
      </c>
      <c r="E395" s="3" t="s">
        <v>21</v>
      </c>
      <c r="F395" s="3" t="s">
        <v>1555</v>
      </c>
      <c r="G395" s="3" t="s">
        <v>1556</v>
      </c>
      <c r="H395" s="43">
        <v>45671</v>
      </c>
      <c r="I395" s="43">
        <v>45569</v>
      </c>
      <c r="J395" s="47" t="str">
        <f>IF(GroDB[[#This Row],[Last_Order_Date]]&lt;=GroDB[[#This Row],[Date_Received]], "Yes", "No")</f>
        <v>Yes</v>
      </c>
      <c r="K395" s="43">
        <f>IF(GroDB[[#This Row],[Column1]]="No",GroDB[[#This Row],[Last_Order_Date]],GroDB[[#This Row],[Date_Received]])</f>
        <v>45671</v>
      </c>
      <c r="L395" s="43">
        <f>IF(GroDB[[#This Row],[Column1]]="No",GroDB[[#This Row],[Date_Received]],GroDB[[#This Row],[Last_Order_Date]])</f>
        <v>45569</v>
      </c>
      <c r="M395" s="45">
        <f>GroDB[[#This Row],[Date_Received1]]-GroDB[[#This Row],[Procurement_Date]]</f>
        <v>102</v>
      </c>
      <c r="N395" s="43">
        <v>45664</v>
      </c>
      <c r="O395" s="91">
        <f>GroDB[[#This Row],[Expiration_Date]]-GroDB[[#This Row],[Date_Received1]]</f>
        <v>-7</v>
      </c>
      <c r="P395" s="4">
        <v>1.2000000000000002</v>
      </c>
      <c r="Q395" s="3">
        <v>97</v>
      </c>
      <c r="R395" s="3">
        <v>41</v>
      </c>
      <c r="S395" s="3">
        <v>68</v>
      </c>
      <c r="T395" s="4">
        <v>1.5</v>
      </c>
      <c r="U395" s="3">
        <v>35</v>
      </c>
      <c r="V395" s="51">
        <f>IF(GroDB[[#This Row],[LeadTime]]=0,GroDB[[#This Row],[Sales_Volume]],GroDB[[#This Row],[Sales_Volume]]/GroDB[[#This Row],[LeadTime]])</f>
        <v>0.34313725490196079</v>
      </c>
      <c r="W395" s="51">
        <f>_xlfn.STDEV.S(GroDB[Daily Sales])</f>
        <v>5.1999899792654221</v>
      </c>
      <c r="X395" s="3">
        <v>16</v>
      </c>
      <c r="Y395" s="7">
        <v>0.36</v>
      </c>
      <c r="Z395" s="4">
        <f>GroDB[[#This Row],[Unit_Price]]*GroDB[[#This Row],[Sales_Volume]]</f>
        <v>52.5</v>
      </c>
      <c r="AA395" s="22">
        <f>GroDB[[#This Row],[ADU]]/GroDB[[#Totals],[ADU]]</f>
        <v>1.5249687933290828E-4</v>
      </c>
      <c r="AB395" s="1">
        <f>GroDB[[#This Row],[Sales_Volume]]*GroDB[[#This Row],[Ordering Cost]]</f>
        <v>42.000000000000007</v>
      </c>
    </row>
    <row r="396" spans="1:28" x14ac:dyDescent="0.35">
      <c r="A396" s="5" t="s">
        <v>674</v>
      </c>
      <c r="B396" s="3" t="s">
        <v>60</v>
      </c>
      <c r="C396" s="3" t="s">
        <v>1557</v>
      </c>
      <c r="D396" s="3" t="s">
        <v>1558</v>
      </c>
      <c r="E396" s="3" t="s">
        <v>56</v>
      </c>
      <c r="F396" s="3" t="s">
        <v>1559</v>
      </c>
      <c r="G396" s="3" t="s">
        <v>1560</v>
      </c>
      <c r="H396" s="43">
        <v>45671</v>
      </c>
      <c r="I396" s="43">
        <v>45405</v>
      </c>
      <c r="J396" s="47" t="str">
        <f>IF(GroDB[[#This Row],[Last_Order_Date]]&lt;=GroDB[[#This Row],[Date_Received]], "Yes", "No")</f>
        <v>Yes</v>
      </c>
      <c r="K396" s="43">
        <f>IF(GroDB[[#This Row],[Column1]]="No",GroDB[[#This Row],[Last_Order_Date]],GroDB[[#This Row],[Date_Received]])</f>
        <v>45671</v>
      </c>
      <c r="L396" s="43">
        <f>IF(GroDB[[#This Row],[Column1]]="No",GroDB[[#This Row],[Date_Received]],GroDB[[#This Row],[Last_Order_Date]])</f>
        <v>45405</v>
      </c>
      <c r="M396" s="45">
        <f>GroDB[[#This Row],[Date_Received1]]-GroDB[[#This Row],[Procurement_Date]]</f>
        <v>266</v>
      </c>
      <c r="N396" s="43">
        <v>45360</v>
      </c>
      <c r="O396" s="91">
        <f>GroDB[[#This Row],[Expiration_Date]]-GroDB[[#This Row],[Date_Received1]]</f>
        <v>-311</v>
      </c>
      <c r="P396" s="4">
        <v>7.2</v>
      </c>
      <c r="Q396" s="3">
        <v>84</v>
      </c>
      <c r="R396" s="3">
        <v>8</v>
      </c>
      <c r="S396" s="3">
        <v>54</v>
      </c>
      <c r="T396" s="4">
        <v>9</v>
      </c>
      <c r="U396" s="3">
        <v>60</v>
      </c>
      <c r="V396" s="51">
        <f>IF(GroDB[[#This Row],[LeadTime]]=0,GroDB[[#This Row],[Sales_Volume]],GroDB[[#This Row],[Sales_Volume]]/GroDB[[#This Row],[LeadTime]])</f>
        <v>0.22556390977443608</v>
      </c>
      <c r="W396" s="51">
        <f>_xlfn.STDEV.S(GroDB[Daily Sales])</f>
        <v>5.1999899792654221</v>
      </c>
      <c r="X396" s="3">
        <v>38</v>
      </c>
      <c r="Y396" s="7">
        <v>0.54</v>
      </c>
      <c r="Z396" s="4">
        <f>GroDB[[#This Row],[Unit_Price]]*GroDB[[#This Row],[Sales_Volume]]</f>
        <v>540</v>
      </c>
      <c r="AA396" s="22">
        <f>GroDB[[#This Row],[ADU]]/GroDB[[#Totals],[ADU]]</f>
        <v>1.5685393302813425E-3</v>
      </c>
      <c r="AB396" s="1">
        <f>GroDB[[#This Row],[Sales_Volume]]*GroDB[[#This Row],[Ordering Cost]]</f>
        <v>432</v>
      </c>
    </row>
    <row r="397" spans="1:28" x14ac:dyDescent="0.35">
      <c r="A397" s="5" t="s">
        <v>707</v>
      </c>
      <c r="B397" s="3" t="s">
        <v>25</v>
      </c>
      <c r="C397" s="3" t="s">
        <v>989</v>
      </c>
      <c r="D397" s="3" t="s">
        <v>1561</v>
      </c>
      <c r="E397" s="3" t="s">
        <v>28</v>
      </c>
      <c r="F397" s="3" t="s">
        <v>1562</v>
      </c>
      <c r="G397" s="3" t="s">
        <v>1563</v>
      </c>
      <c r="H397" s="43">
        <v>45671</v>
      </c>
      <c r="I397" s="43">
        <v>45461</v>
      </c>
      <c r="J397" s="47" t="str">
        <f>IF(GroDB[[#This Row],[Last_Order_Date]]&lt;=GroDB[[#This Row],[Date_Received]], "Yes", "No")</f>
        <v>Yes</v>
      </c>
      <c r="K397" s="43">
        <f>IF(GroDB[[#This Row],[Column1]]="No",GroDB[[#This Row],[Last_Order_Date]],GroDB[[#This Row],[Date_Received]])</f>
        <v>45671</v>
      </c>
      <c r="L397" s="43">
        <f>IF(GroDB[[#This Row],[Column1]]="No",GroDB[[#This Row],[Date_Received]],GroDB[[#This Row],[Last_Order_Date]])</f>
        <v>45461</v>
      </c>
      <c r="M397" s="45">
        <f>GroDB[[#This Row],[Date_Received1]]-GroDB[[#This Row],[Procurement_Date]]</f>
        <v>210</v>
      </c>
      <c r="N397" s="43">
        <v>45441</v>
      </c>
      <c r="O397" s="91">
        <f>GroDB[[#This Row],[Expiration_Date]]-GroDB[[#This Row],[Date_Received1]]</f>
        <v>-230</v>
      </c>
      <c r="P397" s="4">
        <v>1.8399999999999999</v>
      </c>
      <c r="Q397" s="3">
        <v>69</v>
      </c>
      <c r="R397" s="3">
        <v>17</v>
      </c>
      <c r="S397" s="3">
        <v>27</v>
      </c>
      <c r="T397" s="4">
        <v>2.2999999999999998</v>
      </c>
      <c r="U397" s="3">
        <v>79</v>
      </c>
      <c r="V397" s="51">
        <f>IF(GroDB[[#This Row],[LeadTime]]=0,GroDB[[#This Row],[Sales_Volume]],GroDB[[#This Row],[Sales_Volume]]/GroDB[[#This Row],[LeadTime]])</f>
        <v>0.37619047619047619</v>
      </c>
      <c r="W397" s="51">
        <f>_xlfn.STDEV.S(GroDB[Daily Sales])</f>
        <v>5.1999899792654221</v>
      </c>
      <c r="X397" s="3">
        <v>75</v>
      </c>
      <c r="Y397" s="7">
        <v>0.37</v>
      </c>
      <c r="Z397" s="4">
        <f>GroDB[[#This Row],[Unit_Price]]*GroDB[[#This Row],[Sales_Volume]]</f>
        <v>181.7</v>
      </c>
      <c r="AA397" s="22">
        <f>GroDB[[#This Row],[ADU]]/GroDB[[#Totals],[ADU]]</f>
        <v>5.2778443761503687E-4</v>
      </c>
      <c r="AB397" s="1">
        <f>GroDB[[#This Row],[Sales_Volume]]*GroDB[[#This Row],[Ordering Cost]]</f>
        <v>145.35999999999999</v>
      </c>
    </row>
    <row r="398" spans="1:28" x14ac:dyDescent="0.35">
      <c r="A398" s="5" t="s">
        <v>490</v>
      </c>
      <c r="B398" s="3" t="s">
        <v>18</v>
      </c>
      <c r="C398" s="3" t="s">
        <v>1564</v>
      </c>
      <c r="D398" s="3" t="s">
        <v>1565</v>
      </c>
      <c r="E398" s="3" t="s">
        <v>21</v>
      </c>
      <c r="F398" s="3" t="s">
        <v>1566</v>
      </c>
      <c r="G398" s="3" t="s">
        <v>1567</v>
      </c>
      <c r="H398" s="43">
        <v>45671</v>
      </c>
      <c r="I398" s="43">
        <v>45677</v>
      </c>
      <c r="J398" s="47" t="str">
        <f>IF(GroDB[[#This Row],[Last_Order_Date]]&lt;=GroDB[[#This Row],[Date_Received]], "Yes", "No")</f>
        <v>No</v>
      </c>
      <c r="K398" s="43">
        <f>IF(GroDB[[#This Row],[Column1]]="No",GroDB[[#This Row],[Last_Order_Date]],GroDB[[#This Row],[Date_Received]])</f>
        <v>45677</v>
      </c>
      <c r="L398" s="43">
        <f>IF(GroDB[[#This Row],[Column1]]="No",GroDB[[#This Row],[Date_Received]],GroDB[[#This Row],[Last_Order_Date]])</f>
        <v>45671</v>
      </c>
      <c r="M398" s="45">
        <f>GroDB[[#This Row],[Date_Received1]]-GroDB[[#This Row],[Procurement_Date]]</f>
        <v>6</v>
      </c>
      <c r="N398" s="43">
        <v>45551</v>
      </c>
      <c r="O398" s="91">
        <f>GroDB[[#This Row],[Expiration_Date]]-GroDB[[#This Row],[Date_Received1]]</f>
        <v>-126</v>
      </c>
      <c r="P398" s="4">
        <v>4</v>
      </c>
      <c r="Q398" s="3">
        <v>80</v>
      </c>
      <c r="R398" s="3">
        <v>6</v>
      </c>
      <c r="S398" s="3">
        <v>92</v>
      </c>
      <c r="T398" s="4">
        <v>5</v>
      </c>
      <c r="U398" s="3">
        <v>26</v>
      </c>
      <c r="V398" s="51">
        <f>IF(GroDB[[#This Row],[LeadTime]]=0,GroDB[[#This Row],[Sales_Volume]],GroDB[[#This Row],[Sales_Volume]]/GroDB[[#This Row],[LeadTime]])</f>
        <v>4.333333333333333</v>
      </c>
      <c r="W398" s="51">
        <f>_xlfn.STDEV.S(GroDB[Daily Sales])</f>
        <v>5.1999899792654221</v>
      </c>
      <c r="X398" s="3">
        <v>71</v>
      </c>
      <c r="Y398" s="7">
        <v>0.05</v>
      </c>
      <c r="Z398" s="4">
        <f>GroDB[[#This Row],[Unit_Price]]*GroDB[[#This Row],[Sales_Volume]]</f>
        <v>130</v>
      </c>
      <c r="AA398" s="22">
        <f>GroDB[[#This Row],[ADU]]/GroDB[[#Totals],[ADU]]</f>
        <v>3.7761132025291579E-4</v>
      </c>
      <c r="AB398" s="1">
        <f>GroDB[[#This Row],[Sales_Volume]]*GroDB[[#This Row],[Ordering Cost]]</f>
        <v>104</v>
      </c>
    </row>
    <row r="399" spans="1:28" x14ac:dyDescent="0.35">
      <c r="A399" s="5" t="s">
        <v>243</v>
      </c>
      <c r="B399" s="3" t="s">
        <v>18</v>
      </c>
      <c r="C399" s="3" t="s">
        <v>1568</v>
      </c>
      <c r="D399" s="3" t="s">
        <v>1569</v>
      </c>
      <c r="E399" s="3" t="s">
        <v>28</v>
      </c>
      <c r="F399" s="3" t="s">
        <v>1570</v>
      </c>
      <c r="G399" s="3" t="s">
        <v>1571</v>
      </c>
      <c r="H399" s="43">
        <v>45672</v>
      </c>
      <c r="I399" s="43">
        <v>45412</v>
      </c>
      <c r="J399" s="47" t="str">
        <f>IF(GroDB[[#This Row],[Last_Order_Date]]&lt;=GroDB[[#This Row],[Date_Received]], "Yes", "No")</f>
        <v>Yes</v>
      </c>
      <c r="K399" s="43">
        <f>IF(GroDB[[#This Row],[Column1]]="No",GroDB[[#This Row],[Last_Order_Date]],GroDB[[#This Row],[Date_Received]])</f>
        <v>45672</v>
      </c>
      <c r="L399" s="43">
        <f>IF(GroDB[[#This Row],[Column1]]="No",GroDB[[#This Row],[Date_Received]],GroDB[[#This Row],[Last_Order_Date]])</f>
        <v>45412</v>
      </c>
      <c r="M399" s="45">
        <f>GroDB[[#This Row],[Date_Received1]]-GroDB[[#This Row],[Procurement_Date]]</f>
        <v>260</v>
      </c>
      <c r="N399" s="43">
        <v>45455</v>
      </c>
      <c r="O399" s="91">
        <f>GroDB[[#This Row],[Expiration_Date]]-GroDB[[#This Row],[Date_Received1]]</f>
        <v>-217</v>
      </c>
      <c r="P399" s="4">
        <v>1.6</v>
      </c>
      <c r="Q399" s="3">
        <v>22</v>
      </c>
      <c r="R399" s="3">
        <v>22</v>
      </c>
      <c r="S399" s="3">
        <v>65</v>
      </c>
      <c r="T399" s="4">
        <v>2</v>
      </c>
      <c r="U399" s="3">
        <v>62</v>
      </c>
      <c r="V399" s="51">
        <f>IF(GroDB[[#This Row],[LeadTime]]=0,GroDB[[#This Row],[Sales_Volume]],GroDB[[#This Row],[Sales_Volume]]/GroDB[[#This Row],[LeadTime]])</f>
        <v>0.23846153846153847</v>
      </c>
      <c r="W399" s="51">
        <f>_xlfn.STDEV.S(GroDB[Daily Sales])</f>
        <v>5.1999899792654221</v>
      </c>
      <c r="X399" s="3">
        <v>78</v>
      </c>
      <c r="Y399" s="7">
        <v>-1.73</v>
      </c>
      <c r="Z399" s="4">
        <f>GroDB[[#This Row],[Unit_Price]]*GroDB[[#This Row],[Sales_Volume]]</f>
        <v>124</v>
      </c>
      <c r="AA399" s="22">
        <f>GroDB[[#This Row],[ADU]]/GroDB[[#Totals],[ADU]]</f>
        <v>3.6018310547201196E-4</v>
      </c>
      <c r="AB399" s="1">
        <f>GroDB[[#This Row],[Sales_Volume]]*GroDB[[#This Row],[Ordering Cost]]</f>
        <v>99.2</v>
      </c>
    </row>
    <row r="400" spans="1:28" x14ac:dyDescent="0.35">
      <c r="A400" s="5" t="s">
        <v>180</v>
      </c>
      <c r="B400" s="3" t="s">
        <v>18</v>
      </c>
      <c r="C400" s="3" t="s">
        <v>491</v>
      </c>
      <c r="D400" s="3" t="s">
        <v>1572</v>
      </c>
      <c r="E400" s="3" t="s">
        <v>21</v>
      </c>
      <c r="F400" s="3" t="s">
        <v>1573</v>
      </c>
      <c r="G400" s="3" t="s">
        <v>1574</v>
      </c>
      <c r="H400" s="43">
        <v>45673</v>
      </c>
      <c r="I400" s="43">
        <v>45673</v>
      </c>
      <c r="J400" s="47" t="str">
        <f>IF(GroDB[[#This Row],[Last_Order_Date]]&lt;=GroDB[[#This Row],[Date_Received]], "Yes", "No")</f>
        <v>Yes</v>
      </c>
      <c r="K400" s="43">
        <f>IF(GroDB[[#This Row],[Column1]]="No",GroDB[[#This Row],[Last_Order_Date]],GroDB[[#This Row],[Date_Received]])</f>
        <v>45673</v>
      </c>
      <c r="L400" s="43">
        <f>IF(GroDB[[#This Row],[Column1]]="No",GroDB[[#This Row],[Date_Received]],GroDB[[#This Row],[Last_Order_Date]])</f>
        <v>45673</v>
      </c>
      <c r="M400" s="45">
        <f>GroDB[[#This Row],[Date_Received1]]-GroDB[[#This Row],[Procurement_Date]]</f>
        <v>0</v>
      </c>
      <c r="N400" s="43">
        <v>45355</v>
      </c>
      <c r="O400" s="91">
        <f>GroDB[[#This Row],[Expiration_Date]]-GroDB[[#This Row],[Date_Received1]]</f>
        <v>-318</v>
      </c>
      <c r="P400" s="4">
        <v>1.4400000000000002</v>
      </c>
      <c r="Q400" s="3">
        <v>28</v>
      </c>
      <c r="R400" s="3">
        <v>5</v>
      </c>
      <c r="S400" s="3">
        <v>9</v>
      </c>
      <c r="T400" s="4">
        <v>1.8</v>
      </c>
      <c r="U400" s="3">
        <v>33</v>
      </c>
      <c r="V400" s="51">
        <f>IF(GroDB[[#This Row],[LeadTime]]=0,GroDB[[#This Row],[Sales_Volume]],GroDB[[#This Row],[Sales_Volume]]/GroDB[[#This Row],[LeadTime]])</f>
        <v>33</v>
      </c>
      <c r="W400" s="51">
        <f>_xlfn.STDEV.S(GroDB[Daily Sales])</f>
        <v>5.1999899792654221</v>
      </c>
      <c r="X400" s="3">
        <v>9</v>
      </c>
      <c r="Y400" s="7">
        <v>-0.26</v>
      </c>
      <c r="Z400" s="4">
        <f>GroDB[[#This Row],[Unit_Price]]*GroDB[[#This Row],[Sales_Volume]]</f>
        <v>59.4</v>
      </c>
      <c r="AA400" s="22">
        <f>GroDB[[#This Row],[ADU]]/GroDB[[#Totals],[ADU]]</f>
        <v>1.7253932633094765E-4</v>
      </c>
      <c r="AB400" s="1">
        <f>GroDB[[#This Row],[Sales_Volume]]*GroDB[[#This Row],[Ordering Cost]]</f>
        <v>47.52</v>
      </c>
    </row>
    <row r="401" spans="1:28" x14ac:dyDescent="0.35">
      <c r="A401" s="5" t="s">
        <v>1445</v>
      </c>
      <c r="B401" s="3" t="s">
        <v>18</v>
      </c>
      <c r="C401" s="3" t="s">
        <v>1175</v>
      </c>
      <c r="D401" s="3" t="s">
        <v>1575</v>
      </c>
      <c r="E401" s="3" t="s">
        <v>56</v>
      </c>
      <c r="F401" s="3" t="s">
        <v>1576</v>
      </c>
      <c r="G401" s="3" t="s">
        <v>1577</v>
      </c>
      <c r="H401" s="43">
        <v>45674</v>
      </c>
      <c r="I401" s="43">
        <v>45487</v>
      </c>
      <c r="J401" s="47" t="str">
        <f>IF(GroDB[[#This Row],[Last_Order_Date]]&lt;=GroDB[[#This Row],[Date_Received]], "Yes", "No")</f>
        <v>Yes</v>
      </c>
      <c r="K401" s="43">
        <f>IF(GroDB[[#This Row],[Column1]]="No",GroDB[[#This Row],[Last_Order_Date]],GroDB[[#This Row],[Date_Received]])</f>
        <v>45674</v>
      </c>
      <c r="L401" s="43">
        <f>IF(GroDB[[#This Row],[Column1]]="No",GroDB[[#This Row],[Date_Received]],GroDB[[#This Row],[Last_Order_Date]])</f>
        <v>45487</v>
      </c>
      <c r="M401" s="45">
        <f>GroDB[[#This Row],[Date_Received1]]-GroDB[[#This Row],[Procurement_Date]]</f>
        <v>187</v>
      </c>
      <c r="N401" s="43">
        <v>45397</v>
      </c>
      <c r="O401" s="91">
        <f>GroDB[[#This Row],[Expiration_Date]]-GroDB[[#This Row],[Date_Received1]]</f>
        <v>-277</v>
      </c>
      <c r="P401" s="4">
        <v>8</v>
      </c>
      <c r="Q401" s="3">
        <v>23</v>
      </c>
      <c r="R401" s="3">
        <v>38</v>
      </c>
      <c r="S401" s="3">
        <v>54</v>
      </c>
      <c r="T401" s="4">
        <v>10</v>
      </c>
      <c r="U401" s="3">
        <v>40</v>
      </c>
      <c r="V401" s="51">
        <f>IF(GroDB[[#This Row],[LeadTime]]=0,GroDB[[#This Row],[Sales_Volume]],GroDB[[#This Row],[Sales_Volume]]/GroDB[[#This Row],[LeadTime]])</f>
        <v>0.21390374331550802</v>
      </c>
      <c r="W401" s="51">
        <f>_xlfn.STDEV.S(GroDB[Daily Sales])</f>
        <v>5.1999899792654221</v>
      </c>
      <c r="X401" s="3">
        <v>15</v>
      </c>
      <c r="Y401" s="7">
        <v>0.73</v>
      </c>
      <c r="Z401" s="4">
        <f>GroDB[[#This Row],[Unit_Price]]*GroDB[[#This Row],[Sales_Volume]]</f>
        <v>400</v>
      </c>
      <c r="AA401" s="22">
        <f>GroDB[[#This Row],[ADU]]/GroDB[[#Totals],[ADU]]</f>
        <v>1.1618809853935869E-3</v>
      </c>
      <c r="AB401" s="1">
        <f>GroDB[[#This Row],[Sales_Volume]]*GroDB[[#This Row],[Ordering Cost]]</f>
        <v>320</v>
      </c>
    </row>
    <row r="402" spans="1:28" x14ac:dyDescent="0.35">
      <c r="A402" s="5" t="s">
        <v>17</v>
      </c>
      <c r="B402" s="3" t="s">
        <v>18</v>
      </c>
      <c r="C402" s="3" t="s">
        <v>1578</v>
      </c>
      <c r="D402" s="3" t="s">
        <v>1579</v>
      </c>
      <c r="E402" s="3" t="s">
        <v>28</v>
      </c>
      <c r="F402" s="3" t="s">
        <v>1580</v>
      </c>
      <c r="G402" s="3" t="s">
        <v>1581</v>
      </c>
      <c r="H402" s="43">
        <v>45674</v>
      </c>
      <c r="I402" s="43">
        <v>45551</v>
      </c>
      <c r="J402" s="47" t="str">
        <f>IF(GroDB[[#This Row],[Last_Order_Date]]&lt;=GroDB[[#This Row],[Date_Received]], "Yes", "No")</f>
        <v>Yes</v>
      </c>
      <c r="K402" s="43">
        <f>IF(GroDB[[#This Row],[Column1]]="No",GroDB[[#This Row],[Last_Order_Date]],GroDB[[#This Row],[Date_Received]])</f>
        <v>45674</v>
      </c>
      <c r="L402" s="43">
        <f>IF(GroDB[[#This Row],[Column1]]="No",GroDB[[#This Row],[Date_Received]],GroDB[[#This Row],[Last_Order_Date]])</f>
        <v>45551</v>
      </c>
      <c r="M402" s="45">
        <f>GroDB[[#This Row],[Date_Received1]]-GroDB[[#This Row],[Procurement_Date]]</f>
        <v>123</v>
      </c>
      <c r="N402" s="43">
        <v>45712</v>
      </c>
      <c r="O402" s="91">
        <f>GroDB[[#This Row],[Expiration_Date]]-GroDB[[#This Row],[Date_Received1]]</f>
        <v>38</v>
      </c>
      <c r="P402" s="4">
        <v>3.5200000000000005</v>
      </c>
      <c r="Q402" s="3">
        <v>26</v>
      </c>
      <c r="R402" s="3">
        <v>12</v>
      </c>
      <c r="S402" s="3">
        <v>43</v>
      </c>
      <c r="T402" s="4">
        <v>4.4000000000000004</v>
      </c>
      <c r="U402" s="3">
        <v>73</v>
      </c>
      <c r="V402" s="51">
        <f>IF(GroDB[[#This Row],[LeadTime]]=0,GroDB[[#This Row],[Sales_Volume]],GroDB[[#This Row],[Sales_Volume]]/GroDB[[#This Row],[LeadTime]])</f>
        <v>0.5934959349593496</v>
      </c>
      <c r="W402" s="51">
        <f>_xlfn.STDEV.S(GroDB[Daily Sales])</f>
        <v>5.1999899792654221</v>
      </c>
      <c r="X402" s="3">
        <v>20</v>
      </c>
      <c r="Y402" s="7">
        <v>0.63</v>
      </c>
      <c r="Z402" s="4">
        <f>GroDB[[#This Row],[Unit_Price]]*GroDB[[#This Row],[Sales_Volume]]</f>
        <v>321.20000000000005</v>
      </c>
      <c r="AA402" s="22">
        <f>GroDB[[#This Row],[ADU]]/GroDB[[#Totals],[ADU]]</f>
        <v>9.3299043127105053E-4</v>
      </c>
      <c r="AB402" s="1">
        <f>GroDB[[#This Row],[Sales_Volume]]*GroDB[[#This Row],[Ordering Cost]]</f>
        <v>256.96000000000004</v>
      </c>
    </row>
    <row r="403" spans="1:28" x14ac:dyDescent="0.35">
      <c r="A403" s="5" t="s">
        <v>75</v>
      </c>
      <c r="B403" s="3" t="s">
        <v>32</v>
      </c>
      <c r="C403" s="3" t="s">
        <v>1582</v>
      </c>
      <c r="D403" s="3" t="s">
        <v>1583</v>
      </c>
      <c r="E403" s="3" t="s">
        <v>28</v>
      </c>
      <c r="F403" s="3" t="s">
        <v>1584</v>
      </c>
      <c r="G403" s="3" t="s">
        <v>1585</v>
      </c>
      <c r="H403" s="43">
        <v>45674</v>
      </c>
      <c r="I403" s="43">
        <v>45468</v>
      </c>
      <c r="J403" s="47" t="str">
        <f>IF(GroDB[[#This Row],[Last_Order_Date]]&lt;=GroDB[[#This Row],[Date_Received]], "Yes", "No")</f>
        <v>Yes</v>
      </c>
      <c r="K403" s="43">
        <f>IF(GroDB[[#This Row],[Column1]]="No",GroDB[[#This Row],[Last_Order_Date]],GroDB[[#This Row],[Date_Received]])</f>
        <v>45674</v>
      </c>
      <c r="L403" s="43">
        <f>IF(GroDB[[#This Row],[Column1]]="No",GroDB[[#This Row],[Date_Received]],GroDB[[#This Row],[Last_Order_Date]])</f>
        <v>45468</v>
      </c>
      <c r="M403" s="45">
        <f>GroDB[[#This Row],[Date_Received1]]-GroDB[[#This Row],[Procurement_Date]]</f>
        <v>206</v>
      </c>
      <c r="N403" s="43">
        <v>45685</v>
      </c>
      <c r="O403" s="91">
        <f>GroDB[[#This Row],[Expiration_Date]]-GroDB[[#This Row],[Date_Received1]]</f>
        <v>11</v>
      </c>
      <c r="P403" s="4">
        <v>7.120000000000001</v>
      </c>
      <c r="Q403" s="3">
        <v>85</v>
      </c>
      <c r="R403" s="3">
        <v>28</v>
      </c>
      <c r="S403" s="3">
        <v>32</v>
      </c>
      <c r="T403" s="4">
        <v>8.9</v>
      </c>
      <c r="U403" s="3">
        <v>57</v>
      </c>
      <c r="V403" s="51">
        <f>IF(GroDB[[#This Row],[LeadTime]]=0,GroDB[[#This Row],[Sales_Volume]],GroDB[[#This Row],[Sales_Volume]]/GroDB[[#This Row],[LeadTime]])</f>
        <v>0.27669902912621358</v>
      </c>
      <c r="W403" s="51">
        <f>_xlfn.STDEV.S(GroDB[Daily Sales])</f>
        <v>5.1999899792654221</v>
      </c>
      <c r="X403" s="3">
        <v>41</v>
      </c>
      <c r="Y403" s="7">
        <v>0.73</v>
      </c>
      <c r="Z403" s="4">
        <f>GroDB[[#This Row],[Unit_Price]]*GroDB[[#This Row],[Sales_Volume]]</f>
        <v>507.3</v>
      </c>
      <c r="AA403" s="22">
        <f>GroDB[[#This Row],[ADU]]/GroDB[[#Totals],[ADU]]</f>
        <v>1.4735555597254167E-3</v>
      </c>
      <c r="AB403" s="1">
        <f>GroDB[[#This Row],[Sales_Volume]]*GroDB[[#This Row],[Ordering Cost]]</f>
        <v>405.84000000000003</v>
      </c>
    </row>
    <row r="404" spans="1:28" x14ac:dyDescent="0.35">
      <c r="A404" s="5" t="s">
        <v>1516</v>
      </c>
      <c r="B404" s="3" t="s">
        <v>32</v>
      </c>
      <c r="C404" s="3" t="s">
        <v>102</v>
      </c>
      <c r="D404" s="3" t="s">
        <v>1586</v>
      </c>
      <c r="E404" s="3" t="s">
        <v>21</v>
      </c>
      <c r="F404" s="3" t="s">
        <v>1587</v>
      </c>
      <c r="G404" s="3" t="s">
        <v>1588</v>
      </c>
      <c r="H404" s="43">
        <v>45674</v>
      </c>
      <c r="I404" s="43">
        <v>45485</v>
      </c>
      <c r="J404" s="47" t="str">
        <f>IF(GroDB[[#This Row],[Last_Order_Date]]&lt;=GroDB[[#This Row],[Date_Received]], "Yes", "No")</f>
        <v>Yes</v>
      </c>
      <c r="K404" s="43">
        <f>IF(GroDB[[#This Row],[Column1]]="No",GroDB[[#This Row],[Last_Order_Date]],GroDB[[#This Row],[Date_Received]])</f>
        <v>45674</v>
      </c>
      <c r="L404" s="43">
        <f>IF(GroDB[[#This Row],[Column1]]="No",GroDB[[#This Row],[Date_Received]],GroDB[[#This Row],[Last_Order_Date]])</f>
        <v>45485</v>
      </c>
      <c r="M404" s="45">
        <f>GroDB[[#This Row],[Date_Received1]]-GroDB[[#This Row],[Procurement_Date]]</f>
        <v>189</v>
      </c>
      <c r="N404" s="43">
        <v>45558</v>
      </c>
      <c r="O404" s="91">
        <f>GroDB[[#This Row],[Expiration_Date]]-GroDB[[#This Row],[Date_Received1]]</f>
        <v>-116</v>
      </c>
      <c r="P404" s="4">
        <v>5.7600000000000007</v>
      </c>
      <c r="Q404" s="3">
        <v>55</v>
      </c>
      <c r="R404" s="3">
        <v>58</v>
      </c>
      <c r="S404" s="3">
        <v>6</v>
      </c>
      <c r="T404" s="4">
        <v>7.2</v>
      </c>
      <c r="U404" s="3">
        <v>48</v>
      </c>
      <c r="V404" s="51">
        <f>IF(GroDB[[#This Row],[LeadTime]]=0,GroDB[[#This Row],[Sales_Volume]],GroDB[[#This Row],[Sales_Volume]]/GroDB[[#This Row],[LeadTime]])</f>
        <v>0.25396825396825395</v>
      </c>
      <c r="W404" s="51">
        <f>_xlfn.STDEV.S(GroDB[Daily Sales])</f>
        <v>5.1999899792654221</v>
      </c>
      <c r="X404" s="3">
        <v>17</v>
      </c>
      <c r="Y404" s="7">
        <v>0.28000000000000003</v>
      </c>
      <c r="Z404" s="4">
        <f>GroDB[[#This Row],[Unit_Price]]*GroDB[[#This Row],[Sales_Volume]]</f>
        <v>345.6</v>
      </c>
      <c r="AA404" s="22">
        <f>GroDB[[#This Row],[ADU]]/GroDB[[#Totals],[ADU]]</f>
        <v>1.0038651713800593E-3</v>
      </c>
      <c r="AB404" s="1">
        <f>GroDB[[#This Row],[Sales_Volume]]*GroDB[[#This Row],[Ordering Cost]]</f>
        <v>276.48</v>
      </c>
    </row>
    <row r="405" spans="1:28" x14ac:dyDescent="0.35">
      <c r="A405" s="5" t="s">
        <v>615</v>
      </c>
      <c r="B405" s="3" t="s">
        <v>32</v>
      </c>
      <c r="C405" s="3" t="s">
        <v>778</v>
      </c>
      <c r="D405" s="3" t="s">
        <v>1589</v>
      </c>
      <c r="E405" s="3" t="s">
        <v>28</v>
      </c>
      <c r="F405" s="3" t="s">
        <v>1590</v>
      </c>
      <c r="G405" s="3" t="s">
        <v>1591</v>
      </c>
      <c r="H405" s="43">
        <v>45675</v>
      </c>
      <c r="I405" s="43">
        <v>45504</v>
      </c>
      <c r="J405" s="47" t="str">
        <f>IF(GroDB[[#This Row],[Last_Order_Date]]&lt;=GroDB[[#This Row],[Date_Received]], "Yes", "No")</f>
        <v>Yes</v>
      </c>
      <c r="K405" s="43">
        <f>IF(GroDB[[#This Row],[Column1]]="No",GroDB[[#This Row],[Last_Order_Date]],GroDB[[#This Row],[Date_Received]])</f>
        <v>45675</v>
      </c>
      <c r="L405" s="43">
        <f>IF(GroDB[[#This Row],[Column1]]="No",GroDB[[#This Row],[Date_Received]],GroDB[[#This Row],[Last_Order_Date]])</f>
        <v>45504</v>
      </c>
      <c r="M405" s="45">
        <f>GroDB[[#This Row],[Date_Received1]]-GroDB[[#This Row],[Procurement_Date]]</f>
        <v>171</v>
      </c>
      <c r="N405" s="43">
        <v>45570</v>
      </c>
      <c r="O405" s="91">
        <f>GroDB[[#This Row],[Expiration_Date]]-GroDB[[#This Row],[Date_Received1]]</f>
        <v>-105</v>
      </c>
      <c r="P405" s="4">
        <v>1.6</v>
      </c>
      <c r="Q405" s="3">
        <v>72</v>
      </c>
      <c r="R405" s="3">
        <v>3</v>
      </c>
      <c r="S405" s="3">
        <v>10</v>
      </c>
      <c r="T405" s="4">
        <v>2</v>
      </c>
      <c r="U405" s="3">
        <v>52</v>
      </c>
      <c r="V405" s="51">
        <f>IF(GroDB[[#This Row],[LeadTime]]=0,GroDB[[#This Row],[Sales_Volume]],GroDB[[#This Row],[Sales_Volume]]/GroDB[[#This Row],[LeadTime]])</f>
        <v>0.30409356725146197</v>
      </c>
      <c r="W405" s="51">
        <f>_xlfn.STDEV.S(GroDB[Daily Sales])</f>
        <v>5.1999899792654221</v>
      </c>
      <c r="X405" s="3">
        <v>14</v>
      </c>
      <c r="Y405" s="7">
        <v>0.65</v>
      </c>
      <c r="Z405" s="4">
        <f>GroDB[[#This Row],[Unit_Price]]*GroDB[[#This Row],[Sales_Volume]]</f>
        <v>104</v>
      </c>
      <c r="AA405" s="22">
        <f>GroDB[[#This Row],[ADU]]/GroDB[[#Totals],[ADU]]</f>
        <v>3.0208905620233262E-4</v>
      </c>
      <c r="AB405" s="1">
        <f>GroDB[[#This Row],[Sales_Volume]]*GroDB[[#This Row],[Ordering Cost]]</f>
        <v>83.2</v>
      </c>
    </row>
    <row r="406" spans="1:28" x14ac:dyDescent="0.35">
      <c r="A406" s="5" t="s">
        <v>1085</v>
      </c>
      <c r="B406" s="3" t="s">
        <v>32</v>
      </c>
      <c r="C406" s="3" t="s">
        <v>97</v>
      </c>
      <c r="D406" s="3" t="s">
        <v>1592</v>
      </c>
      <c r="E406" s="3" t="s">
        <v>56</v>
      </c>
      <c r="F406" s="3" t="s">
        <v>1593</v>
      </c>
      <c r="G406" s="3" t="s">
        <v>1594</v>
      </c>
      <c r="H406" s="43">
        <v>45676</v>
      </c>
      <c r="I406" s="43">
        <v>45609</v>
      </c>
      <c r="J406" s="47" t="str">
        <f>IF(GroDB[[#This Row],[Last_Order_Date]]&lt;=GroDB[[#This Row],[Date_Received]], "Yes", "No")</f>
        <v>Yes</v>
      </c>
      <c r="K406" s="43">
        <f>IF(GroDB[[#This Row],[Column1]]="No",GroDB[[#This Row],[Last_Order_Date]],GroDB[[#This Row],[Date_Received]])</f>
        <v>45676</v>
      </c>
      <c r="L406" s="43">
        <f>IF(GroDB[[#This Row],[Column1]]="No",GroDB[[#This Row],[Date_Received]],GroDB[[#This Row],[Last_Order_Date]])</f>
        <v>45609</v>
      </c>
      <c r="M406" s="45">
        <f>GroDB[[#This Row],[Date_Received1]]-GroDB[[#This Row],[Procurement_Date]]</f>
        <v>67</v>
      </c>
      <c r="N406" s="43">
        <v>45460</v>
      </c>
      <c r="O406" s="91">
        <f>GroDB[[#This Row],[Expiration_Date]]-GroDB[[#This Row],[Date_Received1]]</f>
        <v>-216</v>
      </c>
      <c r="P406" s="4">
        <v>6.4</v>
      </c>
      <c r="Q406" s="3">
        <v>29</v>
      </c>
      <c r="R406" s="3">
        <v>4</v>
      </c>
      <c r="S406" s="3">
        <v>17</v>
      </c>
      <c r="T406" s="4">
        <v>8</v>
      </c>
      <c r="U406" s="3">
        <v>59</v>
      </c>
      <c r="V406" s="51">
        <f>IF(GroDB[[#This Row],[LeadTime]]=0,GroDB[[#This Row],[Sales_Volume]],GroDB[[#This Row],[Sales_Volume]]/GroDB[[#This Row],[LeadTime]])</f>
        <v>0.88059701492537312</v>
      </c>
      <c r="W406" s="51">
        <f>_xlfn.STDEV.S(GroDB[Daily Sales])</f>
        <v>5.1999899792654221</v>
      </c>
      <c r="X406" s="3">
        <v>52</v>
      </c>
      <c r="Y406" s="7">
        <v>0.73</v>
      </c>
      <c r="Z406" s="4">
        <f>GroDB[[#This Row],[Unit_Price]]*GroDB[[#This Row],[Sales_Volume]]</f>
        <v>472</v>
      </c>
      <c r="AA406" s="22">
        <f>GroDB[[#This Row],[ADU]]/GroDB[[#Totals],[ADU]]</f>
        <v>1.3710195627644327E-3</v>
      </c>
      <c r="AB406" s="1">
        <f>GroDB[[#This Row],[Sales_Volume]]*GroDB[[#This Row],[Ordering Cost]]</f>
        <v>377.6</v>
      </c>
    </row>
    <row r="407" spans="1:28" x14ac:dyDescent="0.35">
      <c r="A407" s="5" t="s">
        <v>180</v>
      </c>
      <c r="B407" s="3" t="s">
        <v>18</v>
      </c>
      <c r="C407" s="3" t="s">
        <v>1595</v>
      </c>
      <c r="D407" s="3" t="s">
        <v>1596</v>
      </c>
      <c r="E407" s="3" t="s">
        <v>28</v>
      </c>
      <c r="F407" s="3" t="s">
        <v>1597</v>
      </c>
      <c r="G407" s="3" t="s">
        <v>1598</v>
      </c>
      <c r="H407" s="43">
        <v>45676</v>
      </c>
      <c r="I407" s="43">
        <v>45669</v>
      </c>
      <c r="J407" s="47" t="str">
        <f>IF(GroDB[[#This Row],[Last_Order_Date]]&lt;=GroDB[[#This Row],[Date_Received]], "Yes", "No")</f>
        <v>Yes</v>
      </c>
      <c r="K407" s="43">
        <f>IF(GroDB[[#This Row],[Column1]]="No",GroDB[[#This Row],[Last_Order_Date]],GroDB[[#This Row],[Date_Received]])</f>
        <v>45676</v>
      </c>
      <c r="L407" s="43">
        <f>IF(GroDB[[#This Row],[Column1]]="No",GroDB[[#This Row],[Date_Received]],GroDB[[#This Row],[Last_Order_Date]])</f>
        <v>45669</v>
      </c>
      <c r="M407" s="45">
        <f>GroDB[[#This Row],[Date_Received1]]-GroDB[[#This Row],[Procurement_Date]]</f>
        <v>7</v>
      </c>
      <c r="N407" s="43">
        <v>45382</v>
      </c>
      <c r="O407" s="91">
        <f>GroDB[[#This Row],[Expiration_Date]]-GroDB[[#This Row],[Date_Received1]]</f>
        <v>-294</v>
      </c>
      <c r="P407" s="4">
        <v>1.4000000000000001</v>
      </c>
      <c r="Q407" s="3">
        <v>47</v>
      </c>
      <c r="R407" s="3">
        <v>20</v>
      </c>
      <c r="S407" s="3">
        <v>65</v>
      </c>
      <c r="T407" s="4">
        <v>1.75</v>
      </c>
      <c r="U407" s="3">
        <v>49</v>
      </c>
      <c r="V407" s="51">
        <f>IF(GroDB[[#This Row],[LeadTime]]=0,GroDB[[#This Row],[Sales_Volume]],GroDB[[#This Row],[Sales_Volume]]/GroDB[[#This Row],[LeadTime]])</f>
        <v>7</v>
      </c>
      <c r="W407" s="51">
        <f>_xlfn.STDEV.S(GroDB[Daily Sales])</f>
        <v>5.1999899792654221</v>
      </c>
      <c r="X407" s="3">
        <v>19</v>
      </c>
      <c r="Y407" s="7">
        <v>0.12</v>
      </c>
      <c r="Z407" s="4">
        <f>GroDB[[#This Row],[Unit_Price]]*GroDB[[#This Row],[Sales_Volume]]</f>
        <v>85.75</v>
      </c>
      <c r="AA407" s="22">
        <f>GroDB[[#This Row],[ADU]]/GroDB[[#Totals],[ADU]]</f>
        <v>2.4907823624375022E-4</v>
      </c>
      <c r="AB407" s="1">
        <f>GroDB[[#This Row],[Sales_Volume]]*GroDB[[#This Row],[Ordering Cost]]</f>
        <v>68.600000000000009</v>
      </c>
    </row>
    <row r="408" spans="1:28" x14ac:dyDescent="0.35">
      <c r="A408" s="5" t="s">
        <v>947</v>
      </c>
      <c r="B408" s="3" t="s">
        <v>18</v>
      </c>
      <c r="C408" s="3" t="s">
        <v>1599</v>
      </c>
      <c r="D408" s="3" t="s">
        <v>1600</v>
      </c>
      <c r="E408" s="3" t="s">
        <v>56</v>
      </c>
      <c r="F408" s="3" t="s">
        <v>1601</v>
      </c>
      <c r="G408" s="3" t="s">
        <v>1602</v>
      </c>
      <c r="H408" s="43">
        <v>45676</v>
      </c>
      <c r="I408" s="43">
        <v>45357</v>
      </c>
      <c r="J408" s="47" t="str">
        <f>IF(GroDB[[#This Row],[Last_Order_Date]]&lt;=GroDB[[#This Row],[Date_Received]], "Yes", "No")</f>
        <v>Yes</v>
      </c>
      <c r="K408" s="43">
        <f>IF(GroDB[[#This Row],[Column1]]="No",GroDB[[#This Row],[Last_Order_Date]],GroDB[[#This Row],[Date_Received]])</f>
        <v>45676</v>
      </c>
      <c r="L408" s="43">
        <f>IF(GroDB[[#This Row],[Column1]]="No",GroDB[[#This Row],[Date_Received]],GroDB[[#This Row],[Last_Order_Date]])</f>
        <v>45357</v>
      </c>
      <c r="M408" s="45">
        <f>GroDB[[#This Row],[Date_Received1]]-GroDB[[#This Row],[Procurement_Date]]</f>
        <v>319</v>
      </c>
      <c r="N408" s="43">
        <v>45352</v>
      </c>
      <c r="O408" s="91">
        <f>GroDB[[#This Row],[Expiration_Date]]-GroDB[[#This Row],[Date_Received1]]</f>
        <v>-324</v>
      </c>
      <c r="P408" s="4">
        <v>0.96</v>
      </c>
      <c r="Q408" s="3">
        <v>42</v>
      </c>
      <c r="R408" s="3">
        <v>69</v>
      </c>
      <c r="S408" s="3">
        <v>54</v>
      </c>
      <c r="T408" s="4">
        <v>1.2</v>
      </c>
      <c r="U408" s="3">
        <v>43</v>
      </c>
      <c r="V408" s="51">
        <f>IF(GroDB[[#This Row],[LeadTime]]=0,GroDB[[#This Row],[Sales_Volume]],GroDB[[#This Row],[Sales_Volume]]/GroDB[[#This Row],[LeadTime]])</f>
        <v>0.13479623824451412</v>
      </c>
      <c r="W408" s="51">
        <f>_xlfn.STDEV.S(GroDB[Daily Sales])</f>
        <v>5.1999899792654221</v>
      </c>
      <c r="X408" s="3">
        <v>96</v>
      </c>
      <c r="Y408" s="7">
        <v>0.61</v>
      </c>
      <c r="Z408" s="4">
        <f>GroDB[[#This Row],[Unit_Price]]*GroDB[[#This Row],[Sales_Volume]]</f>
        <v>51.6</v>
      </c>
      <c r="AA408" s="22">
        <f>GroDB[[#This Row],[ADU]]/GroDB[[#Totals],[ADU]]</f>
        <v>1.4988264711577272E-4</v>
      </c>
      <c r="AB408" s="1">
        <f>GroDB[[#This Row],[Sales_Volume]]*GroDB[[#This Row],[Ordering Cost]]</f>
        <v>41.28</v>
      </c>
    </row>
    <row r="409" spans="1:28" x14ac:dyDescent="0.35">
      <c r="A409" s="5" t="s">
        <v>116</v>
      </c>
      <c r="B409" s="3" t="s">
        <v>18</v>
      </c>
      <c r="C409" s="3" t="s">
        <v>289</v>
      </c>
      <c r="D409" s="3" t="s">
        <v>1603</v>
      </c>
      <c r="E409" s="3" t="s">
        <v>28</v>
      </c>
      <c r="F409" s="3" t="s">
        <v>1604</v>
      </c>
      <c r="G409" s="3" t="s">
        <v>1605</v>
      </c>
      <c r="H409" s="43">
        <v>45676</v>
      </c>
      <c r="I409" s="43">
        <v>45490</v>
      </c>
      <c r="J409" s="47" t="str">
        <f>IF(GroDB[[#This Row],[Last_Order_Date]]&lt;=GroDB[[#This Row],[Date_Received]], "Yes", "No")</f>
        <v>Yes</v>
      </c>
      <c r="K409" s="43">
        <f>IF(GroDB[[#This Row],[Column1]]="No",GroDB[[#This Row],[Last_Order_Date]],GroDB[[#This Row],[Date_Received]])</f>
        <v>45676</v>
      </c>
      <c r="L409" s="43">
        <f>IF(GroDB[[#This Row],[Column1]]="No",GroDB[[#This Row],[Date_Received]],GroDB[[#This Row],[Last_Order_Date]])</f>
        <v>45490</v>
      </c>
      <c r="M409" s="45">
        <f>GroDB[[#This Row],[Date_Received1]]-GroDB[[#This Row],[Procurement_Date]]</f>
        <v>186</v>
      </c>
      <c r="N409" s="43">
        <v>45578</v>
      </c>
      <c r="O409" s="91">
        <f>GroDB[[#This Row],[Expiration_Date]]-GroDB[[#This Row],[Date_Received1]]</f>
        <v>-98</v>
      </c>
      <c r="P409" s="4">
        <v>2.4000000000000004</v>
      </c>
      <c r="Q409" s="3">
        <v>97</v>
      </c>
      <c r="R409" s="3">
        <v>52</v>
      </c>
      <c r="S409" s="3">
        <v>80</v>
      </c>
      <c r="T409" s="4">
        <v>3</v>
      </c>
      <c r="U409" s="3">
        <v>22</v>
      </c>
      <c r="V409" s="51">
        <f>IF(GroDB[[#This Row],[LeadTime]]=0,GroDB[[#This Row],[Sales_Volume]],GroDB[[#This Row],[Sales_Volume]]/GroDB[[#This Row],[LeadTime]])</f>
        <v>0.11827956989247312</v>
      </c>
      <c r="W409" s="51">
        <f>_xlfn.STDEV.S(GroDB[Daily Sales])</f>
        <v>5.1999899792654221</v>
      </c>
      <c r="X409" s="3">
        <v>90</v>
      </c>
      <c r="Y409" s="7">
        <v>-1.23</v>
      </c>
      <c r="Z409" s="4">
        <f>GroDB[[#This Row],[Unit_Price]]*GroDB[[#This Row],[Sales_Volume]]</f>
        <v>66</v>
      </c>
      <c r="AA409" s="22">
        <f>GroDB[[#This Row],[ADU]]/GroDB[[#Totals],[ADU]]</f>
        <v>1.9171036258994184E-4</v>
      </c>
      <c r="AB409" s="1">
        <f>GroDB[[#This Row],[Sales_Volume]]*GroDB[[#This Row],[Ordering Cost]]</f>
        <v>52.800000000000011</v>
      </c>
    </row>
    <row r="410" spans="1:28" x14ac:dyDescent="0.35">
      <c r="A410" s="5" t="s">
        <v>465</v>
      </c>
      <c r="B410" s="3" t="s">
        <v>32</v>
      </c>
      <c r="C410" s="3" t="s">
        <v>157</v>
      </c>
      <c r="D410" s="3" t="s">
        <v>1606</v>
      </c>
      <c r="E410" s="3" t="s">
        <v>21</v>
      </c>
      <c r="F410" s="3" t="s">
        <v>1607</v>
      </c>
      <c r="G410" s="3" t="s">
        <v>1608</v>
      </c>
      <c r="H410" s="43">
        <v>45677</v>
      </c>
      <c r="I410" s="43">
        <v>45542</v>
      </c>
      <c r="J410" s="47" t="str">
        <f>IF(GroDB[[#This Row],[Last_Order_Date]]&lt;=GroDB[[#This Row],[Date_Received]], "Yes", "No")</f>
        <v>Yes</v>
      </c>
      <c r="K410" s="43">
        <f>IF(GroDB[[#This Row],[Column1]]="No",GroDB[[#This Row],[Last_Order_Date]],GroDB[[#This Row],[Date_Received]])</f>
        <v>45677</v>
      </c>
      <c r="L410" s="43">
        <f>IF(GroDB[[#This Row],[Column1]]="No",GroDB[[#This Row],[Date_Received]],GroDB[[#This Row],[Last_Order_Date]])</f>
        <v>45542</v>
      </c>
      <c r="M410" s="45">
        <f>GroDB[[#This Row],[Date_Received1]]-GroDB[[#This Row],[Procurement_Date]]</f>
        <v>135</v>
      </c>
      <c r="N410" s="43">
        <v>45641</v>
      </c>
      <c r="O410" s="91">
        <f>GroDB[[#This Row],[Expiration_Date]]-GroDB[[#This Row],[Date_Received1]]</f>
        <v>-36</v>
      </c>
      <c r="P410" s="4">
        <v>2.4000000000000004</v>
      </c>
      <c r="Q410" s="3">
        <v>90</v>
      </c>
      <c r="R410" s="3">
        <v>62</v>
      </c>
      <c r="S410" s="3">
        <v>54</v>
      </c>
      <c r="T410" s="4">
        <v>3</v>
      </c>
      <c r="U410" s="3">
        <v>70</v>
      </c>
      <c r="V410" s="51">
        <f>IF(GroDB[[#This Row],[LeadTime]]=0,GroDB[[#This Row],[Sales_Volume]],GroDB[[#This Row],[Sales_Volume]]/GroDB[[#This Row],[LeadTime]])</f>
        <v>0.51851851851851849</v>
      </c>
      <c r="W410" s="51">
        <f>_xlfn.STDEV.S(GroDB[Daily Sales])</f>
        <v>5.1999899792654221</v>
      </c>
      <c r="X410" s="3">
        <v>83</v>
      </c>
      <c r="Y410" s="7">
        <v>-3.09</v>
      </c>
      <c r="Z410" s="4">
        <f>GroDB[[#This Row],[Unit_Price]]*GroDB[[#This Row],[Sales_Volume]]</f>
        <v>210</v>
      </c>
      <c r="AA410" s="22">
        <f>GroDB[[#This Row],[ADU]]/GroDB[[#Totals],[ADU]]</f>
        <v>6.0998751733163314E-4</v>
      </c>
      <c r="AB410" s="1">
        <f>GroDB[[#This Row],[Sales_Volume]]*GroDB[[#This Row],[Ordering Cost]]</f>
        <v>168.00000000000003</v>
      </c>
    </row>
    <row r="411" spans="1:28" x14ac:dyDescent="0.35">
      <c r="A411" s="5" t="s">
        <v>812</v>
      </c>
      <c r="B411" s="3" t="s">
        <v>18</v>
      </c>
      <c r="C411" s="3" t="s">
        <v>1609</v>
      </c>
      <c r="D411" s="3" t="s">
        <v>1610</v>
      </c>
      <c r="E411" s="3" t="s">
        <v>21</v>
      </c>
      <c r="F411" s="3" t="s">
        <v>1611</v>
      </c>
      <c r="G411" s="3" t="s">
        <v>1612</v>
      </c>
      <c r="H411" s="43">
        <v>45677</v>
      </c>
      <c r="I411" s="43">
        <v>45684</v>
      </c>
      <c r="J411" s="47" t="str">
        <f>IF(GroDB[[#This Row],[Last_Order_Date]]&lt;=GroDB[[#This Row],[Date_Received]], "Yes", "No")</f>
        <v>No</v>
      </c>
      <c r="K411" s="43">
        <f>IF(GroDB[[#This Row],[Column1]]="No",GroDB[[#This Row],[Last_Order_Date]],GroDB[[#This Row],[Date_Received]])</f>
        <v>45684</v>
      </c>
      <c r="L411" s="43">
        <f>IF(GroDB[[#This Row],[Column1]]="No",GroDB[[#This Row],[Date_Received]],GroDB[[#This Row],[Last_Order_Date]])</f>
        <v>45677</v>
      </c>
      <c r="M411" s="45">
        <f>GroDB[[#This Row],[Date_Received1]]-GroDB[[#This Row],[Procurement_Date]]</f>
        <v>7</v>
      </c>
      <c r="N411" s="43">
        <v>45669</v>
      </c>
      <c r="O411" s="91">
        <f>GroDB[[#This Row],[Expiration_Date]]-GroDB[[#This Row],[Date_Received1]]</f>
        <v>-15</v>
      </c>
      <c r="P411" s="4">
        <v>2.8000000000000003</v>
      </c>
      <c r="Q411" s="3">
        <v>81</v>
      </c>
      <c r="R411" s="3">
        <v>74</v>
      </c>
      <c r="S411" s="3">
        <v>45</v>
      </c>
      <c r="T411" s="4">
        <v>3.5</v>
      </c>
      <c r="U411" s="3">
        <v>42</v>
      </c>
      <c r="V411" s="51">
        <f>IF(GroDB[[#This Row],[LeadTime]]=0,GroDB[[#This Row],[Sales_Volume]],GroDB[[#This Row],[Sales_Volume]]/GroDB[[#This Row],[LeadTime]])</f>
        <v>6</v>
      </c>
      <c r="W411" s="51">
        <f>_xlfn.STDEV.S(GroDB[Daily Sales])</f>
        <v>5.1999899792654221</v>
      </c>
      <c r="X411" s="3">
        <v>23</v>
      </c>
      <c r="Y411" s="7">
        <v>-0.19</v>
      </c>
      <c r="Z411" s="4">
        <f>GroDB[[#This Row],[Unit_Price]]*GroDB[[#This Row],[Sales_Volume]]</f>
        <v>147</v>
      </c>
      <c r="AA411" s="22">
        <f>GroDB[[#This Row],[ADU]]/GroDB[[#Totals],[ADU]]</f>
        <v>4.2699126213214324E-4</v>
      </c>
      <c r="AB411" s="1">
        <f>GroDB[[#This Row],[Sales_Volume]]*GroDB[[#This Row],[Ordering Cost]]</f>
        <v>117.60000000000001</v>
      </c>
    </row>
    <row r="412" spans="1:28" x14ac:dyDescent="0.35">
      <c r="A412" s="5" t="s">
        <v>416</v>
      </c>
      <c r="B412" s="3" t="s">
        <v>53</v>
      </c>
      <c r="C412" s="3" t="s">
        <v>1613</v>
      </c>
      <c r="D412" s="3" t="s">
        <v>1614</v>
      </c>
      <c r="E412" s="3" t="s">
        <v>21</v>
      </c>
      <c r="F412" s="3" t="s">
        <v>1615</v>
      </c>
      <c r="G412" s="3" t="s">
        <v>1616</v>
      </c>
      <c r="H412" s="43">
        <v>45678</v>
      </c>
      <c r="I412" s="43">
        <v>45371</v>
      </c>
      <c r="J412" s="47" t="str">
        <f>IF(GroDB[[#This Row],[Last_Order_Date]]&lt;=GroDB[[#This Row],[Date_Received]], "Yes", "No")</f>
        <v>Yes</v>
      </c>
      <c r="K412" s="43">
        <f>IF(GroDB[[#This Row],[Column1]]="No",GroDB[[#This Row],[Last_Order_Date]],GroDB[[#This Row],[Date_Received]])</f>
        <v>45678</v>
      </c>
      <c r="L412" s="43">
        <f>IF(GroDB[[#This Row],[Column1]]="No",GroDB[[#This Row],[Date_Received]],GroDB[[#This Row],[Last_Order_Date]])</f>
        <v>45371</v>
      </c>
      <c r="M412" s="45">
        <f>GroDB[[#This Row],[Date_Received1]]-GroDB[[#This Row],[Procurement_Date]]</f>
        <v>307</v>
      </c>
      <c r="N412" s="43">
        <v>45528</v>
      </c>
      <c r="O412" s="91">
        <f>GroDB[[#This Row],[Expiration_Date]]-GroDB[[#This Row],[Date_Received1]]</f>
        <v>-150</v>
      </c>
      <c r="P412" s="4">
        <v>2.4000000000000004</v>
      </c>
      <c r="Q412" s="3">
        <v>60</v>
      </c>
      <c r="R412" s="3">
        <v>90</v>
      </c>
      <c r="S412" s="3">
        <v>85</v>
      </c>
      <c r="T412" s="4">
        <v>3</v>
      </c>
      <c r="U412" s="3">
        <v>47</v>
      </c>
      <c r="V412" s="51">
        <f>IF(GroDB[[#This Row],[LeadTime]]=0,GroDB[[#This Row],[Sales_Volume]],GroDB[[#This Row],[Sales_Volume]]/GroDB[[#This Row],[LeadTime]])</f>
        <v>0.15309446254071662</v>
      </c>
      <c r="W412" s="51">
        <f>_xlfn.STDEV.S(GroDB[Daily Sales])</f>
        <v>5.1999899792654221</v>
      </c>
      <c r="X412" s="3">
        <v>9</v>
      </c>
      <c r="Y412" s="7">
        <v>0.45</v>
      </c>
      <c r="Z412" s="4">
        <f>GroDB[[#This Row],[Unit_Price]]*GroDB[[#This Row],[Sales_Volume]]</f>
        <v>141</v>
      </c>
      <c r="AA412" s="22">
        <f>GroDB[[#This Row],[ADU]]/GroDB[[#Totals],[ADU]]</f>
        <v>4.0956304735123941E-4</v>
      </c>
      <c r="AB412" s="1">
        <f>GroDB[[#This Row],[Sales_Volume]]*GroDB[[#This Row],[Ordering Cost]]</f>
        <v>112.80000000000001</v>
      </c>
    </row>
    <row r="413" spans="1:28" x14ac:dyDescent="0.35">
      <c r="A413" s="5" t="s">
        <v>665</v>
      </c>
      <c r="B413" s="3" t="s">
        <v>18</v>
      </c>
      <c r="C413" s="3" t="s">
        <v>1617</v>
      </c>
      <c r="D413" s="3" t="s">
        <v>1618</v>
      </c>
      <c r="E413" s="3" t="s">
        <v>28</v>
      </c>
      <c r="F413" s="3" t="s">
        <v>1619</v>
      </c>
      <c r="G413" s="3" t="s">
        <v>1620</v>
      </c>
      <c r="H413" s="43">
        <v>45678</v>
      </c>
      <c r="I413" s="43">
        <v>45695</v>
      </c>
      <c r="J413" s="47" t="str">
        <f>IF(GroDB[[#This Row],[Last_Order_Date]]&lt;=GroDB[[#This Row],[Date_Received]], "Yes", "No")</f>
        <v>No</v>
      </c>
      <c r="K413" s="43">
        <f>IF(GroDB[[#This Row],[Column1]]="No",GroDB[[#This Row],[Last_Order_Date]],GroDB[[#This Row],[Date_Received]])</f>
        <v>45695</v>
      </c>
      <c r="L413" s="43">
        <f>IF(GroDB[[#This Row],[Column1]]="No",GroDB[[#This Row],[Date_Received]],GroDB[[#This Row],[Last_Order_Date]])</f>
        <v>45678</v>
      </c>
      <c r="M413" s="45">
        <f>GroDB[[#This Row],[Date_Received1]]-GroDB[[#This Row],[Procurement_Date]]</f>
        <v>17</v>
      </c>
      <c r="N413" s="43">
        <v>45703</v>
      </c>
      <c r="O413" s="91">
        <f>GroDB[[#This Row],[Expiration_Date]]-GroDB[[#This Row],[Date_Received1]]</f>
        <v>8</v>
      </c>
      <c r="P413" s="4">
        <v>4.8000000000000007</v>
      </c>
      <c r="Q413" s="3">
        <v>45</v>
      </c>
      <c r="R413" s="3">
        <v>24</v>
      </c>
      <c r="S413" s="3">
        <v>61</v>
      </c>
      <c r="T413" s="4">
        <v>6</v>
      </c>
      <c r="U413" s="3">
        <v>44</v>
      </c>
      <c r="V413" s="51">
        <f>IF(GroDB[[#This Row],[LeadTime]]=0,GroDB[[#This Row],[Sales_Volume]],GroDB[[#This Row],[Sales_Volume]]/GroDB[[#This Row],[LeadTime]])</f>
        <v>2.5882352941176472</v>
      </c>
      <c r="W413" s="51">
        <f>_xlfn.STDEV.S(GroDB[Daily Sales])</f>
        <v>5.1999899792654221</v>
      </c>
      <c r="X413" s="3">
        <v>34</v>
      </c>
      <c r="Y413" s="7">
        <v>0.81</v>
      </c>
      <c r="Z413" s="4">
        <f>GroDB[[#This Row],[Unit_Price]]*GroDB[[#This Row],[Sales_Volume]]</f>
        <v>264</v>
      </c>
      <c r="AA413" s="22">
        <f>GroDB[[#This Row],[ADU]]/GroDB[[#Totals],[ADU]]</f>
        <v>7.6684145035976737E-4</v>
      </c>
      <c r="AB413" s="1">
        <f>GroDB[[#This Row],[Sales_Volume]]*GroDB[[#This Row],[Ordering Cost]]</f>
        <v>211.20000000000005</v>
      </c>
    </row>
    <row r="414" spans="1:28" x14ac:dyDescent="0.35">
      <c r="A414" s="5" t="s">
        <v>70</v>
      </c>
      <c r="B414" s="3" t="s">
        <v>32</v>
      </c>
      <c r="C414" s="3" t="s">
        <v>19</v>
      </c>
      <c r="D414" s="3" t="s">
        <v>1621</v>
      </c>
      <c r="E414" s="3" t="s">
        <v>21</v>
      </c>
      <c r="F414" s="3" t="s">
        <v>1622</v>
      </c>
      <c r="G414" s="3" t="s">
        <v>1623</v>
      </c>
      <c r="H414" s="43">
        <v>45678</v>
      </c>
      <c r="I414" s="43">
        <v>45545</v>
      </c>
      <c r="J414" s="47" t="str">
        <f>IF(GroDB[[#This Row],[Last_Order_Date]]&lt;=GroDB[[#This Row],[Date_Received]], "Yes", "No")</f>
        <v>Yes</v>
      </c>
      <c r="K414" s="43">
        <f>IF(GroDB[[#This Row],[Column1]]="No",GroDB[[#This Row],[Last_Order_Date]],GroDB[[#This Row],[Date_Received]])</f>
        <v>45678</v>
      </c>
      <c r="L414" s="43">
        <f>IF(GroDB[[#This Row],[Column1]]="No",GroDB[[#This Row],[Date_Received]],GroDB[[#This Row],[Last_Order_Date]])</f>
        <v>45545</v>
      </c>
      <c r="M414" s="45">
        <f>GroDB[[#This Row],[Date_Received1]]-GroDB[[#This Row],[Procurement_Date]]</f>
        <v>133</v>
      </c>
      <c r="N414" s="43">
        <v>45648</v>
      </c>
      <c r="O414" s="91">
        <f>GroDB[[#This Row],[Expiration_Date]]-GroDB[[#This Row],[Date_Received1]]</f>
        <v>-30</v>
      </c>
      <c r="P414" s="4">
        <v>1.4000000000000001</v>
      </c>
      <c r="Q414" s="3">
        <v>92</v>
      </c>
      <c r="R414" s="3">
        <v>92</v>
      </c>
      <c r="S414" s="3">
        <v>28</v>
      </c>
      <c r="T414" s="4">
        <v>1.75</v>
      </c>
      <c r="U414" s="3">
        <v>50</v>
      </c>
      <c r="V414" s="51">
        <f>IF(GroDB[[#This Row],[LeadTime]]=0,GroDB[[#This Row],[Sales_Volume]],GroDB[[#This Row],[Sales_Volume]]/GroDB[[#This Row],[LeadTime]])</f>
        <v>0.37593984962406013</v>
      </c>
      <c r="W414" s="51">
        <f>_xlfn.STDEV.S(GroDB[Daily Sales])</f>
        <v>5.1999899792654221</v>
      </c>
      <c r="X414" s="3">
        <v>67</v>
      </c>
      <c r="Y414" s="7">
        <v>0.23</v>
      </c>
      <c r="Z414" s="4">
        <f>GroDB[[#This Row],[Unit_Price]]*GroDB[[#This Row],[Sales_Volume]]</f>
        <v>87.5</v>
      </c>
      <c r="AA414" s="22">
        <f>GroDB[[#This Row],[ADU]]/GroDB[[#Totals],[ADU]]</f>
        <v>2.5416146555484715E-4</v>
      </c>
      <c r="AB414" s="1">
        <f>GroDB[[#This Row],[Sales_Volume]]*GroDB[[#This Row],[Ordering Cost]]</f>
        <v>70</v>
      </c>
    </row>
    <row r="415" spans="1:28" x14ac:dyDescent="0.35">
      <c r="A415" s="5" t="s">
        <v>1624</v>
      </c>
      <c r="B415" s="3" t="s">
        <v>60</v>
      </c>
      <c r="C415" s="3" t="s">
        <v>1625</v>
      </c>
      <c r="D415" s="3" t="s">
        <v>1626</v>
      </c>
      <c r="E415" s="3" t="s">
        <v>21</v>
      </c>
      <c r="F415" s="3" t="s">
        <v>1627</v>
      </c>
      <c r="G415" s="3" t="s">
        <v>1628</v>
      </c>
      <c r="H415" s="43">
        <v>45678</v>
      </c>
      <c r="I415" s="43">
        <v>45514</v>
      </c>
      <c r="J415" s="47" t="str">
        <f>IF(GroDB[[#This Row],[Last_Order_Date]]&lt;=GroDB[[#This Row],[Date_Received]], "Yes", "No")</f>
        <v>Yes</v>
      </c>
      <c r="K415" s="43">
        <f>IF(GroDB[[#This Row],[Column1]]="No",GroDB[[#This Row],[Last_Order_Date]],GroDB[[#This Row],[Date_Received]])</f>
        <v>45678</v>
      </c>
      <c r="L415" s="43">
        <f>IF(GroDB[[#This Row],[Column1]]="No",GroDB[[#This Row],[Date_Received]],GroDB[[#This Row],[Last_Order_Date]])</f>
        <v>45514</v>
      </c>
      <c r="M415" s="45">
        <f>GroDB[[#This Row],[Date_Received1]]-GroDB[[#This Row],[Procurement_Date]]</f>
        <v>164</v>
      </c>
      <c r="N415" s="43">
        <v>45365</v>
      </c>
      <c r="O415" s="91">
        <f>GroDB[[#This Row],[Expiration_Date]]-GroDB[[#This Row],[Date_Received1]]</f>
        <v>-313</v>
      </c>
      <c r="P415" s="4">
        <v>6</v>
      </c>
      <c r="Q415" s="3">
        <v>76</v>
      </c>
      <c r="R415" s="3">
        <v>21</v>
      </c>
      <c r="S415" s="3">
        <v>3</v>
      </c>
      <c r="T415" s="4">
        <v>7.5</v>
      </c>
      <c r="U415" s="3">
        <v>31</v>
      </c>
      <c r="V415" s="51">
        <f>IF(GroDB[[#This Row],[LeadTime]]=0,GroDB[[#This Row],[Sales_Volume]],GroDB[[#This Row],[Sales_Volume]]/GroDB[[#This Row],[LeadTime]])</f>
        <v>0.18902439024390244</v>
      </c>
      <c r="W415" s="51">
        <f>_xlfn.STDEV.S(GroDB[Daily Sales])</f>
        <v>5.1999899792654221</v>
      </c>
      <c r="X415" s="3">
        <v>47</v>
      </c>
      <c r="Y415" s="7">
        <v>-0.34</v>
      </c>
      <c r="Z415" s="4">
        <f>GroDB[[#This Row],[Unit_Price]]*GroDB[[#This Row],[Sales_Volume]]</f>
        <v>232.5</v>
      </c>
      <c r="AA415" s="22">
        <f>GroDB[[#This Row],[ADU]]/GroDB[[#Totals],[ADU]]</f>
        <v>6.7534332276002239E-4</v>
      </c>
      <c r="AB415" s="1">
        <f>GroDB[[#This Row],[Sales_Volume]]*GroDB[[#This Row],[Ordering Cost]]</f>
        <v>186</v>
      </c>
    </row>
    <row r="416" spans="1:28" x14ac:dyDescent="0.35">
      <c r="A416" s="5" t="s">
        <v>397</v>
      </c>
      <c r="B416" s="3" t="s">
        <v>25</v>
      </c>
      <c r="C416" s="3" t="s">
        <v>1438</v>
      </c>
      <c r="D416" s="3" t="s">
        <v>1629</v>
      </c>
      <c r="E416" s="3" t="s">
        <v>56</v>
      </c>
      <c r="F416" s="3" t="s">
        <v>1630</v>
      </c>
      <c r="G416" s="3" t="s">
        <v>1631</v>
      </c>
      <c r="H416" s="43">
        <v>45678</v>
      </c>
      <c r="I416" s="43">
        <v>45609</v>
      </c>
      <c r="J416" s="47" t="str">
        <f>IF(GroDB[[#This Row],[Last_Order_Date]]&lt;=GroDB[[#This Row],[Date_Received]], "Yes", "No")</f>
        <v>Yes</v>
      </c>
      <c r="K416" s="43">
        <f>IF(GroDB[[#This Row],[Column1]]="No",GroDB[[#This Row],[Last_Order_Date]],GroDB[[#This Row],[Date_Received]])</f>
        <v>45678</v>
      </c>
      <c r="L416" s="43">
        <f>IF(GroDB[[#This Row],[Column1]]="No",GroDB[[#This Row],[Date_Received]],GroDB[[#This Row],[Last_Order_Date]])</f>
        <v>45609</v>
      </c>
      <c r="M416" s="45">
        <f>GroDB[[#This Row],[Date_Received1]]-GroDB[[#This Row],[Procurement_Date]]</f>
        <v>69</v>
      </c>
      <c r="N416" s="43">
        <v>45410</v>
      </c>
      <c r="O416" s="91">
        <f>GroDB[[#This Row],[Expiration_Date]]-GroDB[[#This Row],[Date_Received1]]</f>
        <v>-268</v>
      </c>
      <c r="P416" s="4">
        <v>2</v>
      </c>
      <c r="Q416" s="3">
        <v>80</v>
      </c>
      <c r="R416" s="3">
        <v>24</v>
      </c>
      <c r="S416" s="3">
        <v>60</v>
      </c>
      <c r="T416" s="4">
        <v>2.5</v>
      </c>
      <c r="U416" s="3">
        <v>98</v>
      </c>
      <c r="V416" s="51">
        <f>IF(GroDB[[#This Row],[LeadTime]]=0,GroDB[[#This Row],[Sales_Volume]],GroDB[[#This Row],[Sales_Volume]]/GroDB[[#This Row],[LeadTime]])</f>
        <v>1.4202898550724639</v>
      </c>
      <c r="W416" s="51">
        <f>_xlfn.STDEV.S(GroDB[Daily Sales])</f>
        <v>5.1999899792654221</v>
      </c>
      <c r="X416" s="3">
        <v>38</v>
      </c>
      <c r="Y416" s="7">
        <v>-0.52</v>
      </c>
      <c r="Z416" s="4">
        <f>GroDB[[#This Row],[Unit_Price]]*GroDB[[#This Row],[Sales_Volume]]</f>
        <v>245</v>
      </c>
      <c r="AA416" s="22">
        <f>GroDB[[#This Row],[ADU]]/GroDB[[#Totals],[ADU]]</f>
        <v>7.1165210355357209E-4</v>
      </c>
      <c r="AB416" s="1">
        <f>GroDB[[#This Row],[Sales_Volume]]*GroDB[[#This Row],[Ordering Cost]]</f>
        <v>196</v>
      </c>
    </row>
    <row r="417" spans="1:28" x14ac:dyDescent="0.35">
      <c r="A417" s="5" t="s">
        <v>193</v>
      </c>
      <c r="B417" s="3" t="s">
        <v>18</v>
      </c>
      <c r="C417" s="3" t="s">
        <v>166</v>
      </c>
      <c r="D417" s="3" t="s">
        <v>1632</v>
      </c>
      <c r="E417" s="3" t="s">
        <v>28</v>
      </c>
      <c r="F417" s="3" t="s">
        <v>1633</v>
      </c>
      <c r="G417" s="3" t="s">
        <v>1634</v>
      </c>
      <c r="H417" s="43">
        <v>45679</v>
      </c>
      <c r="I417" s="43">
        <v>45695</v>
      </c>
      <c r="J417" s="47" t="str">
        <f>IF(GroDB[[#This Row],[Last_Order_Date]]&lt;=GroDB[[#This Row],[Date_Received]], "Yes", "No")</f>
        <v>No</v>
      </c>
      <c r="K417" s="43">
        <f>IF(GroDB[[#This Row],[Column1]]="No",GroDB[[#This Row],[Last_Order_Date]],GroDB[[#This Row],[Date_Received]])</f>
        <v>45695</v>
      </c>
      <c r="L417" s="43">
        <f>IF(GroDB[[#This Row],[Column1]]="No",GroDB[[#This Row],[Date_Received]],GroDB[[#This Row],[Last_Order_Date]])</f>
        <v>45679</v>
      </c>
      <c r="M417" s="45">
        <f>GroDB[[#This Row],[Date_Received1]]-GroDB[[#This Row],[Procurement_Date]]</f>
        <v>16</v>
      </c>
      <c r="N417" s="43">
        <v>45361</v>
      </c>
      <c r="O417" s="91">
        <f>GroDB[[#This Row],[Expiration_Date]]-GroDB[[#This Row],[Date_Received1]]</f>
        <v>-334</v>
      </c>
      <c r="P417" s="4">
        <v>1.6</v>
      </c>
      <c r="Q417" s="3">
        <v>21</v>
      </c>
      <c r="R417" s="3">
        <v>30</v>
      </c>
      <c r="S417" s="3">
        <v>32</v>
      </c>
      <c r="T417" s="4">
        <v>2</v>
      </c>
      <c r="U417" s="3">
        <v>43</v>
      </c>
      <c r="V417" s="51">
        <f>IF(GroDB[[#This Row],[LeadTime]]=0,GroDB[[#This Row],[Sales_Volume]],GroDB[[#This Row],[Sales_Volume]]/GroDB[[#This Row],[LeadTime]])</f>
        <v>2.6875</v>
      </c>
      <c r="W417" s="51">
        <f>_xlfn.STDEV.S(GroDB[Daily Sales])</f>
        <v>5.1999899792654221</v>
      </c>
      <c r="X417" s="3">
        <v>54</v>
      </c>
      <c r="Y417" s="7">
        <v>0.61</v>
      </c>
      <c r="Z417" s="4">
        <f>GroDB[[#This Row],[Unit_Price]]*GroDB[[#This Row],[Sales_Volume]]</f>
        <v>86</v>
      </c>
      <c r="AA417" s="22">
        <f>GroDB[[#This Row],[ADU]]/GroDB[[#Totals],[ADU]]</f>
        <v>2.4980441185962118E-4</v>
      </c>
      <c r="AB417" s="1">
        <f>GroDB[[#This Row],[Sales_Volume]]*GroDB[[#This Row],[Ordering Cost]]</f>
        <v>68.8</v>
      </c>
    </row>
    <row r="418" spans="1:28" x14ac:dyDescent="0.35">
      <c r="A418" s="5" t="s">
        <v>325</v>
      </c>
      <c r="B418" s="3" t="s">
        <v>53</v>
      </c>
      <c r="C418" s="3" t="s">
        <v>1351</v>
      </c>
      <c r="D418" s="3" t="s">
        <v>1635</v>
      </c>
      <c r="E418" s="3" t="s">
        <v>28</v>
      </c>
      <c r="F418" s="3" t="s">
        <v>1636</v>
      </c>
      <c r="G418" s="3" t="s">
        <v>1637</v>
      </c>
      <c r="H418" s="43">
        <v>45679</v>
      </c>
      <c r="I418" s="43">
        <v>45654</v>
      </c>
      <c r="J418" s="47" t="str">
        <f>IF(GroDB[[#This Row],[Last_Order_Date]]&lt;=GroDB[[#This Row],[Date_Received]], "Yes", "No")</f>
        <v>Yes</v>
      </c>
      <c r="K418" s="43">
        <f>IF(GroDB[[#This Row],[Column1]]="No",GroDB[[#This Row],[Last_Order_Date]],GroDB[[#This Row],[Date_Received]])</f>
        <v>45679</v>
      </c>
      <c r="L418" s="43">
        <f>IF(GroDB[[#This Row],[Column1]]="No",GroDB[[#This Row],[Date_Received]],GroDB[[#This Row],[Last_Order_Date]])</f>
        <v>45654</v>
      </c>
      <c r="M418" s="45">
        <f>GroDB[[#This Row],[Date_Received1]]-GroDB[[#This Row],[Procurement_Date]]</f>
        <v>25</v>
      </c>
      <c r="N418" s="43">
        <v>45444</v>
      </c>
      <c r="O418" s="91">
        <f>GroDB[[#This Row],[Expiration_Date]]-GroDB[[#This Row],[Date_Received1]]</f>
        <v>-235</v>
      </c>
      <c r="P418" s="4">
        <v>3.6</v>
      </c>
      <c r="Q418" s="3">
        <v>84</v>
      </c>
      <c r="R418" s="3">
        <v>69</v>
      </c>
      <c r="S418" s="3">
        <v>77</v>
      </c>
      <c r="T418" s="4">
        <v>4.5</v>
      </c>
      <c r="U418" s="3">
        <v>39</v>
      </c>
      <c r="V418" s="51">
        <f>IF(GroDB[[#This Row],[LeadTime]]=0,GroDB[[#This Row],[Sales_Volume]],GroDB[[#This Row],[Sales_Volume]]/GroDB[[#This Row],[LeadTime]])</f>
        <v>1.56</v>
      </c>
      <c r="W418" s="51">
        <f>_xlfn.STDEV.S(GroDB[Daily Sales])</f>
        <v>5.1999899792654221</v>
      </c>
      <c r="X418" s="3">
        <v>69</v>
      </c>
      <c r="Y418" s="7">
        <v>-0.26</v>
      </c>
      <c r="Z418" s="4">
        <f>GroDB[[#This Row],[Unit_Price]]*GroDB[[#This Row],[Sales_Volume]]</f>
        <v>175.5</v>
      </c>
      <c r="AA418" s="22">
        <f>GroDB[[#This Row],[ADU]]/GroDB[[#Totals],[ADU]]</f>
        <v>5.0977528234143633E-4</v>
      </c>
      <c r="AB418" s="1">
        <f>GroDB[[#This Row],[Sales_Volume]]*GroDB[[#This Row],[Ordering Cost]]</f>
        <v>140.4</v>
      </c>
    </row>
    <row r="419" spans="1:28" x14ac:dyDescent="0.35">
      <c r="A419" s="5" t="s">
        <v>1202</v>
      </c>
      <c r="B419" s="3" t="s">
        <v>18</v>
      </c>
      <c r="C419" s="3" t="s">
        <v>1054</v>
      </c>
      <c r="D419" s="3" t="s">
        <v>1638</v>
      </c>
      <c r="E419" s="3" t="s">
        <v>56</v>
      </c>
      <c r="F419" s="3" t="s">
        <v>1639</v>
      </c>
      <c r="G419" s="3" t="s">
        <v>1640</v>
      </c>
      <c r="H419" s="43">
        <v>45679</v>
      </c>
      <c r="I419" s="43">
        <v>45669</v>
      </c>
      <c r="J419" s="47" t="str">
        <f>IF(GroDB[[#This Row],[Last_Order_Date]]&lt;=GroDB[[#This Row],[Date_Received]], "Yes", "No")</f>
        <v>Yes</v>
      </c>
      <c r="K419" s="43">
        <f>IF(GroDB[[#This Row],[Column1]]="No",GroDB[[#This Row],[Last_Order_Date]],GroDB[[#This Row],[Date_Received]])</f>
        <v>45679</v>
      </c>
      <c r="L419" s="43">
        <f>IF(GroDB[[#This Row],[Column1]]="No",GroDB[[#This Row],[Date_Received]],GroDB[[#This Row],[Last_Order_Date]])</f>
        <v>45669</v>
      </c>
      <c r="M419" s="45">
        <f>GroDB[[#This Row],[Date_Received1]]-GroDB[[#This Row],[Procurement_Date]]</f>
        <v>10</v>
      </c>
      <c r="N419" s="43">
        <v>45438</v>
      </c>
      <c r="O419" s="91">
        <f>GroDB[[#This Row],[Expiration_Date]]-GroDB[[#This Row],[Date_Received1]]</f>
        <v>-241</v>
      </c>
      <c r="P419" s="4">
        <v>2.4000000000000004</v>
      </c>
      <c r="Q419" s="3">
        <v>58</v>
      </c>
      <c r="R419" s="3">
        <v>12</v>
      </c>
      <c r="S419" s="3">
        <v>99</v>
      </c>
      <c r="T419" s="4">
        <v>3</v>
      </c>
      <c r="U419" s="3">
        <v>71</v>
      </c>
      <c r="V419" s="51">
        <f>IF(GroDB[[#This Row],[LeadTime]]=0,GroDB[[#This Row],[Sales_Volume]],GroDB[[#This Row],[Sales_Volume]]/GroDB[[#This Row],[LeadTime]])</f>
        <v>7.1</v>
      </c>
      <c r="W419" s="51">
        <f>_xlfn.STDEV.S(GroDB[Daily Sales])</f>
        <v>5.1999899792654221</v>
      </c>
      <c r="X419" s="3">
        <v>30</v>
      </c>
      <c r="Y419" s="7">
        <v>-0.77</v>
      </c>
      <c r="Z419" s="4">
        <f>GroDB[[#This Row],[Unit_Price]]*GroDB[[#This Row],[Sales_Volume]]</f>
        <v>213</v>
      </c>
      <c r="AA419" s="22">
        <f>GroDB[[#This Row],[ADU]]/GroDB[[#Totals],[ADU]]</f>
        <v>6.1870162472208508E-4</v>
      </c>
      <c r="AB419" s="1">
        <f>GroDB[[#This Row],[Sales_Volume]]*GroDB[[#This Row],[Ordering Cost]]</f>
        <v>170.40000000000003</v>
      </c>
    </row>
    <row r="420" spans="1:28" x14ac:dyDescent="0.35">
      <c r="A420" s="5" t="s">
        <v>1081</v>
      </c>
      <c r="B420" s="3" t="s">
        <v>127</v>
      </c>
      <c r="C420" s="3" t="s">
        <v>608</v>
      </c>
      <c r="D420" s="3" t="s">
        <v>1641</v>
      </c>
      <c r="E420" s="3" t="s">
        <v>28</v>
      </c>
      <c r="F420" s="3" t="s">
        <v>1642</v>
      </c>
      <c r="G420" s="3" t="s">
        <v>1643</v>
      </c>
      <c r="H420" s="43">
        <v>45680</v>
      </c>
      <c r="I420" s="43">
        <v>45476</v>
      </c>
      <c r="J420" s="47" t="str">
        <f>IF(GroDB[[#This Row],[Last_Order_Date]]&lt;=GroDB[[#This Row],[Date_Received]], "Yes", "No")</f>
        <v>Yes</v>
      </c>
      <c r="K420" s="43">
        <f>IF(GroDB[[#This Row],[Column1]]="No",GroDB[[#This Row],[Last_Order_Date]],GroDB[[#This Row],[Date_Received]])</f>
        <v>45680</v>
      </c>
      <c r="L420" s="43">
        <f>IF(GroDB[[#This Row],[Column1]]="No",GroDB[[#This Row],[Date_Received]],GroDB[[#This Row],[Last_Order_Date]])</f>
        <v>45476</v>
      </c>
      <c r="M420" s="45">
        <f>GroDB[[#This Row],[Date_Received1]]-GroDB[[#This Row],[Procurement_Date]]</f>
        <v>204</v>
      </c>
      <c r="N420" s="43">
        <v>45619</v>
      </c>
      <c r="O420" s="91">
        <f>GroDB[[#This Row],[Expiration_Date]]-GroDB[[#This Row],[Date_Received1]]</f>
        <v>-61</v>
      </c>
      <c r="P420" s="4">
        <v>6.4</v>
      </c>
      <c r="Q420" s="3">
        <v>34</v>
      </c>
      <c r="R420" s="3">
        <v>47</v>
      </c>
      <c r="S420" s="3">
        <v>99</v>
      </c>
      <c r="T420" s="4">
        <v>8</v>
      </c>
      <c r="U420" s="3">
        <v>97</v>
      </c>
      <c r="V420" s="51">
        <f>IF(GroDB[[#This Row],[LeadTime]]=0,GroDB[[#This Row],[Sales_Volume]],GroDB[[#This Row],[Sales_Volume]]/GroDB[[#This Row],[LeadTime]])</f>
        <v>0.47549019607843135</v>
      </c>
      <c r="W420" s="51">
        <f>_xlfn.STDEV.S(GroDB[Daily Sales])</f>
        <v>5.1999899792654221</v>
      </c>
      <c r="X420" s="3">
        <v>47</v>
      </c>
      <c r="Y420" s="7">
        <v>0.57999999999999996</v>
      </c>
      <c r="Z420" s="4">
        <f>GroDB[[#This Row],[Unit_Price]]*GroDB[[#This Row],[Sales_Volume]]</f>
        <v>776</v>
      </c>
      <c r="AA420" s="22">
        <f>GroDB[[#This Row],[ADU]]/GroDB[[#Totals],[ADU]]</f>
        <v>2.2540491116635588E-3</v>
      </c>
      <c r="AB420" s="1">
        <f>GroDB[[#This Row],[Sales_Volume]]*GroDB[[#This Row],[Ordering Cost]]</f>
        <v>620.80000000000007</v>
      </c>
    </row>
    <row r="421" spans="1:28" x14ac:dyDescent="0.35">
      <c r="A421" s="5" t="s">
        <v>446</v>
      </c>
      <c r="B421" s="3" t="s">
        <v>53</v>
      </c>
      <c r="C421" s="3" t="s">
        <v>588</v>
      </c>
      <c r="D421" s="3" t="s">
        <v>1644</v>
      </c>
      <c r="E421" s="3" t="s">
        <v>56</v>
      </c>
      <c r="F421" s="3" t="s">
        <v>1645</v>
      </c>
      <c r="G421" s="3" t="s">
        <v>1646</v>
      </c>
      <c r="H421" s="43">
        <v>45680</v>
      </c>
      <c r="I421" s="43">
        <v>45511</v>
      </c>
      <c r="J421" s="47" t="str">
        <f>IF(GroDB[[#This Row],[Last_Order_Date]]&lt;=GroDB[[#This Row],[Date_Received]], "Yes", "No")</f>
        <v>Yes</v>
      </c>
      <c r="K421" s="43">
        <f>IF(GroDB[[#This Row],[Column1]]="No",GroDB[[#This Row],[Last_Order_Date]],GroDB[[#This Row],[Date_Received]])</f>
        <v>45680</v>
      </c>
      <c r="L421" s="43">
        <f>IF(GroDB[[#This Row],[Column1]]="No",GroDB[[#This Row],[Date_Received]],GroDB[[#This Row],[Last_Order_Date]])</f>
        <v>45511</v>
      </c>
      <c r="M421" s="45">
        <f>GroDB[[#This Row],[Date_Received1]]-GroDB[[#This Row],[Procurement_Date]]</f>
        <v>169</v>
      </c>
      <c r="N421" s="43">
        <v>45696</v>
      </c>
      <c r="O421" s="91">
        <f>GroDB[[#This Row],[Expiration_Date]]-GroDB[[#This Row],[Date_Received1]]</f>
        <v>16</v>
      </c>
      <c r="P421" s="4">
        <v>7.6000000000000005</v>
      </c>
      <c r="Q421" s="3">
        <v>54</v>
      </c>
      <c r="R421" s="3">
        <v>17</v>
      </c>
      <c r="S421" s="3">
        <v>90</v>
      </c>
      <c r="T421" s="4">
        <v>9.5</v>
      </c>
      <c r="U421" s="3">
        <v>60</v>
      </c>
      <c r="V421" s="51">
        <f>IF(GroDB[[#This Row],[LeadTime]]=0,GroDB[[#This Row],[Sales_Volume]],GroDB[[#This Row],[Sales_Volume]]/GroDB[[#This Row],[LeadTime]])</f>
        <v>0.35502958579881655</v>
      </c>
      <c r="W421" s="51">
        <f>_xlfn.STDEV.S(GroDB[Daily Sales])</f>
        <v>5.1999899792654221</v>
      </c>
      <c r="X421" s="3">
        <v>20</v>
      </c>
      <c r="Y421" s="7">
        <v>0.52</v>
      </c>
      <c r="Z421" s="4">
        <f>GroDB[[#This Row],[Unit_Price]]*GroDB[[#This Row],[Sales_Volume]]</f>
        <v>570</v>
      </c>
      <c r="AA421" s="22">
        <f>GroDB[[#This Row],[ADU]]/GroDB[[#Totals],[ADU]]</f>
        <v>1.6556804041858615E-3</v>
      </c>
      <c r="AB421" s="1">
        <f>GroDB[[#This Row],[Sales_Volume]]*GroDB[[#This Row],[Ordering Cost]]</f>
        <v>456.00000000000006</v>
      </c>
    </row>
    <row r="422" spans="1:28" x14ac:dyDescent="0.35">
      <c r="A422" s="5" t="s">
        <v>1016</v>
      </c>
      <c r="B422" s="3" t="s">
        <v>25</v>
      </c>
      <c r="C422" s="3" t="s">
        <v>818</v>
      </c>
      <c r="D422" s="3" t="s">
        <v>1647</v>
      </c>
      <c r="E422" s="3" t="s">
        <v>28</v>
      </c>
      <c r="F422" s="3" t="s">
        <v>1648</v>
      </c>
      <c r="G422" s="3" t="s">
        <v>1649</v>
      </c>
      <c r="H422" s="43">
        <v>45682</v>
      </c>
      <c r="I422" s="43">
        <v>45681</v>
      </c>
      <c r="J422" s="47" t="str">
        <f>IF(GroDB[[#This Row],[Last_Order_Date]]&lt;=GroDB[[#This Row],[Date_Received]], "Yes", "No")</f>
        <v>Yes</v>
      </c>
      <c r="K422" s="43">
        <f>IF(GroDB[[#This Row],[Column1]]="No",GroDB[[#This Row],[Last_Order_Date]],GroDB[[#This Row],[Date_Received]])</f>
        <v>45682</v>
      </c>
      <c r="L422" s="43">
        <f>IF(GroDB[[#This Row],[Column1]]="No",GroDB[[#This Row],[Date_Received]],GroDB[[#This Row],[Last_Order_Date]])</f>
        <v>45681</v>
      </c>
      <c r="M422" s="45">
        <f>GroDB[[#This Row],[Date_Received1]]-GroDB[[#This Row],[Procurement_Date]]</f>
        <v>1</v>
      </c>
      <c r="N422" s="43">
        <v>45617</v>
      </c>
      <c r="O422" s="91">
        <f>GroDB[[#This Row],[Expiration_Date]]-GroDB[[#This Row],[Date_Received1]]</f>
        <v>-65</v>
      </c>
      <c r="P422" s="4">
        <v>2</v>
      </c>
      <c r="Q422" s="3">
        <v>17</v>
      </c>
      <c r="R422" s="3">
        <v>63</v>
      </c>
      <c r="S422" s="3">
        <v>66</v>
      </c>
      <c r="T422" s="4">
        <v>2.5</v>
      </c>
      <c r="U422" s="3">
        <v>23</v>
      </c>
      <c r="V422" s="51">
        <f>IF(GroDB[[#This Row],[LeadTime]]=0,GroDB[[#This Row],[Sales_Volume]],GroDB[[#This Row],[Sales_Volume]]/GroDB[[#This Row],[LeadTime]])</f>
        <v>23</v>
      </c>
      <c r="W422" s="51">
        <f>_xlfn.STDEV.S(GroDB[Daily Sales])</f>
        <v>5.1999899792654221</v>
      </c>
      <c r="X422" s="3">
        <v>46</v>
      </c>
      <c r="Y422" s="7">
        <v>0.67</v>
      </c>
      <c r="Z422" s="4">
        <f>GroDB[[#This Row],[Unit_Price]]*GroDB[[#This Row],[Sales_Volume]]</f>
        <v>57.5</v>
      </c>
      <c r="AA422" s="22">
        <f>GroDB[[#This Row],[ADU]]/GroDB[[#Totals],[ADU]]</f>
        <v>1.6702039165032812E-4</v>
      </c>
      <c r="AB422" s="1">
        <f>GroDB[[#This Row],[Sales_Volume]]*GroDB[[#This Row],[Ordering Cost]]</f>
        <v>46</v>
      </c>
    </row>
    <row r="423" spans="1:28" x14ac:dyDescent="0.35">
      <c r="A423" s="5" t="s">
        <v>566</v>
      </c>
      <c r="B423" s="3" t="s">
        <v>127</v>
      </c>
      <c r="C423" s="3" t="s">
        <v>583</v>
      </c>
      <c r="D423" s="3" t="s">
        <v>1650</v>
      </c>
      <c r="E423" s="3" t="s">
        <v>28</v>
      </c>
      <c r="F423" s="3" t="s">
        <v>1651</v>
      </c>
      <c r="G423" s="3" t="s">
        <v>1652</v>
      </c>
      <c r="H423" s="43">
        <v>45683</v>
      </c>
      <c r="I423" s="43">
        <v>45630</v>
      </c>
      <c r="J423" s="47" t="str">
        <f>IF(GroDB[[#This Row],[Last_Order_Date]]&lt;=GroDB[[#This Row],[Date_Received]], "Yes", "No")</f>
        <v>Yes</v>
      </c>
      <c r="K423" s="43">
        <f>IF(GroDB[[#This Row],[Column1]]="No",GroDB[[#This Row],[Last_Order_Date]],GroDB[[#This Row],[Date_Received]])</f>
        <v>45683</v>
      </c>
      <c r="L423" s="43">
        <f>IF(GroDB[[#This Row],[Column1]]="No",GroDB[[#This Row],[Date_Received]],GroDB[[#This Row],[Last_Order_Date]])</f>
        <v>45630</v>
      </c>
      <c r="M423" s="45">
        <f>GroDB[[#This Row],[Date_Received1]]-GroDB[[#This Row],[Procurement_Date]]</f>
        <v>53</v>
      </c>
      <c r="N423" s="43">
        <v>45495</v>
      </c>
      <c r="O423" s="91">
        <f>GroDB[[#This Row],[Expiration_Date]]-GroDB[[#This Row],[Date_Received1]]</f>
        <v>-188</v>
      </c>
      <c r="P423" s="4">
        <v>12</v>
      </c>
      <c r="Q423" s="3">
        <v>84</v>
      </c>
      <c r="R423" s="3">
        <v>13</v>
      </c>
      <c r="S423" s="3">
        <v>88</v>
      </c>
      <c r="T423" s="4">
        <v>15</v>
      </c>
      <c r="U423" s="3">
        <v>25</v>
      </c>
      <c r="V423" s="51">
        <f>IF(GroDB[[#This Row],[LeadTime]]=0,GroDB[[#This Row],[Sales_Volume]],GroDB[[#This Row],[Sales_Volume]]/GroDB[[#This Row],[LeadTime]])</f>
        <v>0.47169811320754718</v>
      </c>
      <c r="W423" s="51">
        <f>_xlfn.STDEV.S(GroDB[Daily Sales])</f>
        <v>5.1999899792654221</v>
      </c>
      <c r="X423" s="3">
        <v>34</v>
      </c>
      <c r="Y423" s="7">
        <v>-1</v>
      </c>
      <c r="Z423" s="4">
        <f>GroDB[[#This Row],[Unit_Price]]*GroDB[[#This Row],[Sales_Volume]]</f>
        <v>375</v>
      </c>
      <c r="AA423" s="22">
        <f>GroDB[[#This Row],[ADU]]/GroDB[[#Totals],[ADU]]</f>
        <v>1.0892634238064878E-3</v>
      </c>
      <c r="AB423" s="1">
        <f>GroDB[[#This Row],[Sales_Volume]]*GroDB[[#This Row],[Ordering Cost]]</f>
        <v>300</v>
      </c>
    </row>
    <row r="424" spans="1:28" x14ac:dyDescent="0.35">
      <c r="A424" s="5" t="s">
        <v>303</v>
      </c>
      <c r="B424" s="3" t="s">
        <v>60</v>
      </c>
      <c r="C424" s="3" t="s">
        <v>1303</v>
      </c>
      <c r="D424" s="3" t="s">
        <v>1653</v>
      </c>
      <c r="E424" s="3" t="s">
        <v>21</v>
      </c>
      <c r="F424" s="3" t="s">
        <v>1654</v>
      </c>
      <c r="G424" s="3" t="s">
        <v>1655</v>
      </c>
      <c r="H424" s="43">
        <v>45683</v>
      </c>
      <c r="I424" s="43">
        <v>45353</v>
      </c>
      <c r="J424" s="47" t="str">
        <f>IF(GroDB[[#This Row],[Last_Order_Date]]&lt;=GroDB[[#This Row],[Date_Received]], "Yes", "No")</f>
        <v>Yes</v>
      </c>
      <c r="K424" s="43">
        <f>IF(GroDB[[#This Row],[Column1]]="No",GroDB[[#This Row],[Last_Order_Date]],GroDB[[#This Row],[Date_Received]])</f>
        <v>45683</v>
      </c>
      <c r="L424" s="43">
        <f>IF(GroDB[[#This Row],[Column1]]="No",GroDB[[#This Row],[Date_Received]],GroDB[[#This Row],[Last_Order_Date]])</f>
        <v>45353</v>
      </c>
      <c r="M424" s="45">
        <f>GroDB[[#This Row],[Date_Received1]]-GroDB[[#This Row],[Procurement_Date]]</f>
        <v>330</v>
      </c>
      <c r="N424" s="43">
        <v>45357</v>
      </c>
      <c r="O424" s="91">
        <f>GroDB[[#This Row],[Expiration_Date]]-GroDB[[#This Row],[Date_Received1]]</f>
        <v>-326</v>
      </c>
      <c r="P424" s="4">
        <v>4.8000000000000007</v>
      </c>
      <c r="Q424" s="3">
        <v>73</v>
      </c>
      <c r="R424" s="3">
        <v>31</v>
      </c>
      <c r="S424" s="3">
        <v>49</v>
      </c>
      <c r="T424" s="4">
        <v>6</v>
      </c>
      <c r="U424" s="3">
        <v>22</v>
      </c>
      <c r="V424" s="51">
        <f>IF(GroDB[[#This Row],[LeadTime]]=0,GroDB[[#This Row],[Sales_Volume]],GroDB[[#This Row],[Sales_Volume]]/GroDB[[#This Row],[LeadTime]])</f>
        <v>6.6666666666666666E-2</v>
      </c>
      <c r="W424" s="51">
        <f>_xlfn.STDEV.S(GroDB[Daily Sales])</f>
        <v>5.1999899792654221</v>
      </c>
      <c r="X424" s="3">
        <v>47</v>
      </c>
      <c r="Y424" s="7">
        <v>-0.36</v>
      </c>
      <c r="Z424" s="4">
        <f>GroDB[[#This Row],[Unit_Price]]*GroDB[[#This Row],[Sales_Volume]]</f>
        <v>132</v>
      </c>
      <c r="AA424" s="22">
        <f>GroDB[[#This Row],[ADU]]/GroDB[[#Totals],[ADU]]</f>
        <v>3.8342072517988368E-4</v>
      </c>
      <c r="AB424" s="1">
        <f>GroDB[[#This Row],[Sales_Volume]]*GroDB[[#This Row],[Ordering Cost]]</f>
        <v>105.60000000000002</v>
      </c>
    </row>
    <row r="425" spans="1:28" x14ac:dyDescent="0.35">
      <c r="A425" s="5" t="s">
        <v>31</v>
      </c>
      <c r="B425" s="3" t="s">
        <v>32</v>
      </c>
      <c r="C425" s="3" t="s">
        <v>203</v>
      </c>
      <c r="D425" s="3" t="s">
        <v>1656</v>
      </c>
      <c r="E425" s="3" t="s">
        <v>56</v>
      </c>
      <c r="F425" s="3" t="s">
        <v>1657</v>
      </c>
      <c r="G425" s="3" t="s">
        <v>1658</v>
      </c>
      <c r="H425" s="43">
        <v>45683</v>
      </c>
      <c r="I425" s="43">
        <v>45459</v>
      </c>
      <c r="J425" s="47" t="str">
        <f>IF(GroDB[[#This Row],[Last_Order_Date]]&lt;=GroDB[[#This Row],[Date_Received]], "Yes", "No")</f>
        <v>Yes</v>
      </c>
      <c r="K425" s="43">
        <f>IF(GroDB[[#This Row],[Column1]]="No",GroDB[[#This Row],[Last_Order_Date]],GroDB[[#This Row],[Date_Received]])</f>
        <v>45683</v>
      </c>
      <c r="L425" s="43">
        <f>IF(GroDB[[#This Row],[Column1]]="No",GroDB[[#This Row],[Date_Received]],GroDB[[#This Row],[Last_Order_Date]])</f>
        <v>45459</v>
      </c>
      <c r="M425" s="45">
        <f>GroDB[[#This Row],[Date_Received1]]-GroDB[[#This Row],[Procurement_Date]]</f>
        <v>224</v>
      </c>
      <c r="N425" s="43">
        <v>45510</v>
      </c>
      <c r="O425" s="91">
        <f>GroDB[[#This Row],[Expiration_Date]]-GroDB[[#This Row],[Date_Received1]]</f>
        <v>-173</v>
      </c>
      <c r="P425" s="4">
        <v>9.4400000000000013</v>
      </c>
      <c r="Q425" s="3">
        <v>96</v>
      </c>
      <c r="R425" s="3">
        <v>9</v>
      </c>
      <c r="S425" s="3">
        <v>57</v>
      </c>
      <c r="T425" s="4">
        <v>11.8</v>
      </c>
      <c r="U425" s="3">
        <v>78</v>
      </c>
      <c r="V425" s="51">
        <f>IF(GroDB[[#This Row],[LeadTime]]=0,GroDB[[#This Row],[Sales_Volume]],GroDB[[#This Row],[Sales_Volume]]/GroDB[[#This Row],[LeadTime]])</f>
        <v>0.3482142857142857</v>
      </c>
      <c r="W425" s="51">
        <f>_xlfn.STDEV.S(GroDB[Daily Sales])</f>
        <v>5.1999899792654221</v>
      </c>
      <c r="X425" s="3">
        <v>67</v>
      </c>
      <c r="Y425" s="7">
        <v>-1.1399999999999999</v>
      </c>
      <c r="Z425" s="4">
        <f>GroDB[[#This Row],[Unit_Price]]*GroDB[[#This Row],[Sales_Volume]]</f>
        <v>920.40000000000009</v>
      </c>
      <c r="AA425" s="22">
        <f>GroDB[[#This Row],[ADU]]/GroDB[[#Totals],[ADU]]</f>
        <v>2.6734881473906439E-3</v>
      </c>
      <c r="AB425" s="1">
        <f>GroDB[[#This Row],[Sales_Volume]]*GroDB[[#This Row],[Ordering Cost]]</f>
        <v>736.32</v>
      </c>
    </row>
    <row r="426" spans="1:28" x14ac:dyDescent="0.35">
      <c r="A426" s="5" t="s">
        <v>165</v>
      </c>
      <c r="B426" s="3" t="s">
        <v>60</v>
      </c>
      <c r="C426" s="3" t="s">
        <v>171</v>
      </c>
      <c r="D426" s="3" t="s">
        <v>1659</v>
      </c>
      <c r="E426" s="3" t="s">
        <v>56</v>
      </c>
      <c r="F426" s="3" t="s">
        <v>1660</v>
      </c>
      <c r="G426" s="3" t="s">
        <v>1661</v>
      </c>
      <c r="H426" s="43">
        <v>45683</v>
      </c>
      <c r="I426" s="43">
        <v>45649</v>
      </c>
      <c r="J426" s="47" t="str">
        <f>IF(GroDB[[#This Row],[Last_Order_Date]]&lt;=GroDB[[#This Row],[Date_Received]], "Yes", "No")</f>
        <v>Yes</v>
      </c>
      <c r="K426" s="43">
        <f>IF(GroDB[[#This Row],[Column1]]="No",GroDB[[#This Row],[Last_Order_Date]],GroDB[[#This Row],[Date_Received]])</f>
        <v>45683</v>
      </c>
      <c r="L426" s="43">
        <f>IF(GroDB[[#This Row],[Column1]]="No",GroDB[[#This Row],[Date_Received]],GroDB[[#This Row],[Last_Order_Date]])</f>
        <v>45649</v>
      </c>
      <c r="M426" s="45">
        <f>GroDB[[#This Row],[Date_Received1]]-GroDB[[#This Row],[Procurement_Date]]</f>
        <v>34</v>
      </c>
      <c r="N426" s="43">
        <v>45502</v>
      </c>
      <c r="O426" s="91">
        <f>GroDB[[#This Row],[Expiration_Date]]-GroDB[[#This Row],[Date_Received1]]</f>
        <v>-181</v>
      </c>
      <c r="P426" s="4">
        <v>5.6000000000000005</v>
      </c>
      <c r="Q426" s="3">
        <v>56</v>
      </c>
      <c r="R426" s="3">
        <v>59</v>
      </c>
      <c r="S426" s="3">
        <v>87</v>
      </c>
      <c r="T426" s="4">
        <v>7</v>
      </c>
      <c r="U426" s="3">
        <v>65</v>
      </c>
      <c r="V426" s="51">
        <f>IF(GroDB[[#This Row],[LeadTime]]=0,GroDB[[#This Row],[Sales_Volume]],GroDB[[#This Row],[Sales_Volume]]/GroDB[[#This Row],[LeadTime]])</f>
        <v>1.911764705882353</v>
      </c>
      <c r="W426" s="51">
        <f>_xlfn.STDEV.S(GroDB[Daily Sales])</f>
        <v>5.1999899792654221</v>
      </c>
      <c r="X426" s="3">
        <v>45</v>
      </c>
      <c r="Y426" s="7">
        <v>0.14000000000000001</v>
      </c>
      <c r="Z426" s="4">
        <f>GroDB[[#This Row],[Unit_Price]]*GroDB[[#This Row],[Sales_Volume]]</f>
        <v>455</v>
      </c>
      <c r="AA426" s="22">
        <f>GroDB[[#This Row],[ADU]]/GroDB[[#Totals],[ADU]]</f>
        <v>1.3216396208852051E-3</v>
      </c>
      <c r="AB426" s="1">
        <f>GroDB[[#This Row],[Sales_Volume]]*GroDB[[#This Row],[Ordering Cost]]</f>
        <v>364.00000000000006</v>
      </c>
    </row>
    <row r="427" spans="1:28" x14ac:dyDescent="0.35">
      <c r="A427" s="5" t="s">
        <v>180</v>
      </c>
      <c r="B427" s="3" t="s">
        <v>18</v>
      </c>
      <c r="C427" s="3" t="s">
        <v>832</v>
      </c>
      <c r="D427" s="3" t="s">
        <v>1662</v>
      </c>
      <c r="E427" s="3" t="s">
        <v>56</v>
      </c>
      <c r="F427" s="3" t="s">
        <v>1663</v>
      </c>
      <c r="G427" s="3" t="s">
        <v>1664</v>
      </c>
      <c r="H427" s="43">
        <v>45683</v>
      </c>
      <c r="I427" s="43">
        <v>45568</v>
      </c>
      <c r="J427" s="47" t="str">
        <f>IF(GroDB[[#This Row],[Last_Order_Date]]&lt;=GroDB[[#This Row],[Date_Received]], "Yes", "No")</f>
        <v>Yes</v>
      </c>
      <c r="K427" s="43">
        <f>IF(GroDB[[#This Row],[Column1]]="No",GroDB[[#This Row],[Last_Order_Date]],GroDB[[#This Row],[Date_Received]])</f>
        <v>45683</v>
      </c>
      <c r="L427" s="43">
        <f>IF(GroDB[[#This Row],[Column1]]="No",GroDB[[#This Row],[Date_Received]],GroDB[[#This Row],[Last_Order_Date]])</f>
        <v>45568</v>
      </c>
      <c r="M427" s="45">
        <f>GroDB[[#This Row],[Date_Received1]]-GroDB[[#This Row],[Procurement_Date]]</f>
        <v>115</v>
      </c>
      <c r="N427" s="43">
        <v>45413</v>
      </c>
      <c r="O427" s="91">
        <f>GroDB[[#This Row],[Expiration_Date]]-GroDB[[#This Row],[Date_Received1]]</f>
        <v>-270</v>
      </c>
      <c r="P427" s="4">
        <v>1.4400000000000002</v>
      </c>
      <c r="Q427" s="3">
        <v>60</v>
      </c>
      <c r="R427" s="3">
        <v>63</v>
      </c>
      <c r="S427" s="3">
        <v>81</v>
      </c>
      <c r="T427" s="4">
        <v>1.8</v>
      </c>
      <c r="U427" s="3">
        <v>74</v>
      </c>
      <c r="V427" s="51">
        <f>IF(GroDB[[#This Row],[LeadTime]]=0,GroDB[[#This Row],[Sales_Volume]],GroDB[[#This Row],[Sales_Volume]]/GroDB[[#This Row],[LeadTime]])</f>
        <v>0.64347826086956517</v>
      </c>
      <c r="W427" s="51">
        <f>_xlfn.STDEV.S(GroDB[Daily Sales])</f>
        <v>5.1999899792654221</v>
      </c>
      <c r="X427" s="3">
        <v>31</v>
      </c>
      <c r="Y427" s="7">
        <v>0.31</v>
      </c>
      <c r="Z427" s="4">
        <f>GroDB[[#This Row],[Unit_Price]]*GroDB[[#This Row],[Sales_Volume]]</f>
        <v>133.20000000000002</v>
      </c>
      <c r="AA427" s="22">
        <f>GroDB[[#This Row],[ADU]]/GroDB[[#Totals],[ADU]]</f>
        <v>3.869063681360645E-4</v>
      </c>
      <c r="AB427" s="1">
        <f>GroDB[[#This Row],[Sales_Volume]]*GroDB[[#This Row],[Ordering Cost]]</f>
        <v>106.56000000000002</v>
      </c>
    </row>
    <row r="428" spans="1:28" x14ac:dyDescent="0.35">
      <c r="A428" s="5" t="s">
        <v>151</v>
      </c>
      <c r="B428" s="3" t="s">
        <v>91</v>
      </c>
      <c r="C428" s="3" t="s">
        <v>532</v>
      </c>
      <c r="D428" s="3" t="s">
        <v>1665</v>
      </c>
      <c r="E428" s="3" t="s">
        <v>56</v>
      </c>
      <c r="F428" s="3" t="s">
        <v>1666</v>
      </c>
      <c r="G428" s="3" t="s">
        <v>1667</v>
      </c>
      <c r="H428" s="43">
        <v>45685</v>
      </c>
      <c r="I428" s="43">
        <v>45624</v>
      </c>
      <c r="J428" s="47" t="str">
        <f>IF(GroDB[[#This Row],[Last_Order_Date]]&lt;=GroDB[[#This Row],[Date_Received]], "Yes", "No")</f>
        <v>Yes</v>
      </c>
      <c r="K428" s="43">
        <f>IF(GroDB[[#This Row],[Column1]]="No",GroDB[[#This Row],[Last_Order_Date]],GroDB[[#This Row],[Date_Received]])</f>
        <v>45685</v>
      </c>
      <c r="L428" s="43">
        <f>IF(GroDB[[#This Row],[Column1]]="No",GroDB[[#This Row],[Date_Received]],GroDB[[#This Row],[Last_Order_Date]])</f>
        <v>45624</v>
      </c>
      <c r="M428" s="45">
        <f>GroDB[[#This Row],[Date_Received1]]-GroDB[[#This Row],[Procurement_Date]]</f>
        <v>61</v>
      </c>
      <c r="N428" s="43">
        <v>45608</v>
      </c>
      <c r="O428" s="91">
        <f>GroDB[[#This Row],[Expiration_Date]]-GroDB[[#This Row],[Date_Received1]]</f>
        <v>-77</v>
      </c>
      <c r="P428" s="4">
        <v>3.2</v>
      </c>
      <c r="Q428" s="3">
        <v>41</v>
      </c>
      <c r="R428" s="3">
        <v>84</v>
      </c>
      <c r="S428" s="3">
        <v>90</v>
      </c>
      <c r="T428" s="4">
        <v>4</v>
      </c>
      <c r="U428" s="3">
        <v>42</v>
      </c>
      <c r="V428" s="51">
        <f>IF(GroDB[[#This Row],[LeadTime]]=0,GroDB[[#This Row],[Sales_Volume]],GroDB[[#This Row],[Sales_Volume]]/GroDB[[#This Row],[LeadTime]])</f>
        <v>0.68852459016393441</v>
      </c>
      <c r="W428" s="51">
        <f>_xlfn.STDEV.S(GroDB[Daily Sales])</f>
        <v>5.1999899792654221</v>
      </c>
      <c r="X428" s="3">
        <v>65</v>
      </c>
      <c r="Y428" s="7">
        <v>0.57999999999999996</v>
      </c>
      <c r="Z428" s="4">
        <f>GroDB[[#This Row],[Unit_Price]]*GroDB[[#This Row],[Sales_Volume]]</f>
        <v>168</v>
      </c>
      <c r="AA428" s="22">
        <f>GroDB[[#This Row],[ADU]]/GroDB[[#Totals],[ADU]]</f>
        <v>4.8799001386530652E-4</v>
      </c>
      <c r="AB428" s="1">
        <f>GroDB[[#This Row],[Sales_Volume]]*GroDB[[#This Row],[Ordering Cost]]</f>
        <v>134.4</v>
      </c>
    </row>
    <row r="429" spans="1:28" x14ac:dyDescent="0.35">
      <c r="A429" s="5" t="s">
        <v>1516</v>
      </c>
      <c r="B429" s="3" t="s">
        <v>32</v>
      </c>
      <c r="C429" s="3" t="s">
        <v>176</v>
      </c>
      <c r="D429" s="3" t="s">
        <v>1668</v>
      </c>
      <c r="E429" s="3" t="s">
        <v>21</v>
      </c>
      <c r="F429" s="3" t="s">
        <v>1669</v>
      </c>
      <c r="G429" s="3" t="s">
        <v>1670</v>
      </c>
      <c r="H429" s="43">
        <v>45685</v>
      </c>
      <c r="I429" s="43">
        <v>45616</v>
      </c>
      <c r="J429" s="47" t="str">
        <f>IF(GroDB[[#This Row],[Last_Order_Date]]&lt;=GroDB[[#This Row],[Date_Received]], "Yes", "No")</f>
        <v>Yes</v>
      </c>
      <c r="K429" s="43">
        <f>IF(GroDB[[#This Row],[Column1]]="No",GroDB[[#This Row],[Last_Order_Date]],GroDB[[#This Row],[Date_Received]])</f>
        <v>45685</v>
      </c>
      <c r="L429" s="43">
        <f>IF(GroDB[[#This Row],[Column1]]="No",GroDB[[#This Row],[Date_Received]],GroDB[[#This Row],[Last_Order_Date]])</f>
        <v>45616</v>
      </c>
      <c r="M429" s="45">
        <f>GroDB[[#This Row],[Date_Received1]]-GroDB[[#This Row],[Procurement_Date]]</f>
        <v>69</v>
      </c>
      <c r="N429" s="43">
        <v>45697</v>
      </c>
      <c r="O429" s="91">
        <f>GroDB[[#This Row],[Expiration_Date]]-GroDB[[#This Row],[Date_Received1]]</f>
        <v>12</v>
      </c>
      <c r="P429" s="4">
        <v>5.6000000000000005</v>
      </c>
      <c r="Q429" s="3">
        <v>45</v>
      </c>
      <c r="R429" s="3">
        <v>63</v>
      </c>
      <c r="S429" s="3">
        <v>75</v>
      </c>
      <c r="T429" s="4">
        <v>7</v>
      </c>
      <c r="U429" s="3">
        <v>83</v>
      </c>
      <c r="V429" s="51">
        <f>IF(GroDB[[#This Row],[LeadTime]]=0,GroDB[[#This Row],[Sales_Volume]],GroDB[[#This Row],[Sales_Volume]]/GroDB[[#This Row],[LeadTime]])</f>
        <v>1.2028985507246377</v>
      </c>
      <c r="W429" s="51">
        <f>_xlfn.STDEV.S(GroDB[Daily Sales])</f>
        <v>5.1999899792654221</v>
      </c>
      <c r="X429" s="3">
        <v>5</v>
      </c>
      <c r="Y429" s="7">
        <v>-0.55000000000000004</v>
      </c>
      <c r="Z429" s="4">
        <f>GroDB[[#This Row],[Unit_Price]]*GroDB[[#This Row],[Sales_Volume]]</f>
        <v>581</v>
      </c>
      <c r="AA429" s="22">
        <f>GroDB[[#This Row],[ADU]]/GroDB[[#Totals],[ADU]]</f>
        <v>1.687632131284185E-3</v>
      </c>
      <c r="AB429" s="1">
        <f>GroDB[[#This Row],[Sales_Volume]]*GroDB[[#This Row],[Ordering Cost]]</f>
        <v>464.80000000000007</v>
      </c>
    </row>
    <row r="430" spans="1:28" x14ac:dyDescent="0.35">
      <c r="A430" s="5" t="s">
        <v>587</v>
      </c>
      <c r="B430" s="3" t="s">
        <v>127</v>
      </c>
      <c r="C430" s="3" t="s">
        <v>1671</v>
      </c>
      <c r="D430" s="3" t="s">
        <v>1672</v>
      </c>
      <c r="E430" s="3" t="s">
        <v>28</v>
      </c>
      <c r="F430" s="3" t="s">
        <v>1673</v>
      </c>
      <c r="G430" s="3" t="s">
        <v>1674</v>
      </c>
      <c r="H430" s="43">
        <v>45685</v>
      </c>
      <c r="I430" s="43">
        <v>45570</v>
      </c>
      <c r="J430" s="47" t="str">
        <f>IF(GroDB[[#This Row],[Last_Order_Date]]&lt;=GroDB[[#This Row],[Date_Received]], "Yes", "No")</f>
        <v>Yes</v>
      </c>
      <c r="K430" s="43">
        <f>IF(GroDB[[#This Row],[Column1]]="No",GroDB[[#This Row],[Last_Order_Date]],GroDB[[#This Row],[Date_Received]])</f>
        <v>45685</v>
      </c>
      <c r="L430" s="43">
        <f>IF(GroDB[[#This Row],[Column1]]="No",GroDB[[#This Row],[Date_Received]],GroDB[[#This Row],[Last_Order_Date]])</f>
        <v>45570</v>
      </c>
      <c r="M430" s="45">
        <f>GroDB[[#This Row],[Date_Received1]]-GroDB[[#This Row],[Procurement_Date]]</f>
        <v>115</v>
      </c>
      <c r="N430" s="43">
        <v>45633</v>
      </c>
      <c r="O430" s="91">
        <f>GroDB[[#This Row],[Expiration_Date]]-GroDB[[#This Row],[Date_Received1]]</f>
        <v>-52</v>
      </c>
      <c r="P430" s="4">
        <v>24.8</v>
      </c>
      <c r="Q430" s="3">
        <v>48</v>
      </c>
      <c r="R430" s="3">
        <v>77</v>
      </c>
      <c r="S430" s="3">
        <v>81</v>
      </c>
      <c r="T430" s="4">
        <v>31</v>
      </c>
      <c r="U430" s="3">
        <v>70</v>
      </c>
      <c r="V430" s="51">
        <f>IF(GroDB[[#This Row],[LeadTime]]=0,GroDB[[#This Row],[Sales_Volume]],GroDB[[#This Row],[Sales_Volume]]/GroDB[[#This Row],[LeadTime]])</f>
        <v>0.60869565217391308</v>
      </c>
      <c r="W430" s="51">
        <f>_xlfn.STDEV.S(GroDB[Daily Sales])</f>
        <v>5.1999899792654221</v>
      </c>
      <c r="X430" s="3">
        <v>74</v>
      </c>
      <c r="Y430" s="7">
        <v>0.94</v>
      </c>
      <c r="Z430" s="4">
        <f>GroDB[[#This Row],[Unit_Price]]*GroDB[[#This Row],[Sales_Volume]]</f>
        <v>2170</v>
      </c>
      <c r="AA430" s="22">
        <f>GroDB[[#This Row],[ADU]]/GroDB[[#Totals],[ADU]]</f>
        <v>6.3032043457602093E-3</v>
      </c>
      <c r="AB430" s="1">
        <f>GroDB[[#This Row],[Sales_Volume]]*GroDB[[#This Row],[Ordering Cost]]</f>
        <v>1736</v>
      </c>
    </row>
    <row r="431" spans="1:28" x14ac:dyDescent="0.35">
      <c r="A431" s="5" t="s">
        <v>75</v>
      </c>
      <c r="B431" s="3" t="s">
        <v>32</v>
      </c>
      <c r="C431" s="3" t="s">
        <v>1675</v>
      </c>
      <c r="D431" s="3" t="s">
        <v>1676</v>
      </c>
      <c r="E431" s="3" t="s">
        <v>28</v>
      </c>
      <c r="F431" s="3" t="s">
        <v>1677</v>
      </c>
      <c r="G431" s="3" t="s">
        <v>1678</v>
      </c>
      <c r="H431" s="43">
        <v>45685</v>
      </c>
      <c r="I431" s="43">
        <v>45350</v>
      </c>
      <c r="J431" s="47" t="str">
        <f>IF(GroDB[[#This Row],[Last_Order_Date]]&lt;=GroDB[[#This Row],[Date_Received]], "Yes", "No")</f>
        <v>Yes</v>
      </c>
      <c r="K431" s="43">
        <f>IF(GroDB[[#This Row],[Column1]]="No",GroDB[[#This Row],[Last_Order_Date]],GroDB[[#This Row],[Date_Received]])</f>
        <v>45685</v>
      </c>
      <c r="L431" s="43">
        <f>IF(GroDB[[#This Row],[Column1]]="No",GroDB[[#This Row],[Date_Received]],GroDB[[#This Row],[Last_Order_Date]])</f>
        <v>45350</v>
      </c>
      <c r="M431" s="45">
        <f>GroDB[[#This Row],[Date_Received1]]-GroDB[[#This Row],[Procurement_Date]]</f>
        <v>335</v>
      </c>
      <c r="N431" s="43">
        <v>45347</v>
      </c>
      <c r="O431" s="91">
        <f>GroDB[[#This Row],[Expiration_Date]]-GroDB[[#This Row],[Date_Received1]]</f>
        <v>-338</v>
      </c>
      <c r="P431" s="4">
        <v>7.2</v>
      </c>
      <c r="Q431" s="3">
        <v>21</v>
      </c>
      <c r="R431" s="3">
        <v>28</v>
      </c>
      <c r="S431" s="3">
        <v>72</v>
      </c>
      <c r="T431" s="4">
        <v>9</v>
      </c>
      <c r="U431" s="3">
        <v>69</v>
      </c>
      <c r="V431" s="51">
        <f>IF(GroDB[[#This Row],[LeadTime]]=0,GroDB[[#This Row],[Sales_Volume]],GroDB[[#This Row],[Sales_Volume]]/GroDB[[#This Row],[LeadTime]])</f>
        <v>0.20597014925373133</v>
      </c>
      <c r="W431" s="51">
        <f>_xlfn.STDEV.S(GroDB[Daily Sales])</f>
        <v>5.1999899792654221</v>
      </c>
      <c r="X431" s="3">
        <v>51</v>
      </c>
      <c r="Y431" s="7">
        <v>-0.06</v>
      </c>
      <c r="Z431" s="4">
        <f>GroDB[[#This Row],[Unit_Price]]*GroDB[[#This Row],[Sales_Volume]]</f>
        <v>621</v>
      </c>
      <c r="AA431" s="22">
        <f>GroDB[[#This Row],[ADU]]/GroDB[[#Totals],[ADU]]</f>
        <v>1.8038202298235439E-3</v>
      </c>
      <c r="AB431" s="1">
        <f>GroDB[[#This Row],[Sales_Volume]]*GroDB[[#This Row],[Ordering Cost]]</f>
        <v>496.8</v>
      </c>
    </row>
    <row r="432" spans="1:28" x14ac:dyDescent="0.35">
      <c r="A432" s="5" t="s">
        <v>47</v>
      </c>
      <c r="B432" s="3" t="s">
        <v>18</v>
      </c>
      <c r="C432" s="3" t="s">
        <v>1394</v>
      </c>
      <c r="D432" s="3" t="s">
        <v>1679</v>
      </c>
      <c r="E432" s="3" t="s">
        <v>28</v>
      </c>
      <c r="F432" s="3" t="s">
        <v>1680</v>
      </c>
      <c r="G432" s="3" t="s">
        <v>1681</v>
      </c>
      <c r="H432" s="43">
        <v>45685</v>
      </c>
      <c r="I432" s="43">
        <v>45616</v>
      </c>
      <c r="J432" s="47" t="str">
        <f>IF(GroDB[[#This Row],[Last_Order_Date]]&lt;=GroDB[[#This Row],[Date_Received]], "Yes", "No")</f>
        <v>Yes</v>
      </c>
      <c r="K432" s="43">
        <f>IF(GroDB[[#This Row],[Column1]]="No",GroDB[[#This Row],[Last_Order_Date]],GroDB[[#This Row],[Date_Received]])</f>
        <v>45685</v>
      </c>
      <c r="L432" s="43">
        <f>IF(GroDB[[#This Row],[Column1]]="No",GroDB[[#This Row],[Date_Received]],GroDB[[#This Row],[Last_Order_Date]])</f>
        <v>45616</v>
      </c>
      <c r="M432" s="45">
        <f>GroDB[[#This Row],[Date_Received1]]-GroDB[[#This Row],[Procurement_Date]]</f>
        <v>69</v>
      </c>
      <c r="N432" s="43">
        <v>45502</v>
      </c>
      <c r="O432" s="91">
        <f>GroDB[[#This Row],[Expiration_Date]]-GroDB[[#This Row],[Date_Received1]]</f>
        <v>-183</v>
      </c>
      <c r="P432" s="4">
        <v>2</v>
      </c>
      <c r="Q432" s="3">
        <v>65</v>
      </c>
      <c r="R432" s="3">
        <v>88</v>
      </c>
      <c r="S432" s="3">
        <v>20</v>
      </c>
      <c r="T432" s="4">
        <v>2.5</v>
      </c>
      <c r="U432" s="3">
        <v>89</v>
      </c>
      <c r="V432" s="51">
        <f>IF(GroDB[[#This Row],[LeadTime]]=0,GroDB[[#This Row],[Sales_Volume]],GroDB[[#This Row],[Sales_Volume]]/GroDB[[#This Row],[LeadTime]])</f>
        <v>1.2898550724637681</v>
      </c>
      <c r="W432" s="51">
        <f>_xlfn.STDEV.S(GroDB[Daily Sales])</f>
        <v>5.1999899792654221</v>
      </c>
      <c r="X432" s="3">
        <v>37</v>
      </c>
      <c r="Y432" s="7">
        <v>0.26</v>
      </c>
      <c r="Z432" s="4">
        <f>GroDB[[#This Row],[Unit_Price]]*GroDB[[#This Row],[Sales_Volume]]</f>
        <v>222.5</v>
      </c>
      <c r="AA432" s="22">
        <f>GroDB[[#This Row],[ADU]]/GroDB[[#Totals],[ADU]]</f>
        <v>6.4629629812518272E-4</v>
      </c>
      <c r="AB432" s="1">
        <f>GroDB[[#This Row],[Sales_Volume]]*GroDB[[#This Row],[Ordering Cost]]</f>
        <v>178</v>
      </c>
    </row>
    <row r="433" spans="1:28" x14ac:dyDescent="0.35">
      <c r="A433" s="5" t="s">
        <v>239</v>
      </c>
      <c r="B433" s="3" t="s">
        <v>25</v>
      </c>
      <c r="C433" s="3" t="s">
        <v>161</v>
      </c>
      <c r="D433" s="3" t="s">
        <v>1682</v>
      </c>
      <c r="E433" s="3" t="s">
        <v>56</v>
      </c>
      <c r="F433" s="3" t="s">
        <v>1683</v>
      </c>
      <c r="G433" s="3" t="s">
        <v>1684</v>
      </c>
      <c r="H433" s="43">
        <v>45685</v>
      </c>
      <c r="I433" s="43">
        <v>45695</v>
      </c>
      <c r="J433" s="47" t="str">
        <f>IF(GroDB[[#This Row],[Last_Order_Date]]&lt;=GroDB[[#This Row],[Date_Received]], "Yes", "No")</f>
        <v>No</v>
      </c>
      <c r="K433" s="43">
        <f>IF(GroDB[[#This Row],[Column1]]="No",GroDB[[#This Row],[Last_Order_Date]],GroDB[[#This Row],[Date_Received]])</f>
        <v>45695</v>
      </c>
      <c r="L433" s="43">
        <f>IF(GroDB[[#This Row],[Column1]]="No",GroDB[[#This Row],[Date_Received]],GroDB[[#This Row],[Last_Order_Date]])</f>
        <v>45685</v>
      </c>
      <c r="M433" s="45">
        <f>GroDB[[#This Row],[Date_Received1]]-GroDB[[#This Row],[Procurement_Date]]</f>
        <v>10</v>
      </c>
      <c r="N433" s="43">
        <v>45638</v>
      </c>
      <c r="O433" s="91">
        <f>GroDB[[#This Row],[Expiration_Date]]-GroDB[[#This Row],[Date_Received1]]</f>
        <v>-57</v>
      </c>
      <c r="P433" s="4">
        <v>5.2</v>
      </c>
      <c r="Q433" s="3">
        <v>14</v>
      </c>
      <c r="R433" s="3">
        <v>84</v>
      </c>
      <c r="S433" s="3">
        <v>15</v>
      </c>
      <c r="T433" s="4">
        <v>6.5</v>
      </c>
      <c r="U433" s="3">
        <v>51</v>
      </c>
      <c r="V433" s="51">
        <f>IF(GroDB[[#This Row],[LeadTime]]=0,GroDB[[#This Row],[Sales_Volume]],GroDB[[#This Row],[Sales_Volume]]/GroDB[[#This Row],[LeadTime]])</f>
        <v>5.0999999999999996</v>
      </c>
      <c r="W433" s="51">
        <f>_xlfn.STDEV.S(GroDB[Daily Sales])</f>
        <v>5.1999899792654221</v>
      </c>
      <c r="X433" s="3">
        <v>73</v>
      </c>
      <c r="Y433" s="7">
        <v>0.57999999999999996</v>
      </c>
      <c r="Z433" s="4">
        <f>GroDB[[#This Row],[Unit_Price]]*GroDB[[#This Row],[Sales_Volume]]</f>
        <v>331.5</v>
      </c>
      <c r="AA433" s="22">
        <f>GroDB[[#This Row],[ADU]]/GroDB[[#Totals],[ADU]]</f>
        <v>9.6290886664493524E-4</v>
      </c>
      <c r="AB433" s="1">
        <f>GroDB[[#This Row],[Sales_Volume]]*GroDB[[#This Row],[Ordering Cost]]</f>
        <v>265.2</v>
      </c>
    </row>
    <row r="434" spans="1:28" x14ac:dyDescent="0.35">
      <c r="A434" s="5" t="s">
        <v>325</v>
      </c>
      <c r="B434" s="3" t="s">
        <v>53</v>
      </c>
      <c r="C434" s="3" t="s">
        <v>778</v>
      </c>
      <c r="D434" s="3" t="s">
        <v>1685</v>
      </c>
      <c r="E434" s="3" t="s">
        <v>21</v>
      </c>
      <c r="F434" s="3" t="s">
        <v>1686</v>
      </c>
      <c r="G434" s="3" t="s">
        <v>1687</v>
      </c>
      <c r="H434" s="43">
        <v>45686</v>
      </c>
      <c r="I434" s="43">
        <v>45431</v>
      </c>
      <c r="J434" s="47" t="str">
        <f>IF(GroDB[[#This Row],[Last_Order_Date]]&lt;=GroDB[[#This Row],[Date_Received]], "Yes", "No")</f>
        <v>Yes</v>
      </c>
      <c r="K434" s="43">
        <f>IF(GroDB[[#This Row],[Column1]]="No",GroDB[[#This Row],[Last_Order_Date]],GroDB[[#This Row],[Date_Received]])</f>
        <v>45686</v>
      </c>
      <c r="L434" s="43">
        <f>IF(GroDB[[#This Row],[Column1]]="No",GroDB[[#This Row],[Date_Received]],GroDB[[#This Row],[Last_Order_Date]])</f>
        <v>45431</v>
      </c>
      <c r="M434" s="45">
        <f>GroDB[[#This Row],[Date_Received1]]-GroDB[[#This Row],[Procurement_Date]]</f>
        <v>255</v>
      </c>
      <c r="N434" s="43">
        <v>45400</v>
      </c>
      <c r="O434" s="91">
        <f>GroDB[[#This Row],[Expiration_Date]]-GroDB[[#This Row],[Date_Received1]]</f>
        <v>-286</v>
      </c>
      <c r="P434" s="4">
        <v>3.3600000000000003</v>
      </c>
      <c r="Q434" s="3">
        <v>47</v>
      </c>
      <c r="R434" s="3">
        <v>1</v>
      </c>
      <c r="S434" s="3">
        <v>60</v>
      </c>
      <c r="T434" s="4">
        <v>4.2</v>
      </c>
      <c r="U434" s="3">
        <v>32</v>
      </c>
      <c r="V434" s="51">
        <f>IF(GroDB[[#This Row],[LeadTime]]=0,GroDB[[#This Row],[Sales_Volume]],GroDB[[#This Row],[Sales_Volume]]/GroDB[[#This Row],[LeadTime]])</f>
        <v>0.12549019607843137</v>
      </c>
      <c r="W434" s="51">
        <f>_xlfn.STDEV.S(GroDB[Daily Sales])</f>
        <v>5.1999899792654221</v>
      </c>
      <c r="X434" s="3">
        <v>87</v>
      </c>
      <c r="Y434" s="7">
        <v>-0.43</v>
      </c>
      <c r="Z434" s="4">
        <f>GroDB[[#This Row],[Unit_Price]]*GroDB[[#This Row],[Sales_Volume]]</f>
        <v>134.4</v>
      </c>
      <c r="AA434" s="22">
        <f>GroDB[[#This Row],[ADU]]/GroDB[[#Totals],[ADU]]</f>
        <v>3.9039201109224527E-4</v>
      </c>
      <c r="AB434" s="1">
        <f>GroDB[[#This Row],[Sales_Volume]]*GroDB[[#This Row],[Ordering Cost]]</f>
        <v>107.52000000000001</v>
      </c>
    </row>
    <row r="435" spans="1:28" x14ac:dyDescent="0.35">
      <c r="A435" s="5" t="s">
        <v>812</v>
      </c>
      <c r="B435" s="3" t="s">
        <v>18</v>
      </c>
      <c r="C435" s="3" t="s">
        <v>755</v>
      </c>
      <c r="D435" s="3" t="s">
        <v>1688</v>
      </c>
      <c r="E435" s="3" t="s">
        <v>28</v>
      </c>
      <c r="F435" s="3" t="s">
        <v>1689</v>
      </c>
      <c r="G435" s="3" t="s">
        <v>1690</v>
      </c>
      <c r="H435" s="43">
        <v>45686</v>
      </c>
      <c r="I435" s="43">
        <v>45613</v>
      </c>
      <c r="J435" s="47" t="str">
        <f>IF(GroDB[[#This Row],[Last_Order_Date]]&lt;=GroDB[[#This Row],[Date_Received]], "Yes", "No")</f>
        <v>Yes</v>
      </c>
      <c r="K435" s="43">
        <f>IF(GroDB[[#This Row],[Column1]]="No",GroDB[[#This Row],[Last_Order_Date]],GroDB[[#This Row],[Date_Received]])</f>
        <v>45686</v>
      </c>
      <c r="L435" s="43">
        <f>IF(GroDB[[#This Row],[Column1]]="No",GroDB[[#This Row],[Date_Received]],GroDB[[#This Row],[Last_Order_Date]])</f>
        <v>45613</v>
      </c>
      <c r="M435" s="45">
        <f>GroDB[[#This Row],[Date_Received1]]-GroDB[[#This Row],[Procurement_Date]]</f>
        <v>73</v>
      </c>
      <c r="N435" s="43">
        <v>45659</v>
      </c>
      <c r="O435" s="91">
        <f>GroDB[[#This Row],[Expiration_Date]]-GroDB[[#This Row],[Date_Received1]]</f>
        <v>-27</v>
      </c>
      <c r="P435" s="4">
        <v>2.8000000000000003</v>
      </c>
      <c r="Q435" s="3">
        <v>71</v>
      </c>
      <c r="R435" s="3">
        <v>36</v>
      </c>
      <c r="S435" s="3">
        <v>45</v>
      </c>
      <c r="T435" s="4">
        <v>3.5</v>
      </c>
      <c r="U435" s="3">
        <v>87</v>
      </c>
      <c r="V435" s="51">
        <f>IF(GroDB[[#This Row],[LeadTime]]=0,GroDB[[#This Row],[Sales_Volume]],GroDB[[#This Row],[Sales_Volume]]/GroDB[[#This Row],[LeadTime]])</f>
        <v>1.1917808219178083</v>
      </c>
      <c r="W435" s="51">
        <f>_xlfn.STDEV.S(GroDB[Daily Sales])</f>
        <v>5.1999899792654221</v>
      </c>
      <c r="X435" s="3">
        <v>2</v>
      </c>
      <c r="Y435" s="7">
        <v>-1.72</v>
      </c>
      <c r="Z435" s="4">
        <f>GroDB[[#This Row],[Unit_Price]]*GroDB[[#This Row],[Sales_Volume]]</f>
        <v>304.5</v>
      </c>
      <c r="AA435" s="22">
        <f>GroDB[[#This Row],[ADU]]/GroDB[[#Totals],[ADU]]</f>
        <v>8.8448190013086807E-4</v>
      </c>
      <c r="AB435" s="1">
        <f>GroDB[[#This Row],[Sales_Volume]]*GroDB[[#This Row],[Ordering Cost]]</f>
        <v>243.60000000000002</v>
      </c>
    </row>
    <row r="436" spans="1:28" x14ac:dyDescent="0.35">
      <c r="A436" s="5" t="s">
        <v>258</v>
      </c>
      <c r="B436" s="3" t="s">
        <v>25</v>
      </c>
      <c r="C436" s="3" t="s">
        <v>107</v>
      </c>
      <c r="D436" s="3" t="s">
        <v>1691</v>
      </c>
      <c r="E436" s="3" t="s">
        <v>28</v>
      </c>
      <c r="F436" s="3" t="s">
        <v>1692</v>
      </c>
      <c r="G436" s="3" t="s">
        <v>1693</v>
      </c>
      <c r="H436" s="43">
        <v>45687</v>
      </c>
      <c r="I436" s="43">
        <v>45576</v>
      </c>
      <c r="J436" s="47" t="str">
        <f>IF(GroDB[[#This Row],[Last_Order_Date]]&lt;=GroDB[[#This Row],[Date_Received]], "Yes", "No")</f>
        <v>Yes</v>
      </c>
      <c r="K436" s="43">
        <f>IF(GroDB[[#This Row],[Column1]]="No",GroDB[[#This Row],[Last_Order_Date]],GroDB[[#This Row],[Date_Received]])</f>
        <v>45687</v>
      </c>
      <c r="L436" s="43">
        <f>IF(GroDB[[#This Row],[Column1]]="No",GroDB[[#This Row],[Date_Received]],GroDB[[#This Row],[Last_Order_Date]])</f>
        <v>45576</v>
      </c>
      <c r="M436" s="45">
        <f>GroDB[[#This Row],[Date_Received1]]-GroDB[[#This Row],[Procurement_Date]]</f>
        <v>111</v>
      </c>
      <c r="N436" s="43">
        <v>45612</v>
      </c>
      <c r="O436" s="91">
        <f>GroDB[[#This Row],[Expiration_Date]]-GroDB[[#This Row],[Date_Received1]]</f>
        <v>-75</v>
      </c>
      <c r="P436" s="4">
        <v>3.2</v>
      </c>
      <c r="Q436" s="3">
        <v>64</v>
      </c>
      <c r="R436" s="3">
        <v>21</v>
      </c>
      <c r="S436" s="3">
        <v>13</v>
      </c>
      <c r="T436" s="4">
        <v>4</v>
      </c>
      <c r="U436" s="3">
        <v>51</v>
      </c>
      <c r="V436" s="51">
        <f>IF(GroDB[[#This Row],[LeadTime]]=0,GroDB[[#This Row],[Sales_Volume]],GroDB[[#This Row],[Sales_Volume]]/GroDB[[#This Row],[LeadTime]])</f>
        <v>0.45945945945945948</v>
      </c>
      <c r="W436" s="51">
        <f>_xlfn.STDEV.S(GroDB[Daily Sales])</f>
        <v>5.1999899792654221</v>
      </c>
      <c r="X436" s="3">
        <v>26</v>
      </c>
      <c r="Y436" s="7">
        <v>0.98</v>
      </c>
      <c r="Z436" s="4">
        <f>GroDB[[#This Row],[Unit_Price]]*GroDB[[#This Row],[Sales_Volume]]</f>
        <v>204</v>
      </c>
      <c r="AA436" s="22">
        <f>GroDB[[#This Row],[ADU]]/GroDB[[#Totals],[ADU]]</f>
        <v>5.9255930255072936E-4</v>
      </c>
      <c r="AB436" s="1">
        <f>GroDB[[#This Row],[Sales_Volume]]*GroDB[[#This Row],[Ordering Cost]]</f>
        <v>163.20000000000002</v>
      </c>
    </row>
    <row r="437" spans="1:28" x14ac:dyDescent="0.35">
      <c r="A437" s="5" t="s">
        <v>248</v>
      </c>
      <c r="B437" s="3" t="s">
        <v>32</v>
      </c>
      <c r="C437" s="3" t="s">
        <v>466</v>
      </c>
      <c r="D437" s="3" t="s">
        <v>1694</v>
      </c>
      <c r="E437" s="3" t="s">
        <v>21</v>
      </c>
      <c r="F437" s="3" t="s">
        <v>1695</v>
      </c>
      <c r="G437" s="3" t="s">
        <v>1696</v>
      </c>
      <c r="H437" s="43">
        <v>45687</v>
      </c>
      <c r="I437" s="43">
        <v>45500</v>
      </c>
      <c r="J437" s="47" t="str">
        <f>IF(GroDB[[#This Row],[Last_Order_Date]]&lt;=GroDB[[#This Row],[Date_Received]], "Yes", "No")</f>
        <v>Yes</v>
      </c>
      <c r="K437" s="43">
        <f>IF(GroDB[[#This Row],[Column1]]="No",GroDB[[#This Row],[Last_Order_Date]],GroDB[[#This Row],[Date_Received]])</f>
        <v>45687</v>
      </c>
      <c r="L437" s="43">
        <f>IF(GroDB[[#This Row],[Column1]]="No",GroDB[[#This Row],[Date_Received]],GroDB[[#This Row],[Last_Order_Date]])</f>
        <v>45500</v>
      </c>
      <c r="M437" s="45">
        <f>GroDB[[#This Row],[Date_Received1]]-GroDB[[#This Row],[Procurement_Date]]</f>
        <v>187</v>
      </c>
      <c r="N437" s="43">
        <v>45367</v>
      </c>
      <c r="O437" s="91">
        <f>GroDB[[#This Row],[Expiration_Date]]-GroDB[[#This Row],[Date_Received1]]</f>
        <v>-320</v>
      </c>
      <c r="P437" s="4">
        <v>5.6000000000000005</v>
      </c>
      <c r="Q437" s="3">
        <v>74</v>
      </c>
      <c r="R437" s="3">
        <v>65</v>
      </c>
      <c r="S437" s="3">
        <v>5</v>
      </c>
      <c r="T437" s="4">
        <v>7</v>
      </c>
      <c r="U437" s="3">
        <v>21</v>
      </c>
      <c r="V437" s="51">
        <f>IF(GroDB[[#This Row],[LeadTime]]=0,GroDB[[#This Row],[Sales_Volume]],GroDB[[#This Row],[Sales_Volume]]/GroDB[[#This Row],[LeadTime]])</f>
        <v>0.11229946524064172</v>
      </c>
      <c r="W437" s="51">
        <f>_xlfn.STDEV.S(GroDB[Daily Sales])</f>
        <v>5.1999899792654221</v>
      </c>
      <c r="X437" s="3">
        <v>42</v>
      </c>
      <c r="Y437" s="7">
        <v>0.49</v>
      </c>
      <c r="Z437" s="4">
        <f>GroDB[[#This Row],[Unit_Price]]*GroDB[[#This Row],[Sales_Volume]]</f>
        <v>147</v>
      </c>
      <c r="AA437" s="22">
        <f>GroDB[[#This Row],[ADU]]/GroDB[[#Totals],[ADU]]</f>
        <v>4.2699126213214324E-4</v>
      </c>
      <c r="AB437" s="1">
        <f>GroDB[[#This Row],[Sales_Volume]]*GroDB[[#This Row],[Ordering Cost]]</f>
        <v>117.60000000000001</v>
      </c>
    </row>
    <row r="438" spans="1:28" x14ac:dyDescent="0.35">
      <c r="A438" s="5" t="s">
        <v>111</v>
      </c>
      <c r="B438" s="3" t="s">
        <v>32</v>
      </c>
      <c r="C438" s="3" t="s">
        <v>1697</v>
      </c>
      <c r="D438" s="3" t="s">
        <v>1698</v>
      </c>
      <c r="E438" s="3" t="s">
        <v>21</v>
      </c>
      <c r="F438" s="3" t="s">
        <v>1699</v>
      </c>
      <c r="G438" s="3" t="s">
        <v>1700</v>
      </c>
      <c r="H438" s="43">
        <v>45688</v>
      </c>
      <c r="I438" s="43">
        <v>45473</v>
      </c>
      <c r="J438" s="47" t="str">
        <f>IF(GroDB[[#This Row],[Last_Order_Date]]&lt;=GroDB[[#This Row],[Date_Received]], "Yes", "No")</f>
        <v>Yes</v>
      </c>
      <c r="K438" s="43">
        <f>IF(GroDB[[#This Row],[Column1]]="No",GroDB[[#This Row],[Last_Order_Date]],GroDB[[#This Row],[Date_Received]])</f>
        <v>45688</v>
      </c>
      <c r="L438" s="43">
        <f>IF(GroDB[[#This Row],[Column1]]="No",GroDB[[#This Row],[Date_Received]],GroDB[[#This Row],[Last_Order_Date]])</f>
        <v>45473</v>
      </c>
      <c r="M438" s="45">
        <f>GroDB[[#This Row],[Date_Received1]]-GroDB[[#This Row],[Procurement_Date]]</f>
        <v>215</v>
      </c>
      <c r="N438" s="43">
        <v>45559</v>
      </c>
      <c r="O438" s="91">
        <f>GroDB[[#This Row],[Expiration_Date]]-GroDB[[#This Row],[Date_Received1]]</f>
        <v>-129</v>
      </c>
      <c r="P438" s="4">
        <v>4.8000000000000007</v>
      </c>
      <c r="Q438" s="3">
        <v>51</v>
      </c>
      <c r="R438" s="3">
        <v>53</v>
      </c>
      <c r="S438" s="3">
        <v>88</v>
      </c>
      <c r="T438" s="4">
        <v>6</v>
      </c>
      <c r="U438" s="3">
        <v>54</v>
      </c>
      <c r="V438" s="51">
        <f>IF(GroDB[[#This Row],[LeadTime]]=0,GroDB[[#This Row],[Sales_Volume]],GroDB[[#This Row],[Sales_Volume]]/GroDB[[#This Row],[LeadTime]])</f>
        <v>0.25116279069767444</v>
      </c>
      <c r="W438" s="51">
        <f>_xlfn.STDEV.S(GroDB[Daily Sales])</f>
        <v>5.1999899792654221</v>
      </c>
      <c r="X438" s="3">
        <v>59</v>
      </c>
      <c r="Y438" s="7">
        <v>-1</v>
      </c>
      <c r="Z438" s="4">
        <f>GroDB[[#This Row],[Unit_Price]]*GroDB[[#This Row],[Sales_Volume]]</f>
        <v>324</v>
      </c>
      <c r="AA438" s="22">
        <f>GroDB[[#This Row],[ADU]]/GroDB[[#Totals],[ADU]]</f>
        <v>9.4112359816880548E-4</v>
      </c>
      <c r="AB438" s="1">
        <f>GroDB[[#This Row],[Sales_Volume]]*GroDB[[#This Row],[Ordering Cost]]</f>
        <v>259.20000000000005</v>
      </c>
    </row>
    <row r="439" spans="1:28" x14ac:dyDescent="0.35">
      <c r="A439" s="5" t="s">
        <v>253</v>
      </c>
      <c r="B439" s="3" t="s">
        <v>18</v>
      </c>
      <c r="C439" s="3" t="s">
        <v>1475</v>
      </c>
      <c r="D439" s="3" t="s">
        <v>1701</v>
      </c>
      <c r="E439" s="3" t="s">
        <v>21</v>
      </c>
      <c r="F439" s="3" t="s">
        <v>1702</v>
      </c>
      <c r="G439" s="3" t="s">
        <v>1703</v>
      </c>
      <c r="H439" s="43">
        <v>45688</v>
      </c>
      <c r="I439" s="43">
        <v>45573</v>
      </c>
      <c r="J439" s="47" t="str">
        <f>IF(GroDB[[#This Row],[Last_Order_Date]]&lt;=GroDB[[#This Row],[Date_Received]], "Yes", "No")</f>
        <v>Yes</v>
      </c>
      <c r="K439" s="43">
        <f>IF(GroDB[[#This Row],[Column1]]="No",GroDB[[#This Row],[Last_Order_Date]],GroDB[[#This Row],[Date_Received]])</f>
        <v>45688</v>
      </c>
      <c r="L439" s="43">
        <f>IF(GroDB[[#This Row],[Column1]]="No",GroDB[[#This Row],[Date_Received]],GroDB[[#This Row],[Last_Order_Date]])</f>
        <v>45573</v>
      </c>
      <c r="M439" s="45">
        <f>GroDB[[#This Row],[Date_Received1]]-GroDB[[#This Row],[Procurement_Date]]</f>
        <v>115</v>
      </c>
      <c r="N439" s="43">
        <v>45419</v>
      </c>
      <c r="O439" s="91">
        <f>GroDB[[#This Row],[Expiration_Date]]-GroDB[[#This Row],[Date_Received1]]</f>
        <v>-269</v>
      </c>
      <c r="P439" s="4">
        <v>4</v>
      </c>
      <c r="Q439" s="3">
        <v>89</v>
      </c>
      <c r="R439" s="3">
        <v>35</v>
      </c>
      <c r="S439" s="3">
        <v>19</v>
      </c>
      <c r="T439" s="4">
        <v>5</v>
      </c>
      <c r="U439" s="3">
        <v>49</v>
      </c>
      <c r="V439" s="51">
        <f>IF(GroDB[[#This Row],[LeadTime]]=0,GroDB[[#This Row],[Sales_Volume]],GroDB[[#This Row],[Sales_Volume]]/GroDB[[#This Row],[LeadTime]])</f>
        <v>0.42608695652173911</v>
      </c>
      <c r="W439" s="51">
        <f>_xlfn.STDEV.S(GroDB[Daily Sales])</f>
        <v>5.1999899792654221</v>
      </c>
      <c r="X439" s="3">
        <v>55</v>
      </c>
      <c r="Y439" s="7">
        <v>-0.09</v>
      </c>
      <c r="Z439" s="4">
        <f>GroDB[[#This Row],[Unit_Price]]*GroDB[[#This Row],[Sales_Volume]]</f>
        <v>245</v>
      </c>
      <c r="AA439" s="22">
        <f>GroDB[[#This Row],[ADU]]/GroDB[[#Totals],[ADU]]</f>
        <v>7.1165210355357209E-4</v>
      </c>
      <c r="AB439" s="1">
        <f>GroDB[[#This Row],[Sales_Volume]]*GroDB[[#This Row],[Ordering Cost]]</f>
        <v>196</v>
      </c>
    </row>
    <row r="440" spans="1:28" x14ac:dyDescent="0.35">
      <c r="A440" s="5" t="s">
        <v>615</v>
      </c>
      <c r="B440" s="3" t="s">
        <v>32</v>
      </c>
      <c r="C440" s="3" t="s">
        <v>1704</v>
      </c>
      <c r="D440" s="3" t="s">
        <v>1705</v>
      </c>
      <c r="E440" s="3" t="s">
        <v>21</v>
      </c>
      <c r="F440" s="3" t="s">
        <v>1706</v>
      </c>
      <c r="G440" s="3" t="s">
        <v>1707</v>
      </c>
      <c r="H440" s="43">
        <v>45578</v>
      </c>
      <c r="I440" s="43">
        <v>45630</v>
      </c>
      <c r="J440" s="47" t="str">
        <f>IF(GroDB[[#This Row],[Last_Order_Date]]&lt;=GroDB[[#This Row],[Date_Received]], "Yes", "No")</f>
        <v>No</v>
      </c>
      <c r="K440" s="43">
        <f>IF(GroDB[[#This Row],[Column1]]="No",GroDB[[#This Row],[Last_Order_Date]],GroDB[[#This Row],[Date_Received]])</f>
        <v>45630</v>
      </c>
      <c r="L440" s="43">
        <f>IF(GroDB[[#This Row],[Column1]]="No",GroDB[[#This Row],[Date_Received]],GroDB[[#This Row],[Last_Order_Date]])</f>
        <v>45578</v>
      </c>
      <c r="M440" s="45">
        <f>GroDB[[#This Row],[Date_Received1]]-GroDB[[#This Row],[Procurement_Date]]</f>
        <v>52</v>
      </c>
      <c r="N440" s="43">
        <v>45453</v>
      </c>
      <c r="O440" s="91">
        <f>GroDB[[#This Row],[Expiration_Date]]-GroDB[[#This Row],[Date_Received1]]</f>
        <v>-177</v>
      </c>
      <c r="P440" s="4">
        <v>1.6</v>
      </c>
      <c r="Q440" s="3">
        <v>11</v>
      </c>
      <c r="R440" s="3">
        <v>9</v>
      </c>
      <c r="S440" s="3">
        <v>65</v>
      </c>
      <c r="T440" s="4">
        <v>2</v>
      </c>
      <c r="U440" s="3">
        <v>48</v>
      </c>
      <c r="V440" s="51">
        <f>IF(GroDB[[#This Row],[LeadTime]]=0,GroDB[[#This Row],[Sales_Volume]],GroDB[[#This Row],[Sales_Volume]]/GroDB[[#This Row],[LeadTime]])</f>
        <v>0.92307692307692313</v>
      </c>
      <c r="W440" s="51">
        <f>_xlfn.STDEV.S(GroDB[Daily Sales])</f>
        <v>5.1999899792654221</v>
      </c>
      <c r="X440" s="3">
        <v>96</v>
      </c>
      <c r="Y440" s="7">
        <v>-0.12</v>
      </c>
      <c r="Z440" s="4">
        <f>GroDB[[#This Row],[Unit_Price]]*GroDB[[#This Row],[Sales_Volume]]</f>
        <v>96</v>
      </c>
      <c r="AA440" s="22">
        <f>GroDB[[#This Row],[ADU]]/GroDB[[#Totals],[ADU]]</f>
        <v>2.788514364944609E-4</v>
      </c>
      <c r="AB440" s="1">
        <f>GroDB[[#This Row],[Sales_Volume]]*GroDB[[#This Row],[Ordering Cost]]</f>
        <v>76.800000000000011</v>
      </c>
    </row>
    <row r="441" spans="1:28" x14ac:dyDescent="0.35">
      <c r="A441" s="5" t="s">
        <v>674</v>
      </c>
      <c r="B441" s="3" t="s">
        <v>60</v>
      </c>
      <c r="C441" s="3" t="s">
        <v>1708</v>
      </c>
      <c r="D441" s="3" t="s">
        <v>1709</v>
      </c>
      <c r="E441" s="3" t="s">
        <v>56</v>
      </c>
      <c r="F441" s="3" t="s">
        <v>1710</v>
      </c>
      <c r="G441" s="3" t="s">
        <v>1711</v>
      </c>
      <c r="H441" s="43">
        <v>45578</v>
      </c>
      <c r="I441" s="43">
        <v>45350</v>
      </c>
      <c r="J441" s="47" t="str">
        <f>IF(GroDB[[#This Row],[Last_Order_Date]]&lt;=GroDB[[#This Row],[Date_Received]], "Yes", "No")</f>
        <v>Yes</v>
      </c>
      <c r="K441" s="43">
        <f>IF(GroDB[[#This Row],[Column1]]="No",GroDB[[#This Row],[Last_Order_Date]],GroDB[[#This Row],[Date_Received]])</f>
        <v>45578</v>
      </c>
      <c r="L441" s="43">
        <f>IF(GroDB[[#This Row],[Column1]]="No",GroDB[[#This Row],[Date_Received]],GroDB[[#This Row],[Last_Order_Date]])</f>
        <v>45350</v>
      </c>
      <c r="M441" s="45">
        <f>GroDB[[#This Row],[Date_Received1]]-GroDB[[#This Row],[Procurement_Date]]</f>
        <v>228</v>
      </c>
      <c r="N441" s="43">
        <v>45531</v>
      </c>
      <c r="O441" s="91">
        <f>GroDB[[#This Row],[Expiration_Date]]-GroDB[[#This Row],[Date_Received1]]</f>
        <v>-47</v>
      </c>
      <c r="P441" s="4">
        <v>7.2</v>
      </c>
      <c r="Q441" s="3">
        <v>98</v>
      </c>
      <c r="R441" s="3">
        <v>100</v>
      </c>
      <c r="S441" s="3">
        <v>34</v>
      </c>
      <c r="T441" s="4">
        <v>9</v>
      </c>
      <c r="U441" s="3">
        <v>53</v>
      </c>
      <c r="V441" s="51">
        <f>IF(GroDB[[#This Row],[LeadTime]]=0,GroDB[[#This Row],[Sales_Volume]],GroDB[[#This Row],[Sales_Volume]]/GroDB[[#This Row],[LeadTime]])</f>
        <v>0.23245614035087719</v>
      </c>
      <c r="W441" s="51">
        <f>_xlfn.STDEV.S(GroDB[Daily Sales])</f>
        <v>5.1999899792654221</v>
      </c>
      <c r="X441" s="3">
        <v>20</v>
      </c>
      <c r="Y441" s="7">
        <v>-1</v>
      </c>
      <c r="Z441" s="4">
        <f>GroDB[[#This Row],[Unit_Price]]*GroDB[[#This Row],[Sales_Volume]]</f>
        <v>477</v>
      </c>
      <c r="AA441" s="22">
        <f>GroDB[[#This Row],[ADU]]/GroDB[[#Totals],[ADU]]</f>
        <v>1.3855430750818526E-3</v>
      </c>
      <c r="AB441" s="1">
        <f>GroDB[[#This Row],[Sales_Volume]]*GroDB[[#This Row],[Ordering Cost]]</f>
        <v>381.6</v>
      </c>
    </row>
    <row r="442" spans="1:28" x14ac:dyDescent="0.35">
      <c r="A442" s="5" t="s">
        <v>544</v>
      </c>
      <c r="B442" s="3" t="s">
        <v>91</v>
      </c>
      <c r="C442" s="3" t="s">
        <v>1712</v>
      </c>
      <c r="D442" s="3" t="s">
        <v>1713</v>
      </c>
      <c r="E442" s="3" t="s">
        <v>56</v>
      </c>
      <c r="F442" s="3" t="s">
        <v>1714</v>
      </c>
      <c r="G442" s="3" t="s">
        <v>1715</v>
      </c>
      <c r="H442" s="43">
        <v>45579</v>
      </c>
      <c r="I442" s="43">
        <v>45399</v>
      </c>
      <c r="J442" s="47" t="str">
        <f>IF(GroDB[[#This Row],[Last_Order_Date]]&lt;=GroDB[[#This Row],[Date_Received]], "Yes", "No")</f>
        <v>Yes</v>
      </c>
      <c r="K442" s="43">
        <f>IF(GroDB[[#This Row],[Column1]]="No",GroDB[[#This Row],[Last_Order_Date]],GroDB[[#This Row],[Date_Received]])</f>
        <v>45579</v>
      </c>
      <c r="L442" s="43">
        <f>IF(GroDB[[#This Row],[Column1]]="No",GroDB[[#This Row],[Date_Received]],GroDB[[#This Row],[Last_Order_Date]])</f>
        <v>45399</v>
      </c>
      <c r="M442" s="45">
        <f>GroDB[[#This Row],[Date_Received1]]-GroDB[[#This Row],[Procurement_Date]]</f>
        <v>180</v>
      </c>
      <c r="N442" s="43">
        <v>45441</v>
      </c>
      <c r="O442" s="91">
        <f>GroDB[[#This Row],[Expiration_Date]]-GroDB[[#This Row],[Date_Received1]]</f>
        <v>-138</v>
      </c>
      <c r="P442" s="4">
        <v>2.4000000000000004</v>
      </c>
      <c r="Q442" s="3">
        <v>50</v>
      </c>
      <c r="R442" s="3">
        <v>58</v>
      </c>
      <c r="S442" s="3">
        <v>78</v>
      </c>
      <c r="T442" s="4">
        <v>3</v>
      </c>
      <c r="U442" s="3">
        <v>83</v>
      </c>
      <c r="V442" s="51">
        <f>IF(GroDB[[#This Row],[LeadTime]]=0,GroDB[[#This Row],[Sales_Volume]],GroDB[[#This Row],[Sales_Volume]]/GroDB[[#This Row],[LeadTime]])</f>
        <v>0.46111111111111114</v>
      </c>
      <c r="W442" s="51">
        <f>_xlfn.STDEV.S(GroDB[Daily Sales])</f>
        <v>5.1999899792654221</v>
      </c>
      <c r="X442" s="3">
        <v>49</v>
      </c>
      <c r="Y442" s="7">
        <v>0.62</v>
      </c>
      <c r="Z442" s="4">
        <f>GroDB[[#This Row],[Unit_Price]]*GroDB[[#This Row],[Sales_Volume]]</f>
        <v>249</v>
      </c>
      <c r="AA442" s="22">
        <f>GroDB[[#This Row],[ADU]]/GroDB[[#Totals],[ADU]]</f>
        <v>7.2327091340750787E-4</v>
      </c>
      <c r="AB442" s="1">
        <f>GroDB[[#This Row],[Sales_Volume]]*GroDB[[#This Row],[Ordering Cost]]</f>
        <v>199.20000000000002</v>
      </c>
    </row>
    <row r="443" spans="1:28" x14ac:dyDescent="0.35">
      <c r="A443" s="5" t="s">
        <v>1081</v>
      </c>
      <c r="B443" s="3" t="s">
        <v>127</v>
      </c>
      <c r="C443" s="3" t="s">
        <v>962</v>
      </c>
      <c r="D443" s="3" t="s">
        <v>1716</v>
      </c>
      <c r="E443" s="3" t="s">
        <v>56</v>
      </c>
      <c r="F443" s="3" t="s">
        <v>1717</v>
      </c>
      <c r="G443" s="3" t="s">
        <v>1718</v>
      </c>
      <c r="H443" s="43">
        <v>45579</v>
      </c>
      <c r="I443" s="43">
        <v>45688</v>
      </c>
      <c r="J443" s="47" t="str">
        <f>IF(GroDB[[#This Row],[Last_Order_Date]]&lt;=GroDB[[#This Row],[Date_Received]], "Yes", "No")</f>
        <v>No</v>
      </c>
      <c r="K443" s="43">
        <f>IF(GroDB[[#This Row],[Column1]]="No",GroDB[[#This Row],[Last_Order_Date]],GroDB[[#This Row],[Date_Received]])</f>
        <v>45688</v>
      </c>
      <c r="L443" s="43">
        <f>IF(GroDB[[#This Row],[Column1]]="No",GroDB[[#This Row],[Date_Received]],GroDB[[#This Row],[Last_Order_Date]])</f>
        <v>45579</v>
      </c>
      <c r="M443" s="45">
        <f>GroDB[[#This Row],[Date_Received1]]-GroDB[[#This Row],[Procurement_Date]]</f>
        <v>109</v>
      </c>
      <c r="N443" s="43">
        <v>45616</v>
      </c>
      <c r="O443" s="91">
        <f>GroDB[[#This Row],[Expiration_Date]]-GroDB[[#This Row],[Date_Received1]]</f>
        <v>-72</v>
      </c>
      <c r="P443" s="4">
        <v>6.4</v>
      </c>
      <c r="Q443" s="3">
        <v>24</v>
      </c>
      <c r="R443" s="3">
        <v>27</v>
      </c>
      <c r="S443" s="3">
        <v>35</v>
      </c>
      <c r="T443" s="4">
        <v>8</v>
      </c>
      <c r="U443" s="3">
        <v>49</v>
      </c>
      <c r="V443" s="51">
        <f>IF(GroDB[[#This Row],[LeadTime]]=0,GroDB[[#This Row],[Sales_Volume]],GroDB[[#This Row],[Sales_Volume]]/GroDB[[#This Row],[LeadTime]])</f>
        <v>0.44954128440366975</v>
      </c>
      <c r="W443" s="51">
        <f>_xlfn.STDEV.S(GroDB[Daily Sales])</f>
        <v>5.1999899792654221</v>
      </c>
      <c r="X443" s="3">
        <v>58</v>
      </c>
      <c r="Y443" s="7">
        <v>0.41</v>
      </c>
      <c r="Z443" s="4">
        <f>GroDB[[#This Row],[Unit_Price]]*GroDB[[#This Row],[Sales_Volume]]</f>
        <v>392</v>
      </c>
      <c r="AA443" s="22">
        <f>GroDB[[#This Row],[ADU]]/GroDB[[#Totals],[ADU]]</f>
        <v>1.1386433656857152E-3</v>
      </c>
      <c r="AB443" s="1">
        <f>GroDB[[#This Row],[Sales_Volume]]*GroDB[[#This Row],[Ordering Cost]]</f>
        <v>313.60000000000002</v>
      </c>
    </row>
    <row r="444" spans="1:28" x14ac:dyDescent="0.35">
      <c r="A444" s="5" t="s">
        <v>627</v>
      </c>
      <c r="B444" s="3" t="s">
        <v>53</v>
      </c>
      <c r="C444" s="3" t="s">
        <v>1719</v>
      </c>
      <c r="D444" s="3" t="s">
        <v>1720</v>
      </c>
      <c r="E444" s="3" t="s">
        <v>56</v>
      </c>
      <c r="F444" s="3" t="s">
        <v>1721</v>
      </c>
      <c r="G444" s="3" t="s">
        <v>1722</v>
      </c>
      <c r="H444" s="43">
        <v>45579</v>
      </c>
      <c r="I444" s="43">
        <v>45448</v>
      </c>
      <c r="J444" s="47" t="str">
        <f>IF(GroDB[[#This Row],[Last_Order_Date]]&lt;=GroDB[[#This Row],[Date_Received]], "Yes", "No")</f>
        <v>Yes</v>
      </c>
      <c r="K444" s="43">
        <f>IF(GroDB[[#This Row],[Column1]]="No",GroDB[[#This Row],[Last_Order_Date]],GroDB[[#This Row],[Date_Received]])</f>
        <v>45579</v>
      </c>
      <c r="L444" s="43">
        <f>IF(GroDB[[#This Row],[Column1]]="No",GroDB[[#This Row],[Date_Received]],GroDB[[#This Row],[Last_Order_Date]])</f>
        <v>45448</v>
      </c>
      <c r="M444" s="45">
        <f>GroDB[[#This Row],[Date_Received1]]-GroDB[[#This Row],[Procurement_Date]]</f>
        <v>131</v>
      </c>
      <c r="N444" s="43">
        <v>45592</v>
      </c>
      <c r="O444" s="91">
        <f>GroDB[[#This Row],[Expiration_Date]]-GroDB[[#This Row],[Date_Received1]]</f>
        <v>13</v>
      </c>
      <c r="P444" s="4">
        <v>2</v>
      </c>
      <c r="Q444" s="3">
        <v>64</v>
      </c>
      <c r="R444" s="3">
        <v>10</v>
      </c>
      <c r="S444" s="3">
        <v>100</v>
      </c>
      <c r="T444" s="4">
        <v>2.5</v>
      </c>
      <c r="U444" s="3">
        <v>97</v>
      </c>
      <c r="V444" s="51">
        <f>IF(GroDB[[#This Row],[LeadTime]]=0,GroDB[[#This Row],[Sales_Volume]],GroDB[[#This Row],[Sales_Volume]]/GroDB[[#This Row],[LeadTime]])</f>
        <v>0.74045801526717558</v>
      </c>
      <c r="W444" s="51">
        <f>_xlfn.STDEV.S(GroDB[Daily Sales])</f>
        <v>5.1999899792654221</v>
      </c>
      <c r="X444" s="3">
        <v>52</v>
      </c>
      <c r="Y444" s="7">
        <v>-0.18</v>
      </c>
      <c r="Z444" s="4">
        <f>GroDB[[#This Row],[Unit_Price]]*GroDB[[#This Row],[Sales_Volume]]</f>
        <v>242.5</v>
      </c>
      <c r="AA444" s="22">
        <f>GroDB[[#This Row],[ADU]]/GroDB[[#Totals],[ADU]]</f>
        <v>7.0439034739486217E-4</v>
      </c>
      <c r="AB444" s="1">
        <f>GroDB[[#This Row],[Sales_Volume]]*GroDB[[#This Row],[Ordering Cost]]</f>
        <v>194</v>
      </c>
    </row>
    <row r="445" spans="1:28" x14ac:dyDescent="0.35">
      <c r="A445" s="5" t="s">
        <v>490</v>
      </c>
      <c r="B445" s="3" t="s">
        <v>18</v>
      </c>
      <c r="C445" s="3" t="s">
        <v>1526</v>
      </c>
      <c r="D445" s="3" t="s">
        <v>1723</v>
      </c>
      <c r="E445" s="3" t="s">
        <v>21</v>
      </c>
      <c r="F445" s="3" t="s">
        <v>1724</v>
      </c>
      <c r="G445" s="3" t="s">
        <v>1725</v>
      </c>
      <c r="H445" s="43">
        <v>45579</v>
      </c>
      <c r="I445" s="43">
        <v>45582</v>
      </c>
      <c r="J445" s="47" t="str">
        <f>IF(GroDB[[#This Row],[Last_Order_Date]]&lt;=GroDB[[#This Row],[Date_Received]], "Yes", "No")</f>
        <v>No</v>
      </c>
      <c r="K445" s="43">
        <f>IF(GroDB[[#This Row],[Column1]]="No",GroDB[[#This Row],[Last_Order_Date]],GroDB[[#This Row],[Date_Received]])</f>
        <v>45582</v>
      </c>
      <c r="L445" s="43">
        <f>IF(GroDB[[#This Row],[Column1]]="No",GroDB[[#This Row],[Date_Received]],GroDB[[#This Row],[Last_Order_Date]])</f>
        <v>45579</v>
      </c>
      <c r="M445" s="45">
        <f>GroDB[[#This Row],[Date_Received1]]-GroDB[[#This Row],[Procurement_Date]]</f>
        <v>3</v>
      </c>
      <c r="N445" s="43">
        <v>45424</v>
      </c>
      <c r="O445" s="91">
        <f>GroDB[[#This Row],[Expiration_Date]]-GroDB[[#This Row],[Date_Received1]]</f>
        <v>-158</v>
      </c>
      <c r="P445" s="4">
        <v>4</v>
      </c>
      <c r="Q445" s="3">
        <v>34</v>
      </c>
      <c r="R445" s="3">
        <v>95</v>
      </c>
      <c r="S445" s="3">
        <v>18</v>
      </c>
      <c r="T445" s="4">
        <v>5</v>
      </c>
      <c r="U445" s="3">
        <v>41</v>
      </c>
      <c r="V445" s="51">
        <f>IF(GroDB[[#This Row],[LeadTime]]=0,GroDB[[#This Row],[Sales_Volume]],GroDB[[#This Row],[Sales_Volume]]/GroDB[[#This Row],[LeadTime]])</f>
        <v>13.666666666666666</v>
      </c>
      <c r="W445" s="51">
        <f>_xlfn.STDEV.S(GroDB[Daily Sales])</f>
        <v>5.1999899792654221</v>
      </c>
      <c r="X445" s="3">
        <v>26</v>
      </c>
      <c r="Y445" s="7">
        <v>0.46</v>
      </c>
      <c r="Z445" s="4">
        <f>GroDB[[#This Row],[Unit_Price]]*GroDB[[#This Row],[Sales_Volume]]</f>
        <v>205</v>
      </c>
      <c r="AA445" s="22">
        <f>GroDB[[#This Row],[ADU]]/GroDB[[#Totals],[ADU]]</f>
        <v>5.954640050142133E-4</v>
      </c>
      <c r="AB445" s="1">
        <f>GroDB[[#This Row],[Sales_Volume]]*GroDB[[#This Row],[Ordering Cost]]</f>
        <v>164</v>
      </c>
    </row>
    <row r="446" spans="1:28" x14ac:dyDescent="0.35">
      <c r="A446" s="5" t="s">
        <v>465</v>
      </c>
      <c r="B446" s="3" t="s">
        <v>32</v>
      </c>
      <c r="C446" s="3" t="s">
        <v>308</v>
      </c>
      <c r="D446" s="3" t="s">
        <v>1726</v>
      </c>
      <c r="E446" s="3" t="s">
        <v>56</v>
      </c>
      <c r="F446" s="3" t="s">
        <v>1727</v>
      </c>
      <c r="G446" s="3" t="s">
        <v>1728</v>
      </c>
      <c r="H446" s="43">
        <v>45580</v>
      </c>
      <c r="I446" s="43">
        <v>45462</v>
      </c>
      <c r="J446" s="47" t="str">
        <f>IF(GroDB[[#This Row],[Last_Order_Date]]&lt;=GroDB[[#This Row],[Date_Received]], "Yes", "No")</f>
        <v>Yes</v>
      </c>
      <c r="K446" s="43">
        <f>IF(GroDB[[#This Row],[Column1]]="No",GroDB[[#This Row],[Last_Order_Date]],GroDB[[#This Row],[Date_Received]])</f>
        <v>45580</v>
      </c>
      <c r="L446" s="43">
        <f>IF(GroDB[[#This Row],[Column1]]="No",GroDB[[#This Row],[Date_Received]],GroDB[[#This Row],[Last_Order_Date]])</f>
        <v>45462</v>
      </c>
      <c r="M446" s="45">
        <f>GroDB[[#This Row],[Date_Received1]]-GroDB[[#This Row],[Procurement_Date]]</f>
        <v>118</v>
      </c>
      <c r="N446" s="43">
        <v>45678</v>
      </c>
      <c r="O446" s="91">
        <f>GroDB[[#This Row],[Expiration_Date]]-GroDB[[#This Row],[Date_Received1]]</f>
        <v>98</v>
      </c>
      <c r="P446" s="4">
        <v>2.4000000000000004</v>
      </c>
      <c r="Q446" s="3">
        <v>26</v>
      </c>
      <c r="R446" s="3">
        <v>54</v>
      </c>
      <c r="S446" s="3">
        <v>90</v>
      </c>
      <c r="T446" s="4">
        <v>3</v>
      </c>
      <c r="U446" s="3">
        <v>25</v>
      </c>
      <c r="V446" s="51">
        <f>IF(GroDB[[#This Row],[LeadTime]]=0,GroDB[[#This Row],[Sales_Volume]],GroDB[[#This Row],[Sales_Volume]]/GroDB[[#This Row],[LeadTime]])</f>
        <v>0.21186440677966101</v>
      </c>
      <c r="W446" s="51">
        <f>_xlfn.STDEV.S(GroDB[Daily Sales])</f>
        <v>5.1999899792654221</v>
      </c>
      <c r="X446" s="3">
        <v>81</v>
      </c>
      <c r="Y446" s="7">
        <v>0.37</v>
      </c>
      <c r="Z446" s="4">
        <f>GroDB[[#This Row],[Unit_Price]]*GroDB[[#This Row],[Sales_Volume]]</f>
        <v>75</v>
      </c>
      <c r="AA446" s="22">
        <f>GroDB[[#This Row],[ADU]]/GroDB[[#Totals],[ADU]]</f>
        <v>2.1785268476129756E-4</v>
      </c>
      <c r="AB446" s="1">
        <f>GroDB[[#This Row],[Sales_Volume]]*GroDB[[#This Row],[Ordering Cost]]</f>
        <v>60.000000000000007</v>
      </c>
    </row>
    <row r="447" spans="1:28" x14ac:dyDescent="0.35">
      <c r="A447" s="5" t="s">
        <v>947</v>
      </c>
      <c r="B447" s="3" t="s">
        <v>18</v>
      </c>
      <c r="C447" s="3" t="s">
        <v>189</v>
      </c>
      <c r="D447" s="3" t="s">
        <v>1729</v>
      </c>
      <c r="E447" s="3" t="s">
        <v>28</v>
      </c>
      <c r="F447" s="3" t="s">
        <v>1730</v>
      </c>
      <c r="G447" s="3" t="s">
        <v>1731</v>
      </c>
      <c r="H447" s="43">
        <v>45581</v>
      </c>
      <c r="I447" s="43">
        <v>45691</v>
      </c>
      <c r="J447" s="47" t="str">
        <f>IF(GroDB[[#This Row],[Last_Order_Date]]&lt;=GroDB[[#This Row],[Date_Received]], "Yes", "No")</f>
        <v>No</v>
      </c>
      <c r="K447" s="43">
        <f>IF(GroDB[[#This Row],[Column1]]="No",GroDB[[#This Row],[Last_Order_Date]],GroDB[[#This Row],[Date_Received]])</f>
        <v>45691</v>
      </c>
      <c r="L447" s="43">
        <f>IF(GroDB[[#This Row],[Column1]]="No",GroDB[[#This Row],[Date_Received]],GroDB[[#This Row],[Last_Order_Date]])</f>
        <v>45581</v>
      </c>
      <c r="M447" s="45">
        <f>GroDB[[#This Row],[Date_Received1]]-GroDB[[#This Row],[Procurement_Date]]</f>
        <v>110</v>
      </c>
      <c r="N447" s="43">
        <v>45711</v>
      </c>
      <c r="O447" s="91">
        <f>GroDB[[#This Row],[Expiration_Date]]-GroDB[[#This Row],[Date_Received1]]</f>
        <v>20</v>
      </c>
      <c r="P447" s="4">
        <v>0.96</v>
      </c>
      <c r="Q447" s="3">
        <v>72</v>
      </c>
      <c r="R447" s="3">
        <v>58</v>
      </c>
      <c r="S447" s="3">
        <v>69</v>
      </c>
      <c r="T447" s="4">
        <v>1.2</v>
      </c>
      <c r="U447" s="3">
        <v>96</v>
      </c>
      <c r="V447" s="51">
        <f>IF(GroDB[[#This Row],[LeadTime]]=0,GroDB[[#This Row],[Sales_Volume]],GroDB[[#This Row],[Sales_Volume]]/GroDB[[#This Row],[LeadTime]])</f>
        <v>0.87272727272727268</v>
      </c>
      <c r="W447" s="51">
        <f>_xlfn.STDEV.S(GroDB[Daily Sales])</f>
        <v>5.1999899792654221</v>
      </c>
      <c r="X447" s="3">
        <v>23</v>
      </c>
      <c r="Y447" s="7">
        <v>-2.2400000000000002</v>
      </c>
      <c r="Z447" s="4">
        <f>GroDB[[#This Row],[Unit_Price]]*GroDB[[#This Row],[Sales_Volume]]</f>
        <v>115.19999999999999</v>
      </c>
      <c r="AA447" s="22">
        <f>GroDB[[#This Row],[ADU]]/GroDB[[#Totals],[ADU]]</f>
        <v>3.34621723793353E-4</v>
      </c>
      <c r="AB447" s="1">
        <f>GroDB[[#This Row],[Sales_Volume]]*GroDB[[#This Row],[Ordering Cost]]</f>
        <v>92.16</v>
      </c>
    </row>
    <row r="448" spans="1:28" x14ac:dyDescent="0.35">
      <c r="A448" s="5" t="s">
        <v>984</v>
      </c>
      <c r="B448" s="3" t="s">
        <v>18</v>
      </c>
      <c r="C448" s="3" t="s">
        <v>152</v>
      </c>
      <c r="D448" s="3" t="s">
        <v>1732</v>
      </c>
      <c r="E448" s="3" t="s">
        <v>56</v>
      </c>
      <c r="F448" s="3" t="s">
        <v>1733</v>
      </c>
      <c r="G448" s="3" t="s">
        <v>1734</v>
      </c>
      <c r="H448" s="43">
        <v>45581</v>
      </c>
      <c r="I448" s="43">
        <v>45700</v>
      </c>
      <c r="J448" s="47" t="str">
        <f>IF(GroDB[[#This Row],[Last_Order_Date]]&lt;=GroDB[[#This Row],[Date_Received]], "Yes", "No")</f>
        <v>No</v>
      </c>
      <c r="K448" s="43">
        <f>IF(GroDB[[#This Row],[Column1]]="No",GroDB[[#This Row],[Last_Order_Date]],GroDB[[#This Row],[Date_Received]])</f>
        <v>45700</v>
      </c>
      <c r="L448" s="43">
        <f>IF(GroDB[[#This Row],[Column1]]="No",GroDB[[#This Row],[Date_Received]],GroDB[[#This Row],[Last_Order_Date]])</f>
        <v>45581</v>
      </c>
      <c r="M448" s="45">
        <f>GroDB[[#This Row],[Date_Received1]]-GroDB[[#This Row],[Procurement_Date]]</f>
        <v>119</v>
      </c>
      <c r="N448" s="43">
        <v>45554</v>
      </c>
      <c r="O448" s="91">
        <f>GroDB[[#This Row],[Expiration_Date]]-GroDB[[#This Row],[Date_Received1]]</f>
        <v>-146</v>
      </c>
      <c r="P448" s="4">
        <v>3.2</v>
      </c>
      <c r="Q448" s="3">
        <v>89</v>
      </c>
      <c r="R448" s="3">
        <v>40</v>
      </c>
      <c r="S448" s="3">
        <v>64</v>
      </c>
      <c r="T448" s="4">
        <v>4</v>
      </c>
      <c r="U448" s="3">
        <v>93</v>
      </c>
      <c r="V448" s="51">
        <f>IF(GroDB[[#This Row],[LeadTime]]=0,GroDB[[#This Row],[Sales_Volume]],GroDB[[#This Row],[Sales_Volume]]/GroDB[[#This Row],[LeadTime]])</f>
        <v>0.78151260504201681</v>
      </c>
      <c r="W448" s="51">
        <f>_xlfn.STDEV.S(GroDB[Daily Sales])</f>
        <v>5.1999899792654221</v>
      </c>
      <c r="X448" s="3">
        <v>48</v>
      </c>
      <c r="Y448" s="7">
        <v>0.76</v>
      </c>
      <c r="Z448" s="4">
        <f>GroDB[[#This Row],[Unit_Price]]*GroDB[[#This Row],[Sales_Volume]]</f>
        <v>372</v>
      </c>
      <c r="AA448" s="22">
        <f>GroDB[[#This Row],[ADU]]/GroDB[[#Totals],[ADU]]</f>
        <v>1.0805493164160358E-3</v>
      </c>
      <c r="AB448" s="1">
        <f>GroDB[[#This Row],[Sales_Volume]]*GroDB[[#This Row],[Ordering Cost]]</f>
        <v>297.60000000000002</v>
      </c>
    </row>
    <row r="449" spans="1:28" x14ac:dyDescent="0.35">
      <c r="A449" s="5" t="s">
        <v>263</v>
      </c>
      <c r="B449" s="3" t="s">
        <v>25</v>
      </c>
      <c r="C449" s="3" t="s">
        <v>1735</v>
      </c>
      <c r="D449" s="3" t="s">
        <v>1736</v>
      </c>
      <c r="E449" s="3" t="s">
        <v>56</v>
      </c>
      <c r="F449" s="3" t="s">
        <v>1737</v>
      </c>
      <c r="G449" s="3" t="s">
        <v>1738</v>
      </c>
      <c r="H449" s="43">
        <v>45582</v>
      </c>
      <c r="I449" s="43">
        <v>45530</v>
      </c>
      <c r="J449" s="47" t="str">
        <f>IF(GroDB[[#This Row],[Last_Order_Date]]&lt;=GroDB[[#This Row],[Date_Received]], "Yes", "No")</f>
        <v>Yes</v>
      </c>
      <c r="K449" s="43">
        <f>IF(GroDB[[#This Row],[Column1]]="No",GroDB[[#This Row],[Last_Order_Date]],GroDB[[#This Row],[Date_Received]])</f>
        <v>45582</v>
      </c>
      <c r="L449" s="43">
        <f>IF(GroDB[[#This Row],[Column1]]="No",GroDB[[#This Row],[Date_Received]],GroDB[[#This Row],[Last_Order_Date]])</f>
        <v>45530</v>
      </c>
      <c r="M449" s="45">
        <f>GroDB[[#This Row],[Date_Received1]]-GroDB[[#This Row],[Procurement_Date]]</f>
        <v>52</v>
      </c>
      <c r="N449" s="43">
        <v>45372</v>
      </c>
      <c r="O449" s="91">
        <f>GroDB[[#This Row],[Expiration_Date]]-GroDB[[#This Row],[Date_Received1]]</f>
        <v>-210</v>
      </c>
      <c r="P449" s="4">
        <v>4.8000000000000007</v>
      </c>
      <c r="Q449" s="3">
        <v>83</v>
      </c>
      <c r="R449" s="3">
        <v>52</v>
      </c>
      <c r="S449" s="3">
        <v>32</v>
      </c>
      <c r="T449" s="4">
        <v>6</v>
      </c>
      <c r="U449" s="3">
        <v>47</v>
      </c>
      <c r="V449" s="51">
        <f>IF(GroDB[[#This Row],[LeadTime]]=0,GroDB[[#This Row],[Sales_Volume]],GroDB[[#This Row],[Sales_Volume]]/GroDB[[#This Row],[LeadTime]])</f>
        <v>0.90384615384615385</v>
      </c>
      <c r="W449" s="51">
        <f>_xlfn.STDEV.S(GroDB[Daily Sales])</f>
        <v>5.1999899792654221</v>
      </c>
      <c r="X449" s="3">
        <v>7</v>
      </c>
      <c r="Y449" s="7">
        <v>0.48</v>
      </c>
      <c r="Z449" s="4">
        <f>GroDB[[#This Row],[Unit_Price]]*GroDB[[#This Row],[Sales_Volume]]</f>
        <v>282</v>
      </c>
      <c r="AA449" s="22">
        <f>GroDB[[#This Row],[ADU]]/GroDB[[#Totals],[ADU]]</f>
        <v>8.1912609470247881E-4</v>
      </c>
      <c r="AB449" s="1">
        <f>GroDB[[#This Row],[Sales_Volume]]*GroDB[[#This Row],[Ordering Cost]]</f>
        <v>225.60000000000002</v>
      </c>
    </row>
    <row r="450" spans="1:28" x14ac:dyDescent="0.35">
      <c r="A450" s="5" t="s">
        <v>126</v>
      </c>
      <c r="B450" s="3" t="s">
        <v>127</v>
      </c>
      <c r="C450" s="3" t="s">
        <v>1739</v>
      </c>
      <c r="D450" s="3" t="s">
        <v>1740</v>
      </c>
      <c r="E450" s="3" t="s">
        <v>28</v>
      </c>
      <c r="F450" s="3" t="s">
        <v>1741</v>
      </c>
      <c r="G450" s="3" t="s">
        <v>1742</v>
      </c>
      <c r="H450" s="43">
        <v>45582</v>
      </c>
      <c r="I450" s="43">
        <v>45642</v>
      </c>
      <c r="J450" s="47" t="str">
        <f>IF(GroDB[[#This Row],[Last_Order_Date]]&lt;=GroDB[[#This Row],[Date_Received]], "Yes", "No")</f>
        <v>No</v>
      </c>
      <c r="K450" s="43">
        <f>IF(GroDB[[#This Row],[Column1]]="No",GroDB[[#This Row],[Last_Order_Date]],GroDB[[#This Row],[Date_Received]])</f>
        <v>45642</v>
      </c>
      <c r="L450" s="43">
        <f>IF(GroDB[[#This Row],[Column1]]="No",GroDB[[#This Row],[Date_Received]],GroDB[[#This Row],[Last_Order_Date]])</f>
        <v>45582</v>
      </c>
      <c r="M450" s="45">
        <f>GroDB[[#This Row],[Date_Received1]]-GroDB[[#This Row],[Procurement_Date]]</f>
        <v>60</v>
      </c>
      <c r="N450" s="43">
        <v>45599</v>
      </c>
      <c r="O450" s="91">
        <f>GroDB[[#This Row],[Expiration_Date]]-GroDB[[#This Row],[Date_Received1]]</f>
        <v>-43</v>
      </c>
      <c r="P450" s="4">
        <v>16</v>
      </c>
      <c r="Q450" s="3">
        <v>13</v>
      </c>
      <c r="R450" s="3">
        <v>55</v>
      </c>
      <c r="S450" s="3">
        <v>77</v>
      </c>
      <c r="T450" s="4">
        <v>20</v>
      </c>
      <c r="U450" s="3">
        <v>67</v>
      </c>
      <c r="V450" s="51">
        <f>IF(GroDB[[#This Row],[LeadTime]]=0,GroDB[[#This Row],[Sales_Volume]],GroDB[[#This Row],[Sales_Volume]]/GroDB[[#This Row],[LeadTime]])</f>
        <v>1.1166666666666667</v>
      </c>
      <c r="W450" s="51">
        <f>_xlfn.STDEV.S(GroDB[Daily Sales])</f>
        <v>5.1999899792654221</v>
      </c>
      <c r="X450" s="3">
        <v>68</v>
      </c>
      <c r="Y450" s="7">
        <v>0.85</v>
      </c>
      <c r="Z450" s="4">
        <f>GroDB[[#This Row],[Unit_Price]]*GroDB[[#This Row],[Sales_Volume]]</f>
        <v>1340</v>
      </c>
      <c r="AA450" s="22">
        <f>GroDB[[#This Row],[ADU]]/GroDB[[#Totals],[ADU]]</f>
        <v>3.8923013010685164E-3</v>
      </c>
      <c r="AB450" s="1">
        <f>GroDB[[#This Row],[Sales_Volume]]*GroDB[[#This Row],[Ordering Cost]]</f>
        <v>1072</v>
      </c>
    </row>
    <row r="451" spans="1:28" x14ac:dyDescent="0.35">
      <c r="A451" s="5" t="s">
        <v>1081</v>
      </c>
      <c r="B451" s="3" t="s">
        <v>127</v>
      </c>
      <c r="C451" s="3" t="s">
        <v>1743</v>
      </c>
      <c r="D451" s="3" t="s">
        <v>1744</v>
      </c>
      <c r="E451" s="3" t="s">
        <v>28</v>
      </c>
      <c r="F451" s="3" t="s">
        <v>1745</v>
      </c>
      <c r="G451" s="3" t="s">
        <v>1746</v>
      </c>
      <c r="H451" s="43">
        <v>45583</v>
      </c>
      <c r="I451" s="43">
        <v>45476</v>
      </c>
      <c r="J451" s="47" t="str">
        <f>IF(GroDB[[#This Row],[Last_Order_Date]]&lt;=GroDB[[#This Row],[Date_Received]], "Yes", "No")</f>
        <v>Yes</v>
      </c>
      <c r="K451" s="43">
        <f>IF(GroDB[[#This Row],[Column1]]="No",GroDB[[#This Row],[Last_Order_Date]],GroDB[[#This Row],[Date_Received]])</f>
        <v>45583</v>
      </c>
      <c r="L451" s="43">
        <f>IF(GroDB[[#This Row],[Column1]]="No",GroDB[[#This Row],[Date_Received]],GroDB[[#This Row],[Last_Order_Date]])</f>
        <v>45476</v>
      </c>
      <c r="M451" s="45">
        <f>GroDB[[#This Row],[Date_Received1]]-GroDB[[#This Row],[Procurement_Date]]</f>
        <v>107</v>
      </c>
      <c r="N451" s="43">
        <v>45366</v>
      </c>
      <c r="O451" s="91">
        <f>GroDB[[#This Row],[Expiration_Date]]-GroDB[[#This Row],[Date_Received1]]</f>
        <v>-217</v>
      </c>
      <c r="P451" s="4">
        <v>6.4</v>
      </c>
      <c r="Q451" s="3">
        <v>15</v>
      </c>
      <c r="R451" s="3">
        <v>66</v>
      </c>
      <c r="S451" s="3">
        <v>85</v>
      </c>
      <c r="T451" s="4">
        <v>8</v>
      </c>
      <c r="U451" s="3">
        <v>60</v>
      </c>
      <c r="V451" s="51">
        <f>IF(GroDB[[#This Row],[LeadTime]]=0,GroDB[[#This Row],[Sales_Volume]],GroDB[[#This Row],[Sales_Volume]]/GroDB[[#This Row],[LeadTime]])</f>
        <v>0.56074766355140182</v>
      </c>
      <c r="W451" s="51">
        <f>_xlfn.STDEV.S(GroDB[Daily Sales])</f>
        <v>5.1999899792654221</v>
      </c>
      <c r="X451" s="3">
        <v>40</v>
      </c>
      <c r="Y451" s="7">
        <v>-0.01</v>
      </c>
      <c r="Z451" s="4">
        <f>GroDB[[#This Row],[Unit_Price]]*GroDB[[#This Row],[Sales_Volume]]</f>
        <v>480</v>
      </c>
      <c r="AA451" s="22">
        <f>GroDB[[#This Row],[ADU]]/GroDB[[#Totals],[ADU]]</f>
        <v>1.3942571824723045E-3</v>
      </c>
      <c r="AB451" s="1">
        <f>GroDB[[#This Row],[Sales_Volume]]*GroDB[[#This Row],[Ordering Cost]]</f>
        <v>384</v>
      </c>
    </row>
    <row r="452" spans="1:28" x14ac:dyDescent="0.35">
      <c r="A452" s="5" t="s">
        <v>146</v>
      </c>
      <c r="B452" s="3" t="s">
        <v>53</v>
      </c>
      <c r="C452" s="3" t="s">
        <v>1127</v>
      </c>
      <c r="D452" s="3" t="s">
        <v>1747</v>
      </c>
      <c r="E452" s="3" t="s">
        <v>28</v>
      </c>
      <c r="F452" s="3" t="s">
        <v>1748</v>
      </c>
      <c r="G452" s="3" t="s">
        <v>1749</v>
      </c>
      <c r="H452" s="43">
        <v>45583</v>
      </c>
      <c r="I452" s="43">
        <v>45647</v>
      </c>
      <c r="J452" s="47" t="str">
        <f>IF(GroDB[[#This Row],[Last_Order_Date]]&lt;=GroDB[[#This Row],[Date_Received]], "Yes", "No")</f>
        <v>No</v>
      </c>
      <c r="K452" s="43">
        <f>IF(GroDB[[#This Row],[Column1]]="No",GroDB[[#This Row],[Last_Order_Date]],GroDB[[#This Row],[Date_Received]])</f>
        <v>45647</v>
      </c>
      <c r="L452" s="43">
        <f>IF(GroDB[[#This Row],[Column1]]="No",GroDB[[#This Row],[Date_Received]],GroDB[[#This Row],[Last_Order_Date]])</f>
        <v>45583</v>
      </c>
      <c r="M452" s="45">
        <f>GroDB[[#This Row],[Date_Received1]]-GroDB[[#This Row],[Procurement_Date]]</f>
        <v>64</v>
      </c>
      <c r="N452" s="43">
        <v>45668</v>
      </c>
      <c r="O452" s="91">
        <f>GroDB[[#This Row],[Expiration_Date]]-GroDB[[#This Row],[Date_Received1]]</f>
        <v>21</v>
      </c>
      <c r="P452" s="4">
        <v>3.8000000000000003</v>
      </c>
      <c r="Q452" s="3">
        <v>56</v>
      </c>
      <c r="R452" s="3">
        <v>48</v>
      </c>
      <c r="S452" s="3">
        <v>82</v>
      </c>
      <c r="T452" s="4">
        <v>4.75</v>
      </c>
      <c r="U452" s="3">
        <v>71</v>
      </c>
      <c r="V452" s="51">
        <f>IF(GroDB[[#This Row],[LeadTime]]=0,GroDB[[#This Row],[Sales_Volume]],GroDB[[#This Row],[Sales_Volume]]/GroDB[[#This Row],[LeadTime]])</f>
        <v>1.109375</v>
      </c>
      <c r="W452" s="51">
        <f>_xlfn.STDEV.S(GroDB[Daily Sales])</f>
        <v>5.1999899792654221</v>
      </c>
      <c r="X452" s="3">
        <v>65</v>
      </c>
      <c r="Y452" s="7">
        <v>0.33</v>
      </c>
      <c r="Z452" s="4">
        <f>GroDB[[#This Row],[Unit_Price]]*GroDB[[#This Row],[Sales_Volume]]</f>
        <v>337.25</v>
      </c>
      <c r="AA452" s="22">
        <f>GroDB[[#This Row],[ADU]]/GroDB[[#Totals],[ADU]]</f>
        <v>9.7961090580996795E-4</v>
      </c>
      <c r="AB452" s="1">
        <f>GroDB[[#This Row],[Sales_Volume]]*GroDB[[#This Row],[Ordering Cost]]</f>
        <v>269.8</v>
      </c>
    </row>
    <row r="453" spans="1:28" x14ac:dyDescent="0.35">
      <c r="A453" s="5" t="s">
        <v>490</v>
      </c>
      <c r="B453" s="3" t="s">
        <v>18</v>
      </c>
      <c r="C453" s="3" t="s">
        <v>1054</v>
      </c>
      <c r="D453" s="3" t="s">
        <v>1750</v>
      </c>
      <c r="E453" s="3" t="s">
        <v>28</v>
      </c>
      <c r="F453" s="3" t="s">
        <v>1751</v>
      </c>
      <c r="G453" s="3" t="s">
        <v>1752</v>
      </c>
      <c r="H453" s="43">
        <v>45583</v>
      </c>
      <c r="I453" s="43">
        <v>45704</v>
      </c>
      <c r="J453" s="47" t="str">
        <f>IF(GroDB[[#This Row],[Last_Order_Date]]&lt;=GroDB[[#This Row],[Date_Received]], "Yes", "No")</f>
        <v>No</v>
      </c>
      <c r="K453" s="43">
        <f>IF(GroDB[[#This Row],[Column1]]="No",GroDB[[#This Row],[Last_Order_Date]],GroDB[[#This Row],[Date_Received]])</f>
        <v>45704</v>
      </c>
      <c r="L453" s="43">
        <f>IF(GroDB[[#This Row],[Column1]]="No",GroDB[[#This Row],[Date_Received]],GroDB[[#This Row],[Last_Order_Date]])</f>
        <v>45583</v>
      </c>
      <c r="M453" s="45">
        <f>GroDB[[#This Row],[Date_Received1]]-GroDB[[#This Row],[Procurement_Date]]</f>
        <v>121</v>
      </c>
      <c r="N453" s="43">
        <v>45620</v>
      </c>
      <c r="O453" s="91">
        <f>GroDB[[#This Row],[Expiration_Date]]-GroDB[[#This Row],[Date_Received1]]</f>
        <v>-84</v>
      </c>
      <c r="P453" s="4">
        <v>4</v>
      </c>
      <c r="Q453" s="3">
        <v>18</v>
      </c>
      <c r="R453" s="3">
        <v>3</v>
      </c>
      <c r="S453" s="3">
        <v>39</v>
      </c>
      <c r="T453" s="4">
        <v>5</v>
      </c>
      <c r="U453" s="3">
        <v>58</v>
      </c>
      <c r="V453" s="51">
        <f>IF(GroDB[[#This Row],[LeadTime]]=0,GroDB[[#This Row],[Sales_Volume]],GroDB[[#This Row],[Sales_Volume]]/GroDB[[#This Row],[LeadTime]])</f>
        <v>0.47933884297520662</v>
      </c>
      <c r="W453" s="51">
        <f>_xlfn.STDEV.S(GroDB[Daily Sales])</f>
        <v>5.1999899792654221</v>
      </c>
      <c r="X453" s="3">
        <v>61</v>
      </c>
      <c r="Y453" s="7">
        <v>0.08</v>
      </c>
      <c r="Z453" s="4">
        <f>GroDB[[#This Row],[Unit_Price]]*GroDB[[#This Row],[Sales_Volume]]</f>
        <v>290</v>
      </c>
      <c r="AA453" s="22">
        <f>GroDB[[#This Row],[ADU]]/GroDB[[#Totals],[ADU]]</f>
        <v>8.4236371441035059E-4</v>
      </c>
      <c r="AB453" s="1">
        <f>GroDB[[#This Row],[Sales_Volume]]*GroDB[[#This Row],[Ordering Cost]]</f>
        <v>232</v>
      </c>
    </row>
    <row r="454" spans="1:28" x14ac:dyDescent="0.35">
      <c r="A454" s="5" t="s">
        <v>333</v>
      </c>
      <c r="B454" s="3" t="s">
        <v>53</v>
      </c>
      <c r="C454" s="3" t="s">
        <v>338</v>
      </c>
      <c r="D454" s="3" t="s">
        <v>1753</v>
      </c>
      <c r="E454" s="3" t="s">
        <v>21</v>
      </c>
      <c r="F454" s="3" t="s">
        <v>1754</v>
      </c>
      <c r="G454" s="3" t="s">
        <v>1755</v>
      </c>
      <c r="H454" s="43">
        <v>45583</v>
      </c>
      <c r="I454" s="43">
        <v>45532</v>
      </c>
      <c r="J454" s="47" t="str">
        <f>IF(GroDB[[#This Row],[Last_Order_Date]]&lt;=GroDB[[#This Row],[Date_Received]], "Yes", "No")</f>
        <v>Yes</v>
      </c>
      <c r="K454" s="43">
        <f>IF(GroDB[[#This Row],[Column1]]="No",GroDB[[#This Row],[Last_Order_Date]],GroDB[[#This Row],[Date_Received]])</f>
        <v>45583</v>
      </c>
      <c r="L454" s="43">
        <f>IF(GroDB[[#This Row],[Column1]]="No",GroDB[[#This Row],[Date_Received]],GroDB[[#This Row],[Last_Order_Date]])</f>
        <v>45532</v>
      </c>
      <c r="M454" s="45">
        <f>GroDB[[#This Row],[Date_Received1]]-GroDB[[#This Row],[Procurement_Date]]</f>
        <v>51</v>
      </c>
      <c r="N454" s="43">
        <v>45673</v>
      </c>
      <c r="O454" s="91">
        <f>GroDB[[#This Row],[Expiration_Date]]-GroDB[[#This Row],[Date_Received1]]</f>
        <v>90</v>
      </c>
      <c r="P454" s="4">
        <v>8</v>
      </c>
      <c r="Q454" s="3">
        <v>32</v>
      </c>
      <c r="R454" s="3">
        <v>91</v>
      </c>
      <c r="S454" s="3">
        <v>80</v>
      </c>
      <c r="T454" s="4">
        <v>10</v>
      </c>
      <c r="U454" s="3">
        <v>69</v>
      </c>
      <c r="V454" s="51">
        <f>IF(GroDB[[#This Row],[LeadTime]]=0,GroDB[[#This Row],[Sales_Volume]],GroDB[[#This Row],[Sales_Volume]]/GroDB[[#This Row],[LeadTime]])</f>
        <v>1.3529411764705883</v>
      </c>
      <c r="W454" s="51">
        <f>_xlfn.STDEV.S(GroDB[Daily Sales])</f>
        <v>5.1999899792654221</v>
      </c>
      <c r="X454" s="3">
        <v>80</v>
      </c>
      <c r="Y454" s="7">
        <v>-0.05</v>
      </c>
      <c r="Z454" s="4">
        <f>GroDB[[#This Row],[Unit_Price]]*GroDB[[#This Row],[Sales_Volume]]</f>
        <v>690</v>
      </c>
      <c r="AA454" s="22">
        <f>GroDB[[#This Row],[ADU]]/GroDB[[#Totals],[ADU]]</f>
        <v>2.0042446998039375E-3</v>
      </c>
      <c r="AB454" s="1">
        <f>GroDB[[#This Row],[Sales_Volume]]*GroDB[[#This Row],[Ordering Cost]]</f>
        <v>552</v>
      </c>
    </row>
    <row r="455" spans="1:28" x14ac:dyDescent="0.35">
      <c r="A455" s="5" t="s">
        <v>574</v>
      </c>
      <c r="B455" s="3" t="s">
        <v>53</v>
      </c>
      <c r="C455" s="3" t="s">
        <v>1756</v>
      </c>
      <c r="D455" s="3" t="s">
        <v>1757</v>
      </c>
      <c r="E455" s="3" t="s">
        <v>28</v>
      </c>
      <c r="F455" s="3" t="s">
        <v>1758</v>
      </c>
      <c r="G455" s="3" t="s">
        <v>1759</v>
      </c>
      <c r="H455" s="43">
        <v>45584</v>
      </c>
      <c r="I455" s="43">
        <v>45637</v>
      </c>
      <c r="J455" s="47" t="str">
        <f>IF(GroDB[[#This Row],[Last_Order_Date]]&lt;=GroDB[[#This Row],[Date_Received]], "Yes", "No")</f>
        <v>No</v>
      </c>
      <c r="K455" s="43">
        <f>IF(GroDB[[#This Row],[Column1]]="No",GroDB[[#This Row],[Last_Order_Date]],GroDB[[#This Row],[Date_Received]])</f>
        <v>45637</v>
      </c>
      <c r="L455" s="43">
        <f>IF(GroDB[[#This Row],[Column1]]="No",GroDB[[#This Row],[Date_Received]],GroDB[[#This Row],[Last_Order_Date]])</f>
        <v>45584</v>
      </c>
      <c r="M455" s="45">
        <f>GroDB[[#This Row],[Date_Received1]]-GroDB[[#This Row],[Procurement_Date]]</f>
        <v>53</v>
      </c>
      <c r="N455" s="43">
        <v>45579</v>
      </c>
      <c r="O455" s="91">
        <f>GroDB[[#This Row],[Expiration_Date]]-GroDB[[#This Row],[Date_Received1]]</f>
        <v>-58</v>
      </c>
      <c r="P455" s="4">
        <v>1.6</v>
      </c>
      <c r="Q455" s="3">
        <v>91</v>
      </c>
      <c r="R455" s="3">
        <v>98</v>
      </c>
      <c r="S455" s="3">
        <v>6</v>
      </c>
      <c r="T455" s="4">
        <v>2</v>
      </c>
      <c r="U455" s="3">
        <v>100</v>
      </c>
      <c r="V455" s="51">
        <f>IF(GroDB[[#This Row],[LeadTime]]=0,GroDB[[#This Row],[Sales_Volume]],GroDB[[#This Row],[Sales_Volume]]/GroDB[[#This Row],[LeadTime]])</f>
        <v>1.8867924528301887</v>
      </c>
      <c r="W455" s="51">
        <f>_xlfn.STDEV.S(GroDB[Daily Sales])</f>
        <v>5.1999899792654221</v>
      </c>
      <c r="X455" s="3">
        <v>20</v>
      </c>
      <c r="Y455" s="7">
        <v>-0.16</v>
      </c>
      <c r="Z455" s="4">
        <f>GroDB[[#This Row],[Unit_Price]]*GroDB[[#This Row],[Sales_Volume]]</f>
        <v>200</v>
      </c>
      <c r="AA455" s="22">
        <f>GroDB[[#This Row],[ADU]]/GroDB[[#Totals],[ADU]]</f>
        <v>5.8094049269679347E-4</v>
      </c>
      <c r="AB455" s="1">
        <f>GroDB[[#This Row],[Sales_Volume]]*GroDB[[#This Row],[Ordering Cost]]</f>
        <v>160</v>
      </c>
    </row>
    <row r="456" spans="1:28" x14ac:dyDescent="0.35">
      <c r="A456" s="5" t="s">
        <v>1179</v>
      </c>
      <c r="B456" s="3" t="s">
        <v>91</v>
      </c>
      <c r="C456" s="3" t="s">
        <v>1156</v>
      </c>
      <c r="D456" s="3" t="s">
        <v>1760</v>
      </c>
      <c r="E456" s="3" t="s">
        <v>28</v>
      </c>
      <c r="F456" s="3" t="s">
        <v>1761</v>
      </c>
      <c r="G456" s="3" t="s">
        <v>1762</v>
      </c>
      <c r="H456" s="43">
        <v>45584</v>
      </c>
      <c r="I456" s="43">
        <v>45457</v>
      </c>
      <c r="J456" s="47" t="str">
        <f>IF(GroDB[[#This Row],[Last_Order_Date]]&lt;=GroDB[[#This Row],[Date_Received]], "Yes", "No")</f>
        <v>Yes</v>
      </c>
      <c r="K456" s="43">
        <f>IF(GroDB[[#This Row],[Column1]]="No",GroDB[[#This Row],[Last_Order_Date]],GroDB[[#This Row],[Date_Received]])</f>
        <v>45584</v>
      </c>
      <c r="L456" s="43">
        <f>IF(GroDB[[#This Row],[Column1]]="No",GroDB[[#This Row],[Date_Received]],GroDB[[#This Row],[Last_Order_Date]])</f>
        <v>45457</v>
      </c>
      <c r="M456" s="45">
        <f>GroDB[[#This Row],[Date_Received1]]-GroDB[[#This Row],[Procurement_Date]]</f>
        <v>127</v>
      </c>
      <c r="N456" s="43">
        <v>45434</v>
      </c>
      <c r="O456" s="91">
        <f>GroDB[[#This Row],[Expiration_Date]]-GroDB[[#This Row],[Date_Received1]]</f>
        <v>-150</v>
      </c>
      <c r="P456" s="4">
        <v>2</v>
      </c>
      <c r="Q456" s="3">
        <v>92</v>
      </c>
      <c r="R456" s="3">
        <v>87</v>
      </c>
      <c r="S456" s="3">
        <v>84</v>
      </c>
      <c r="T456" s="4">
        <v>2.5</v>
      </c>
      <c r="U456" s="3">
        <v>61</v>
      </c>
      <c r="V456" s="51">
        <f>IF(GroDB[[#This Row],[LeadTime]]=0,GroDB[[#This Row],[Sales_Volume]],GroDB[[#This Row],[Sales_Volume]]/GroDB[[#This Row],[LeadTime]])</f>
        <v>0.48031496062992124</v>
      </c>
      <c r="W456" s="51">
        <f>_xlfn.STDEV.S(GroDB[Daily Sales])</f>
        <v>5.1999899792654221</v>
      </c>
      <c r="X456" s="3">
        <v>31</v>
      </c>
      <c r="Y456" s="7">
        <v>0.8</v>
      </c>
      <c r="Z456" s="4">
        <f>GroDB[[#This Row],[Unit_Price]]*GroDB[[#This Row],[Sales_Volume]]</f>
        <v>152.5</v>
      </c>
      <c r="AA456" s="22">
        <f>GroDB[[#This Row],[ADU]]/GroDB[[#Totals],[ADU]]</f>
        <v>4.4296712568130505E-4</v>
      </c>
      <c r="AB456" s="1">
        <f>GroDB[[#This Row],[Sales_Volume]]*GroDB[[#This Row],[Ordering Cost]]</f>
        <v>122</v>
      </c>
    </row>
    <row r="457" spans="1:28" x14ac:dyDescent="0.35">
      <c r="A457" s="5" t="s">
        <v>220</v>
      </c>
      <c r="B457" s="3" t="s">
        <v>127</v>
      </c>
      <c r="C457" s="3" t="s">
        <v>616</v>
      </c>
      <c r="D457" s="3" t="s">
        <v>1763</v>
      </c>
      <c r="E457" s="3" t="s">
        <v>21</v>
      </c>
      <c r="F457" s="3" t="s">
        <v>1764</v>
      </c>
      <c r="G457" s="3" t="s">
        <v>1765</v>
      </c>
      <c r="H457" s="43">
        <v>45584</v>
      </c>
      <c r="I457" s="43">
        <v>45632</v>
      </c>
      <c r="J457" s="47" t="str">
        <f>IF(GroDB[[#This Row],[Last_Order_Date]]&lt;=GroDB[[#This Row],[Date_Received]], "Yes", "No")</f>
        <v>No</v>
      </c>
      <c r="K457" s="43">
        <f>IF(GroDB[[#This Row],[Column1]]="No",GroDB[[#This Row],[Last_Order_Date]],GroDB[[#This Row],[Date_Received]])</f>
        <v>45632</v>
      </c>
      <c r="L457" s="43">
        <f>IF(GroDB[[#This Row],[Column1]]="No",GroDB[[#This Row],[Date_Received]],GroDB[[#This Row],[Last_Order_Date]])</f>
        <v>45584</v>
      </c>
      <c r="M457" s="45">
        <f>GroDB[[#This Row],[Date_Received1]]-GroDB[[#This Row],[Procurement_Date]]</f>
        <v>48</v>
      </c>
      <c r="N457" s="43">
        <v>45467</v>
      </c>
      <c r="O457" s="91">
        <f>GroDB[[#This Row],[Expiration_Date]]-GroDB[[#This Row],[Date_Received1]]</f>
        <v>-165</v>
      </c>
      <c r="P457" s="4">
        <v>8.4</v>
      </c>
      <c r="Q457" s="3">
        <v>42</v>
      </c>
      <c r="R457" s="3">
        <v>88</v>
      </c>
      <c r="S457" s="3">
        <v>17</v>
      </c>
      <c r="T457" s="4">
        <v>10.5</v>
      </c>
      <c r="U457" s="3">
        <v>34</v>
      </c>
      <c r="V457" s="51">
        <f>IF(GroDB[[#This Row],[LeadTime]]=0,GroDB[[#This Row],[Sales_Volume]],GroDB[[#This Row],[Sales_Volume]]/GroDB[[#This Row],[LeadTime]])</f>
        <v>0.70833333333333337</v>
      </c>
      <c r="W457" s="51">
        <f>_xlfn.STDEV.S(GroDB[Daily Sales])</f>
        <v>5.1999899792654221</v>
      </c>
      <c r="X457" s="3">
        <v>51</v>
      </c>
      <c r="Y457" s="7">
        <v>0.49</v>
      </c>
      <c r="Z457" s="4">
        <f>GroDB[[#This Row],[Unit_Price]]*GroDB[[#This Row],[Sales_Volume]]</f>
        <v>357</v>
      </c>
      <c r="AA457" s="22">
        <f>GroDB[[#This Row],[ADU]]/GroDB[[#Totals],[ADU]]</f>
        <v>1.0369787794637763E-3</v>
      </c>
      <c r="AB457" s="1">
        <f>GroDB[[#This Row],[Sales_Volume]]*GroDB[[#This Row],[Ordering Cost]]</f>
        <v>285.60000000000002</v>
      </c>
    </row>
    <row r="458" spans="1:28" x14ac:dyDescent="0.35">
      <c r="A458" s="5" t="s">
        <v>288</v>
      </c>
      <c r="B458" s="3" t="s">
        <v>60</v>
      </c>
      <c r="C458" s="3" t="s">
        <v>1766</v>
      </c>
      <c r="D458" s="3" t="s">
        <v>1767</v>
      </c>
      <c r="E458" s="3" t="s">
        <v>56</v>
      </c>
      <c r="F458" s="3" t="s">
        <v>1768</v>
      </c>
      <c r="G458" s="3" t="s">
        <v>1769</v>
      </c>
      <c r="H458" s="43">
        <v>45585</v>
      </c>
      <c r="I458" s="43">
        <v>45441</v>
      </c>
      <c r="J458" s="47" t="str">
        <f>IF(GroDB[[#This Row],[Last_Order_Date]]&lt;=GroDB[[#This Row],[Date_Received]], "Yes", "No")</f>
        <v>Yes</v>
      </c>
      <c r="K458" s="43">
        <f>IF(GroDB[[#This Row],[Column1]]="No",GroDB[[#This Row],[Last_Order_Date]],GroDB[[#This Row],[Date_Received]])</f>
        <v>45585</v>
      </c>
      <c r="L458" s="43">
        <f>IF(GroDB[[#This Row],[Column1]]="No",GroDB[[#This Row],[Date_Received]],GroDB[[#This Row],[Last_Order_Date]])</f>
        <v>45441</v>
      </c>
      <c r="M458" s="45">
        <f>GroDB[[#This Row],[Date_Received1]]-GroDB[[#This Row],[Procurement_Date]]</f>
        <v>144</v>
      </c>
      <c r="N458" s="43">
        <v>45486</v>
      </c>
      <c r="O458" s="91">
        <f>GroDB[[#This Row],[Expiration_Date]]-GroDB[[#This Row],[Date_Received1]]</f>
        <v>-99</v>
      </c>
      <c r="P458" s="4">
        <v>9.6000000000000014</v>
      </c>
      <c r="Q458" s="3">
        <v>75</v>
      </c>
      <c r="R458" s="3">
        <v>25</v>
      </c>
      <c r="S458" s="3">
        <v>99</v>
      </c>
      <c r="T458" s="4">
        <v>12</v>
      </c>
      <c r="U458" s="3">
        <v>89</v>
      </c>
      <c r="V458" s="51">
        <f>IF(GroDB[[#This Row],[LeadTime]]=0,GroDB[[#This Row],[Sales_Volume]],GroDB[[#This Row],[Sales_Volume]]/GroDB[[#This Row],[LeadTime]])</f>
        <v>0.61805555555555558</v>
      </c>
      <c r="W458" s="51">
        <f>_xlfn.STDEV.S(GroDB[Daily Sales])</f>
        <v>5.1999899792654221</v>
      </c>
      <c r="X458" s="3">
        <v>42</v>
      </c>
      <c r="Y458" s="7">
        <v>-0.5</v>
      </c>
      <c r="Z458" s="4">
        <f>GroDB[[#This Row],[Unit_Price]]*GroDB[[#This Row],[Sales_Volume]]</f>
        <v>1068</v>
      </c>
      <c r="AA458" s="22">
        <f>GroDB[[#This Row],[ADU]]/GroDB[[#Totals],[ADU]]</f>
        <v>3.1022222310008772E-3</v>
      </c>
      <c r="AB458" s="1">
        <f>GroDB[[#This Row],[Sales_Volume]]*GroDB[[#This Row],[Ordering Cost]]</f>
        <v>854.40000000000009</v>
      </c>
    </row>
    <row r="459" spans="1:28" x14ac:dyDescent="0.35">
      <c r="A459" s="5" t="s">
        <v>180</v>
      </c>
      <c r="B459" s="3" t="s">
        <v>18</v>
      </c>
      <c r="C459" s="3" t="s">
        <v>1770</v>
      </c>
      <c r="D459" s="3" t="s">
        <v>1771</v>
      </c>
      <c r="E459" s="3" t="s">
        <v>56</v>
      </c>
      <c r="F459" s="3" t="s">
        <v>1772</v>
      </c>
      <c r="G459" s="3" t="s">
        <v>1773</v>
      </c>
      <c r="H459" s="43">
        <v>45585</v>
      </c>
      <c r="I459" s="43">
        <v>45437</v>
      </c>
      <c r="J459" s="47" t="str">
        <f>IF(GroDB[[#This Row],[Last_Order_Date]]&lt;=GroDB[[#This Row],[Date_Received]], "Yes", "No")</f>
        <v>Yes</v>
      </c>
      <c r="K459" s="43">
        <f>IF(GroDB[[#This Row],[Column1]]="No",GroDB[[#This Row],[Last_Order_Date]],GroDB[[#This Row],[Date_Received]])</f>
        <v>45585</v>
      </c>
      <c r="L459" s="43">
        <f>IF(GroDB[[#This Row],[Column1]]="No",GroDB[[#This Row],[Date_Received]],GroDB[[#This Row],[Last_Order_Date]])</f>
        <v>45437</v>
      </c>
      <c r="M459" s="45">
        <f>GroDB[[#This Row],[Date_Received1]]-GroDB[[#This Row],[Procurement_Date]]</f>
        <v>148</v>
      </c>
      <c r="N459" s="43">
        <v>45552</v>
      </c>
      <c r="O459" s="91">
        <f>GroDB[[#This Row],[Expiration_Date]]-GroDB[[#This Row],[Date_Received1]]</f>
        <v>-33</v>
      </c>
      <c r="P459" s="4">
        <v>1.4400000000000002</v>
      </c>
      <c r="Q459" s="3">
        <v>76</v>
      </c>
      <c r="R459" s="3">
        <v>11</v>
      </c>
      <c r="S459" s="3">
        <v>15</v>
      </c>
      <c r="T459" s="4">
        <v>1.8</v>
      </c>
      <c r="U459" s="3">
        <v>22</v>
      </c>
      <c r="V459" s="51">
        <f>IF(GroDB[[#This Row],[LeadTime]]=0,GroDB[[#This Row],[Sales_Volume]],GroDB[[#This Row],[Sales_Volume]]/GroDB[[#This Row],[LeadTime]])</f>
        <v>0.14864864864864866</v>
      </c>
      <c r="W459" s="51">
        <f>_xlfn.STDEV.S(GroDB[Daily Sales])</f>
        <v>5.1999899792654221</v>
      </c>
      <c r="X459" s="3">
        <v>91</v>
      </c>
      <c r="Y459" s="7">
        <v>0.53</v>
      </c>
      <c r="Z459" s="4">
        <f>GroDB[[#This Row],[Unit_Price]]*GroDB[[#This Row],[Sales_Volume]]</f>
        <v>39.6</v>
      </c>
      <c r="AA459" s="22">
        <f>GroDB[[#This Row],[ADU]]/GroDB[[#Totals],[ADU]]</f>
        <v>1.1502621755396511E-4</v>
      </c>
      <c r="AB459" s="1">
        <f>GroDB[[#This Row],[Sales_Volume]]*GroDB[[#This Row],[Ordering Cost]]</f>
        <v>31.680000000000003</v>
      </c>
    </row>
    <row r="460" spans="1:28" x14ac:dyDescent="0.35">
      <c r="A460" s="5" t="s">
        <v>789</v>
      </c>
      <c r="B460" s="3" t="s">
        <v>18</v>
      </c>
      <c r="C460" s="3" t="s">
        <v>1261</v>
      </c>
      <c r="D460" s="3" t="s">
        <v>1774</v>
      </c>
      <c r="E460" s="3" t="s">
        <v>56</v>
      </c>
      <c r="F460" s="3" t="s">
        <v>1775</v>
      </c>
      <c r="G460" s="3" t="s">
        <v>1776</v>
      </c>
      <c r="H460" s="43">
        <v>45585</v>
      </c>
      <c r="I460" s="43">
        <v>45350</v>
      </c>
      <c r="J460" s="47" t="str">
        <f>IF(GroDB[[#This Row],[Last_Order_Date]]&lt;=GroDB[[#This Row],[Date_Received]], "Yes", "No")</f>
        <v>Yes</v>
      </c>
      <c r="K460" s="43">
        <f>IF(GroDB[[#This Row],[Column1]]="No",GroDB[[#This Row],[Last_Order_Date]],GroDB[[#This Row],[Date_Received]])</f>
        <v>45585</v>
      </c>
      <c r="L460" s="43">
        <f>IF(GroDB[[#This Row],[Column1]]="No",GroDB[[#This Row],[Date_Received]],GroDB[[#This Row],[Last_Order_Date]])</f>
        <v>45350</v>
      </c>
      <c r="M460" s="45">
        <f>GroDB[[#This Row],[Date_Received1]]-GroDB[[#This Row],[Procurement_Date]]</f>
        <v>235</v>
      </c>
      <c r="N460" s="43">
        <v>45542</v>
      </c>
      <c r="O460" s="91">
        <f>GroDB[[#This Row],[Expiration_Date]]-GroDB[[#This Row],[Date_Received1]]</f>
        <v>-43</v>
      </c>
      <c r="P460" s="4">
        <v>1.6800000000000002</v>
      </c>
      <c r="Q460" s="3">
        <v>86</v>
      </c>
      <c r="R460" s="3">
        <v>90</v>
      </c>
      <c r="S460" s="3">
        <v>39</v>
      </c>
      <c r="T460" s="4">
        <v>2.1</v>
      </c>
      <c r="U460" s="3">
        <v>98</v>
      </c>
      <c r="V460" s="51">
        <f>IF(GroDB[[#This Row],[LeadTime]]=0,GroDB[[#This Row],[Sales_Volume]],GroDB[[#This Row],[Sales_Volume]]/GroDB[[#This Row],[LeadTime]])</f>
        <v>0.41702127659574467</v>
      </c>
      <c r="W460" s="51">
        <f>_xlfn.STDEV.S(GroDB[Daily Sales])</f>
        <v>5.1999899792654221</v>
      </c>
      <c r="X460" s="3">
        <v>85</v>
      </c>
      <c r="Y460" s="7">
        <v>-3.14</v>
      </c>
      <c r="Z460" s="4">
        <f>GroDB[[#This Row],[Unit_Price]]*GroDB[[#This Row],[Sales_Volume]]</f>
        <v>205.8</v>
      </c>
      <c r="AA460" s="22">
        <f>GroDB[[#This Row],[ADU]]/GroDB[[#Totals],[ADU]]</f>
        <v>5.9778776698500059E-4</v>
      </c>
      <c r="AB460" s="1">
        <f>GroDB[[#This Row],[Sales_Volume]]*GroDB[[#This Row],[Ordering Cost]]</f>
        <v>164.64000000000001</v>
      </c>
    </row>
    <row r="461" spans="1:28" x14ac:dyDescent="0.35">
      <c r="A461" s="5" t="s">
        <v>355</v>
      </c>
      <c r="B461" s="3" t="s">
        <v>18</v>
      </c>
      <c r="C461" s="3" t="s">
        <v>601</v>
      </c>
      <c r="D461" s="3" t="s">
        <v>1777</v>
      </c>
      <c r="E461" s="3" t="s">
        <v>21</v>
      </c>
      <c r="F461" s="3" t="s">
        <v>1778</v>
      </c>
      <c r="G461" s="3" t="s">
        <v>1779</v>
      </c>
      <c r="H461" s="43">
        <v>45585</v>
      </c>
      <c r="I461" s="43">
        <v>45668</v>
      </c>
      <c r="J461" s="47" t="str">
        <f>IF(GroDB[[#This Row],[Last_Order_Date]]&lt;=GroDB[[#This Row],[Date_Received]], "Yes", "No")</f>
        <v>No</v>
      </c>
      <c r="K461" s="43">
        <f>IF(GroDB[[#This Row],[Column1]]="No",GroDB[[#This Row],[Last_Order_Date]],GroDB[[#This Row],[Date_Received]])</f>
        <v>45668</v>
      </c>
      <c r="L461" s="43">
        <f>IF(GroDB[[#This Row],[Column1]]="No",GroDB[[#This Row],[Date_Received]],GroDB[[#This Row],[Last_Order_Date]])</f>
        <v>45585</v>
      </c>
      <c r="M461" s="45">
        <f>GroDB[[#This Row],[Date_Received1]]-GroDB[[#This Row],[Procurement_Date]]</f>
        <v>83</v>
      </c>
      <c r="N461" s="43">
        <v>45704</v>
      </c>
      <c r="O461" s="91">
        <f>GroDB[[#This Row],[Expiration_Date]]-GroDB[[#This Row],[Date_Received1]]</f>
        <v>36</v>
      </c>
      <c r="P461" s="4">
        <v>0.72000000000000008</v>
      </c>
      <c r="Q461" s="3">
        <v>90</v>
      </c>
      <c r="R461" s="3">
        <v>1</v>
      </c>
      <c r="S461" s="3">
        <v>40</v>
      </c>
      <c r="T461" s="4">
        <v>0.9</v>
      </c>
      <c r="U461" s="3">
        <v>52</v>
      </c>
      <c r="V461" s="51">
        <f>IF(GroDB[[#This Row],[LeadTime]]=0,GroDB[[#This Row],[Sales_Volume]],GroDB[[#This Row],[Sales_Volume]]/GroDB[[#This Row],[LeadTime]])</f>
        <v>0.62650602409638556</v>
      </c>
      <c r="W461" s="51">
        <f>_xlfn.STDEV.S(GroDB[Daily Sales])</f>
        <v>5.1999899792654221</v>
      </c>
      <c r="X461" s="3">
        <v>19</v>
      </c>
      <c r="Y461" s="7">
        <v>0.13</v>
      </c>
      <c r="Z461" s="4">
        <f>GroDB[[#This Row],[Unit_Price]]*GroDB[[#This Row],[Sales_Volume]]</f>
        <v>46.800000000000004</v>
      </c>
      <c r="AA461" s="22">
        <f>GroDB[[#This Row],[ADU]]/GroDB[[#Totals],[ADU]]</f>
        <v>1.3594007529104968E-4</v>
      </c>
      <c r="AB461" s="1">
        <f>GroDB[[#This Row],[Sales_Volume]]*GroDB[[#This Row],[Ordering Cost]]</f>
        <v>37.440000000000005</v>
      </c>
    </row>
    <row r="462" spans="1:28" x14ac:dyDescent="0.35">
      <c r="A462" s="5" t="s">
        <v>293</v>
      </c>
      <c r="B462" s="3" t="s">
        <v>18</v>
      </c>
      <c r="C462" s="3" t="s">
        <v>221</v>
      </c>
      <c r="D462" s="3" t="s">
        <v>1780</v>
      </c>
      <c r="E462" s="3" t="s">
        <v>21</v>
      </c>
      <c r="F462" s="3" t="s">
        <v>1781</v>
      </c>
      <c r="G462" s="3" t="s">
        <v>1782</v>
      </c>
      <c r="H462" s="43">
        <v>45585</v>
      </c>
      <c r="I462" s="43">
        <v>45358</v>
      </c>
      <c r="J462" s="47" t="str">
        <f>IF(GroDB[[#This Row],[Last_Order_Date]]&lt;=GroDB[[#This Row],[Date_Received]], "Yes", "No")</f>
        <v>Yes</v>
      </c>
      <c r="K462" s="43">
        <f>IF(GroDB[[#This Row],[Column1]]="No",GroDB[[#This Row],[Last_Order_Date]],GroDB[[#This Row],[Date_Received]])</f>
        <v>45585</v>
      </c>
      <c r="L462" s="43">
        <f>IF(GroDB[[#This Row],[Column1]]="No",GroDB[[#This Row],[Date_Received]],GroDB[[#This Row],[Last_Order_Date]])</f>
        <v>45358</v>
      </c>
      <c r="M462" s="45">
        <f>GroDB[[#This Row],[Date_Received1]]-GroDB[[#This Row],[Procurement_Date]]</f>
        <v>227</v>
      </c>
      <c r="N462" s="43">
        <v>45651</v>
      </c>
      <c r="O462" s="91">
        <f>GroDB[[#This Row],[Expiration_Date]]-GroDB[[#This Row],[Date_Received1]]</f>
        <v>66</v>
      </c>
      <c r="P462" s="4">
        <v>1.6</v>
      </c>
      <c r="Q462" s="3">
        <v>20</v>
      </c>
      <c r="R462" s="3">
        <v>93</v>
      </c>
      <c r="S462" s="3">
        <v>37</v>
      </c>
      <c r="T462" s="4">
        <v>2</v>
      </c>
      <c r="U462" s="3">
        <v>23</v>
      </c>
      <c r="V462" s="51">
        <f>IF(GroDB[[#This Row],[LeadTime]]=0,GroDB[[#This Row],[Sales_Volume]],GroDB[[#This Row],[Sales_Volume]]/GroDB[[#This Row],[LeadTime]])</f>
        <v>0.1013215859030837</v>
      </c>
      <c r="W462" s="51">
        <f>_xlfn.STDEV.S(GroDB[Daily Sales])</f>
        <v>5.1999899792654221</v>
      </c>
      <c r="X462" s="3">
        <v>2</v>
      </c>
      <c r="Y462" s="7">
        <v>0.63</v>
      </c>
      <c r="Z462" s="4">
        <f>GroDB[[#This Row],[Unit_Price]]*GroDB[[#This Row],[Sales_Volume]]</f>
        <v>46</v>
      </c>
      <c r="AA462" s="22">
        <f>GroDB[[#This Row],[ADU]]/GroDB[[#Totals],[ADU]]</f>
        <v>1.3361631332026251E-4</v>
      </c>
      <c r="AB462" s="1">
        <f>GroDB[[#This Row],[Sales_Volume]]*GroDB[[#This Row],[Ordering Cost]]</f>
        <v>36.800000000000004</v>
      </c>
    </row>
    <row r="463" spans="1:28" x14ac:dyDescent="0.35">
      <c r="A463" s="5" t="s">
        <v>554</v>
      </c>
      <c r="B463" s="3" t="s">
        <v>53</v>
      </c>
      <c r="C463" s="3" t="s">
        <v>299</v>
      </c>
      <c r="D463" s="3" t="s">
        <v>1783</v>
      </c>
      <c r="E463" s="3" t="s">
        <v>28</v>
      </c>
      <c r="F463" s="3" t="s">
        <v>1784</v>
      </c>
      <c r="G463" s="3" t="s">
        <v>1785</v>
      </c>
      <c r="H463" s="43">
        <v>45586</v>
      </c>
      <c r="I463" s="43">
        <v>45707</v>
      </c>
      <c r="J463" s="47" t="str">
        <f>IF(GroDB[[#This Row],[Last_Order_Date]]&lt;=GroDB[[#This Row],[Date_Received]], "Yes", "No")</f>
        <v>No</v>
      </c>
      <c r="K463" s="43">
        <f>IF(GroDB[[#This Row],[Column1]]="No",GroDB[[#This Row],[Last_Order_Date]],GroDB[[#This Row],[Date_Received]])</f>
        <v>45707</v>
      </c>
      <c r="L463" s="43">
        <f>IF(GroDB[[#This Row],[Column1]]="No",GroDB[[#This Row],[Date_Received]],GroDB[[#This Row],[Last_Order_Date]])</f>
        <v>45586</v>
      </c>
      <c r="M463" s="45">
        <f>GroDB[[#This Row],[Date_Received1]]-GroDB[[#This Row],[Procurement_Date]]</f>
        <v>121</v>
      </c>
      <c r="N463" s="43">
        <v>45675</v>
      </c>
      <c r="O463" s="91">
        <f>GroDB[[#This Row],[Expiration_Date]]-GroDB[[#This Row],[Date_Received1]]</f>
        <v>-32</v>
      </c>
      <c r="P463" s="4">
        <v>2</v>
      </c>
      <c r="Q463" s="3">
        <v>17</v>
      </c>
      <c r="R463" s="3">
        <v>88</v>
      </c>
      <c r="S463" s="3">
        <v>41</v>
      </c>
      <c r="T463" s="4">
        <v>2.5</v>
      </c>
      <c r="U463" s="3">
        <v>45</v>
      </c>
      <c r="V463" s="51">
        <f>IF(GroDB[[#This Row],[LeadTime]]=0,GroDB[[#This Row],[Sales_Volume]],GroDB[[#This Row],[Sales_Volume]]/GroDB[[#This Row],[LeadTime]])</f>
        <v>0.37190082644628097</v>
      </c>
      <c r="W463" s="51">
        <f>_xlfn.STDEV.S(GroDB[Daily Sales])</f>
        <v>5.1999899792654221</v>
      </c>
      <c r="X463" s="3">
        <v>29</v>
      </c>
      <c r="Y463" s="7">
        <v>0.91</v>
      </c>
      <c r="Z463" s="4">
        <f>GroDB[[#This Row],[Unit_Price]]*GroDB[[#This Row],[Sales_Volume]]</f>
        <v>112.5</v>
      </c>
      <c r="AA463" s="22">
        <f>GroDB[[#This Row],[ADU]]/GroDB[[#Totals],[ADU]]</f>
        <v>3.2677902714194632E-4</v>
      </c>
      <c r="AB463" s="1">
        <f>GroDB[[#This Row],[Sales_Volume]]*GroDB[[#This Row],[Ordering Cost]]</f>
        <v>90</v>
      </c>
    </row>
    <row r="464" spans="1:28" x14ac:dyDescent="0.35">
      <c r="A464" s="5" t="s">
        <v>817</v>
      </c>
      <c r="B464" s="3" t="s">
        <v>18</v>
      </c>
      <c r="C464" s="3" t="s">
        <v>1398</v>
      </c>
      <c r="D464" s="3" t="s">
        <v>1786</v>
      </c>
      <c r="E464" s="3" t="s">
        <v>21</v>
      </c>
      <c r="F464" s="3" t="s">
        <v>1787</v>
      </c>
      <c r="G464" s="3" t="s">
        <v>1788</v>
      </c>
      <c r="H464" s="43">
        <v>45587</v>
      </c>
      <c r="I464" s="43">
        <v>45382</v>
      </c>
      <c r="J464" s="47" t="str">
        <f>IF(GroDB[[#This Row],[Last_Order_Date]]&lt;=GroDB[[#This Row],[Date_Received]], "Yes", "No")</f>
        <v>Yes</v>
      </c>
      <c r="K464" s="43">
        <f>IF(GroDB[[#This Row],[Column1]]="No",GroDB[[#This Row],[Last_Order_Date]],GroDB[[#This Row],[Date_Received]])</f>
        <v>45587</v>
      </c>
      <c r="L464" s="43">
        <f>IF(GroDB[[#This Row],[Column1]]="No",GroDB[[#This Row],[Date_Received]],GroDB[[#This Row],[Last_Order_Date]])</f>
        <v>45382</v>
      </c>
      <c r="M464" s="45">
        <f>GroDB[[#This Row],[Date_Received1]]-GroDB[[#This Row],[Procurement_Date]]</f>
        <v>205</v>
      </c>
      <c r="N464" s="43">
        <v>45636</v>
      </c>
      <c r="O464" s="91">
        <f>GroDB[[#This Row],[Expiration_Date]]-GroDB[[#This Row],[Date_Received1]]</f>
        <v>49</v>
      </c>
      <c r="P464" s="4">
        <v>2.4000000000000004</v>
      </c>
      <c r="Q464" s="3">
        <v>49</v>
      </c>
      <c r="R464" s="3">
        <v>46</v>
      </c>
      <c r="S464" s="3">
        <v>8</v>
      </c>
      <c r="T464" s="4">
        <v>3</v>
      </c>
      <c r="U464" s="3">
        <v>82</v>
      </c>
      <c r="V464" s="51">
        <f>IF(GroDB[[#This Row],[LeadTime]]=0,GroDB[[#This Row],[Sales_Volume]],GroDB[[#This Row],[Sales_Volume]]/GroDB[[#This Row],[LeadTime]])</f>
        <v>0.4</v>
      </c>
      <c r="W464" s="51">
        <f>_xlfn.STDEV.S(GroDB[Daily Sales])</f>
        <v>5.1999899792654221</v>
      </c>
      <c r="X464" s="3">
        <v>21</v>
      </c>
      <c r="Y464" s="7">
        <v>0.36</v>
      </c>
      <c r="Z464" s="4">
        <f>GroDB[[#This Row],[Unit_Price]]*GroDB[[#This Row],[Sales_Volume]]</f>
        <v>246</v>
      </c>
      <c r="AA464" s="22">
        <f>GroDB[[#This Row],[ADU]]/GroDB[[#Totals],[ADU]]</f>
        <v>7.1455680601705603E-4</v>
      </c>
      <c r="AB464" s="1">
        <f>GroDB[[#This Row],[Sales_Volume]]*GroDB[[#This Row],[Ordering Cost]]</f>
        <v>196.80000000000004</v>
      </c>
    </row>
    <row r="465" spans="1:28" x14ac:dyDescent="0.35">
      <c r="A465" s="5" t="s">
        <v>1085</v>
      </c>
      <c r="B465" s="3" t="s">
        <v>32</v>
      </c>
      <c r="C465" s="3" t="s">
        <v>1479</v>
      </c>
      <c r="D465" s="3" t="s">
        <v>1789</v>
      </c>
      <c r="E465" s="3" t="s">
        <v>56</v>
      </c>
      <c r="F465" s="3" t="s">
        <v>1790</v>
      </c>
      <c r="G465" s="3" t="s">
        <v>1791</v>
      </c>
      <c r="H465" s="43">
        <v>45587</v>
      </c>
      <c r="I465" s="43">
        <v>45664</v>
      </c>
      <c r="J465" s="47" t="str">
        <f>IF(GroDB[[#This Row],[Last_Order_Date]]&lt;=GroDB[[#This Row],[Date_Received]], "Yes", "No")</f>
        <v>No</v>
      </c>
      <c r="K465" s="43">
        <f>IF(GroDB[[#This Row],[Column1]]="No",GroDB[[#This Row],[Last_Order_Date]],GroDB[[#This Row],[Date_Received]])</f>
        <v>45664</v>
      </c>
      <c r="L465" s="43">
        <f>IF(GroDB[[#This Row],[Column1]]="No",GroDB[[#This Row],[Date_Received]],GroDB[[#This Row],[Last_Order_Date]])</f>
        <v>45587</v>
      </c>
      <c r="M465" s="45">
        <f>GroDB[[#This Row],[Date_Received1]]-GroDB[[#This Row],[Procurement_Date]]</f>
        <v>77</v>
      </c>
      <c r="N465" s="43">
        <v>45612</v>
      </c>
      <c r="O465" s="91">
        <f>GroDB[[#This Row],[Expiration_Date]]-GroDB[[#This Row],[Date_Received1]]</f>
        <v>-52</v>
      </c>
      <c r="P465" s="4">
        <v>6.4</v>
      </c>
      <c r="Q465" s="3">
        <v>20</v>
      </c>
      <c r="R465" s="3">
        <v>17</v>
      </c>
      <c r="S465" s="3">
        <v>71</v>
      </c>
      <c r="T465" s="4">
        <v>8</v>
      </c>
      <c r="U465" s="3">
        <v>50</v>
      </c>
      <c r="V465" s="51">
        <f>IF(GroDB[[#This Row],[LeadTime]]=0,GroDB[[#This Row],[Sales_Volume]],GroDB[[#This Row],[Sales_Volume]]/GroDB[[#This Row],[LeadTime]])</f>
        <v>0.64935064935064934</v>
      </c>
      <c r="W465" s="51">
        <f>_xlfn.STDEV.S(GroDB[Daily Sales])</f>
        <v>5.1999899792654221</v>
      </c>
      <c r="X465" s="3">
        <v>65</v>
      </c>
      <c r="Y465" s="7">
        <v>0.74</v>
      </c>
      <c r="Z465" s="4">
        <f>GroDB[[#This Row],[Unit_Price]]*GroDB[[#This Row],[Sales_Volume]]</f>
        <v>400</v>
      </c>
      <c r="AA465" s="22">
        <f>GroDB[[#This Row],[ADU]]/GroDB[[#Totals],[ADU]]</f>
        <v>1.1618809853935869E-3</v>
      </c>
      <c r="AB465" s="1">
        <f>GroDB[[#This Row],[Sales_Volume]]*GroDB[[#This Row],[Ordering Cost]]</f>
        <v>320</v>
      </c>
    </row>
    <row r="466" spans="1:28" x14ac:dyDescent="0.35">
      <c r="A466" s="5" t="s">
        <v>175</v>
      </c>
      <c r="B466" s="3" t="s">
        <v>53</v>
      </c>
      <c r="C466" s="3" t="s">
        <v>316</v>
      </c>
      <c r="D466" s="3" t="s">
        <v>1792</v>
      </c>
      <c r="E466" s="3" t="s">
        <v>21</v>
      </c>
      <c r="F466" s="3" t="s">
        <v>1793</v>
      </c>
      <c r="G466" s="3" t="s">
        <v>1794</v>
      </c>
      <c r="H466" s="43">
        <v>45587</v>
      </c>
      <c r="I466" s="43">
        <v>45518</v>
      </c>
      <c r="J466" s="47" t="str">
        <f>IF(GroDB[[#This Row],[Last_Order_Date]]&lt;=GroDB[[#This Row],[Date_Received]], "Yes", "No")</f>
        <v>Yes</v>
      </c>
      <c r="K466" s="43">
        <f>IF(GroDB[[#This Row],[Column1]]="No",GroDB[[#This Row],[Last_Order_Date]],GroDB[[#This Row],[Date_Received]])</f>
        <v>45587</v>
      </c>
      <c r="L466" s="43">
        <f>IF(GroDB[[#This Row],[Column1]]="No",GroDB[[#This Row],[Date_Received]],GroDB[[#This Row],[Last_Order_Date]])</f>
        <v>45518</v>
      </c>
      <c r="M466" s="45">
        <f>GroDB[[#This Row],[Date_Received1]]-GroDB[[#This Row],[Procurement_Date]]</f>
        <v>69</v>
      </c>
      <c r="N466" s="43">
        <v>45617</v>
      </c>
      <c r="O466" s="91">
        <f>GroDB[[#This Row],[Expiration_Date]]-GroDB[[#This Row],[Date_Received1]]</f>
        <v>30</v>
      </c>
      <c r="P466" s="4">
        <v>1.2000000000000002</v>
      </c>
      <c r="Q466" s="3">
        <v>99</v>
      </c>
      <c r="R466" s="3">
        <v>54</v>
      </c>
      <c r="S466" s="3">
        <v>71</v>
      </c>
      <c r="T466" s="4">
        <v>1.5</v>
      </c>
      <c r="U466" s="3">
        <v>80</v>
      </c>
      <c r="V466" s="51">
        <f>IF(GroDB[[#This Row],[LeadTime]]=0,GroDB[[#This Row],[Sales_Volume]],GroDB[[#This Row],[Sales_Volume]]/GroDB[[#This Row],[LeadTime]])</f>
        <v>1.1594202898550725</v>
      </c>
      <c r="W466" s="51">
        <f>_xlfn.STDEV.S(GroDB[Daily Sales])</f>
        <v>5.1999899792654221</v>
      </c>
      <c r="X466" s="3">
        <v>10</v>
      </c>
      <c r="Y466" s="7">
        <v>-0.3</v>
      </c>
      <c r="Z466" s="4">
        <f>GroDB[[#This Row],[Unit_Price]]*GroDB[[#This Row],[Sales_Volume]]</f>
        <v>120</v>
      </c>
      <c r="AA466" s="22">
        <f>GroDB[[#This Row],[ADU]]/GroDB[[#Totals],[ADU]]</f>
        <v>3.4856429561807613E-4</v>
      </c>
      <c r="AB466" s="1">
        <f>GroDB[[#This Row],[Sales_Volume]]*GroDB[[#This Row],[Ordering Cost]]</f>
        <v>96.000000000000014</v>
      </c>
    </row>
    <row r="467" spans="1:28" x14ac:dyDescent="0.35">
      <c r="A467" s="5" t="s">
        <v>59</v>
      </c>
      <c r="B467" s="3" t="s">
        <v>60</v>
      </c>
      <c r="C467" s="3" t="s">
        <v>1795</v>
      </c>
      <c r="D467" s="3" t="s">
        <v>1796</v>
      </c>
      <c r="E467" s="3" t="s">
        <v>28</v>
      </c>
      <c r="F467" s="3" t="s">
        <v>1797</v>
      </c>
      <c r="G467" s="3" t="s">
        <v>1798</v>
      </c>
      <c r="H467" s="43">
        <v>45587</v>
      </c>
      <c r="I467" s="43">
        <v>45420</v>
      </c>
      <c r="J467" s="47" t="str">
        <f>IF(GroDB[[#This Row],[Last_Order_Date]]&lt;=GroDB[[#This Row],[Date_Received]], "Yes", "No")</f>
        <v>Yes</v>
      </c>
      <c r="K467" s="43">
        <f>IF(GroDB[[#This Row],[Column1]]="No",GroDB[[#This Row],[Last_Order_Date]],GroDB[[#This Row],[Date_Received]])</f>
        <v>45587</v>
      </c>
      <c r="L467" s="43">
        <f>IF(GroDB[[#This Row],[Column1]]="No",GroDB[[#This Row],[Date_Received]],GroDB[[#This Row],[Last_Order_Date]])</f>
        <v>45420</v>
      </c>
      <c r="M467" s="45">
        <f>GroDB[[#This Row],[Date_Received1]]-GroDB[[#This Row],[Procurement_Date]]</f>
        <v>167</v>
      </c>
      <c r="N467" s="43">
        <v>45520</v>
      </c>
      <c r="O467" s="91">
        <f>GroDB[[#This Row],[Expiration_Date]]-GroDB[[#This Row],[Date_Received1]]</f>
        <v>-67</v>
      </c>
      <c r="P467" s="4">
        <v>8</v>
      </c>
      <c r="Q467" s="3">
        <v>51</v>
      </c>
      <c r="R467" s="3">
        <v>35</v>
      </c>
      <c r="S467" s="3">
        <v>95</v>
      </c>
      <c r="T467" s="4">
        <v>10</v>
      </c>
      <c r="U467" s="3">
        <v>80</v>
      </c>
      <c r="V467" s="51">
        <f>IF(GroDB[[#This Row],[LeadTime]]=0,GroDB[[#This Row],[Sales_Volume]],GroDB[[#This Row],[Sales_Volume]]/GroDB[[#This Row],[LeadTime]])</f>
        <v>0.47904191616766467</v>
      </c>
      <c r="W467" s="51">
        <f>_xlfn.STDEV.S(GroDB[Daily Sales])</f>
        <v>5.1999899792654221</v>
      </c>
      <c r="X467" s="3">
        <v>89</v>
      </c>
      <c r="Y467" s="7">
        <v>0.88</v>
      </c>
      <c r="Z467" s="4">
        <f>GroDB[[#This Row],[Unit_Price]]*GroDB[[#This Row],[Sales_Volume]]</f>
        <v>800</v>
      </c>
      <c r="AA467" s="22">
        <f>GroDB[[#This Row],[ADU]]/GroDB[[#Totals],[ADU]]</f>
        <v>2.3237619707871739E-3</v>
      </c>
      <c r="AB467" s="1">
        <f>GroDB[[#This Row],[Sales_Volume]]*GroDB[[#This Row],[Ordering Cost]]</f>
        <v>640</v>
      </c>
    </row>
    <row r="468" spans="1:28" x14ac:dyDescent="0.35">
      <c r="A468" s="5" t="s">
        <v>707</v>
      </c>
      <c r="B468" s="3" t="s">
        <v>25</v>
      </c>
      <c r="C468" s="3" t="s">
        <v>43</v>
      </c>
      <c r="D468" s="3" t="s">
        <v>1799</v>
      </c>
      <c r="E468" s="3" t="s">
        <v>21</v>
      </c>
      <c r="F468" s="3" t="s">
        <v>1800</v>
      </c>
      <c r="G468" s="3" t="s">
        <v>1801</v>
      </c>
      <c r="H468" s="43">
        <v>45587</v>
      </c>
      <c r="I468" s="43">
        <v>45465</v>
      </c>
      <c r="J468" s="47" t="str">
        <f>IF(GroDB[[#This Row],[Last_Order_Date]]&lt;=GroDB[[#This Row],[Date_Received]], "Yes", "No")</f>
        <v>Yes</v>
      </c>
      <c r="K468" s="43">
        <f>IF(GroDB[[#This Row],[Column1]]="No",GroDB[[#This Row],[Last_Order_Date]],GroDB[[#This Row],[Date_Received]])</f>
        <v>45587</v>
      </c>
      <c r="L468" s="43">
        <f>IF(GroDB[[#This Row],[Column1]]="No",GroDB[[#This Row],[Date_Received]],GroDB[[#This Row],[Last_Order_Date]])</f>
        <v>45465</v>
      </c>
      <c r="M468" s="45">
        <f>GroDB[[#This Row],[Date_Received1]]-GroDB[[#This Row],[Procurement_Date]]</f>
        <v>122</v>
      </c>
      <c r="N468" s="43">
        <v>45519</v>
      </c>
      <c r="O468" s="91">
        <f>GroDB[[#This Row],[Expiration_Date]]-GroDB[[#This Row],[Date_Received1]]</f>
        <v>-68</v>
      </c>
      <c r="P468" s="4">
        <v>1.8399999999999999</v>
      </c>
      <c r="Q468" s="3">
        <v>25</v>
      </c>
      <c r="R468" s="3">
        <v>97</v>
      </c>
      <c r="S468" s="3">
        <v>63</v>
      </c>
      <c r="T468" s="4">
        <v>2.2999999999999998</v>
      </c>
      <c r="U468" s="3">
        <v>72</v>
      </c>
      <c r="V468" s="51">
        <f>IF(GroDB[[#This Row],[LeadTime]]=0,GroDB[[#This Row],[Sales_Volume]],GroDB[[#This Row],[Sales_Volume]]/GroDB[[#This Row],[LeadTime]])</f>
        <v>0.5901639344262295</v>
      </c>
      <c r="W468" s="51">
        <f>_xlfn.STDEV.S(GroDB[Daily Sales])</f>
        <v>5.1999899792654221</v>
      </c>
      <c r="X468" s="3">
        <v>23</v>
      </c>
      <c r="Y468" s="7">
        <v>-0.11</v>
      </c>
      <c r="Z468" s="4">
        <f>GroDB[[#This Row],[Unit_Price]]*GroDB[[#This Row],[Sales_Volume]]</f>
        <v>165.6</v>
      </c>
      <c r="AA468" s="22">
        <f>GroDB[[#This Row],[ADU]]/GroDB[[#Totals],[ADU]]</f>
        <v>4.8101872795294499E-4</v>
      </c>
      <c r="AB468" s="1">
        <f>GroDB[[#This Row],[Sales_Volume]]*GroDB[[#This Row],[Ordering Cost]]</f>
        <v>132.47999999999999</v>
      </c>
    </row>
    <row r="469" spans="1:28" x14ac:dyDescent="0.35">
      <c r="A469" s="5" t="s">
        <v>31</v>
      </c>
      <c r="B469" s="3" t="s">
        <v>32</v>
      </c>
      <c r="C469" s="3" t="s">
        <v>1564</v>
      </c>
      <c r="D469" s="3" t="s">
        <v>1802</v>
      </c>
      <c r="E469" s="3" t="s">
        <v>56</v>
      </c>
      <c r="F469" s="3" t="s">
        <v>1803</v>
      </c>
      <c r="G469" s="3" t="s">
        <v>1804</v>
      </c>
      <c r="H469" s="43">
        <v>45587</v>
      </c>
      <c r="I469" s="43">
        <v>45643</v>
      </c>
      <c r="J469" s="47" t="str">
        <f>IF(GroDB[[#This Row],[Last_Order_Date]]&lt;=GroDB[[#This Row],[Date_Received]], "Yes", "No")</f>
        <v>No</v>
      </c>
      <c r="K469" s="43">
        <f>IF(GroDB[[#This Row],[Column1]]="No",GroDB[[#This Row],[Last_Order_Date]],GroDB[[#This Row],[Date_Received]])</f>
        <v>45643</v>
      </c>
      <c r="L469" s="43">
        <f>IF(GroDB[[#This Row],[Column1]]="No",GroDB[[#This Row],[Date_Received]],GroDB[[#This Row],[Last_Order_Date]])</f>
        <v>45587</v>
      </c>
      <c r="M469" s="45">
        <f>GroDB[[#This Row],[Date_Received1]]-GroDB[[#This Row],[Procurement_Date]]</f>
        <v>56</v>
      </c>
      <c r="N469" s="43">
        <v>45518</v>
      </c>
      <c r="O469" s="91">
        <f>GroDB[[#This Row],[Expiration_Date]]-GroDB[[#This Row],[Date_Received1]]</f>
        <v>-125</v>
      </c>
      <c r="P469" s="4">
        <v>9.5200000000000014</v>
      </c>
      <c r="Q469" s="3">
        <v>63</v>
      </c>
      <c r="R469" s="3">
        <v>41</v>
      </c>
      <c r="S469" s="3">
        <v>98</v>
      </c>
      <c r="T469" s="4">
        <v>11.9</v>
      </c>
      <c r="U469" s="3">
        <v>37</v>
      </c>
      <c r="V469" s="51">
        <f>IF(GroDB[[#This Row],[LeadTime]]=0,GroDB[[#This Row],[Sales_Volume]],GroDB[[#This Row],[Sales_Volume]]/GroDB[[#This Row],[LeadTime]])</f>
        <v>0.6607142857142857</v>
      </c>
      <c r="W469" s="51">
        <f>_xlfn.STDEV.S(GroDB[Daily Sales])</f>
        <v>5.1999899792654221</v>
      </c>
      <c r="X469" s="3">
        <v>7</v>
      </c>
      <c r="Y469" s="7">
        <v>0.68</v>
      </c>
      <c r="Z469" s="4">
        <f>GroDB[[#This Row],[Unit_Price]]*GroDB[[#This Row],[Sales_Volume]]</f>
        <v>440.3</v>
      </c>
      <c r="AA469" s="22">
        <f>GroDB[[#This Row],[ADU]]/GroDB[[#Totals],[ADU]]</f>
        <v>1.278940494671991E-3</v>
      </c>
      <c r="AB469" s="1">
        <f>GroDB[[#This Row],[Sales_Volume]]*GroDB[[#This Row],[Ordering Cost]]</f>
        <v>352.24000000000007</v>
      </c>
    </row>
    <row r="470" spans="1:28" x14ac:dyDescent="0.35">
      <c r="A470" s="5" t="s">
        <v>549</v>
      </c>
      <c r="B470" s="3" t="s">
        <v>32</v>
      </c>
      <c r="C470" s="3" t="s">
        <v>1805</v>
      </c>
      <c r="D470" s="3" t="s">
        <v>1806</v>
      </c>
      <c r="E470" s="3" t="s">
        <v>56</v>
      </c>
      <c r="F470" s="3" t="s">
        <v>1807</v>
      </c>
      <c r="G470" s="3" t="s">
        <v>1808</v>
      </c>
      <c r="H470" s="43">
        <v>45587</v>
      </c>
      <c r="I470" s="43">
        <v>45633</v>
      </c>
      <c r="J470" s="47" t="str">
        <f>IF(GroDB[[#This Row],[Last_Order_Date]]&lt;=GroDB[[#This Row],[Date_Received]], "Yes", "No")</f>
        <v>No</v>
      </c>
      <c r="K470" s="43">
        <f>IF(GroDB[[#This Row],[Column1]]="No",GroDB[[#This Row],[Last_Order_Date]],GroDB[[#This Row],[Date_Received]])</f>
        <v>45633</v>
      </c>
      <c r="L470" s="43">
        <f>IF(GroDB[[#This Row],[Column1]]="No",GroDB[[#This Row],[Date_Received]],GroDB[[#This Row],[Last_Order_Date]])</f>
        <v>45587</v>
      </c>
      <c r="M470" s="45">
        <f>GroDB[[#This Row],[Date_Received1]]-GroDB[[#This Row],[Procurement_Date]]</f>
        <v>46</v>
      </c>
      <c r="N470" s="43">
        <v>45692</v>
      </c>
      <c r="O470" s="91">
        <f>GroDB[[#This Row],[Expiration_Date]]-GroDB[[#This Row],[Date_Received1]]</f>
        <v>59</v>
      </c>
      <c r="P470" s="4">
        <v>2</v>
      </c>
      <c r="Q470" s="3">
        <v>50</v>
      </c>
      <c r="R470" s="3">
        <v>66</v>
      </c>
      <c r="S470" s="3">
        <v>1</v>
      </c>
      <c r="T470" s="4">
        <v>2.5</v>
      </c>
      <c r="U470" s="3">
        <v>76</v>
      </c>
      <c r="V470" s="51">
        <f>IF(GroDB[[#This Row],[LeadTime]]=0,GroDB[[#This Row],[Sales_Volume]],GroDB[[#This Row],[Sales_Volume]]/GroDB[[#This Row],[LeadTime]])</f>
        <v>1.6521739130434783</v>
      </c>
      <c r="W470" s="51">
        <f>_xlfn.STDEV.S(GroDB[Daily Sales])</f>
        <v>5.1999899792654221</v>
      </c>
      <c r="X470" s="3">
        <v>73</v>
      </c>
      <c r="Y470" s="7">
        <v>0.81</v>
      </c>
      <c r="Z470" s="4">
        <f>GroDB[[#This Row],[Unit_Price]]*GroDB[[#This Row],[Sales_Volume]]</f>
        <v>190</v>
      </c>
      <c r="AA470" s="22">
        <f>GroDB[[#This Row],[ADU]]/GroDB[[#Totals],[ADU]]</f>
        <v>5.518934680619538E-4</v>
      </c>
      <c r="AB470" s="1">
        <f>GroDB[[#This Row],[Sales_Volume]]*GroDB[[#This Row],[Ordering Cost]]</f>
        <v>152</v>
      </c>
    </row>
    <row r="471" spans="1:28" x14ac:dyDescent="0.35">
      <c r="A471" s="5" t="s">
        <v>303</v>
      </c>
      <c r="B471" s="3" t="s">
        <v>60</v>
      </c>
      <c r="C471" s="3" t="s">
        <v>1498</v>
      </c>
      <c r="D471" s="3" t="s">
        <v>1809</v>
      </c>
      <c r="E471" s="3" t="s">
        <v>56</v>
      </c>
      <c r="F471" s="3" t="s">
        <v>1810</v>
      </c>
      <c r="G471" s="3" t="s">
        <v>1811</v>
      </c>
      <c r="H471" s="43">
        <v>45588</v>
      </c>
      <c r="I471" s="43">
        <v>45387</v>
      </c>
      <c r="J471" s="47" t="str">
        <f>IF(GroDB[[#This Row],[Last_Order_Date]]&lt;=GroDB[[#This Row],[Date_Received]], "Yes", "No")</f>
        <v>Yes</v>
      </c>
      <c r="K471" s="43">
        <f>IF(GroDB[[#This Row],[Column1]]="No",GroDB[[#This Row],[Last_Order_Date]],GroDB[[#This Row],[Date_Received]])</f>
        <v>45588</v>
      </c>
      <c r="L471" s="43">
        <f>IF(GroDB[[#This Row],[Column1]]="No",GroDB[[#This Row],[Date_Received]],GroDB[[#This Row],[Last_Order_Date]])</f>
        <v>45387</v>
      </c>
      <c r="M471" s="45">
        <f>GroDB[[#This Row],[Date_Received1]]-GroDB[[#This Row],[Procurement_Date]]</f>
        <v>201</v>
      </c>
      <c r="N471" s="43">
        <v>45469</v>
      </c>
      <c r="O471" s="91">
        <f>GroDB[[#This Row],[Expiration_Date]]-GroDB[[#This Row],[Date_Received1]]</f>
        <v>-119</v>
      </c>
      <c r="P471" s="4">
        <v>4.8000000000000007</v>
      </c>
      <c r="Q471" s="3">
        <v>91</v>
      </c>
      <c r="R471" s="3">
        <v>59</v>
      </c>
      <c r="S471" s="3">
        <v>49</v>
      </c>
      <c r="T471" s="4">
        <v>6</v>
      </c>
      <c r="U471" s="3">
        <v>30</v>
      </c>
      <c r="V471" s="51">
        <f>IF(GroDB[[#This Row],[LeadTime]]=0,GroDB[[#This Row],[Sales_Volume]],GroDB[[#This Row],[Sales_Volume]]/GroDB[[#This Row],[LeadTime]])</f>
        <v>0.14925373134328357</v>
      </c>
      <c r="W471" s="51">
        <f>_xlfn.STDEV.S(GroDB[Daily Sales])</f>
        <v>5.1999899792654221</v>
      </c>
      <c r="X471" s="3">
        <v>63</v>
      </c>
      <c r="Y471" s="7">
        <v>0.04</v>
      </c>
      <c r="Z471" s="4">
        <f>GroDB[[#This Row],[Unit_Price]]*GroDB[[#This Row],[Sales_Volume]]</f>
        <v>180</v>
      </c>
      <c r="AA471" s="22">
        <f>GroDB[[#This Row],[ADU]]/GroDB[[#Totals],[ADU]]</f>
        <v>5.2284644342711413E-4</v>
      </c>
      <c r="AB471" s="1">
        <f>GroDB[[#This Row],[Sales_Volume]]*GroDB[[#This Row],[Ordering Cost]]</f>
        <v>144.00000000000003</v>
      </c>
    </row>
    <row r="472" spans="1:28" x14ac:dyDescent="0.35">
      <c r="A472" s="5" t="s">
        <v>263</v>
      </c>
      <c r="B472" s="3" t="s">
        <v>25</v>
      </c>
      <c r="C472" s="3" t="s">
        <v>1812</v>
      </c>
      <c r="D472" s="3" t="s">
        <v>1813</v>
      </c>
      <c r="E472" s="3" t="s">
        <v>56</v>
      </c>
      <c r="F472" s="3" t="s">
        <v>1814</v>
      </c>
      <c r="G472" s="3" t="s">
        <v>1815</v>
      </c>
      <c r="H472" s="43">
        <v>45589</v>
      </c>
      <c r="I472" s="43">
        <v>45524</v>
      </c>
      <c r="J472" s="47" t="str">
        <f>IF(GroDB[[#This Row],[Last_Order_Date]]&lt;=GroDB[[#This Row],[Date_Received]], "Yes", "No")</f>
        <v>Yes</v>
      </c>
      <c r="K472" s="43">
        <f>IF(GroDB[[#This Row],[Column1]]="No",GroDB[[#This Row],[Last_Order_Date]],GroDB[[#This Row],[Date_Received]])</f>
        <v>45589</v>
      </c>
      <c r="L472" s="43">
        <f>IF(GroDB[[#This Row],[Column1]]="No",GroDB[[#This Row],[Date_Received]],GroDB[[#This Row],[Last_Order_Date]])</f>
        <v>45524</v>
      </c>
      <c r="M472" s="45">
        <f>GroDB[[#This Row],[Date_Received1]]-GroDB[[#This Row],[Procurement_Date]]</f>
        <v>65</v>
      </c>
      <c r="N472" s="43">
        <v>45531</v>
      </c>
      <c r="O472" s="91">
        <f>GroDB[[#This Row],[Expiration_Date]]-GroDB[[#This Row],[Date_Received1]]</f>
        <v>-58</v>
      </c>
      <c r="P472" s="4">
        <v>4.8000000000000007</v>
      </c>
      <c r="Q472" s="3">
        <v>28</v>
      </c>
      <c r="R472" s="3">
        <v>17</v>
      </c>
      <c r="S472" s="3">
        <v>28</v>
      </c>
      <c r="T472" s="4">
        <v>6</v>
      </c>
      <c r="U472" s="3">
        <v>38</v>
      </c>
      <c r="V472" s="51">
        <f>IF(GroDB[[#This Row],[LeadTime]]=0,GroDB[[#This Row],[Sales_Volume]],GroDB[[#This Row],[Sales_Volume]]/GroDB[[#This Row],[LeadTime]])</f>
        <v>0.58461538461538465</v>
      </c>
      <c r="W472" s="51">
        <f>_xlfn.STDEV.S(GroDB[Daily Sales])</f>
        <v>5.1999899792654221</v>
      </c>
      <c r="X472" s="3">
        <v>25</v>
      </c>
      <c r="Y472" s="7">
        <v>-1.1000000000000001</v>
      </c>
      <c r="Z472" s="4">
        <f>GroDB[[#This Row],[Unit_Price]]*GroDB[[#This Row],[Sales_Volume]]</f>
        <v>228</v>
      </c>
      <c r="AA472" s="22">
        <f>GroDB[[#This Row],[ADU]]/GroDB[[#Totals],[ADU]]</f>
        <v>6.6227216167434458E-4</v>
      </c>
      <c r="AB472" s="1">
        <f>GroDB[[#This Row],[Sales_Volume]]*GroDB[[#This Row],[Ordering Cost]]</f>
        <v>182.40000000000003</v>
      </c>
    </row>
    <row r="473" spans="1:28" x14ac:dyDescent="0.35">
      <c r="A473" s="5" t="s">
        <v>1109</v>
      </c>
      <c r="B473" s="3" t="s">
        <v>18</v>
      </c>
      <c r="C473" s="3" t="s">
        <v>43</v>
      </c>
      <c r="D473" s="3" t="s">
        <v>1816</v>
      </c>
      <c r="E473" s="3" t="s">
        <v>56</v>
      </c>
      <c r="F473" s="3" t="s">
        <v>1817</v>
      </c>
      <c r="G473" s="3" t="s">
        <v>1818</v>
      </c>
      <c r="H473" s="43">
        <v>45589</v>
      </c>
      <c r="I473" s="43">
        <v>45612</v>
      </c>
      <c r="J473" s="47" t="str">
        <f>IF(GroDB[[#This Row],[Last_Order_Date]]&lt;=GroDB[[#This Row],[Date_Received]], "Yes", "No")</f>
        <v>No</v>
      </c>
      <c r="K473" s="43">
        <f>IF(GroDB[[#This Row],[Column1]]="No",GroDB[[#This Row],[Last_Order_Date]],GroDB[[#This Row],[Date_Received]])</f>
        <v>45612</v>
      </c>
      <c r="L473" s="43">
        <f>IF(GroDB[[#This Row],[Column1]]="No",GroDB[[#This Row],[Date_Received]],GroDB[[#This Row],[Last_Order_Date]])</f>
        <v>45589</v>
      </c>
      <c r="M473" s="45">
        <f>GroDB[[#This Row],[Date_Received1]]-GroDB[[#This Row],[Procurement_Date]]</f>
        <v>23</v>
      </c>
      <c r="N473" s="43">
        <v>45423</v>
      </c>
      <c r="O473" s="91">
        <f>GroDB[[#This Row],[Expiration_Date]]-GroDB[[#This Row],[Date_Received1]]</f>
        <v>-189</v>
      </c>
      <c r="P473" s="4">
        <v>2</v>
      </c>
      <c r="Q473" s="3">
        <v>29</v>
      </c>
      <c r="R473" s="3">
        <v>18</v>
      </c>
      <c r="S473" s="3">
        <v>86</v>
      </c>
      <c r="T473" s="4">
        <v>2.5</v>
      </c>
      <c r="U473" s="3">
        <v>53</v>
      </c>
      <c r="V473" s="51">
        <f>IF(GroDB[[#This Row],[LeadTime]]=0,GroDB[[#This Row],[Sales_Volume]],GroDB[[#This Row],[Sales_Volume]]/GroDB[[#This Row],[LeadTime]])</f>
        <v>2.3043478260869565</v>
      </c>
      <c r="W473" s="51">
        <f>_xlfn.STDEV.S(GroDB[Daily Sales])</f>
        <v>5.1999899792654221</v>
      </c>
      <c r="X473" s="3">
        <v>69</v>
      </c>
      <c r="Y473" s="7">
        <v>0.34</v>
      </c>
      <c r="Z473" s="4">
        <f>GroDB[[#This Row],[Unit_Price]]*GroDB[[#This Row],[Sales_Volume]]</f>
        <v>132.5</v>
      </c>
      <c r="AA473" s="22">
        <f>GroDB[[#This Row],[ADU]]/GroDB[[#Totals],[ADU]]</f>
        <v>3.8487307641162571E-4</v>
      </c>
      <c r="AB473" s="1">
        <f>GroDB[[#This Row],[Sales_Volume]]*GroDB[[#This Row],[Ordering Cost]]</f>
        <v>106</v>
      </c>
    </row>
    <row r="474" spans="1:28" x14ac:dyDescent="0.35">
      <c r="A474" s="5" t="s">
        <v>1624</v>
      </c>
      <c r="B474" s="3" t="s">
        <v>60</v>
      </c>
      <c r="C474" s="3" t="s">
        <v>1819</v>
      </c>
      <c r="D474" s="3" t="s">
        <v>1820</v>
      </c>
      <c r="E474" s="3" t="s">
        <v>56</v>
      </c>
      <c r="F474" s="3" t="s">
        <v>1821</v>
      </c>
      <c r="G474" s="3" t="s">
        <v>1822</v>
      </c>
      <c r="H474" s="43">
        <v>45589</v>
      </c>
      <c r="I474" s="43">
        <v>45503</v>
      </c>
      <c r="J474" s="47" t="str">
        <f>IF(GroDB[[#This Row],[Last_Order_Date]]&lt;=GroDB[[#This Row],[Date_Received]], "Yes", "No")</f>
        <v>Yes</v>
      </c>
      <c r="K474" s="43">
        <f>IF(GroDB[[#This Row],[Column1]]="No",GroDB[[#This Row],[Last_Order_Date]],GroDB[[#This Row],[Date_Received]])</f>
        <v>45589</v>
      </c>
      <c r="L474" s="43">
        <f>IF(GroDB[[#This Row],[Column1]]="No",GroDB[[#This Row],[Date_Received]],GroDB[[#This Row],[Last_Order_Date]])</f>
        <v>45503</v>
      </c>
      <c r="M474" s="45">
        <f>GroDB[[#This Row],[Date_Received1]]-GroDB[[#This Row],[Procurement_Date]]</f>
        <v>86</v>
      </c>
      <c r="N474" s="43">
        <v>45457</v>
      </c>
      <c r="O474" s="91">
        <f>GroDB[[#This Row],[Expiration_Date]]-GroDB[[#This Row],[Date_Received1]]</f>
        <v>-132</v>
      </c>
      <c r="P474" s="4">
        <v>6</v>
      </c>
      <c r="Q474" s="3">
        <v>89</v>
      </c>
      <c r="R474" s="3">
        <v>26</v>
      </c>
      <c r="S474" s="3">
        <v>36</v>
      </c>
      <c r="T474" s="4">
        <v>7.5</v>
      </c>
      <c r="U474" s="3">
        <v>48</v>
      </c>
      <c r="V474" s="51">
        <f>IF(GroDB[[#This Row],[LeadTime]]=0,GroDB[[#This Row],[Sales_Volume]],GroDB[[#This Row],[Sales_Volume]]/GroDB[[#This Row],[LeadTime]])</f>
        <v>0.55813953488372092</v>
      </c>
      <c r="W474" s="51">
        <f>_xlfn.STDEV.S(GroDB[Daily Sales])</f>
        <v>5.1999899792654221</v>
      </c>
      <c r="X474" s="3">
        <v>94</v>
      </c>
      <c r="Y474" s="7">
        <v>-0.3</v>
      </c>
      <c r="Z474" s="4">
        <f>GroDB[[#This Row],[Unit_Price]]*GroDB[[#This Row],[Sales_Volume]]</f>
        <v>360</v>
      </c>
      <c r="AA474" s="22">
        <f>GroDB[[#This Row],[ADU]]/GroDB[[#Totals],[ADU]]</f>
        <v>1.0456928868542283E-3</v>
      </c>
      <c r="AB474" s="1">
        <f>GroDB[[#This Row],[Sales_Volume]]*GroDB[[#This Row],[Ordering Cost]]</f>
        <v>288</v>
      </c>
    </row>
    <row r="475" spans="1:28" x14ac:dyDescent="0.35">
      <c r="A475" s="5" t="s">
        <v>495</v>
      </c>
      <c r="B475" s="3" t="s">
        <v>18</v>
      </c>
      <c r="C475" s="3" t="s">
        <v>107</v>
      </c>
      <c r="D475" s="3" t="s">
        <v>1823</v>
      </c>
      <c r="E475" s="3" t="s">
        <v>56</v>
      </c>
      <c r="F475" s="3" t="s">
        <v>1824</v>
      </c>
      <c r="G475" s="3" t="s">
        <v>1825</v>
      </c>
      <c r="H475" s="43">
        <v>45589</v>
      </c>
      <c r="I475" s="43">
        <v>45462</v>
      </c>
      <c r="J475" s="47" t="str">
        <f>IF(GroDB[[#This Row],[Last_Order_Date]]&lt;=GroDB[[#This Row],[Date_Received]], "Yes", "No")</f>
        <v>Yes</v>
      </c>
      <c r="K475" s="43">
        <f>IF(GroDB[[#This Row],[Column1]]="No",GroDB[[#This Row],[Last_Order_Date]],GroDB[[#This Row],[Date_Received]])</f>
        <v>45589</v>
      </c>
      <c r="L475" s="43">
        <f>IF(GroDB[[#This Row],[Column1]]="No",GroDB[[#This Row],[Date_Received]],GroDB[[#This Row],[Last_Order_Date]])</f>
        <v>45462</v>
      </c>
      <c r="M475" s="45">
        <f>GroDB[[#This Row],[Date_Received1]]-GroDB[[#This Row],[Procurement_Date]]</f>
        <v>127</v>
      </c>
      <c r="N475" s="43">
        <v>45486</v>
      </c>
      <c r="O475" s="91">
        <f>GroDB[[#This Row],[Expiration_Date]]-GroDB[[#This Row],[Date_Received1]]</f>
        <v>-103</v>
      </c>
      <c r="P475" s="4">
        <v>5.04</v>
      </c>
      <c r="Q475" s="3">
        <v>65</v>
      </c>
      <c r="R475" s="3">
        <v>42</v>
      </c>
      <c r="S475" s="3">
        <v>62</v>
      </c>
      <c r="T475" s="4">
        <v>6.3</v>
      </c>
      <c r="U475" s="3">
        <v>54</v>
      </c>
      <c r="V475" s="51">
        <f>IF(GroDB[[#This Row],[LeadTime]]=0,GroDB[[#This Row],[Sales_Volume]],GroDB[[#This Row],[Sales_Volume]]/GroDB[[#This Row],[LeadTime]])</f>
        <v>0.42519685039370081</v>
      </c>
      <c r="W475" s="51">
        <f>_xlfn.STDEV.S(GroDB[Daily Sales])</f>
        <v>5.1999899792654221</v>
      </c>
      <c r="X475" s="3">
        <v>2</v>
      </c>
      <c r="Y475" s="7">
        <v>-0.96</v>
      </c>
      <c r="Z475" s="4">
        <f>GroDB[[#This Row],[Unit_Price]]*GroDB[[#This Row],[Sales_Volume]]</f>
        <v>340.2</v>
      </c>
      <c r="AA475" s="22">
        <f>GroDB[[#This Row],[ADU]]/GroDB[[#Totals],[ADU]]</f>
        <v>9.881797780772457E-4</v>
      </c>
      <c r="AB475" s="1">
        <f>GroDB[[#This Row],[Sales_Volume]]*GroDB[[#This Row],[Ordering Cost]]</f>
        <v>272.16000000000003</v>
      </c>
    </row>
    <row r="476" spans="1:28" x14ac:dyDescent="0.35">
      <c r="A476" s="5" t="s">
        <v>96</v>
      </c>
      <c r="B476" s="3" t="s">
        <v>53</v>
      </c>
      <c r="C476" s="3" t="s">
        <v>1303</v>
      </c>
      <c r="D476" s="3" t="s">
        <v>1826</v>
      </c>
      <c r="E476" s="3" t="s">
        <v>28</v>
      </c>
      <c r="F476" s="3" t="s">
        <v>1827</v>
      </c>
      <c r="G476" s="3" t="s">
        <v>1828</v>
      </c>
      <c r="H476" s="43">
        <v>45590</v>
      </c>
      <c r="I476" s="43">
        <v>45451</v>
      </c>
      <c r="J476" s="47" t="str">
        <f>IF(GroDB[[#This Row],[Last_Order_Date]]&lt;=GroDB[[#This Row],[Date_Received]], "Yes", "No")</f>
        <v>Yes</v>
      </c>
      <c r="K476" s="43">
        <f>IF(GroDB[[#This Row],[Column1]]="No",GroDB[[#This Row],[Last_Order_Date]],GroDB[[#This Row],[Date_Received]])</f>
        <v>45590</v>
      </c>
      <c r="L476" s="43">
        <f>IF(GroDB[[#This Row],[Column1]]="No",GroDB[[#This Row],[Date_Received]],GroDB[[#This Row],[Last_Order_Date]])</f>
        <v>45451</v>
      </c>
      <c r="M476" s="45">
        <f>GroDB[[#This Row],[Date_Received1]]-GroDB[[#This Row],[Procurement_Date]]</f>
        <v>139</v>
      </c>
      <c r="N476" s="43">
        <v>45660</v>
      </c>
      <c r="O476" s="91">
        <f>GroDB[[#This Row],[Expiration_Date]]-GroDB[[#This Row],[Date_Received1]]</f>
        <v>70</v>
      </c>
      <c r="P476" s="4">
        <v>2.5600000000000005</v>
      </c>
      <c r="Q476" s="3">
        <v>40</v>
      </c>
      <c r="R476" s="3">
        <v>38</v>
      </c>
      <c r="S476" s="3">
        <v>32</v>
      </c>
      <c r="T476" s="4">
        <v>3.2</v>
      </c>
      <c r="U476" s="3">
        <v>21</v>
      </c>
      <c r="V476" s="51">
        <f>IF(GroDB[[#This Row],[LeadTime]]=0,GroDB[[#This Row],[Sales_Volume]],GroDB[[#This Row],[Sales_Volume]]/GroDB[[#This Row],[LeadTime]])</f>
        <v>0.15107913669064749</v>
      </c>
      <c r="W476" s="51">
        <f>_xlfn.STDEV.S(GroDB[Daily Sales])</f>
        <v>5.1999899792654221</v>
      </c>
      <c r="X476" s="3">
        <v>45</v>
      </c>
      <c r="Y476" s="7">
        <v>0.96</v>
      </c>
      <c r="Z476" s="4">
        <f>GroDB[[#This Row],[Unit_Price]]*GroDB[[#This Row],[Sales_Volume]]</f>
        <v>67.2</v>
      </c>
      <c r="AA476" s="22">
        <f>GroDB[[#This Row],[ADU]]/GroDB[[#Totals],[ADU]]</f>
        <v>1.9519600554612264E-4</v>
      </c>
      <c r="AB476" s="1">
        <f>GroDB[[#This Row],[Sales_Volume]]*GroDB[[#This Row],[Ordering Cost]]</f>
        <v>53.760000000000012</v>
      </c>
    </row>
    <row r="477" spans="1:28" x14ac:dyDescent="0.35">
      <c r="A477" s="5" t="s">
        <v>198</v>
      </c>
      <c r="B477" s="3" t="s">
        <v>53</v>
      </c>
      <c r="C477" s="3" t="s">
        <v>1829</v>
      </c>
      <c r="D477" s="3" t="s">
        <v>1830</v>
      </c>
      <c r="E477" s="3" t="s">
        <v>21</v>
      </c>
      <c r="F477" s="3" t="s">
        <v>1831</v>
      </c>
      <c r="G477" s="3" t="s">
        <v>1832</v>
      </c>
      <c r="H477" s="43">
        <v>45590</v>
      </c>
      <c r="I477" s="43">
        <v>45433</v>
      </c>
      <c r="J477" s="47" t="str">
        <f>IF(GroDB[[#This Row],[Last_Order_Date]]&lt;=GroDB[[#This Row],[Date_Received]], "Yes", "No")</f>
        <v>Yes</v>
      </c>
      <c r="K477" s="43">
        <f>IF(GroDB[[#This Row],[Column1]]="No",GroDB[[#This Row],[Last_Order_Date]],GroDB[[#This Row],[Date_Received]])</f>
        <v>45590</v>
      </c>
      <c r="L477" s="43">
        <f>IF(GroDB[[#This Row],[Column1]]="No",GroDB[[#This Row],[Date_Received]],GroDB[[#This Row],[Last_Order_Date]])</f>
        <v>45433</v>
      </c>
      <c r="M477" s="45">
        <f>GroDB[[#This Row],[Date_Received1]]-GroDB[[#This Row],[Procurement_Date]]</f>
        <v>157</v>
      </c>
      <c r="N477" s="43">
        <v>45463</v>
      </c>
      <c r="O477" s="91">
        <f>GroDB[[#This Row],[Expiration_Date]]-GroDB[[#This Row],[Date_Received1]]</f>
        <v>-127</v>
      </c>
      <c r="P477" s="4">
        <v>1.6</v>
      </c>
      <c r="Q477" s="3">
        <v>99</v>
      </c>
      <c r="R477" s="3">
        <v>44</v>
      </c>
      <c r="S477" s="3">
        <v>52</v>
      </c>
      <c r="T477" s="4">
        <v>2</v>
      </c>
      <c r="U477" s="3">
        <v>36</v>
      </c>
      <c r="V477" s="51">
        <f>IF(GroDB[[#This Row],[LeadTime]]=0,GroDB[[#This Row],[Sales_Volume]],GroDB[[#This Row],[Sales_Volume]]/GroDB[[#This Row],[LeadTime]])</f>
        <v>0.22929936305732485</v>
      </c>
      <c r="W477" s="51">
        <f>_xlfn.STDEV.S(GroDB[Daily Sales])</f>
        <v>5.1999899792654221</v>
      </c>
      <c r="X477" s="3">
        <v>2</v>
      </c>
      <c r="Y477" s="7">
        <v>-1.1399999999999999</v>
      </c>
      <c r="Z477" s="4">
        <f>GroDB[[#This Row],[Unit_Price]]*GroDB[[#This Row],[Sales_Volume]]</f>
        <v>72</v>
      </c>
      <c r="AA477" s="22">
        <f>GroDB[[#This Row],[ADU]]/GroDB[[#Totals],[ADU]]</f>
        <v>2.0913857737084565E-4</v>
      </c>
      <c r="AB477" s="1">
        <f>GroDB[[#This Row],[Sales_Volume]]*GroDB[[#This Row],[Ordering Cost]]</f>
        <v>57.6</v>
      </c>
    </row>
    <row r="478" spans="1:28" x14ac:dyDescent="0.35">
      <c r="A478" s="5" t="s">
        <v>416</v>
      </c>
      <c r="B478" s="3" t="s">
        <v>53</v>
      </c>
      <c r="C478" s="3" t="s">
        <v>1743</v>
      </c>
      <c r="D478" s="3" t="s">
        <v>1833</v>
      </c>
      <c r="E478" s="3" t="s">
        <v>56</v>
      </c>
      <c r="F478" s="3" t="s">
        <v>1834</v>
      </c>
      <c r="G478" s="3" t="s">
        <v>1835</v>
      </c>
      <c r="H478" s="43">
        <v>45590</v>
      </c>
      <c r="I478" s="43">
        <v>45692</v>
      </c>
      <c r="J478" s="47" t="str">
        <f>IF(GroDB[[#This Row],[Last_Order_Date]]&lt;=GroDB[[#This Row],[Date_Received]], "Yes", "No")</f>
        <v>No</v>
      </c>
      <c r="K478" s="43">
        <f>IF(GroDB[[#This Row],[Column1]]="No",GroDB[[#This Row],[Last_Order_Date]],GroDB[[#This Row],[Date_Received]])</f>
        <v>45692</v>
      </c>
      <c r="L478" s="43">
        <f>IF(GroDB[[#This Row],[Column1]]="No",GroDB[[#This Row],[Date_Received]],GroDB[[#This Row],[Last_Order_Date]])</f>
        <v>45590</v>
      </c>
      <c r="M478" s="45">
        <f>GroDB[[#This Row],[Date_Received1]]-GroDB[[#This Row],[Procurement_Date]]</f>
        <v>102</v>
      </c>
      <c r="N478" s="43">
        <v>45537</v>
      </c>
      <c r="O478" s="91">
        <f>GroDB[[#This Row],[Expiration_Date]]-GroDB[[#This Row],[Date_Received1]]</f>
        <v>-155</v>
      </c>
      <c r="P478" s="4">
        <v>2.4000000000000004</v>
      </c>
      <c r="Q478" s="3">
        <v>56</v>
      </c>
      <c r="R478" s="3">
        <v>28</v>
      </c>
      <c r="S478" s="3">
        <v>76</v>
      </c>
      <c r="T478" s="4">
        <v>3</v>
      </c>
      <c r="U478" s="3">
        <v>93</v>
      </c>
      <c r="V478" s="51">
        <f>IF(GroDB[[#This Row],[LeadTime]]=0,GroDB[[#This Row],[Sales_Volume]],GroDB[[#This Row],[Sales_Volume]]/GroDB[[#This Row],[LeadTime]])</f>
        <v>0.91176470588235292</v>
      </c>
      <c r="W478" s="51">
        <f>_xlfn.STDEV.S(GroDB[Daily Sales])</f>
        <v>5.1999899792654221</v>
      </c>
      <c r="X478" s="3">
        <v>69</v>
      </c>
      <c r="Y478" s="7">
        <v>0.94</v>
      </c>
      <c r="Z478" s="4">
        <f>GroDB[[#This Row],[Unit_Price]]*GroDB[[#This Row],[Sales_Volume]]</f>
        <v>279</v>
      </c>
      <c r="AA478" s="22">
        <f>GroDB[[#This Row],[ADU]]/GroDB[[#Totals],[ADU]]</f>
        <v>8.1041198731202698E-4</v>
      </c>
      <c r="AB478" s="1">
        <f>GroDB[[#This Row],[Sales_Volume]]*GroDB[[#This Row],[Ordering Cost]]</f>
        <v>223.20000000000005</v>
      </c>
    </row>
    <row r="479" spans="1:28" x14ac:dyDescent="0.35">
      <c r="A479" s="5" t="s">
        <v>31</v>
      </c>
      <c r="B479" s="3" t="s">
        <v>32</v>
      </c>
      <c r="C479" s="3" t="s">
        <v>926</v>
      </c>
      <c r="D479" s="3" t="s">
        <v>1836</v>
      </c>
      <c r="E479" s="3" t="s">
        <v>21</v>
      </c>
      <c r="F479" s="3" t="s">
        <v>1837</v>
      </c>
      <c r="G479" s="3" t="s">
        <v>1838</v>
      </c>
      <c r="H479" s="43">
        <v>45590</v>
      </c>
      <c r="I479" s="43">
        <v>45404</v>
      </c>
      <c r="J479" s="47" t="str">
        <f>IF(GroDB[[#This Row],[Last_Order_Date]]&lt;=GroDB[[#This Row],[Date_Received]], "Yes", "No")</f>
        <v>Yes</v>
      </c>
      <c r="K479" s="43">
        <f>IF(GroDB[[#This Row],[Column1]]="No",GroDB[[#This Row],[Last_Order_Date]],GroDB[[#This Row],[Date_Received]])</f>
        <v>45590</v>
      </c>
      <c r="L479" s="43">
        <f>IF(GroDB[[#This Row],[Column1]]="No",GroDB[[#This Row],[Date_Received]],GroDB[[#This Row],[Last_Order_Date]])</f>
        <v>45404</v>
      </c>
      <c r="M479" s="45">
        <f>GroDB[[#This Row],[Date_Received1]]-GroDB[[#This Row],[Procurement_Date]]</f>
        <v>186</v>
      </c>
      <c r="N479" s="43">
        <v>45617</v>
      </c>
      <c r="O479" s="91">
        <f>GroDB[[#This Row],[Expiration_Date]]-GroDB[[#This Row],[Date_Received1]]</f>
        <v>27</v>
      </c>
      <c r="P479" s="4">
        <v>9.6000000000000014</v>
      </c>
      <c r="Q479" s="3">
        <v>37</v>
      </c>
      <c r="R479" s="3">
        <v>3</v>
      </c>
      <c r="S479" s="3">
        <v>45</v>
      </c>
      <c r="T479" s="4">
        <v>12</v>
      </c>
      <c r="U479" s="3">
        <v>39</v>
      </c>
      <c r="V479" s="51">
        <f>IF(GroDB[[#This Row],[LeadTime]]=0,GroDB[[#This Row],[Sales_Volume]],GroDB[[#This Row],[Sales_Volume]]/GroDB[[#This Row],[LeadTime]])</f>
        <v>0.20967741935483872</v>
      </c>
      <c r="W479" s="51">
        <f>_xlfn.STDEV.S(GroDB[Daily Sales])</f>
        <v>5.1999899792654221</v>
      </c>
      <c r="X479" s="3">
        <v>28</v>
      </c>
      <c r="Y479" s="7">
        <v>0.26</v>
      </c>
      <c r="Z479" s="4">
        <f>GroDB[[#This Row],[Unit_Price]]*GroDB[[#This Row],[Sales_Volume]]</f>
        <v>468</v>
      </c>
      <c r="AA479" s="22">
        <f>GroDB[[#This Row],[ADU]]/GroDB[[#Totals],[ADU]]</f>
        <v>1.3594007529104967E-3</v>
      </c>
      <c r="AB479" s="1">
        <f>GroDB[[#This Row],[Sales_Volume]]*GroDB[[#This Row],[Ordering Cost]]</f>
        <v>374.40000000000003</v>
      </c>
    </row>
    <row r="480" spans="1:28" x14ac:dyDescent="0.35">
      <c r="A480" s="5" t="s">
        <v>554</v>
      </c>
      <c r="B480" s="3" t="s">
        <v>53</v>
      </c>
      <c r="C480" s="3" t="s">
        <v>1394</v>
      </c>
      <c r="D480" s="3" t="s">
        <v>1839</v>
      </c>
      <c r="E480" s="3" t="s">
        <v>56</v>
      </c>
      <c r="F480" s="3" t="s">
        <v>1840</v>
      </c>
      <c r="G480" s="3" t="s">
        <v>1841</v>
      </c>
      <c r="H480" s="43">
        <v>45591</v>
      </c>
      <c r="I480" s="43">
        <v>45461</v>
      </c>
      <c r="J480" s="47" t="str">
        <f>IF(GroDB[[#This Row],[Last_Order_Date]]&lt;=GroDB[[#This Row],[Date_Received]], "Yes", "No")</f>
        <v>Yes</v>
      </c>
      <c r="K480" s="43">
        <f>IF(GroDB[[#This Row],[Column1]]="No",GroDB[[#This Row],[Last_Order_Date]],GroDB[[#This Row],[Date_Received]])</f>
        <v>45591</v>
      </c>
      <c r="L480" s="43">
        <f>IF(GroDB[[#This Row],[Column1]]="No",GroDB[[#This Row],[Date_Received]],GroDB[[#This Row],[Last_Order_Date]])</f>
        <v>45461</v>
      </c>
      <c r="M480" s="45">
        <f>GroDB[[#This Row],[Date_Received1]]-GroDB[[#This Row],[Procurement_Date]]</f>
        <v>130</v>
      </c>
      <c r="N480" s="43">
        <v>45576</v>
      </c>
      <c r="O480" s="91">
        <f>GroDB[[#This Row],[Expiration_Date]]-GroDB[[#This Row],[Date_Received1]]</f>
        <v>-15</v>
      </c>
      <c r="P480" s="4">
        <v>2</v>
      </c>
      <c r="Q480" s="3">
        <v>31</v>
      </c>
      <c r="R480" s="3">
        <v>29</v>
      </c>
      <c r="S480" s="3">
        <v>57</v>
      </c>
      <c r="T480" s="4">
        <v>2.5</v>
      </c>
      <c r="U480" s="3">
        <v>25</v>
      </c>
      <c r="V480" s="51">
        <f>IF(GroDB[[#This Row],[LeadTime]]=0,GroDB[[#This Row],[Sales_Volume]],GroDB[[#This Row],[Sales_Volume]]/GroDB[[#This Row],[LeadTime]])</f>
        <v>0.19230769230769232</v>
      </c>
      <c r="W480" s="51">
        <f>_xlfn.STDEV.S(GroDB[Daily Sales])</f>
        <v>5.1999899792654221</v>
      </c>
      <c r="X480" s="3">
        <v>22</v>
      </c>
      <c r="Y480" s="7">
        <v>0.28000000000000003</v>
      </c>
      <c r="Z480" s="4">
        <f>GroDB[[#This Row],[Unit_Price]]*GroDB[[#This Row],[Sales_Volume]]</f>
        <v>62.5</v>
      </c>
      <c r="AA480" s="22">
        <f>GroDB[[#This Row],[ADU]]/GroDB[[#Totals],[ADU]]</f>
        <v>1.8154390396774798E-4</v>
      </c>
      <c r="AB480" s="1">
        <f>GroDB[[#This Row],[Sales_Volume]]*GroDB[[#This Row],[Ordering Cost]]</f>
        <v>50</v>
      </c>
    </row>
    <row r="481" spans="1:28" x14ac:dyDescent="0.35">
      <c r="A481" s="5" t="s">
        <v>517</v>
      </c>
      <c r="B481" s="3" t="s">
        <v>127</v>
      </c>
      <c r="C481" s="3" t="s">
        <v>1842</v>
      </c>
      <c r="D481" s="3" t="s">
        <v>1843</v>
      </c>
      <c r="E481" s="3" t="s">
        <v>28</v>
      </c>
      <c r="F481" s="3" t="s">
        <v>1844</v>
      </c>
      <c r="G481" s="3" t="s">
        <v>1845</v>
      </c>
      <c r="H481" s="43">
        <v>45591</v>
      </c>
      <c r="I481" s="43">
        <v>45664</v>
      </c>
      <c r="J481" s="47" t="str">
        <f>IF(GroDB[[#This Row],[Last_Order_Date]]&lt;=GroDB[[#This Row],[Date_Received]], "Yes", "No")</f>
        <v>No</v>
      </c>
      <c r="K481" s="43">
        <f>IF(GroDB[[#This Row],[Column1]]="No",GroDB[[#This Row],[Last_Order_Date]],GroDB[[#This Row],[Date_Received]])</f>
        <v>45664</v>
      </c>
      <c r="L481" s="43">
        <f>IF(GroDB[[#This Row],[Column1]]="No",GroDB[[#This Row],[Date_Received]],GroDB[[#This Row],[Last_Order_Date]])</f>
        <v>45591</v>
      </c>
      <c r="M481" s="45">
        <f>GroDB[[#This Row],[Date_Received1]]-GroDB[[#This Row],[Procurement_Date]]</f>
        <v>73</v>
      </c>
      <c r="N481" s="43">
        <v>45581</v>
      </c>
      <c r="O481" s="91">
        <f>GroDB[[#This Row],[Expiration_Date]]-GroDB[[#This Row],[Date_Received1]]</f>
        <v>-83</v>
      </c>
      <c r="P481" s="4">
        <v>20</v>
      </c>
      <c r="Q481" s="3">
        <v>81</v>
      </c>
      <c r="R481" s="3">
        <v>83</v>
      </c>
      <c r="S481" s="3">
        <v>36</v>
      </c>
      <c r="T481" s="4">
        <v>25</v>
      </c>
      <c r="U481" s="3">
        <v>74</v>
      </c>
      <c r="V481" s="51">
        <f>IF(GroDB[[#This Row],[LeadTime]]=0,GroDB[[#This Row],[Sales_Volume]],GroDB[[#This Row],[Sales_Volume]]/GroDB[[#This Row],[LeadTime]])</f>
        <v>1.0136986301369864</v>
      </c>
      <c r="W481" s="51">
        <f>_xlfn.STDEV.S(GroDB[Daily Sales])</f>
        <v>5.1999899792654221</v>
      </c>
      <c r="X481" s="3">
        <v>86</v>
      </c>
      <c r="Y481" s="7">
        <v>0.12</v>
      </c>
      <c r="Z481" s="4">
        <f>GroDB[[#This Row],[Unit_Price]]*GroDB[[#This Row],[Sales_Volume]]</f>
        <v>1850</v>
      </c>
      <c r="AA481" s="22">
        <f>GroDB[[#This Row],[ADU]]/GroDB[[#Totals],[ADU]]</f>
        <v>5.3736995574453399E-3</v>
      </c>
      <c r="AB481" s="1">
        <f>GroDB[[#This Row],[Sales_Volume]]*GroDB[[#This Row],[Ordering Cost]]</f>
        <v>1480</v>
      </c>
    </row>
    <row r="482" spans="1:28" x14ac:dyDescent="0.35">
      <c r="A482" s="5" t="s">
        <v>175</v>
      </c>
      <c r="B482" s="3" t="s">
        <v>53</v>
      </c>
      <c r="C482" s="3" t="s">
        <v>38</v>
      </c>
      <c r="D482" s="3" t="s">
        <v>1846</v>
      </c>
      <c r="E482" s="3" t="s">
        <v>28</v>
      </c>
      <c r="F482" s="3" t="s">
        <v>1847</v>
      </c>
      <c r="G482" s="3" t="s">
        <v>1848</v>
      </c>
      <c r="H482" s="43">
        <v>45591</v>
      </c>
      <c r="I482" s="43">
        <v>45601</v>
      </c>
      <c r="J482" s="47" t="str">
        <f>IF(GroDB[[#This Row],[Last_Order_Date]]&lt;=GroDB[[#This Row],[Date_Received]], "Yes", "No")</f>
        <v>No</v>
      </c>
      <c r="K482" s="43">
        <f>IF(GroDB[[#This Row],[Column1]]="No",GroDB[[#This Row],[Last_Order_Date]],GroDB[[#This Row],[Date_Received]])</f>
        <v>45601</v>
      </c>
      <c r="L482" s="43">
        <f>IF(GroDB[[#This Row],[Column1]]="No",GroDB[[#This Row],[Date_Received]],GroDB[[#This Row],[Last_Order_Date]])</f>
        <v>45591</v>
      </c>
      <c r="M482" s="45">
        <f>GroDB[[#This Row],[Date_Received1]]-GroDB[[#This Row],[Procurement_Date]]</f>
        <v>10</v>
      </c>
      <c r="N482" s="43">
        <v>45483</v>
      </c>
      <c r="O482" s="91">
        <f>GroDB[[#This Row],[Expiration_Date]]-GroDB[[#This Row],[Date_Received1]]</f>
        <v>-118</v>
      </c>
      <c r="P482" s="4">
        <v>1.2000000000000002</v>
      </c>
      <c r="Q482" s="3">
        <v>11</v>
      </c>
      <c r="R482" s="3">
        <v>77</v>
      </c>
      <c r="S482" s="3">
        <v>7</v>
      </c>
      <c r="T482" s="4">
        <v>1.5</v>
      </c>
      <c r="U482" s="3">
        <v>77</v>
      </c>
      <c r="V482" s="51">
        <f>IF(GroDB[[#This Row],[LeadTime]]=0,GroDB[[#This Row],[Sales_Volume]],GroDB[[#This Row],[Sales_Volume]]/GroDB[[#This Row],[LeadTime]])</f>
        <v>7.7</v>
      </c>
      <c r="W482" s="51">
        <f>_xlfn.STDEV.S(GroDB[Daily Sales])</f>
        <v>5.1999899792654221</v>
      </c>
      <c r="X482" s="3">
        <v>46</v>
      </c>
      <c r="Y482" s="7">
        <v>-0.16</v>
      </c>
      <c r="Z482" s="4">
        <f>GroDB[[#This Row],[Unit_Price]]*GroDB[[#This Row],[Sales_Volume]]</f>
        <v>115.5</v>
      </c>
      <c r="AA482" s="22">
        <f>GroDB[[#This Row],[ADU]]/GroDB[[#Totals],[ADU]]</f>
        <v>3.3549313453239826E-4</v>
      </c>
      <c r="AB482" s="1">
        <f>GroDB[[#This Row],[Sales_Volume]]*GroDB[[#This Row],[Ordering Cost]]</f>
        <v>92.40000000000002</v>
      </c>
    </row>
    <row r="483" spans="1:28" x14ac:dyDescent="0.35">
      <c r="A483" s="5" t="s">
        <v>101</v>
      </c>
      <c r="B483" s="3" t="s">
        <v>18</v>
      </c>
      <c r="C483" s="3" t="s">
        <v>268</v>
      </c>
      <c r="D483" s="3" t="s">
        <v>1849</v>
      </c>
      <c r="E483" s="3" t="s">
        <v>56</v>
      </c>
      <c r="F483" s="3" t="s">
        <v>1850</v>
      </c>
      <c r="G483" s="3" t="s">
        <v>1851</v>
      </c>
      <c r="H483" s="43">
        <v>45592</v>
      </c>
      <c r="I483" s="43">
        <v>45708</v>
      </c>
      <c r="J483" s="47" t="str">
        <f>IF(GroDB[[#This Row],[Last_Order_Date]]&lt;=GroDB[[#This Row],[Date_Received]], "Yes", "No")</f>
        <v>No</v>
      </c>
      <c r="K483" s="43">
        <f>IF(GroDB[[#This Row],[Column1]]="No",GroDB[[#This Row],[Last_Order_Date]],GroDB[[#This Row],[Date_Received]])</f>
        <v>45708</v>
      </c>
      <c r="L483" s="43">
        <f>IF(GroDB[[#This Row],[Column1]]="No",GroDB[[#This Row],[Date_Received]],GroDB[[#This Row],[Last_Order_Date]])</f>
        <v>45592</v>
      </c>
      <c r="M483" s="45">
        <f>GroDB[[#This Row],[Date_Received1]]-GroDB[[#This Row],[Procurement_Date]]</f>
        <v>116</v>
      </c>
      <c r="N483" s="43">
        <v>45353</v>
      </c>
      <c r="O483" s="91">
        <f>GroDB[[#This Row],[Expiration_Date]]-GroDB[[#This Row],[Date_Received1]]</f>
        <v>-355</v>
      </c>
      <c r="P483" s="4">
        <v>3.6</v>
      </c>
      <c r="Q483" s="3">
        <v>29</v>
      </c>
      <c r="R483" s="3">
        <v>20</v>
      </c>
      <c r="S483" s="3">
        <v>85</v>
      </c>
      <c r="T483" s="4">
        <v>4.5</v>
      </c>
      <c r="U483" s="3">
        <v>31</v>
      </c>
      <c r="V483" s="51">
        <f>IF(GroDB[[#This Row],[LeadTime]]=0,GroDB[[#This Row],[Sales_Volume]],GroDB[[#This Row],[Sales_Volume]]/GroDB[[#This Row],[LeadTime]])</f>
        <v>0.26724137931034481</v>
      </c>
      <c r="W483" s="51">
        <f>_xlfn.STDEV.S(GroDB[Daily Sales])</f>
        <v>5.1999899792654221</v>
      </c>
      <c r="X483" s="3">
        <v>31</v>
      </c>
      <c r="Y483" s="7">
        <v>0.4</v>
      </c>
      <c r="Z483" s="4">
        <f>GroDB[[#This Row],[Unit_Price]]*GroDB[[#This Row],[Sales_Volume]]</f>
        <v>139.5</v>
      </c>
      <c r="AA483" s="22">
        <f>GroDB[[#This Row],[ADU]]/GroDB[[#Totals],[ADU]]</f>
        <v>4.0520599365601349E-4</v>
      </c>
      <c r="AB483" s="1">
        <f>GroDB[[#This Row],[Sales_Volume]]*GroDB[[#This Row],[Ordering Cost]]</f>
        <v>111.60000000000001</v>
      </c>
    </row>
    <row r="484" spans="1:28" x14ac:dyDescent="0.35">
      <c r="A484" s="5" t="s">
        <v>1109</v>
      </c>
      <c r="B484" s="3" t="s">
        <v>18</v>
      </c>
      <c r="C484" s="3" t="s">
        <v>1054</v>
      </c>
      <c r="D484" s="3" t="s">
        <v>1852</v>
      </c>
      <c r="E484" s="3" t="s">
        <v>56</v>
      </c>
      <c r="F484" s="3" t="s">
        <v>1853</v>
      </c>
      <c r="G484" s="3" t="s">
        <v>1854</v>
      </c>
      <c r="H484" s="43">
        <v>45592</v>
      </c>
      <c r="I484" s="43">
        <v>45472</v>
      </c>
      <c r="J484" s="47" t="str">
        <f>IF(GroDB[[#This Row],[Last_Order_Date]]&lt;=GroDB[[#This Row],[Date_Received]], "Yes", "No")</f>
        <v>Yes</v>
      </c>
      <c r="K484" s="43">
        <f>IF(GroDB[[#This Row],[Column1]]="No",GroDB[[#This Row],[Last_Order_Date]],GroDB[[#This Row],[Date_Received]])</f>
        <v>45592</v>
      </c>
      <c r="L484" s="43">
        <f>IF(GroDB[[#This Row],[Column1]]="No",GroDB[[#This Row],[Date_Received]],GroDB[[#This Row],[Last_Order_Date]])</f>
        <v>45472</v>
      </c>
      <c r="M484" s="45">
        <f>GroDB[[#This Row],[Date_Received1]]-GroDB[[#This Row],[Procurement_Date]]</f>
        <v>120</v>
      </c>
      <c r="N484" s="43">
        <v>45642</v>
      </c>
      <c r="O484" s="91">
        <f>GroDB[[#This Row],[Expiration_Date]]-GroDB[[#This Row],[Date_Received1]]</f>
        <v>50</v>
      </c>
      <c r="P484" s="4">
        <v>2</v>
      </c>
      <c r="Q484" s="3">
        <v>59</v>
      </c>
      <c r="R484" s="3">
        <v>91</v>
      </c>
      <c r="S484" s="3">
        <v>24</v>
      </c>
      <c r="T484" s="4">
        <v>2.5</v>
      </c>
      <c r="U484" s="3">
        <v>54</v>
      </c>
      <c r="V484" s="51">
        <f>IF(GroDB[[#This Row],[LeadTime]]=0,GroDB[[#This Row],[Sales_Volume]],GroDB[[#This Row],[Sales_Volume]]/GroDB[[#This Row],[LeadTime]])</f>
        <v>0.45</v>
      </c>
      <c r="W484" s="51">
        <f>_xlfn.STDEV.S(GroDB[Daily Sales])</f>
        <v>5.1999899792654221</v>
      </c>
      <c r="X484" s="3">
        <v>87</v>
      </c>
      <c r="Y484" s="7">
        <v>0</v>
      </c>
      <c r="Z484" s="4">
        <f>GroDB[[#This Row],[Unit_Price]]*GroDB[[#This Row],[Sales_Volume]]</f>
        <v>135</v>
      </c>
      <c r="AA484" s="22">
        <f>GroDB[[#This Row],[ADU]]/GroDB[[#Totals],[ADU]]</f>
        <v>3.9213483257033563E-4</v>
      </c>
      <c r="AB484" s="1">
        <f>GroDB[[#This Row],[Sales_Volume]]*GroDB[[#This Row],[Ordering Cost]]</f>
        <v>108</v>
      </c>
    </row>
    <row r="485" spans="1:28" x14ac:dyDescent="0.35">
      <c r="A485" s="5" t="s">
        <v>70</v>
      </c>
      <c r="B485" s="3" t="s">
        <v>32</v>
      </c>
      <c r="C485" s="3" t="s">
        <v>334</v>
      </c>
      <c r="D485" s="3" t="s">
        <v>1855</v>
      </c>
      <c r="E485" s="3" t="s">
        <v>28</v>
      </c>
      <c r="F485" s="3" t="s">
        <v>1856</v>
      </c>
      <c r="G485" s="3" t="s">
        <v>1857</v>
      </c>
      <c r="H485" s="43">
        <v>45592</v>
      </c>
      <c r="I485" s="43">
        <v>45471</v>
      </c>
      <c r="J485" s="47" t="str">
        <f>IF(GroDB[[#This Row],[Last_Order_Date]]&lt;=GroDB[[#This Row],[Date_Received]], "Yes", "No")</f>
        <v>Yes</v>
      </c>
      <c r="K485" s="43">
        <f>IF(GroDB[[#This Row],[Column1]]="No",GroDB[[#This Row],[Last_Order_Date]],GroDB[[#This Row],[Date_Received]])</f>
        <v>45592</v>
      </c>
      <c r="L485" s="43">
        <f>IF(GroDB[[#This Row],[Column1]]="No",GroDB[[#This Row],[Date_Received]],GroDB[[#This Row],[Last_Order_Date]])</f>
        <v>45471</v>
      </c>
      <c r="M485" s="45">
        <f>GroDB[[#This Row],[Date_Received1]]-GroDB[[#This Row],[Procurement_Date]]</f>
        <v>121</v>
      </c>
      <c r="N485" s="43">
        <v>45497</v>
      </c>
      <c r="O485" s="91">
        <f>GroDB[[#This Row],[Expiration_Date]]-GroDB[[#This Row],[Date_Received1]]</f>
        <v>-95</v>
      </c>
      <c r="P485" s="4">
        <v>1.4000000000000001</v>
      </c>
      <c r="Q485" s="3">
        <v>12</v>
      </c>
      <c r="R485" s="3">
        <v>83</v>
      </c>
      <c r="S485" s="3">
        <v>93</v>
      </c>
      <c r="T485" s="4">
        <v>1.75</v>
      </c>
      <c r="U485" s="3">
        <v>22</v>
      </c>
      <c r="V485" s="51">
        <f>IF(GroDB[[#This Row],[LeadTime]]=0,GroDB[[#This Row],[Sales_Volume]],GroDB[[#This Row],[Sales_Volume]]/GroDB[[#This Row],[LeadTime]])</f>
        <v>0.18181818181818182</v>
      </c>
      <c r="W485" s="51">
        <f>_xlfn.STDEV.S(GroDB[Daily Sales])</f>
        <v>5.1999899792654221</v>
      </c>
      <c r="X485" s="3">
        <v>9</v>
      </c>
      <c r="Y485" s="7">
        <v>-0.61</v>
      </c>
      <c r="Z485" s="4">
        <f>GroDB[[#This Row],[Unit_Price]]*GroDB[[#This Row],[Sales_Volume]]</f>
        <v>38.5</v>
      </c>
      <c r="AA485" s="22">
        <f>GroDB[[#This Row],[ADU]]/GroDB[[#Totals],[ADU]]</f>
        <v>1.1183104484413275E-4</v>
      </c>
      <c r="AB485" s="1">
        <f>GroDB[[#This Row],[Sales_Volume]]*GroDB[[#This Row],[Ordering Cost]]</f>
        <v>30.800000000000004</v>
      </c>
    </row>
    <row r="486" spans="1:28" x14ac:dyDescent="0.35">
      <c r="A486" s="5" t="s">
        <v>193</v>
      </c>
      <c r="B486" s="3" t="s">
        <v>18</v>
      </c>
      <c r="C486" s="3" t="s">
        <v>48</v>
      </c>
      <c r="D486" s="3" t="s">
        <v>1858</v>
      </c>
      <c r="E486" s="3" t="s">
        <v>21</v>
      </c>
      <c r="F486" s="3" t="s">
        <v>1859</v>
      </c>
      <c r="G486" s="3" t="s">
        <v>1860</v>
      </c>
      <c r="H486" s="43">
        <v>45592</v>
      </c>
      <c r="I486" s="43">
        <v>45590</v>
      </c>
      <c r="J486" s="47" t="str">
        <f>IF(GroDB[[#This Row],[Last_Order_Date]]&lt;=GroDB[[#This Row],[Date_Received]], "Yes", "No")</f>
        <v>Yes</v>
      </c>
      <c r="K486" s="43">
        <f>IF(GroDB[[#This Row],[Column1]]="No",GroDB[[#This Row],[Last_Order_Date]],GroDB[[#This Row],[Date_Received]])</f>
        <v>45592</v>
      </c>
      <c r="L486" s="43">
        <f>IF(GroDB[[#This Row],[Column1]]="No",GroDB[[#This Row],[Date_Received]],GroDB[[#This Row],[Last_Order_Date]])</f>
        <v>45590</v>
      </c>
      <c r="M486" s="45">
        <f>GroDB[[#This Row],[Date_Received1]]-GroDB[[#This Row],[Procurement_Date]]</f>
        <v>2</v>
      </c>
      <c r="N486" s="43">
        <v>45554</v>
      </c>
      <c r="O486" s="91">
        <f>GroDB[[#This Row],[Expiration_Date]]-GroDB[[#This Row],[Date_Received1]]</f>
        <v>-38</v>
      </c>
      <c r="P486" s="4">
        <v>1.52</v>
      </c>
      <c r="Q486" s="3">
        <v>75</v>
      </c>
      <c r="R486" s="3">
        <v>56</v>
      </c>
      <c r="S486" s="3">
        <v>57</v>
      </c>
      <c r="T486" s="4">
        <v>1.9</v>
      </c>
      <c r="U486" s="3">
        <v>63</v>
      </c>
      <c r="V486" s="51">
        <f>IF(GroDB[[#This Row],[LeadTime]]=0,GroDB[[#This Row],[Sales_Volume]],GroDB[[#This Row],[Sales_Volume]]/GroDB[[#This Row],[LeadTime]])</f>
        <v>31.5</v>
      </c>
      <c r="W486" s="51">
        <f>_xlfn.STDEV.S(GroDB[Daily Sales])</f>
        <v>5.1999899792654221</v>
      </c>
      <c r="X486" s="3">
        <v>64</v>
      </c>
      <c r="Y486" s="7">
        <v>0.59</v>
      </c>
      <c r="Z486" s="4">
        <f>GroDB[[#This Row],[Unit_Price]]*GroDB[[#This Row],[Sales_Volume]]</f>
        <v>119.69999999999999</v>
      </c>
      <c r="AA486" s="22">
        <f>GroDB[[#This Row],[ADU]]/GroDB[[#Totals],[ADU]]</f>
        <v>3.4769288487903087E-4</v>
      </c>
      <c r="AB486" s="1">
        <f>GroDB[[#This Row],[Sales_Volume]]*GroDB[[#This Row],[Ordering Cost]]</f>
        <v>95.76</v>
      </c>
    </row>
    <row r="487" spans="1:28" x14ac:dyDescent="0.35">
      <c r="A487" s="5" t="s">
        <v>288</v>
      </c>
      <c r="B487" s="3" t="s">
        <v>60</v>
      </c>
      <c r="C487" s="3" t="s">
        <v>972</v>
      </c>
      <c r="D487" s="3" t="s">
        <v>1861</v>
      </c>
      <c r="E487" s="3" t="s">
        <v>56</v>
      </c>
      <c r="F487" s="3" t="s">
        <v>1862</v>
      </c>
      <c r="G487" s="3" t="s">
        <v>1863</v>
      </c>
      <c r="H487" s="43">
        <v>45592</v>
      </c>
      <c r="I487" s="43">
        <v>45565</v>
      </c>
      <c r="J487" s="47" t="str">
        <f>IF(GroDB[[#This Row],[Last_Order_Date]]&lt;=GroDB[[#This Row],[Date_Received]], "Yes", "No")</f>
        <v>Yes</v>
      </c>
      <c r="K487" s="43">
        <f>IF(GroDB[[#This Row],[Column1]]="No",GroDB[[#This Row],[Last_Order_Date]],GroDB[[#This Row],[Date_Received]])</f>
        <v>45592</v>
      </c>
      <c r="L487" s="43">
        <f>IF(GroDB[[#This Row],[Column1]]="No",GroDB[[#This Row],[Date_Received]],GroDB[[#This Row],[Last_Order_Date]])</f>
        <v>45565</v>
      </c>
      <c r="M487" s="45">
        <f>GroDB[[#This Row],[Date_Received1]]-GroDB[[#This Row],[Procurement_Date]]</f>
        <v>27</v>
      </c>
      <c r="N487" s="43">
        <v>45533</v>
      </c>
      <c r="O487" s="91">
        <f>GroDB[[#This Row],[Expiration_Date]]-GroDB[[#This Row],[Date_Received1]]</f>
        <v>-59</v>
      </c>
      <c r="P487" s="4">
        <v>9.2799999999999994</v>
      </c>
      <c r="Q487" s="3">
        <v>67</v>
      </c>
      <c r="R487" s="3">
        <v>83</v>
      </c>
      <c r="S487" s="3">
        <v>90</v>
      </c>
      <c r="T487" s="4">
        <v>11.6</v>
      </c>
      <c r="U487" s="3">
        <v>66</v>
      </c>
      <c r="V487" s="51">
        <f>IF(GroDB[[#This Row],[LeadTime]]=0,GroDB[[#This Row],[Sales_Volume]],GroDB[[#This Row],[Sales_Volume]]/GroDB[[#This Row],[LeadTime]])</f>
        <v>2.4444444444444446</v>
      </c>
      <c r="W487" s="51">
        <f>_xlfn.STDEV.S(GroDB[Daily Sales])</f>
        <v>5.1999899792654221</v>
      </c>
      <c r="X487" s="3">
        <v>77</v>
      </c>
      <c r="Y487" s="7">
        <v>-0.02</v>
      </c>
      <c r="Z487" s="4">
        <f>GroDB[[#This Row],[Unit_Price]]*GroDB[[#This Row],[Sales_Volume]]</f>
        <v>765.6</v>
      </c>
      <c r="AA487" s="22">
        <f>GroDB[[#This Row],[ADU]]/GroDB[[#Totals],[ADU]]</f>
        <v>2.2238402060433256E-3</v>
      </c>
      <c r="AB487" s="1">
        <f>GroDB[[#This Row],[Sales_Volume]]*GroDB[[#This Row],[Ordering Cost]]</f>
        <v>612.4799999999999</v>
      </c>
    </row>
    <row r="488" spans="1:28" x14ac:dyDescent="0.35">
      <c r="A488" s="5" t="s">
        <v>574</v>
      </c>
      <c r="B488" s="3" t="s">
        <v>53</v>
      </c>
      <c r="C488" s="3" t="s">
        <v>1286</v>
      </c>
      <c r="D488" s="3" t="s">
        <v>1864</v>
      </c>
      <c r="E488" s="3" t="s">
        <v>28</v>
      </c>
      <c r="F488" s="3" t="s">
        <v>1865</v>
      </c>
      <c r="G488" s="3" t="s">
        <v>1866</v>
      </c>
      <c r="H488" s="43">
        <v>45592</v>
      </c>
      <c r="I488" s="43">
        <v>45712</v>
      </c>
      <c r="J488" s="47" t="str">
        <f>IF(GroDB[[#This Row],[Last_Order_Date]]&lt;=GroDB[[#This Row],[Date_Received]], "Yes", "No")</f>
        <v>No</v>
      </c>
      <c r="K488" s="43">
        <f>IF(GroDB[[#This Row],[Column1]]="No",GroDB[[#This Row],[Last_Order_Date]],GroDB[[#This Row],[Date_Received]])</f>
        <v>45712</v>
      </c>
      <c r="L488" s="43">
        <f>IF(GroDB[[#This Row],[Column1]]="No",GroDB[[#This Row],[Date_Received]],GroDB[[#This Row],[Last_Order_Date]])</f>
        <v>45592</v>
      </c>
      <c r="M488" s="45">
        <f>GroDB[[#This Row],[Date_Received1]]-GroDB[[#This Row],[Procurement_Date]]</f>
        <v>120</v>
      </c>
      <c r="N488" s="43">
        <v>45651</v>
      </c>
      <c r="O488" s="91">
        <f>GroDB[[#This Row],[Expiration_Date]]-GroDB[[#This Row],[Date_Received1]]</f>
        <v>-61</v>
      </c>
      <c r="P488" s="4">
        <v>1.6</v>
      </c>
      <c r="Q488" s="3">
        <v>29</v>
      </c>
      <c r="R488" s="3">
        <v>54</v>
      </c>
      <c r="S488" s="3">
        <v>54</v>
      </c>
      <c r="T488" s="4">
        <v>2</v>
      </c>
      <c r="U488" s="3">
        <v>58</v>
      </c>
      <c r="V488" s="51">
        <f>IF(GroDB[[#This Row],[LeadTime]]=0,GroDB[[#This Row],[Sales_Volume]],GroDB[[#This Row],[Sales_Volume]]/GroDB[[#This Row],[LeadTime]])</f>
        <v>0.48333333333333334</v>
      </c>
      <c r="W488" s="51">
        <f>_xlfn.STDEV.S(GroDB[Daily Sales])</f>
        <v>5.1999899792654221</v>
      </c>
      <c r="X488" s="3">
        <v>63</v>
      </c>
      <c r="Y488" s="7">
        <v>-0.17</v>
      </c>
      <c r="Z488" s="4">
        <f>GroDB[[#This Row],[Unit_Price]]*GroDB[[#This Row],[Sales_Volume]]</f>
        <v>116</v>
      </c>
      <c r="AA488" s="22">
        <f>GroDB[[#This Row],[ADU]]/GroDB[[#Totals],[ADU]]</f>
        <v>3.3694548576414024E-4</v>
      </c>
      <c r="AB488" s="1">
        <f>GroDB[[#This Row],[Sales_Volume]]*GroDB[[#This Row],[Ordering Cost]]</f>
        <v>92.800000000000011</v>
      </c>
    </row>
    <row r="489" spans="1:28" x14ac:dyDescent="0.35">
      <c r="A489" s="5" t="s">
        <v>37</v>
      </c>
      <c r="B489" s="3" t="s">
        <v>18</v>
      </c>
      <c r="C489" s="3" t="s">
        <v>268</v>
      </c>
      <c r="D489" s="3" t="s">
        <v>1867</v>
      </c>
      <c r="E489" s="3" t="s">
        <v>21</v>
      </c>
      <c r="F489" s="3" t="s">
        <v>1868</v>
      </c>
      <c r="G489" s="3" t="s">
        <v>1869</v>
      </c>
      <c r="H489" s="43">
        <v>45592</v>
      </c>
      <c r="I489" s="43">
        <v>45364</v>
      </c>
      <c r="J489" s="47" t="str">
        <f>IF(GroDB[[#This Row],[Last_Order_Date]]&lt;=GroDB[[#This Row],[Date_Received]], "Yes", "No")</f>
        <v>Yes</v>
      </c>
      <c r="K489" s="43">
        <f>IF(GroDB[[#This Row],[Column1]]="No",GroDB[[#This Row],[Last_Order_Date]],GroDB[[#This Row],[Date_Received]])</f>
        <v>45592</v>
      </c>
      <c r="L489" s="43">
        <f>IF(GroDB[[#This Row],[Column1]]="No",GroDB[[#This Row],[Date_Received]],GroDB[[#This Row],[Last_Order_Date]])</f>
        <v>45364</v>
      </c>
      <c r="M489" s="45">
        <f>GroDB[[#This Row],[Date_Received1]]-GroDB[[#This Row],[Procurement_Date]]</f>
        <v>228</v>
      </c>
      <c r="N489" s="43">
        <v>45406</v>
      </c>
      <c r="O489" s="91">
        <f>GroDB[[#This Row],[Expiration_Date]]-GroDB[[#This Row],[Date_Received1]]</f>
        <v>-186</v>
      </c>
      <c r="P489" s="4">
        <v>1.2000000000000002</v>
      </c>
      <c r="Q489" s="3">
        <v>61</v>
      </c>
      <c r="R489" s="3">
        <v>81</v>
      </c>
      <c r="S489" s="3">
        <v>99</v>
      </c>
      <c r="T489" s="4">
        <v>1.5</v>
      </c>
      <c r="U489" s="3">
        <v>26</v>
      </c>
      <c r="V489" s="51">
        <f>IF(GroDB[[#This Row],[LeadTime]]=0,GroDB[[#This Row],[Sales_Volume]],GroDB[[#This Row],[Sales_Volume]]/GroDB[[#This Row],[LeadTime]])</f>
        <v>0.11403508771929824</v>
      </c>
      <c r="W489" s="51">
        <f>_xlfn.STDEV.S(GroDB[Daily Sales])</f>
        <v>5.1999899792654221</v>
      </c>
      <c r="X489" s="3">
        <v>76</v>
      </c>
      <c r="Y489" s="7">
        <v>-0.09</v>
      </c>
      <c r="Z489" s="4">
        <f>GroDB[[#This Row],[Unit_Price]]*GroDB[[#This Row],[Sales_Volume]]</f>
        <v>39</v>
      </c>
      <c r="AA489" s="22">
        <f>GroDB[[#This Row],[ADU]]/GroDB[[#Totals],[ADU]]</f>
        <v>1.1328339607587473E-4</v>
      </c>
      <c r="AB489" s="1">
        <f>GroDB[[#This Row],[Sales_Volume]]*GroDB[[#This Row],[Ordering Cost]]</f>
        <v>31.200000000000003</v>
      </c>
    </row>
    <row r="490" spans="1:28" x14ac:dyDescent="0.35">
      <c r="A490" s="5" t="s">
        <v>96</v>
      </c>
      <c r="B490" s="3" t="s">
        <v>18</v>
      </c>
      <c r="C490" s="3" t="s">
        <v>1870</v>
      </c>
      <c r="D490" s="3" t="s">
        <v>1871</v>
      </c>
      <c r="E490" s="3" t="s">
        <v>56</v>
      </c>
      <c r="F490" s="3" t="s">
        <v>1872</v>
      </c>
      <c r="G490" s="3" t="s">
        <v>1873</v>
      </c>
      <c r="H490" s="43">
        <v>45593</v>
      </c>
      <c r="I490" s="43">
        <v>45483</v>
      </c>
      <c r="J490" s="47" t="str">
        <f>IF(GroDB[[#This Row],[Last_Order_Date]]&lt;=GroDB[[#This Row],[Date_Received]], "Yes", "No")</f>
        <v>Yes</v>
      </c>
      <c r="K490" s="43">
        <f>IF(GroDB[[#This Row],[Column1]]="No",GroDB[[#This Row],[Last_Order_Date]],GroDB[[#This Row],[Date_Received]])</f>
        <v>45593</v>
      </c>
      <c r="L490" s="43">
        <f>IF(GroDB[[#This Row],[Column1]]="No",GroDB[[#This Row],[Date_Received]],GroDB[[#This Row],[Last_Order_Date]])</f>
        <v>45483</v>
      </c>
      <c r="M490" s="45">
        <f>GroDB[[#This Row],[Date_Received1]]-GroDB[[#This Row],[Procurement_Date]]</f>
        <v>110</v>
      </c>
      <c r="N490" s="43">
        <v>45375</v>
      </c>
      <c r="O490" s="91">
        <f>GroDB[[#This Row],[Expiration_Date]]-GroDB[[#This Row],[Date_Received1]]</f>
        <v>-218</v>
      </c>
      <c r="P490" s="4">
        <v>2</v>
      </c>
      <c r="Q490" s="3">
        <v>52</v>
      </c>
      <c r="R490" s="3">
        <v>22</v>
      </c>
      <c r="S490" s="3">
        <v>37</v>
      </c>
      <c r="T490" s="4">
        <v>2.5</v>
      </c>
      <c r="U490" s="3">
        <v>56</v>
      </c>
      <c r="V490" s="51">
        <f>IF(GroDB[[#This Row],[LeadTime]]=0,GroDB[[#This Row],[Sales_Volume]],GroDB[[#This Row],[Sales_Volume]]/GroDB[[#This Row],[LeadTime]])</f>
        <v>0.50909090909090904</v>
      </c>
      <c r="W490" s="51">
        <f>_xlfn.STDEV.S(GroDB[Daily Sales])</f>
        <v>5.1999899792654221</v>
      </c>
      <c r="X490" s="3">
        <v>44</v>
      </c>
      <c r="Y490" s="7">
        <v>-1.92</v>
      </c>
      <c r="Z490" s="4">
        <f>GroDB[[#This Row],[Unit_Price]]*GroDB[[#This Row],[Sales_Volume]]</f>
        <v>140</v>
      </c>
      <c r="AA490" s="22">
        <f>GroDB[[#This Row],[ADU]]/GroDB[[#Totals],[ADU]]</f>
        <v>4.0665834488775546E-4</v>
      </c>
      <c r="AB490" s="1">
        <f>GroDB[[#This Row],[Sales_Volume]]*GroDB[[#This Row],[Ordering Cost]]</f>
        <v>112</v>
      </c>
    </row>
    <row r="491" spans="1:28" x14ac:dyDescent="0.35">
      <c r="A491" s="5" t="s">
        <v>465</v>
      </c>
      <c r="B491" s="3" t="s">
        <v>18</v>
      </c>
      <c r="C491" s="3" t="s">
        <v>1012</v>
      </c>
      <c r="D491" s="3" t="s">
        <v>1874</v>
      </c>
      <c r="E491" s="3" t="s">
        <v>28</v>
      </c>
      <c r="F491" s="3" t="s">
        <v>1875</v>
      </c>
      <c r="G491" s="3" t="s">
        <v>1876</v>
      </c>
      <c r="H491" s="43">
        <v>45593</v>
      </c>
      <c r="I491" s="43">
        <v>45641</v>
      </c>
      <c r="J491" s="47" t="str">
        <f>IF(GroDB[[#This Row],[Last_Order_Date]]&lt;=GroDB[[#This Row],[Date_Received]], "Yes", "No")</f>
        <v>No</v>
      </c>
      <c r="K491" s="43">
        <f>IF(GroDB[[#This Row],[Column1]]="No",GroDB[[#This Row],[Last_Order_Date]],GroDB[[#This Row],[Date_Received]])</f>
        <v>45641</v>
      </c>
      <c r="L491" s="43">
        <f>IF(GroDB[[#This Row],[Column1]]="No",GroDB[[#This Row],[Date_Received]],GroDB[[#This Row],[Last_Order_Date]])</f>
        <v>45593</v>
      </c>
      <c r="M491" s="45">
        <f>GroDB[[#This Row],[Date_Received1]]-GroDB[[#This Row],[Procurement_Date]]</f>
        <v>48</v>
      </c>
      <c r="N491" s="43">
        <v>45512</v>
      </c>
      <c r="O491" s="91">
        <f>GroDB[[#This Row],[Expiration_Date]]-GroDB[[#This Row],[Date_Received1]]</f>
        <v>-129</v>
      </c>
      <c r="P491" s="4">
        <v>34.064</v>
      </c>
      <c r="Q491" s="3">
        <v>28</v>
      </c>
      <c r="R491" s="3">
        <v>38</v>
      </c>
      <c r="S491" s="3">
        <v>23</v>
      </c>
      <c r="T491" s="4">
        <v>42.58</v>
      </c>
      <c r="U491" s="3">
        <v>48</v>
      </c>
      <c r="V491" s="51">
        <f>IF(GroDB[[#This Row],[LeadTime]]=0,GroDB[[#This Row],[Sales_Volume]],GroDB[[#This Row],[Sales_Volume]]/GroDB[[#This Row],[LeadTime]])</f>
        <v>1</v>
      </c>
      <c r="W491" s="51">
        <f>_xlfn.STDEV.S(GroDB[Daily Sales])</f>
        <v>5.1999899792654221</v>
      </c>
      <c r="X491" s="3">
        <v>56</v>
      </c>
      <c r="Y491" s="7">
        <v>0.21</v>
      </c>
      <c r="Z491" s="4">
        <f>GroDB[[#This Row],[Unit_Price]]*GroDB[[#This Row],[Sales_Volume]]</f>
        <v>2043.84</v>
      </c>
      <c r="AA491" s="22">
        <f>GroDB[[#This Row],[ADU]]/GroDB[[#Totals],[ADU]]</f>
        <v>5.9367470829670716E-3</v>
      </c>
      <c r="AB491" s="1">
        <f>GroDB[[#This Row],[Sales_Volume]]*GroDB[[#This Row],[Ordering Cost]]</f>
        <v>1635.0720000000001</v>
      </c>
    </row>
    <row r="492" spans="1:28" x14ac:dyDescent="0.35">
      <c r="A492" s="5" t="s">
        <v>175</v>
      </c>
      <c r="B492" s="3" t="s">
        <v>53</v>
      </c>
      <c r="C492" s="3" t="s">
        <v>1877</v>
      </c>
      <c r="D492" s="3" t="s">
        <v>1878</v>
      </c>
      <c r="E492" s="3" t="s">
        <v>56</v>
      </c>
      <c r="F492" s="3" t="s">
        <v>1879</v>
      </c>
      <c r="G492" s="3" t="s">
        <v>1880</v>
      </c>
      <c r="H492" s="43">
        <v>45594</v>
      </c>
      <c r="I492" s="43">
        <v>45655</v>
      </c>
      <c r="J492" s="47" t="str">
        <f>IF(GroDB[[#This Row],[Last_Order_Date]]&lt;=GroDB[[#This Row],[Date_Received]], "Yes", "No")</f>
        <v>No</v>
      </c>
      <c r="K492" s="43">
        <f>IF(GroDB[[#This Row],[Column1]]="No",GroDB[[#This Row],[Last_Order_Date]],GroDB[[#This Row],[Date_Received]])</f>
        <v>45655</v>
      </c>
      <c r="L492" s="43">
        <f>IF(GroDB[[#This Row],[Column1]]="No",GroDB[[#This Row],[Date_Received]],GroDB[[#This Row],[Last_Order_Date]])</f>
        <v>45594</v>
      </c>
      <c r="M492" s="45">
        <f>GroDB[[#This Row],[Date_Received1]]-GroDB[[#This Row],[Procurement_Date]]</f>
        <v>61</v>
      </c>
      <c r="N492" s="43">
        <v>45347</v>
      </c>
      <c r="O492" s="91">
        <f>GroDB[[#This Row],[Expiration_Date]]-GroDB[[#This Row],[Date_Received1]]</f>
        <v>-308</v>
      </c>
      <c r="P492" s="4">
        <v>1.2000000000000002</v>
      </c>
      <c r="Q492" s="3">
        <v>84</v>
      </c>
      <c r="R492" s="3">
        <v>92</v>
      </c>
      <c r="S492" s="3">
        <v>18</v>
      </c>
      <c r="T492" s="4">
        <v>1.5</v>
      </c>
      <c r="U492" s="3">
        <v>92</v>
      </c>
      <c r="V492" s="51">
        <f>IF(GroDB[[#This Row],[LeadTime]]=0,GroDB[[#This Row],[Sales_Volume]],GroDB[[#This Row],[Sales_Volume]]/GroDB[[#This Row],[LeadTime]])</f>
        <v>1.5081967213114753</v>
      </c>
      <c r="W492" s="51">
        <f>_xlfn.STDEV.S(GroDB[Daily Sales])</f>
        <v>5.1999899792654221</v>
      </c>
      <c r="X492" s="3">
        <v>69</v>
      </c>
      <c r="Y492" s="7">
        <v>-0.17</v>
      </c>
      <c r="Z492" s="4">
        <f>GroDB[[#This Row],[Unit_Price]]*GroDB[[#This Row],[Sales_Volume]]</f>
        <v>138</v>
      </c>
      <c r="AA492" s="22">
        <f>GroDB[[#This Row],[ADU]]/GroDB[[#Totals],[ADU]]</f>
        <v>4.0084893996078752E-4</v>
      </c>
      <c r="AB492" s="1">
        <f>GroDB[[#This Row],[Sales_Volume]]*GroDB[[#This Row],[Ordering Cost]]</f>
        <v>110.40000000000002</v>
      </c>
    </row>
    <row r="493" spans="1:28" x14ac:dyDescent="0.35">
      <c r="A493" s="5" t="s">
        <v>495</v>
      </c>
      <c r="B493" s="3" t="s">
        <v>18</v>
      </c>
      <c r="C493" s="3" t="s">
        <v>616</v>
      </c>
      <c r="D493" s="3" t="s">
        <v>1881</v>
      </c>
      <c r="E493" s="3" t="s">
        <v>28</v>
      </c>
      <c r="F493" s="3" t="s">
        <v>1882</v>
      </c>
      <c r="G493" s="3" t="s">
        <v>1883</v>
      </c>
      <c r="H493" s="43">
        <v>45594</v>
      </c>
      <c r="I493" s="43">
        <v>45603</v>
      </c>
      <c r="J493" s="47" t="str">
        <f>IF(GroDB[[#This Row],[Last_Order_Date]]&lt;=GroDB[[#This Row],[Date_Received]], "Yes", "No")</f>
        <v>No</v>
      </c>
      <c r="K493" s="43">
        <f>IF(GroDB[[#This Row],[Column1]]="No",GroDB[[#This Row],[Last_Order_Date]],GroDB[[#This Row],[Date_Received]])</f>
        <v>45603</v>
      </c>
      <c r="L493" s="43">
        <f>IF(GroDB[[#This Row],[Column1]]="No",GroDB[[#This Row],[Date_Received]],GroDB[[#This Row],[Last_Order_Date]])</f>
        <v>45594</v>
      </c>
      <c r="M493" s="45">
        <f>GroDB[[#This Row],[Date_Received1]]-GroDB[[#This Row],[Procurement_Date]]</f>
        <v>9</v>
      </c>
      <c r="N493" s="43">
        <v>45423</v>
      </c>
      <c r="O493" s="91">
        <f>GroDB[[#This Row],[Expiration_Date]]-GroDB[[#This Row],[Date_Received1]]</f>
        <v>-180</v>
      </c>
      <c r="P493" s="4">
        <v>4.8000000000000007</v>
      </c>
      <c r="Q493" s="3">
        <v>79</v>
      </c>
      <c r="R493" s="3">
        <v>45</v>
      </c>
      <c r="S493" s="3">
        <v>39</v>
      </c>
      <c r="T493" s="4">
        <v>6</v>
      </c>
      <c r="U493" s="3">
        <v>55</v>
      </c>
      <c r="V493" s="51">
        <f>IF(GroDB[[#This Row],[LeadTime]]=0,GroDB[[#This Row],[Sales_Volume]],GroDB[[#This Row],[Sales_Volume]]/GroDB[[#This Row],[LeadTime]])</f>
        <v>6.1111111111111107</v>
      </c>
      <c r="W493" s="51">
        <f>_xlfn.STDEV.S(GroDB[Daily Sales])</f>
        <v>5.1999899792654221</v>
      </c>
      <c r="X493" s="3">
        <v>20</v>
      </c>
      <c r="Y493" s="7">
        <v>0.25</v>
      </c>
      <c r="Z493" s="4">
        <f>GroDB[[#This Row],[Unit_Price]]*GroDB[[#This Row],[Sales_Volume]]</f>
        <v>330</v>
      </c>
      <c r="AA493" s="22">
        <f>GroDB[[#This Row],[ADU]]/GroDB[[#Totals],[ADU]]</f>
        <v>9.5855181294970926E-4</v>
      </c>
      <c r="AB493" s="1">
        <f>GroDB[[#This Row],[Sales_Volume]]*GroDB[[#This Row],[Ordering Cost]]</f>
        <v>264.00000000000006</v>
      </c>
    </row>
    <row r="494" spans="1:28" x14ac:dyDescent="0.35">
      <c r="A494" s="5" t="s">
        <v>239</v>
      </c>
      <c r="B494" s="3" t="s">
        <v>25</v>
      </c>
      <c r="C494" s="3" t="s">
        <v>207</v>
      </c>
      <c r="D494" s="3" t="s">
        <v>1884</v>
      </c>
      <c r="E494" s="3" t="s">
        <v>28</v>
      </c>
      <c r="F494" s="3" t="s">
        <v>1885</v>
      </c>
      <c r="G494" s="3" t="s">
        <v>1886</v>
      </c>
      <c r="H494" s="43">
        <v>45594</v>
      </c>
      <c r="I494" s="43">
        <v>45584</v>
      </c>
      <c r="J494" s="47" t="str">
        <f>IF(GroDB[[#This Row],[Last_Order_Date]]&lt;=GroDB[[#This Row],[Date_Received]], "Yes", "No")</f>
        <v>Yes</v>
      </c>
      <c r="K494" s="43">
        <f>IF(GroDB[[#This Row],[Column1]]="No",GroDB[[#This Row],[Last_Order_Date]],GroDB[[#This Row],[Date_Received]])</f>
        <v>45594</v>
      </c>
      <c r="L494" s="43">
        <f>IF(GroDB[[#This Row],[Column1]]="No",GroDB[[#This Row],[Date_Received]],GroDB[[#This Row],[Last_Order_Date]])</f>
        <v>45584</v>
      </c>
      <c r="M494" s="45">
        <f>GroDB[[#This Row],[Date_Received1]]-GroDB[[#This Row],[Procurement_Date]]</f>
        <v>10</v>
      </c>
      <c r="N494" s="43">
        <v>45490</v>
      </c>
      <c r="O494" s="91">
        <f>GroDB[[#This Row],[Expiration_Date]]-GroDB[[#This Row],[Date_Received1]]</f>
        <v>-104</v>
      </c>
      <c r="P494" s="4">
        <v>5.2</v>
      </c>
      <c r="Q494" s="3">
        <v>39</v>
      </c>
      <c r="R494" s="3">
        <v>78</v>
      </c>
      <c r="S494" s="3">
        <v>97</v>
      </c>
      <c r="T494" s="4">
        <v>6.5</v>
      </c>
      <c r="U494" s="3">
        <v>54</v>
      </c>
      <c r="V494" s="51">
        <f>IF(GroDB[[#This Row],[LeadTime]]=0,GroDB[[#This Row],[Sales_Volume]],GroDB[[#This Row],[Sales_Volume]]/GroDB[[#This Row],[LeadTime]])</f>
        <v>5.4</v>
      </c>
      <c r="W494" s="51">
        <f>_xlfn.STDEV.S(GroDB[Daily Sales])</f>
        <v>5.1999899792654221</v>
      </c>
      <c r="X494" s="3">
        <v>89</v>
      </c>
      <c r="Y494" s="7">
        <v>0.64</v>
      </c>
      <c r="Z494" s="4">
        <f>GroDB[[#This Row],[Unit_Price]]*GroDB[[#This Row],[Sales_Volume]]</f>
        <v>351</v>
      </c>
      <c r="AA494" s="22">
        <f>GroDB[[#This Row],[ADU]]/GroDB[[#Totals],[ADU]]</f>
        <v>1.0195505646828727E-3</v>
      </c>
      <c r="AB494" s="1">
        <f>GroDB[[#This Row],[Sales_Volume]]*GroDB[[#This Row],[Ordering Cost]]</f>
        <v>280.8</v>
      </c>
    </row>
    <row r="495" spans="1:28" x14ac:dyDescent="0.35">
      <c r="A495" s="5" t="s">
        <v>600</v>
      </c>
      <c r="B495" s="3" t="s">
        <v>32</v>
      </c>
      <c r="C495" s="3" t="s">
        <v>1887</v>
      </c>
      <c r="D495" s="3" t="s">
        <v>1888</v>
      </c>
      <c r="E495" s="3" t="s">
        <v>21</v>
      </c>
      <c r="F495" s="3" t="s">
        <v>1889</v>
      </c>
      <c r="G495" s="3" t="s">
        <v>1890</v>
      </c>
      <c r="H495" s="43">
        <v>45594</v>
      </c>
      <c r="I495" s="43">
        <v>45391</v>
      </c>
      <c r="J495" s="47" t="str">
        <f>IF(GroDB[[#This Row],[Last_Order_Date]]&lt;=GroDB[[#This Row],[Date_Received]], "Yes", "No")</f>
        <v>Yes</v>
      </c>
      <c r="K495" s="43">
        <f>IF(GroDB[[#This Row],[Column1]]="No",GroDB[[#This Row],[Last_Order_Date]],GroDB[[#This Row],[Date_Received]])</f>
        <v>45594</v>
      </c>
      <c r="L495" s="43">
        <f>IF(GroDB[[#This Row],[Column1]]="No",GroDB[[#This Row],[Date_Received]],GroDB[[#This Row],[Last_Order_Date]])</f>
        <v>45391</v>
      </c>
      <c r="M495" s="45">
        <f>GroDB[[#This Row],[Date_Received1]]-GroDB[[#This Row],[Procurement_Date]]</f>
        <v>203</v>
      </c>
      <c r="N495" s="43">
        <v>45444</v>
      </c>
      <c r="O495" s="91">
        <f>GroDB[[#This Row],[Expiration_Date]]-GroDB[[#This Row],[Date_Received1]]</f>
        <v>-150</v>
      </c>
      <c r="P495" s="4">
        <v>2.04</v>
      </c>
      <c r="Q495" s="3">
        <v>69</v>
      </c>
      <c r="R495" s="3">
        <v>98</v>
      </c>
      <c r="S495" s="3">
        <v>89</v>
      </c>
      <c r="T495" s="4">
        <v>2.5499999999999998</v>
      </c>
      <c r="U495" s="3">
        <v>29</v>
      </c>
      <c r="V495" s="51">
        <f>IF(GroDB[[#This Row],[LeadTime]]=0,GroDB[[#This Row],[Sales_Volume]],GroDB[[#This Row],[Sales_Volume]]/GroDB[[#This Row],[LeadTime]])</f>
        <v>0.14285714285714285</v>
      </c>
      <c r="W495" s="51">
        <f>_xlfn.STDEV.S(GroDB[Daily Sales])</f>
        <v>5.1999899792654221</v>
      </c>
      <c r="X495" s="3">
        <v>34</v>
      </c>
      <c r="Y495" s="7">
        <v>-0.65</v>
      </c>
      <c r="Z495" s="4">
        <f>GroDB[[#This Row],[Unit_Price]]*GroDB[[#This Row],[Sales_Volume]]</f>
        <v>73.949999999999989</v>
      </c>
      <c r="AA495" s="22">
        <f>GroDB[[#This Row],[ADU]]/GroDB[[#Totals],[ADU]]</f>
        <v>2.1480274717463937E-4</v>
      </c>
      <c r="AB495" s="1">
        <f>GroDB[[#This Row],[Sales_Volume]]*GroDB[[#This Row],[Ordering Cost]]</f>
        <v>59.160000000000004</v>
      </c>
    </row>
    <row r="496" spans="1:28" x14ac:dyDescent="0.35">
      <c r="A496" s="5" t="s">
        <v>446</v>
      </c>
      <c r="B496" s="3" t="s">
        <v>53</v>
      </c>
      <c r="C496" s="3" t="s">
        <v>235</v>
      </c>
      <c r="D496" s="3" t="s">
        <v>1891</v>
      </c>
      <c r="E496" s="3" t="s">
        <v>28</v>
      </c>
      <c r="F496" s="3" t="s">
        <v>1892</v>
      </c>
      <c r="G496" s="3" t="s">
        <v>1893</v>
      </c>
      <c r="H496" s="43">
        <v>45594</v>
      </c>
      <c r="I496" s="43">
        <v>45680</v>
      </c>
      <c r="J496" s="47" t="str">
        <f>IF(GroDB[[#This Row],[Last_Order_Date]]&lt;=GroDB[[#This Row],[Date_Received]], "Yes", "No")</f>
        <v>No</v>
      </c>
      <c r="K496" s="43">
        <f>IF(GroDB[[#This Row],[Column1]]="No",GroDB[[#This Row],[Last_Order_Date]],GroDB[[#This Row],[Date_Received]])</f>
        <v>45680</v>
      </c>
      <c r="L496" s="43">
        <f>IF(GroDB[[#This Row],[Column1]]="No",GroDB[[#This Row],[Date_Received]],GroDB[[#This Row],[Last_Order_Date]])</f>
        <v>45594</v>
      </c>
      <c r="M496" s="45">
        <f>GroDB[[#This Row],[Date_Received1]]-GroDB[[#This Row],[Procurement_Date]]</f>
        <v>86</v>
      </c>
      <c r="N496" s="43">
        <v>45371</v>
      </c>
      <c r="O496" s="91">
        <f>GroDB[[#This Row],[Expiration_Date]]-GroDB[[#This Row],[Date_Received1]]</f>
        <v>-309</v>
      </c>
      <c r="P496" s="4">
        <v>7.6000000000000005</v>
      </c>
      <c r="Q496" s="3">
        <v>77</v>
      </c>
      <c r="R496" s="3">
        <v>19</v>
      </c>
      <c r="S496" s="3">
        <v>31</v>
      </c>
      <c r="T496" s="4">
        <v>9.5</v>
      </c>
      <c r="U496" s="3">
        <v>27</v>
      </c>
      <c r="V496" s="51">
        <f>IF(GroDB[[#This Row],[LeadTime]]=0,GroDB[[#This Row],[Sales_Volume]],GroDB[[#This Row],[Sales_Volume]]/GroDB[[#This Row],[LeadTime]])</f>
        <v>0.31395348837209303</v>
      </c>
      <c r="W496" s="51">
        <f>_xlfn.STDEV.S(GroDB[Daily Sales])</f>
        <v>5.1999899792654221</v>
      </c>
      <c r="X496" s="3">
        <v>25</v>
      </c>
      <c r="Y496" s="7">
        <v>-0.17</v>
      </c>
      <c r="Z496" s="4">
        <f>GroDB[[#This Row],[Unit_Price]]*GroDB[[#This Row],[Sales_Volume]]</f>
        <v>256.5</v>
      </c>
      <c r="AA496" s="22">
        <f>GroDB[[#This Row],[ADU]]/GroDB[[#Totals],[ADU]]</f>
        <v>7.4505618188363762E-4</v>
      </c>
      <c r="AB496" s="1">
        <f>GroDB[[#This Row],[Sales_Volume]]*GroDB[[#This Row],[Ordering Cost]]</f>
        <v>205.20000000000002</v>
      </c>
    </row>
    <row r="497" spans="1:28" x14ac:dyDescent="0.35">
      <c r="A497" s="5" t="s">
        <v>1092</v>
      </c>
      <c r="B497" s="3" t="s">
        <v>18</v>
      </c>
      <c r="C497" s="3" t="s">
        <v>478</v>
      </c>
      <c r="D497" s="3" t="s">
        <v>1894</v>
      </c>
      <c r="E497" s="3" t="s">
        <v>21</v>
      </c>
      <c r="F497" s="3" t="s">
        <v>1895</v>
      </c>
      <c r="G497" s="3" t="s">
        <v>1896</v>
      </c>
      <c r="H497" s="43">
        <v>45594</v>
      </c>
      <c r="I497" s="43">
        <v>45484</v>
      </c>
      <c r="J497" s="47" t="str">
        <f>IF(GroDB[[#This Row],[Last_Order_Date]]&lt;=GroDB[[#This Row],[Date_Received]], "Yes", "No")</f>
        <v>Yes</v>
      </c>
      <c r="K497" s="43">
        <f>IF(GroDB[[#This Row],[Column1]]="No",GroDB[[#This Row],[Last_Order_Date]],GroDB[[#This Row],[Date_Received]])</f>
        <v>45594</v>
      </c>
      <c r="L497" s="43">
        <f>IF(GroDB[[#This Row],[Column1]]="No",GroDB[[#This Row],[Date_Received]],GroDB[[#This Row],[Last_Order_Date]])</f>
        <v>45484</v>
      </c>
      <c r="M497" s="45">
        <f>GroDB[[#This Row],[Date_Received1]]-GroDB[[#This Row],[Procurement_Date]]</f>
        <v>110</v>
      </c>
      <c r="N497" s="43">
        <v>45603</v>
      </c>
      <c r="O497" s="91">
        <f>GroDB[[#This Row],[Expiration_Date]]-GroDB[[#This Row],[Date_Received1]]</f>
        <v>9</v>
      </c>
      <c r="P497" s="4">
        <v>6.4</v>
      </c>
      <c r="Q497" s="3">
        <v>29</v>
      </c>
      <c r="R497" s="3">
        <v>66</v>
      </c>
      <c r="S497" s="3">
        <v>21</v>
      </c>
      <c r="T497" s="4">
        <v>8</v>
      </c>
      <c r="U497" s="3">
        <v>74</v>
      </c>
      <c r="V497" s="51">
        <f>IF(GroDB[[#This Row],[LeadTime]]=0,GroDB[[#This Row],[Sales_Volume]],GroDB[[#This Row],[Sales_Volume]]/GroDB[[#This Row],[LeadTime]])</f>
        <v>0.67272727272727273</v>
      </c>
      <c r="W497" s="51">
        <f>_xlfn.STDEV.S(GroDB[Daily Sales])</f>
        <v>5.1999899792654221</v>
      </c>
      <c r="X497" s="3">
        <v>93</v>
      </c>
      <c r="Y497" s="7">
        <v>7.0000000000000007E-2</v>
      </c>
      <c r="Z497" s="4">
        <f>GroDB[[#This Row],[Unit_Price]]*GroDB[[#This Row],[Sales_Volume]]</f>
        <v>592</v>
      </c>
      <c r="AA497" s="22">
        <f>GroDB[[#This Row],[ADU]]/GroDB[[#Totals],[ADU]]</f>
        <v>1.7195838583825087E-3</v>
      </c>
      <c r="AB497" s="1">
        <f>GroDB[[#This Row],[Sales_Volume]]*GroDB[[#This Row],[Ordering Cost]]</f>
        <v>473.6</v>
      </c>
    </row>
    <row r="498" spans="1:28" x14ac:dyDescent="0.35">
      <c r="A498" s="5" t="s">
        <v>230</v>
      </c>
      <c r="B498" s="3" t="s">
        <v>25</v>
      </c>
      <c r="C498" s="3" t="s">
        <v>425</v>
      </c>
      <c r="D498" s="3" t="s">
        <v>1897</v>
      </c>
      <c r="E498" s="3" t="s">
        <v>56</v>
      </c>
      <c r="F498" s="3" t="s">
        <v>1898</v>
      </c>
      <c r="G498" s="3" t="s">
        <v>1899</v>
      </c>
      <c r="H498" s="43">
        <v>45595</v>
      </c>
      <c r="I498" s="43">
        <v>45435</v>
      </c>
      <c r="J498" s="47" t="str">
        <f>IF(GroDB[[#This Row],[Last_Order_Date]]&lt;=GroDB[[#This Row],[Date_Received]], "Yes", "No")</f>
        <v>Yes</v>
      </c>
      <c r="K498" s="43">
        <f>IF(GroDB[[#This Row],[Column1]]="No",GroDB[[#This Row],[Last_Order_Date]],GroDB[[#This Row],[Date_Received]])</f>
        <v>45595</v>
      </c>
      <c r="L498" s="43">
        <f>IF(GroDB[[#This Row],[Column1]]="No",GroDB[[#This Row],[Date_Received]],GroDB[[#This Row],[Last_Order_Date]])</f>
        <v>45435</v>
      </c>
      <c r="M498" s="45">
        <f>GroDB[[#This Row],[Date_Received1]]-GroDB[[#This Row],[Procurement_Date]]</f>
        <v>160</v>
      </c>
      <c r="N498" s="43">
        <v>45434</v>
      </c>
      <c r="O498" s="91">
        <f>GroDB[[#This Row],[Expiration_Date]]-GroDB[[#This Row],[Date_Received1]]</f>
        <v>-161</v>
      </c>
      <c r="P498" s="4">
        <v>1.4400000000000002</v>
      </c>
      <c r="Q498" s="3">
        <v>69</v>
      </c>
      <c r="R498" s="3">
        <v>59</v>
      </c>
      <c r="S498" s="3">
        <v>29</v>
      </c>
      <c r="T498" s="4">
        <v>1.8</v>
      </c>
      <c r="U498" s="3">
        <v>63</v>
      </c>
      <c r="V498" s="51">
        <f>IF(GroDB[[#This Row],[LeadTime]]=0,GroDB[[#This Row],[Sales_Volume]],GroDB[[#This Row],[Sales_Volume]]/GroDB[[#This Row],[LeadTime]])</f>
        <v>0.39374999999999999</v>
      </c>
      <c r="W498" s="51">
        <f>_xlfn.STDEV.S(GroDB[Daily Sales])</f>
        <v>5.1999899792654221</v>
      </c>
      <c r="X498" s="3">
        <v>91</v>
      </c>
      <c r="Y498" s="7">
        <v>-0.26</v>
      </c>
      <c r="Z498" s="4">
        <f>GroDB[[#This Row],[Unit_Price]]*GroDB[[#This Row],[Sales_Volume]]</f>
        <v>113.4</v>
      </c>
      <c r="AA498" s="22">
        <f>GroDB[[#This Row],[ADU]]/GroDB[[#Totals],[ADU]]</f>
        <v>3.2939325935908194E-4</v>
      </c>
      <c r="AB498" s="1">
        <f>GroDB[[#This Row],[Sales_Volume]]*GroDB[[#This Row],[Ordering Cost]]</f>
        <v>90.720000000000013</v>
      </c>
    </row>
    <row r="499" spans="1:28" x14ac:dyDescent="0.35">
      <c r="A499" s="5" t="s">
        <v>230</v>
      </c>
      <c r="B499" s="3" t="s">
        <v>25</v>
      </c>
      <c r="C499" s="3" t="s">
        <v>912</v>
      </c>
      <c r="D499" s="3" t="s">
        <v>1900</v>
      </c>
      <c r="E499" s="3" t="s">
        <v>56</v>
      </c>
      <c r="F499" s="3" t="s">
        <v>1901</v>
      </c>
      <c r="G499" s="3" t="s">
        <v>1902</v>
      </c>
      <c r="H499" s="43">
        <v>45596</v>
      </c>
      <c r="I499" s="43">
        <v>45517</v>
      </c>
      <c r="J499" s="47" t="str">
        <f>IF(GroDB[[#This Row],[Last_Order_Date]]&lt;=GroDB[[#This Row],[Date_Received]], "Yes", "No")</f>
        <v>Yes</v>
      </c>
      <c r="K499" s="43">
        <f>IF(GroDB[[#This Row],[Column1]]="No",GroDB[[#This Row],[Last_Order_Date]],GroDB[[#This Row],[Date_Received]])</f>
        <v>45596</v>
      </c>
      <c r="L499" s="43">
        <f>IF(GroDB[[#This Row],[Column1]]="No",GroDB[[#This Row],[Date_Received]],GroDB[[#This Row],[Last_Order_Date]])</f>
        <v>45517</v>
      </c>
      <c r="M499" s="45">
        <f>GroDB[[#This Row],[Date_Received1]]-GroDB[[#This Row],[Procurement_Date]]</f>
        <v>79</v>
      </c>
      <c r="N499" s="43">
        <v>45604</v>
      </c>
      <c r="O499" s="91">
        <f>GroDB[[#This Row],[Expiration_Date]]-GroDB[[#This Row],[Date_Received1]]</f>
        <v>8</v>
      </c>
      <c r="P499" s="4">
        <v>1.4400000000000002</v>
      </c>
      <c r="Q499" s="3">
        <v>40</v>
      </c>
      <c r="R499" s="3">
        <v>2</v>
      </c>
      <c r="S499" s="3">
        <v>58</v>
      </c>
      <c r="T499" s="4">
        <v>1.8</v>
      </c>
      <c r="U499" s="3">
        <v>71</v>
      </c>
      <c r="V499" s="51">
        <f>IF(GroDB[[#This Row],[LeadTime]]=0,GroDB[[#This Row],[Sales_Volume]],GroDB[[#This Row],[Sales_Volume]]/GroDB[[#This Row],[LeadTime]])</f>
        <v>0.89873417721518989</v>
      </c>
      <c r="W499" s="51">
        <f>_xlfn.STDEV.S(GroDB[Daily Sales])</f>
        <v>5.1999899792654221</v>
      </c>
      <c r="X499" s="3">
        <v>10</v>
      </c>
      <c r="Y499" s="7">
        <v>-0.44</v>
      </c>
      <c r="Z499" s="4">
        <f>GroDB[[#This Row],[Unit_Price]]*GroDB[[#This Row],[Sales_Volume]]</f>
        <v>127.8</v>
      </c>
      <c r="AA499" s="22">
        <f>GroDB[[#This Row],[ADU]]/GroDB[[#Totals],[ADU]]</f>
        <v>3.7122097483325103E-4</v>
      </c>
      <c r="AB499" s="1">
        <f>GroDB[[#This Row],[Sales_Volume]]*GroDB[[#This Row],[Ordering Cost]]</f>
        <v>102.24000000000001</v>
      </c>
    </row>
    <row r="500" spans="1:28" x14ac:dyDescent="0.35">
      <c r="A500" s="5" t="s">
        <v>293</v>
      </c>
      <c r="B500" s="3" t="s">
        <v>18</v>
      </c>
      <c r="C500" s="3" t="s">
        <v>157</v>
      </c>
      <c r="D500" s="3" t="s">
        <v>1903</v>
      </c>
      <c r="E500" s="3" t="s">
        <v>21</v>
      </c>
      <c r="F500" s="3" t="s">
        <v>1904</v>
      </c>
      <c r="G500" s="3" t="s">
        <v>1905</v>
      </c>
      <c r="H500" s="43">
        <v>45596</v>
      </c>
      <c r="I500" s="43">
        <v>45450</v>
      </c>
      <c r="J500" s="47" t="str">
        <f>IF(GroDB[[#This Row],[Last_Order_Date]]&lt;=GroDB[[#This Row],[Date_Received]], "Yes", "No")</f>
        <v>Yes</v>
      </c>
      <c r="K500" s="43">
        <f>IF(GroDB[[#This Row],[Column1]]="No",GroDB[[#This Row],[Last_Order_Date]],GroDB[[#This Row],[Date_Received]])</f>
        <v>45596</v>
      </c>
      <c r="L500" s="43">
        <f>IF(GroDB[[#This Row],[Column1]]="No",GroDB[[#This Row],[Date_Received]],GroDB[[#This Row],[Last_Order_Date]])</f>
        <v>45450</v>
      </c>
      <c r="M500" s="45">
        <f>GroDB[[#This Row],[Date_Received1]]-GroDB[[#This Row],[Procurement_Date]]</f>
        <v>146</v>
      </c>
      <c r="N500" s="43">
        <v>45374</v>
      </c>
      <c r="O500" s="91">
        <f>GroDB[[#This Row],[Expiration_Date]]-GroDB[[#This Row],[Date_Received1]]</f>
        <v>-222</v>
      </c>
      <c r="P500" s="4">
        <v>1.6</v>
      </c>
      <c r="Q500" s="3">
        <v>68</v>
      </c>
      <c r="R500" s="3">
        <v>10</v>
      </c>
      <c r="S500" s="3">
        <v>29</v>
      </c>
      <c r="T500" s="4">
        <v>2</v>
      </c>
      <c r="U500" s="3">
        <v>37</v>
      </c>
      <c r="V500" s="51">
        <f>IF(GroDB[[#This Row],[LeadTime]]=0,GroDB[[#This Row],[Sales_Volume]],GroDB[[#This Row],[Sales_Volume]]/GroDB[[#This Row],[LeadTime]])</f>
        <v>0.25342465753424659</v>
      </c>
      <c r="W500" s="51">
        <f>_xlfn.STDEV.S(GroDB[Daily Sales])</f>
        <v>5.1999899792654221</v>
      </c>
      <c r="X500" s="3">
        <v>11</v>
      </c>
      <c r="Y500" s="7">
        <v>0.86</v>
      </c>
      <c r="Z500" s="4">
        <f>GroDB[[#This Row],[Unit_Price]]*GroDB[[#This Row],[Sales_Volume]]</f>
        <v>74</v>
      </c>
      <c r="AA500" s="22">
        <f>GroDB[[#This Row],[ADU]]/GroDB[[#Totals],[ADU]]</f>
        <v>2.1494798229781359E-4</v>
      </c>
      <c r="AB500" s="1">
        <f>GroDB[[#This Row],[Sales_Volume]]*GroDB[[#This Row],[Ordering Cost]]</f>
        <v>59.2</v>
      </c>
    </row>
    <row r="501" spans="1:28" x14ac:dyDescent="0.35">
      <c r="A501" s="5" t="s">
        <v>817</v>
      </c>
      <c r="B501" s="3" t="s">
        <v>18</v>
      </c>
      <c r="C501" s="3" t="s">
        <v>1906</v>
      </c>
      <c r="D501" s="3" t="s">
        <v>1907</v>
      </c>
      <c r="E501" s="3" t="s">
        <v>28</v>
      </c>
      <c r="F501" s="3" t="s">
        <v>1908</v>
      </c>
      <c r="G501" s="3" t="s">
        <v>1909</v>
      </c>
      <c r="H501" s="43">
        <v>45596</v>
      </c>
      <c r="I501" s="43">
        <v>45405</v>
      </c>
      <c r="J501" s="47" t="str">
        <f>IF(GroDB[[#This Row],[Last_Order_Date]]&lt;=GroDB[[#This Row],[Date_Received]], "Yes", "No")</f>
        <v>Yes</v>
      </c>
      <c r="K501" s="43">
        <f>IF(GroDB[[#This Row],[Column1]]="No",GroDB[[#This Row],[Last_Order_Date]],GroDB[[#This Row],[Date_Received]])</f>
        <v>45596</v>
      </c>
      <c r="L501" s="43">
        <f>IF(GroDB[[#This Row],[Column1]]="No",GroDB[[#This Row],[Date_Received]],GroDB[[#This Row],[Last_Order_Date]])</f>
        <v>45405</v>
      </c>
      <c r="M501" s="45">
        <f>GroDB[[#This Row],[Date_Received1]]-GroDB[[#This Row],[Procurement_Date]]</f>
        <v>191</v>
      </c>
      <c r="N501" s="43">
        <v>45636</v>
      </c>
      <c r="O501" s="91">
        <f>GroDB[[#This Row],[Expiration_Date]]-GroDB[[#This Row],[Date_Received1]]</f>
        <v>40</v>
      </c>
      <c r="P501" s="4">
        <v>2.4000000000000004</v>
      </c>
      <c r="Q501" s="3">
        <v>75</v>
      </c>
      <c r="R501" s="3">
        <v>91</v>
      </c>
      <c r="S501" s="3">
        <v>68</v>
      </c>
      <c r="T501" s="4">
        <v>3</v>
      </c>
      <c r="U501" s="3">
        <v>96</v>
      </c>
      <c r="V501" s="51">
        <f>IF(GroDB[[#This Row],[LeadTime]]=0,GroDB[[#This Row],[Sales_Volume]],GroDB[[#This Row],[Sales_Volume]]/GroDB[[#This Row],[LeadTime]])</f>
        <v>0.50261780104712039</v>
      </c>
      <c r="W501" s="51">
        <f>_xlfn.STDEV.S(GroDB[Daily Sales])</f>
        <v>5.1999899792654221</v>
      </c>
      <c r="X501" s="3">
        <v>73</v>
      </c>
      <c r="Y501" s="7">
        <v>0.7</v>
      </c>
      <c r="Z501" s="4">
        <f>GroDB[[#This Row],[Unit_Price]]*GroDB[[#This Row],[Sales_Volume]]</f>
        <v>288</v>
      </c>
      <c r="AA501" s="22">
        <f>GroDB[[#This Row],[ADU]]/GroDB[[#Totals],[ADU]]</f>
        <v>8.3655430948338259E-4</v>
      </c>
      <c r="AB501" s="1">
        <f>GroDB[[#This Row],[Sales_Volume]]*GroDB[[#This Row],[Ordering Cost]]</f>
        <v>230.40000000000003</v>
      </c>
    </row>
    <row r="502" spans="1:28" x14ac:dyDescent="0.35">
      <c r="A502" s="5" t="s">
        <v>225</v>
      </c>
      <c r="B502" s="3" t="s">
        <v>91</v>
      </c>
      <c r="C502" s="3" t="s">
        <v>482</v>
      </c>
      <c r="D502" s="3" t="s">
        <v>1910</v>
      </c>
      <c r="E502" s="3" t="s">
        <v>28</v>
      </c>
      <c r="F502" s="3" t="s">
        <v>1911</v>
      </c>
      <c r="G502" s="3" t="s">
        <v>1912</v>
      </c>
      <c r="H502" s="43">
        <v>45609</v>
      </c>
      <c r="I502" s="43">
        <v>45562</v>
      </c>
      <c r="J502" s="47" t="str">
        <f>IF(GroDB[[#This Row],[Last_Order_Date]]&lt;=GroDB[[#This Row],[Date_Received]], "Yes", "No")</f>
        <v>Yes</v>
      </c>
      <c r="K502" s="43">
        <f>IF(GroDB[[#This Row],[Column1]]="No",GroDB[[#This Row],[Last_Order_Date]],GroDB[[#This Row],[Date_Received]])</f>
        <v>45609</v>
      </c>
      <c r="L502" s="43">
        <f>IF(GroDB[[#This Row],[Column1]]="No",GroDB[[#This Row],[Date_Received]],GroDB[[#This Row],[Last_Order_Date]])</f>
        <v>45562</v>
      </c>
      <c r="M502" s="45">
        <f>GroDB[[#This Row],[Date_Received1]]-GroDB[[#This Row],[Procurement_Date]]</f>
        <v>47</v>
      </c>
      <c r="N502" s="43">
        <v>45489</v>
      </c>
      <c r="O502" s="91">
        <f>GroDB[[#This Row],[Expiration_Date]]-GroDB[[#This Row],[Date_Received1]]</f>
        <v>-120</v>
      </c>
      <c r="P502" s="4">
        <v>4</v>
      </c>
      <c r="Q502" s="3">
        <v>68</v>
      </c>
      <c r="R502" s="3">
        <v>29</v>
      </c>
      <c r="S502" s="3">
        <v>100</v>
      </c>
      <c r="T502" s="4">
        <v>5</v>
      </c>
      <c r="U502" s="3">
        <v>70</v>
      </c>
      <c r="V502" s="51">
        <f>IF(GroDB[[#This Row],[LeadTime]]=0,GroDB[[#This Row],[Sales_Volume]],GroDB[[#This Row],[Sales_Volume]]/GroDB[[#This Row],[LeadTime]])</f>
        <v>1.4893617021276595</v>
      </c>
      <c r="W502" s="51">
        <f>_xlfn.STDEV.S(GroDB[Daily Sales])</f>
        <v>5.1999899792654221</v>
      </c>
      <c r="X502" s="3">
        <v>26</v>
      </c>
      <c r="Y502" s="7">
        <v>0.24</v>
      </c>
      <c r="Z502" s="4">
        <f>GroDB[[#This Row],[Unit_Price]]*GroDB[[#This Row],[Sales_Volume]]</f>
        <v>350</v>
      </c>
      <c r="AA502" s="22">
        <f>GroDB[[#This Row],[ADU]]/GroDB[[#Totals],[ADU]]</f>
        <v>1.0166458622193886E-3</v>
      </c>
      <c r="AB502" s="1">
        <f>GroDB[[#This Row],[Sales_Volume]]*GroDB[[#This Row],[Ordering Cost]]</f>
        <v>280</v>
      </c>
    </row>
    <row r="503" spans="1:28" x14ac:dyDescent="0.35">
      <c r="A503" s="5" t="s">
        <v>126</v>
      </c>
      <c r="B503" s="3" t="s">
        <v>127</v>
      </c>
      <c r="C503" s="3" t="s">
        <v>1913</v>
      </c>
      <c r="D503" s="3" t="s">
        <v>1914</v>
      </c>
      <c r="E503" s="3" t="s">
        <v>56</v>
      </c>
      <c r="F503" s="3" t="s">
        <v>1915</v>
      </c>
      <c r="G503" s="3" t="s">
        <v>1916</v>
      </c>
      <c r="H503" s="43">
        <v>45609</v>
      </c>
      <c r="I503" s="43">
        <v>45530</v>
      </c>
      <c r="J503" s="47" t="str">
        <f>IF(GroDB[[#This Row],[Last_Order_Date]]&lt;=GroDB[[#This Row],[Date_Received]], "Yes", "No")</f>
        <v>Yes</v>
      </c>
      <c r="K503" s="43">
        <f>IF(GroDB[[#This Row],[Column1]]="No",GroDB[[#This Row],[Last_Order_Date]],GroDB[[#This Row],[Date_Received]])</f>
        <v>45609</v>
      </c>
      <c r="L503" s="43">
        <f>IF(GroDB[[#This Row],[Column1]]="No",GroDB[[#This Row],[Date_Received]],GroDB[[#This Row],[Last_Order_Date]])</f>
        <v>45530</v>
      </c>
      <c r="M503" s="45">
        <f>GroDB[[#This Row],[Date_Received1]]-GroDB[[#This Row],[Procurement_Date]]</f>
        <v>79</v>
      </c>
      <c r="N503" s="43">
        <v>45527</v>
      </c>
      <c r="O503" s="91">
        <f>GroDB[[#This Row],[Expiration_Date]]-GroDB[[#This Row],[Date_Received1]]</f>
        <v>-82</v>
      </c>
      <c r="P503" s="4">
        <v>16.400000000000002</v>
      </c>
      <c r="Q503" s="3">
        <v>78</v>
      </c>
      <c r="R503" s="3">
        <v>34</v>
      </c>
      <c r="S503" s="3">
        <v>39</v>
      </c>
      <c r="T503" s="4">
        <v>20.5</v>
      </c>
      <c r="U503" s="3">
        <v>62</v>
      </c>
      <c r="V503" s="51">
        <f>IF(GroDB[[#This Row],[LeadTime]]=0,GroDB[[#This Row],[Sales_Volume]],GroDB[[#This Row],[Sales_Volume]]/GroDB[[#This Row],[LeadTime]])</f>
        <v>0.78481012658227844</v>
      </c>
      <c r="W503" s="51">
        <f>_xlfn.STDEV.S(GroDB[Daily Sales])</f>
        <v>5.1999899792654221</v>
      </c>
      <c r="X503" s="3">
        <v>2</v>
      </c>
      <c r="Y503" s="7">
        <v>0.63</v>
      </c>
      <c r="Z503" s="4">
        <f>GroDB[[#This Row],[Unit_Price]]*GroDB[[#This Row],[Sales_Volume]]</f>
        <v>1271</v>
      </c>
      <c r="AA503" s="22">
        <f>GroDB[[#This Row],[ADU]]/GroDB[[#Totals],[ADU]]</f>
        <v>3.6918768310881226E-3</v>
      </c>
      <c r="AB503" s="1">
        <f>GroDB[[#This Row],[Sales_Volume]]*GroDB[[#This Row],[Ordering Cost]]</f>
        <v>1016.8000000000002</v>
      </c>
    </row>
    <row r="504" spans="1:28" x14ac:dyDescent="0.35">
      <c r="A504" s="5" t="s">
        <v>70</v>
      </c>
      <c r="B504" s="3" t="s">
        <v>32</v>
      </c>
      <c r="C504" s="3" t="s">
        <v>1671</v>
      </c>
      <c r="D504" s="3" t="s">
        <v>1917</v>
      </c>
      <c r="E504" s="3" t="s">
        <v>28</v>
      </c>
      <c r="F504" s="3" t="s">
        <v>1918</v>
      </c>
      <c r="G504" s="3" t="s">
        <v>1919</v>
      </c>
      <c r="H504" s="43">
        <v>45610</v>
      </c>
      <c r="I504" s="43">
        <v>45435</v>
      </c>
      <c r="J504" s="47" t="str">
        <f>IF(GroDB[[#This Row],[Last_Order_Date]]&lt;=GroDB[[#This Row],[Date_Received]], "Yes", "No")</f>
        <v>Yes</v>
      </c>
      <c r="K504" s="43">
        <f>IF(GroDB[[#This Row],[Column1]]="No",GroDB[[#This Row],[Last_Order_Date]],GroDB[[#This Row],[Date_Received]])</f>
        <v>45610</v>
      </c>
      <c r="L504" s="43">
        <f>IF(GroDB[[#This Row],[Column1]]="No",GroDB[[#This Row],[Date_Received]],GroDB[[#This Row],[Last_Order_Date]])</f>
        <v>45435</v>
      </c>
      <c r="M504" s="45">
        <f>GroDB[[#This Row],[Date_Received1]]-GroDB[[#This Row],[Procurement_Date]]</f>
        <v>175</v>
      </c>
      <c r="N504" s="43">
        <v>45579</v>
      </c>
      <c r="O504" s="91">
        <f>GroDB[[#This Row],[Expiration_Date]]-GroDB[[#This Row],[Date_Received1]]</f>
        <v>-31</v>
      </c>
      <c r="P504" s="4">
        <v>1.4000000000000001</v>
      </c>
      <c r="Q504" s="3">
        <v>76</v>
      </c>
      <c r="R504" s="3">
        <v>98</v>
      </c>
      <c r="S504" s="3">
        <v>41</v>
      </c>
      <c r="T504" s="4">
        <v>1.75</v>
      </c>
      <c r="U504" s="3">
        <v>62</v>
      </c>
      <c r="V504" s="51">
        <f>IF(GroDB[[#This Row],[LeadTime]]=0,GroDB[[#This Row],[Sales_Volume]],GroDB[[#This Row],[Sales_Volume]]/GroDB[[#This Row],[LeadTime]])</f>
        <v>0.35428571428571426</v>
      </c>
      <c r="W504" s="51">
        <f>_xlfn.STDEV.S(GroDB[Daily Sales])</f>
        <v>5.1999899792654221</v>
      </c>
      <c r="X504" s="3">
        <v>48</v>
      </c>
      <c r="Y504" s="7">
        <v>0.97</v>
      </c>
      <c r="Z504" s="4">
        <f>GroDB[[#This Row],[Unit_Price]]*GroDB[[#This Row],[Sales_Volume]]</f>
        <v>108.5</v>
      </c>
      <c r="AA504" s="22">
        <f>GroDB[[#This Row],[ADU]]/GroDB[[#Totals],[ADU]]</f>
        <v>3.1516021728801049E-4</v>
      </c>
      <c r="AB504" s="1">
        <f>GroDB[[#This Row],[Sales_Volume]]*GroDB[[#This Row],[Ordering Cost]]</f>
        <v>86.800000000000011</v>
      </c>
    </row>
    <row r="505" spans="1:28" x14ac:dyDescent="0.35">
      <c r="A505" s="5" t="s">
        <v>1202</v>
      </c>
      <c r="B505" s="3" t="s">
        <v>18</v>
      </c>
      <c r="C505" s="3" t="s">
        <v>813</v>
      </c>
      <c r="D505" s="3" t="s">
        <v>1920</v>
      </c>
      <c r="E505" s="3" t="s">
        <v>21</v>
      </c>
      <c r="F505" s="3" t="s">
        <v>1921</v>
      </c>
      <c r="G505" s="3" t="s">
        <v>1922</v>
      </c>
      <c r="H505" s="43">
        <v>45610</v>
      </c>
      <c r="I505" s="43">
        <v>45626</v>
      </c>
      <c r="J505" s="47" t="str">
        <f>IF(GroDB[[#This Row],[Last_Order_Date]]&lt;=GroDB[[#This Row],[Date_Received]], "Yes", "No")</f>
        <v>No</v>
      </c>
      <c r="K505" s="43">
        <f>IF(GroDB[[#This Row],[Column1]]="No",GroDB[[#This Row],[Last_Order_Date]],GroDB[[#This Row],[Date_Received]])</f>
        <v>45626</v>
      </c>
      <c r="L505" s="43">
        <f>IF(GroDB[[#This Row],[Column1]]="No",GroDB[[#This Row],[Date_Received]],GroDB[[#This Row],[Last_Order_Date]])</f>
        <v>45610</v>
      </c>
      <c r="M505" s="45">
        <f>GroDB[[#This Row],[Date_Received1]]-GroDB[[#This Row],[Procurement_Date]]</f>
        <v>16</v>
      </c>
      <c r="N505" s="43">
        <v>45373</v>
      </c>
      <c r="O505" s="91">
        <f>GroDB[[#This Row],[Expiration_Date]]-GroDB[[#This Row],[Date_Received1]]</f>
        <v>-253</v>
      </c>
      <c r="P505" s="4">
        <v>2.4000000000000004</v>
      </c>
      <c r="Q505" s="3">
        <v>27</v>
      </c>
      <c r="R505" s="3">
        <v>64</v>
      </c>
      <c r="S505" s="3">
        <v>43</v>
      </c>
      <c r="T505" s="4">
        <v>3</v>
      </c>
      <c r="U505" s="3">
        <v>70</v>
      </c>
      <c r="V505" s="51">
        <f>IF(GroDB[[#This Row],[LeadTime]]=0,GroDB[[#This Row],[Sales_Volume]],GroDB[[#This Row],[Sales_Volume]]/GroDB[[#This Row],[LeadTime]])</f>
        <v>4.375</v>
      </c>
      <c r="W505" s="51">
        <f>_xlfn.STDEV.S(GroDB[Daily Sales])</f>
        <v>5.1999899792654221</v>
      </c>
      <c r="X505" s="3">
        <v>58</v>
      </c>
      <c r="Y505" s="7">
        <v>0.23</v>
      </c>
      <c r="Z505" s="4">
        <f>GroDB[[#This Row],[Unit_Price]]*GroDB[[#This Row],[Sales_Volume]]</f>
        <v>210</v>
      </c>
      <c r="AA505" s="22">
        <f>GroDB[[#This Row],[ADU]]/GroDB[[#Totals],[ADU]]</f>
        <v>6.0998751733163314E-4</v>
      </c>
      <c r="AB505" s="1">
        <f>GroDB[[#This Row],[Sales_Volume]]*GroDB[[#This Row],[Ordering Cost]]</f>
        <v>168.00000000000003</v>
      </c>
    </row>
    <row r="506" spans="1:28" x14ac:dyDescent="0.35">
      <c r="A506" s="5" t="s">
        <v>126</v>
      </c>
      <c r="B506" s="3" t="s">
        <v>127</v>
      </c>
      <c r="C506" s="3" t="s">
        <v>1318</v>
      </c>
      <c r="D506" s="3" t="s">
        <v>1923</v>
      </c>
      <c r="E506" s="3" t="s">
        <v>56</v>
      </c>
      <c r="F506" s="3" t="s">
        <v>1924</v>
      </c>
      <c r="G506" s="3" t="s">
        <v>1925</v>
      </c>
      <c r="H506" s="43">
        <v>45611</v>
      </c>
      <c r="I506" s="43">
        <v>45349</v>
      </c>
      <c r="J506" s="47" t="str">
        <f>IF(GroDB[[#This Row],[Last_Order_Date]]&lt;=GroDB[[#This Row],[Date_Received]], "Yes", "No")</f>
        <v>Yes</v>
      </c>
      <c r="K506" s="43">
        <f>IF(GroDB[[#This Row],[Column1]]="No",GroDB[[#This Row],[Last_Order_Date]],GroDB[[#This Row],[Date_Received]])</f>
        <v>45611</v>
      </c>
      <c r="L506" s="43">
        <f>IF(GroDB[[#This Row],[Column1]]="No",GroDB[[#This Row],[Date_Received]],GroDB[[#This Row],[Last_Order_Date]])</f>
        <v>45349</v>
      </c>
      <c r="M506" s="45">
        <f>GroDB[[#This Row],[Date_Received1]]-GroDB[[#This Row],[Procurement_Date]]</f>
        <v>262</v>
      </c>
      <c r="N506" s="43">
        <v>45693</v>
      </c>
      <c r="O506" s="91">
        <f>GroDB[[#This Row],[Expiration_Date]]-GroDB[[#This Row],[Date_Received1]]</f>
        <v>82</v>
      </c>
      <c r="P506" s="4">
        <v>16.8</v>
      </c>
      <c r="Q506" s="3">
        <v>74</v>
      </c>
      <c r="R506" s="3">
        <v>72</v>
      </c>
      <c r="S506" s="3">
        <v>18</v>
      </c>
      <c r="T506" s="4">
        <v>21</v>
      </c>
      <c r="U506" s="3">
        <v>83</v>
      </c>
      <c r="V506" s="51">
        <f>IF(GroDB[[#This Row],[LeadTime]]=0,GroDB[[#This Row],[Sales_Volume]],GroDB[[#This Row],[Sales_Volume]]/GroDB[[#This Row],[LeadTime]])</f>
        <v>0.31679389312977096</v>
      </c>
      <c r="W506" s="51">
        <f>_xlfn.STDEV.S(GroDB[Daily Sales])</f>
        <v>5.1999899792654221</v>
      </c>
      <c r="X506" s="3">
        <v>54</v>
      </c>
      <c r="Y506" s="7">
        <v>0.17</v>
      </c>
      <c r="Z506" s="4">
        <f>GroDB[[#This Row],[Unit_Price]]*GroDB[[#This Row],[Sales_Volume]]</f>
        <v>1743</v>
      </c>
      <c r="AA506" s="22">
        <f>GroDB[[#This Row],[ADU]]/GroDB[[#Totals],[ADU]]</f>
        <v>5.0628963938525555E-3</v>
      </c>
      <c r="AB506" s="1">
        <f>GroDB[[#This Row],[Sales_Volume]]*GroDB[[#This Row],[Ordering Cost]]</f>
        <v>1394.4</v>
      </c>
    </row>
    <row r="507" spans="1:28" x14ac:dyDescent="0.35">
      <c r="A507" s="5" t="s">
        <v>175</v>
      </c>
      <c r="B507" s="3" t="s">
        <v>53</v>
      </c>
      <c r="C507" s="3" t="s">
        <v>1926</v>
      </c>
      <c r="D507" s="3" t="s">
        <v>1927</v>
      </c>
      <c r="E507" s="3" t="s">
        <v>56</v>
      </c>
      <c r="F507" s="3" t="s">
        <v>1928</v>
      </c>
      <c r="G507" s="3" t="s">
        <v>1929</v>
      </c>
      <c r="H507" s="43">
        <v>45612</v>
      </c>
      <c r="I507" s="43">
        <v>45360</v>
      </c>
      <c r="J507" s="47" t="str">
        <f>IF(GroDB[[#This Row],[Last_Order_Date]]&lt;=GroDB[[#This Row],[Date_Received]], "Yes", "No")</f>
        <v>Yes</v>
      </c>
      <c r="K507" s="43">
        <f>IF(GroDB[[#This Row],[Column1]]="No",GroDB[[#This Row],[Last_Order_Date]],GroDB[[#This Row],[Date_Received]])</f>
        <v>45612</v>
      </c>
      <c r="L507" s="43">
        <f>IF(GroDB[[#This Row],[Column1]]="No",GroDB[[#This Row],[Date_Received]],GroDB[[#This Row],[Last_Order_Date]])</f>
        <v>45360</v>
      </c>
      <c r="M507" s="45">
        <f>GroDB[[#This Row],[Date_Received1]]-GroDB[[#This Row],[Procurement_Date]]</f>
        <v>252</v>
      </c>
      <c r="N507" s="43">
        <v>45387</v>
      </c>
      <c r="O507" s="91">
        <f>GroDB[[#This Row],[Expiration_Date]]-GroDB[[#This Row],[Date_Received1]]</f>
        <v>-225</v>
      </c>
      <c r="P507" s="4">
        <v>1.2000000000000002</v>
      </c>
      <c r="Q507" s="3">
        <v>27</v>
      </c>
      <c r="R507" s="3">
        <v>93</v>
      </c>
      <c r="S507" s="3">
        <v>88</v>
      </c>
      <c r="T507" s="4">
        <v>1.5</v>
      </c>
      <c r="U507" s="3">
        <v>66</v>
      </c>
      <c r="V507" s="51">
        <f>IF(GroDB[[#This Row],[LeadTime]]=0,GroDB[[#This Row],[Sales_Volume]],GroDB[[#This Row],[Sales_Volume]]/GroDB[[#This Row],[LeadTime]])</f>
        <v>0.26190476190476192</v>
      </c>
      <c r="W507" s="51">
        <f>_xlfn.STDEV.S(GroDB[Daily Sales])</f>
        <v>5.1999899792654221</v>
      </c>
      <c r="X507" s="3">
        <v>13</v>
      </c>
      <c r="Y507" s="7">
        <v>0.35</v>
      </c>
      <c r="Z507" s="4">
        <f>GroDB[[#This Row],[Unit_Price]]*GroDB[[#This Row],[Sales_Volume]]</f>
        <v>99</v>
      </c>
      <c r="AA507" s="22">
        <f>GroDB[[#This Row],[ADU]]/GroDB[[#Totals],[ADU]]</f>
        <v>2.8756554388491279E-4</v>
      </c>
      <c r="AB507" s="1">
        <f>GroDB[[#This Row],[Sales_Volume]]*GroDB[[#This Row],[Ordering Cost]]</f>
        <v>79.200000000000017</v>
      </c>
    </row>
    <row r="508" spans="1:28" x14ac:dyDescent="0.35">
      <c r="A508" s="5" t="s">
        <v>198</v>
      </c>
      <c r="B508" s="3" t="s">
        <v>53</v>
      </c>
      <c r="C508" s="3" t="s">
        <v>778</v>
      </c>
      <c r="D508" s="3" t="s">
        <v>1930</v>
      </c>
      <c r="E508" s="3" t="s">
        <v>28</v>
      </c>
      <c r="F508" s="3" t="s">
        <v>1931</v>
      </c>
      <c r="G508" s="3" t="s">
        <v>1932</v>
      </c>
      <c r="H508" s="43">
        <v>45612</v>
      </c>
      <c r="I508" s="43">
        <v>45460</v>
      </c>
      <c r="J508" s="47" t="str">
        <f>IF(GroDB[[#This Row],[Last_Order_Date]]&lt;=GroDB[[#This Row],[Date_Received]], "Yes", "No")</f>
        <v>Yes</v>
      </c>
      <c r="K508" s="43">
        <f>IF(GroDB[[#This Row],[Column1]]="No",GroDB[[#This Row],[Last_Order_Date]],GroDB[[#This Row],[Date_Received]])</f>
        <v>45612</v>
      </c>
      <c r="L508" s="43">
        <f>IF(GroDB[[#This Row],[Column1]]="No",GroDB[[#This Row],[Date_Received]],GroDB[[#This Row],[Last_Order_Date]])</f>
        <v>45460</v>
      </c>
      <c r="M508" s="45">
        <f>GroDB[[#This Row],[Date_Received1]]-GroDB[[#This Row],[Procurement_Date]]</f>
        <v>152</v>
      </c>
      <c r="N508" s="43">
        <v>45694</v>
      </c>
      <c r="O508" s="91">
        <f>GroDB[[#This Row],[Expiration_Date]]-GroDB[[#This Row],[Date_Received1]]</f>
        <v>82</v>
      </c>
      <c r="P508" s="4">
        <v>1.6</v>
      </c>
      <c r="Q508" s="3">
        <v>15</v>
      </c>
      <c r="R508" s="3">
        <v>76</v>
      </c>
      <c r="S508" s="3">
        <v>81</v>
      </c>
      <c r="T508" s="4">
        <v>2</v>
      </c>
      <c r="U508" s="3">
        <v>90</v>
      </c>
      <c r="V508" s="51">
        <f>IF(GroDB[[#This Row],[LeadTime]]=0,GroDB[[#This Row],[Sales_Volume]],GroDB[[#This Row],[Sales_Volume]]/GroDB[[#This Row],[LeadTime]])</f>
        <v>0.59210526315789469</v>
      </c>
      <c r="W508" s="51">
        <f>_xlfn.STDEV.S(GroDB[Daily Sales])</f>
        <v>5.1999899792654221</v>
      </c>
      <c r="X508" s="3">
        <v>26</v>
      </c>
      <c r="Y508" s="7">
        <v>0.8</v>
      </c>
      <c r="Z508" s="4">
        <f>GroDB[[#This Row],[Unit_Price]]*GroDB[[#This Row],[Sales_Volume]]</f>
        <v>180</v>
      </c>
      <c r="AA508" s="22">
        <f>GroDB[[#This Row],[ADU]]/GroDB[[#Totals],[ADU]]</f>
        <v>5.2284644342711413E-4</v>
      </c>
      <c r="AB508" s="1">
        <f>GroDB[[#This Row],[Sales_Volume]]*GroDB[[#This Row],[Ordering Cost]]</f>
        <v>144</v>
      </c>
    </row>
    <row r="509" spans="1:28" x14ac:dyDescent="0.35">
      <c r="A509" s="5" t="s">
        <v>600</v>
      </c>
      <c r="B509" s="3" t="s">
        <v>32</v>
      </c>
      <c r="C509" s="3" t="s">
        <v>1271</v>
      </c>
      <c r="D509" s="3" t="s">
        <v>1933</v>
      </c>
      <c r="E509" s="3" t="s">
        <v>56</v>
      </c>
      <c r="F509" s="3" t="s">
        <v>1934</v>
      </c>
      <c r="G509" s="3" t="s">
        <v>1935</v>
      </c>
      <c r="H509" s="43">
        <v>45612</v>
      </c>
      <c r="I509" s="43">
        <v>45531</v>
      </c>
      <c r="J509" s="47" t="str">
        <f>IF(GroDB[[#This Row],[Last_Order_Date]]&lt;=GroDB[[#This Row],[Date_Received]], "Yes", "No")</f>
        <v>Yes</v>
      </c>
      <c r="K509" s="43">
        <f>IF(GroDB[[#This Row],[Column1]]="No",GroDB[[#This Row],[Last_Order_Date]],GroDB[[#This Row],[Date_Received]])</f>
        <v>45612</v>
      </c>
      <c r="L509" s="43">
        <f>IF(GroDB[[#This Row],[Column1]]="No",GroDB[[#This Row],[Date_Received]],GroDB[[#This Row],[Last_Order_Date]])</f>
        <v>45531</v>
      </c>
      <c r="M509" s="45">
        <f>GroDB[[#This Row],[Date_Received1]]-GroDB[[#This Row],[Procurement_Date]]</f>
        <v>81</v>
      </c>
      <c r="N509" s="43">
        <v>45580</v>
      </c>
      <c r="O509" s="91">
        <f>GroDB[[#This Row],[Expiration_Date]]-GroDB[[#This Row],[Date_Received1]]</f>
        <v>-32</v>
      </c>
      <c r="P509" s="4">
        <v>1.9600000000000002</v>
      </c>
      <c r="Q509" s="3">
        <v>60</v>
      </c>
      <c r="R509" s="3">
        <v>1</v>
      </c>
      <c r="S509" s="3">
        <v>42</v>
      </c>
      <c r="T509" s="4">
        <v>2.4500000000000002</v>
      </c>
      <c r="U509" s="3">
        <v>42</v>
      </c>
      <c r="V509" s="51">
        <f>IF(GroDB[[#This Row],[LeadTime]]=0,GroDB[[#This Row],[Sales_Volume]],GroDB[[#This Row],[Sales_Volume]]/GroDB[[#This Row],[LeadTime]])</f>
        <v>0.51851851851851849</v>
      </c>
      <c r="W509" s="51">
        <f>_xlfn.STDEV.S(GroDB[Daily Sales])</f>
        <v>5.1999899792654221</v>
      </c>
      <c r="X509" s="3">
        <v>91</v>
      </c>
      <c r="Y509" s="7">
        <v>0.71</v>
      </c>
      <c r="Z509" s="4">
        <f>GroDB[[#This Row],[Unit_Price]]*GroDB[[#This Row],[Sales_Volume]]</f>
        <v>102.9</v>
      </c>
      <c r="AA509" s="22">
        <f>GroDB[[#This Row],[ADU]]/GroDB[[#Totals],[ADU]]</f>
        <v>2.988938834925003E-4</v>
      </c>
      <c r="AB509" s="1">
        <f>GroDB[[#This Row],[Sales_Volume]]*GroDB[[#This Row],[Ordering Cost]]</f>
        <v>82.320000000000007</v>
      </c>
    </row>
    <row r="510" spans="1:28" x14ac:dyDescent="0.35">
      <c r="A510" s="5" t="s">
        <v>165</v>
      </c>
      <c r="B510" s="3" t="s">
        <v>60</v>
      </c>
      <c r="C510" s="3" t="s">
        <v>1617</v>
      </c>
      <c r="D510" s="3" t="s">
        <v>1936</v>
      </c>
      <c r="E510" s="3" t="s">
        <v>28</v>
      </c>
      <c r="F510" s="3" t="s">
        <v>1937</v>
      </c>
      <c r="G510" s="3" t="s">
        <v>1938</v>
      </c>
      <c r="H510" s="43">
        <v>45613</v>
      </c>
      <c r="I510" s="43">
        <v>45448</v>
      </c>
      <c r="J510" s="47" t="str">
        <f>IF(GroDB[[#This Row],[Last_Order_Date]]&lt;=GroDB[[#This Row],[Date_Received]], "Yes", "No")</f>
        <v>Yes</v>
      </c>
      <c r="K510" s="43">
        <f>IF(GroDB[[#This Row],[Column1]]="No",GroDB[[#This Row],[Last_Order_Date]],GroDB[[#This Row],[Date_Received]])</f>
        <v>45613</v>
      </c>
      <c r="L510" s="43">
        <f>IF(GroDB[[#This Row],[Column1]]="No",GroDB[[#This Row],[Date_Received]],GroDB[[#This Row],[Last_Order_Date]])</f>
        <v>45448</v>
      </c>
      <c r="M510" s="45">
        <f>GroDB[[#This Row],[Date_Received1]]-GroDB[[#This Row],[Procurement_Date]]</f>
        <v>165</v>
      </c>
      <c r="N510" s="43">
        <v>45359</v>
      </c>
      <c r="O510" s="91">
        <f>GroDB[[#This Row],[Expiration_Date]]-GroDB[[#This Row],[Date_Received1]]</f>
        <v>-254</v>
      </c>
      <c r="P510" s="4">
        <v>5.6000000000000005</v>
      </c>
      <c r="Q510" s="3">
        <v>95</v>
      </c>
      <c r="R510" s="3">
        <v>63</v>
      </c>
      <c r="S510" s="3">
        <v>73</v>
      </c>
      <c r="T510" s="4">
        <v>7</v>
      </c>
      <c r="U510" s="3">
        <v>61</v>
      </c>
      <c r="V510" s="51">
        <f>IF(GroDB[[#This Row],[LeadTime]]=0,GroDB[[#This Row],[Sales_Volume]],GroDB[[#This Row],[Sales_Volume]]/GroDB[[#This Row],[LeadTime]])</f>
        <v>0.36969696969696969</v>
      </c>
      <c r="W510" s="51">
        <f>_xlfn.STDEV.S(GroDB[Daily Sales])</f>
        <v>5.1999899792654221</v>
      </c>
      <c r="X510" s="3">
        <v>38</v>
      </c>
      <c r="Y510" s="7">
        <v>-1.17</v>
      </c>
      <c r="Z510" s="4">
        <f>GroDB[[#This Row],[Unit_Price]]*GroDB[[#This Row],[Sales_Volume]]</f>
        <v>427</v>
      </c>
      <c r="AA510" s="22">
        <f>GroDB[[#This Row],[ADU]]/GroDB[[#Totals],[ADU]]</f>
        <v>1.2403079519076542E-3</v>
      </c>
      <c r="AB510" s="1">
        <f>GroDB[[#This Row],[Sales_Volume]]*GroDB[[#This Row],[Ordering Cost]]</f>
        <v>341.6</v>
      </c>
    </row>
    <row r="511" spans="1:28" x14ac:dyDescent="0.35">
      <c r="A511" s="5" t="s">
        <v>126</v>
      </c>
      <c r="B511" s="3" t="s">
        <v>127</v>
      </c>
      <c r="C511" s="3" t="s">
        <v>128</v>
      </c>
      <c r="D511" s="3" t="s">
        <v>1939</v>
      </c>
      <c r="E511" s="3" t="s">
        <v>21</v>
      </c>
      <c r="F511" s="3" t="s">
        <v>1940</v>
      </c>
      <c r="G511" s="3" t="s">
        <v>1941</v>
      </c>
      <c r="H511" s="43">
        <v>45613</v>
      </c>
      <c r="I511" s="43">
        <v>45537</v>
      </c>
      <c r="J511" s="47" t="str">
        <f>IF(GroDB[[#This Row],[Last_Order_Date]]&lt;=GroDB[[#This Row],[Date_Received]], "Yes", "No")</f>
        <v>Yes</v>
      </c>
      <c r="K511" s="43">
        <f>IF(GroDB[[#This Row],[Column1]]="No",GroDB[[#This Row],[Last_Order_Date]],GroDB[[#This Row],[Date_Received]])</f>
        <v>45613</v>
      </c>
      <c r="L511" s="43">
        <f>IF(GroDB[[#This Row],[Column1]]="No",GroDB[[#This Row],[Date_Received]],GroDB[[#This Row],[Last_Order_Date]])</f>
        <v>45537</v>
      </c>
      <c r="M511" s="45">
        <f>GroDB[[#This Row],[Date_Received1]]-GroDB[[#This Row],[Procurement_Date]]</f>
        <v>76</v>
      </c>
      <c r="N511" s="43">
        <v>45542</v>
      </c>
      <c r="O511" s="91">
        <f>GroDB[[#This Row],[Expiration_Date]]-GroDB[[#This Row],[Date_Received1]]</f>
        <v>-71</v>
      </c>
      <c r="P511" s="4">
        <v>16.8</v>
      </c>
      <c r="Q511" s="3">
        <v>21</v>
      </c>
      <c r="R511" s="3">
        <v>87</v>
      </c>
      <c r="S511" s="3">
        <v>12</v>
      </c>
      <c r="T511" s="4">
        <v>21</v>
      </c>
      <c r="U511" s="3">
        <v>20</v>
      </c>
      <c r="V511" s="51">
        <f>IF(GroDB[[#This Row],[LeadTime]]=0,GroDB[[#This Row],[Sales_Volume]],GroDB[[#This Row],[Sales_Volume]]/GroDB[[#This Row],[LeadTime]])</f>
        <v>0.26315789473684209</v>
      </c>
      <c r="W511" s="51">
        <f>_xlfn.STDEV.S(GroDB[Daily Sales])</f>
        <v>5.1999899792654221</v>
      </c>
      <c r="X511" s="3">
        <v>38</v>
      </c>
      <c r="Y511" s="7">
        <v>0.38</v>
      </c>
      <c r="Z511" s="4">
        <f>GroDB[[#This Row],[Unit_Price]]*GroDB[[#This Row],[Sales_Volume]]</f>
        <v>420</v>
      </c>
      <c r="AA511" s="22">
        <f>GroDB[[#This Row],[ADU]]/GroDB[[#Totals],[ADU]]</f>
        <v>1.2199750346632663E-3</v>
      </c>
      <c r="AB511" s="1">
        <f>GroDB[[#This Row],[Sales_Volume]]*GroDB[[#This Row],[Ordering Cost]]</f>
        <v>336</v>
      </c>
    </row>
    <row r="512" spans="1:28" x14ac:dyDescent="0.35">
      <c r="A512" s="5" t="s">
        <v>1445</v>
      </c>
      <c r="B512" s="3" t="s">
        <v>18</v>
      </c>
      <c r="C512" s="3" t="s">
        <v>338</v>
      </c>
      <c r="D512" s="3" t="s">
        <v>1942</v>
      </c>
      <c r="E512" s="3" t="s">
        <v>21</v>
      </c>
      <c r="F512" s="3" t="s">
        <v>1943</v>
      </c>
      <c r="G512" s="3" t="s">
        <v>1944</v>
      </c>
      <c r="H512" s="43">
        <v>45613</v>
      </c>
      <c r="I512" s="43">
        <v>45699</v>
      </c>
      <c r="J512" s="47" t="str">
        <f>IF(GroDB[[#This Row],[Last_Order_Date]]&lt;=GroDB[[#This Row],[Date_Received]], "Yes", "No")</f>
        <v>No</v>
      </c>
      <c r="K512" s="43">
        <f>IF(GroDB[[#This Row],[Column1]]="No",GroDB[[#This Row],[Last_Order_Date]],GroDB[[#This Row],[Date_Received]])</f>
        <v>45699</v>
      </c>
      <c r="L512" s="43">
        <f>IF(GroDB[[#This Row],[Column1]]="No",GroDB[[#This Row],[Date_Received]],GroDB[[#This Row],[Last_Order_Date]])</f>
        <v>45613</v>
      </c>
      <c r="M512" s="45">
        <f>GroDB[[#This Row],[Date_Received1]]-GroDB[[#This Row],[Procurement_Date]]</f>
        <v>86</v>
      </c>
      <c r="N512" s="43">
        <v>45415</v>
      </c>
      <c r="O512" s="91">
        <f>GroDB[[#This Row],[Expiration_Date]]-GroDB[[#This Row],[Date_Received1]]</f>
        <v>-284</v>
      </c>
      <c r="P512" s="4">
        <v>8</v>
      </c>
      <c r="Q512" s="3">
        <v>89</v>
      </c>
      <c r="R512" s="3">
        <v>15</v>
      </c>
      <c r="S512" s="3">
        <v>22</v>
      </c>
      <c r="T512" s="4">
        <v>10</v>
      </c>
      <c r="U512" s="3">
        <v>79</v>
      </c>
      <c r="V512" s="51">
        <f>IF(GroDB[[#This Row],[LeadTime]]=0,GroDB[[#This Row],[Sales_Volume]],GroDB[[#This Row],[Sales_Volume]]/GroDB[[#This Row],[LeadTime]])</f>
        <v>0.91860465116279066</v>
      </c>
      <c r="W512" s="51">
        <f>_xlfn.STDEV.S(GroDB[Daily Sales])</f>
        <v>5.1999899792654221</v>
      </c>
      <c r="X512" s="3">
        <v>42</v>
      </c>
      <c r="Y512" s="7">
        <v>-0.9</v>
      </c>
      <c r="Z512" s="4">
        <f>GroDB[[#This Row],[Unit_Price]]*GroDB[[#This Row],[Sales_Volume]]</f>
        <v>790</v>
      </c>
      <c r="AA512" s="22">
        <f>GroDB[[#This Row],[ADU]]/GroDB[[#Totals],[ADU]]</f>
        <v>2.2947149461523342E-3</v>
      </c>
      <c r="AB512" s="1">
        <f>GroDB[[#This Row],[Sales_Volume]]*GroDB[[#This Row],[Ordering Cost]]</f>
        <v>632</v>
      </c>
    </row>
    <row r="513" spans="1:28" x14ac:dyDescent="0.35">
      <c r="A513" s="5" t="s">
        <v>276</v>
      </c>
      <c r="B513" s="3" t="s">
        <v>18</v>
      </c>
      <c r="C513" s="3" t="s">
        <v>203</v>
      </c>
      <c r="D513" s="3" t="s">
        <v>1945</v>
      </c>
      <c r="E513" s="3" t="s">
        <v>56</v>
      </c>
      <c r="F513" s="3" t="s">
        <v>1946</v>
      </c>
      <c r="G513" s="3" t="s">
        <v>1947</v>
      </c>
      <c r="H513" s="43">
        <v>45613</v>
      </c>
      <c r="I513" s="43">
        <v>45366</v>
      </c>
      <c r="J513" s="47" t="str">
        <f>IF(GroDB[[#This Row],[Last_Order_Date]]&lt;=GroDB[[#This Row],[Date_Received]], "Yes", "No")</f>
        <v>Yes</v>
      </c>
      <c r="K513" s="43">
        <f>IF(GroDB[[#This Row],[Column1]]="No",GroDB[[#This Row],[Last_Order_Date]],GroDB[[#This Row],[Date_Received]])</f>
        <v>45613</v>
      </c>
      <c r="L513" s="43">
        <f>IF(GroDB[[#This Row],[Column1]]="No",GroDB[[#This Row],[Date_Received]],GroDB[[#This Row],[Last_Order_Date]])</f>
        <v>45366</v>
      </c>
      <c r="M513" s="45">
        <f>GroDB[[#This Row],[Date_Received1]]-GroDB[[#This Row],[Procurement_Date]]</f>
        <v>247</v>
      </c>
      <c r="N513" s="43">
        <v>45587</v>
      </c>
      <c r="O513" s="91">
        <f>GroDB[[#This Row],[Expiration_Date]]-GroDB[[#This Row],[Date_Received1]]</f>
        <v>-26</v>
      </c>
      <c r="P513" s="4">
        <v>2.8000000000000003</v>
      </c>
      <c r="Q513" s="3">
        <v>14</v>
      </c>
      <c r="R513" s="3">
        <v>81</v>
      </c>
      <c r="S513" s="3">
        <v>65</v>
      </c>
      <c r="T513" s="4">
        <v>3.5</v>
      </c>
      <c r="U513" s="3">
        <v>74</v>
      </c>
      <c r="V513" s="51">
        <f>IF(GroDB[[#This Row],[LeadTime]]=0,GroDB[[#This Row],[Sales_Volume]],GroDB[[#This Row],[Sales_Volume]]/GroDB[[#This Row],[LeadTime]])</f>
        <v>0.29959514170040485</v>
      </c>
      <c r="W513" s="51">
        <f>_xlfn.STDEV.S(GroDB[Daily Sales])</f>
        <v>5.1999899792654221</v>
      </c>
      <c r="X513" s="3">
        <v>84</v>
      </c>
      <c r="Y513" s="7">
        <v>0.47</v>
      </c>
      <c r="Z513" s="4">
        <f>GroDB[[#This Row],[Unit_Price]]*GroDB[[#This Row],[Sales_Volume]]</f>
        <v>259</v>
      </c>
      <c r="AA513" s="22">
        <f>GroDB[[#This Row],[ADU]]/GroDB[[#Totals],[ADU]]</f>
        <v>7.5231793804234753E-4</v>
      </c>
      <c r="AB513" s="1">
        <f>GroDB[[#This Row],[Sales_Volume]]*GroDB[[#This Row],[Ordering Cost]]</f>
        <v>207.20000000000002</v>
      </c>
    </row>
    <row r="514" spans="1:28" x14ac:dyDescent="0.35">
      <c r="A514" s="5" t="s">
        <v>137</v>
      </c>
      <c r="B514" s="3" t="s">
        <v>18</v>
      </c>
      <c r="C514" s="3" t="s">
        <v>1160</v>
      </c>
      <c r="D514" s="3" t="s">
        <v>1948</v>
      </c>
      <c r="E514" s="3" t="s">
        <v>21</v>
      </c>
      <c r="F514" s="3" t="s">
        <v>1949</v>
      </c>
      <c r="G514" s="3" t="s">
        <v>1950</v>
      </c>
      <c r="H514" s="43">
        <v>45613</v>
      </c>
      <c r="I514" s="43">
        <v>45498</v>
      </c>
      <c r="J514" s="47" t="str">
        <f>IF(GroDB[[#This Row],[Last_Order_Date]]&lt;=GroDB[[#This Row],[Date_Received]], "Yes", "No")</f>
        <v>Yes</v>
      </c>
      <c r="K514" s="43">
        <f>IF(GroDB[[#This Row],[Column1]]="No",GroDB[[#This Row],[Last_Order_Date]],GroDB[[#This Row],[Date_Received]])</f>
        <v>45613</v>
      </c>
      <c r="L514" s="43">
        <f>IF(GroDB[[#This Row],[Column1]]="No",GroDB[[#This Row],[Date_Received]],GroDB[[#This Row],[Last_Order_Date]])</f>
        <v>45498</v>
      </c>
      <c r="M514" s="45">
        <f>GroDB[[#This Row],[Date_Received1]]-GroDB[[#This Row],[Procurement_Date]]</f>
        <v>115</v>
      </c>
      <c r="N514" s="43">
        <v>45605</v>
      </c>
      <c r="O514" s="91">
        <f>GroDB[[#This Row],[Expiration_Date]]-GroDB[[#This Row],[Date_Received1]]</f>
        <v>-8</v>
      </c>
      <c r="P514" s="4">
        <v>3.9200000000000004</v>
      </c>
      <c r="Q514" s="3">
        <v>32</v>
      </c>
      <c r="R514" s="3">
        <v>63</v>
      </c>
      <c r="S514" s="3">
        <v>92</v>
      </c>
      <c r="T514" s="4">
        <v>4.9000000000000004</v>
      </c>
      <c r="U514" s="3">
        <v>84</v>
      </c>
      <c r="V514" s="51">
        <f>IF(GroDB[[#This Row],[LeadTime]]=0,GroDB[[#This Row],[Sales_Volume]],GroDB[[#This Row],[Sales_Volume]]/GroDB[[#This Row],[LeadTime]])</f>
        <v>0.73043478260869565</v>
      </c>
      <c r="W514" s="51">
        <f>_xlfn.STDEV.S(GroDB[Daily Sales])</f>
        <v>5.1999899792654221</v>
      </c>
      <c r="X514" s="3">
        <v>34</v>
      </c>
      <c r="Y514" s="7">
        <v>-0.14000000000000001</v>
      </c>
      <c r="Z514" s="4">
        <f>GroDB[[#This Row],[Unit_Price]]*GroDB[[#This Row],[Sales_Volume]]</f>
        <v>411.6</v>
      </c>
      <c r="AA514" s="22">
        <f>GroDB[[#This Row],[ADU]]/GroDB[[#Totals],[ADU]]</f>
        <v>1.1955755339700012E-3</v>
      </c>
      <c r="AB514" s="1">
        <f>GroDB[[#This Row],[Sales_Volume]]*GroDB[[#This Row],[Ordering Cost]]</f>
        <v>329.28000000000003</v>
      </c>
    </row>
    <row r="515" spans="1:28" x14ac:dyDescent="0.35">
      <c r="A515" s="5" t="s">
        <v>976</v>
      </c>
      <c r="B515" s="3" t="s">
        <v>60</v>
      </c>
      <c r="C515" s="3" t="s">
        <v>926</v>
      </c>
      <c r="D515" s="3" t="s">
        <v>1951</v>
      </c>
      <c r="E515" s="3" t="s">
        <v>28</v>
      </c>
      <c r="F515" s="3" t="s">
        <v>1952</v>
      </c>
      <c r="G515" s="3" t="s">
        <v>1953</v>
      </c>
      <c r="H515" s="43">
        <v>45613</v>
      </c>
      <c r="I515" s="43">
        <v>45410</v>
      </c>
      <c r="J515" s="47" t="str">
        <f>IF(GroDB[[#This Row],[Last_Order_Date]]&lt;=GroDB[[#This Row],[Date_Received]], "Yes", "No")</f>
        <v>Yes</v>
      </c>
      <c r="K515" s="43">
        <f>IF(GroDB[[#This Row],[Column1]]="No",GroDB[[#This Row],[Last_Order_Date]],GroDB[[#This Row],[Date_Received]])</f>
        <v>45613</v>
      </c>
      <c r="L515" s="43">
        <f>IF(GroDB[[#This Row],[Column1]]="No",GroDB[[#This Row],[Date_Received]],GroDB[[#This Row],[Last_Order_Date]])</f>
        <v>45410</v>
      </c>
      <c r="M515" s="45">
        <f>GroDB[[#This Row],[Date_Received1]]-GroDB[[#This Row],[Procurement_Date]]</f>
        <v>203</v>
      </c>
      <c r="N515" s="43">
        <v>45580</v>
      </c>
      <c r="O515" s="91">
        <f>GroDB[[#This Row],[Expiration_Date]]-GroDB[[#This Row],[Date_Received1]]</f>
        <v>-33</v>
      </c>
      <c r="P515" s="4">
        <v>16</v>
      </c>
      <c r="Q515" s="3">
        <v>68</v>
      </c>
      <c r="R515" s="3">
        <v>43</v>
      </c>
      <c r="S515" s="3">
        <v>96</v>
      </c>
      <c r="T515" s="4">
        <v>20</v>
      </c>
      <c r="U515" s="3">
        <v>75</v>
      </c>
      <c r="V515" s="51">
        <f>IF(GroDB[[#This Row],[LeadTime]]=0,GroDB[[#This Row],[Sales_Volume]],GroDB[[#This Row],[Sales_Volume]]/GroDB[[#This Row],[LeadTime]])</f>
        <v>0.36945812807881773</v>
      </c>
      <c r="W515" s="51">
        <f>_xlfn.STDEV.S(GroDB[Daily Sales])</f>
        <v>5.1999899792654221</v>
      </c>
      <c r="X515" s="3">
        <v>35</v>
      </c>
      <c r="Y515" s="7">
        <v>0.6</v>
      </c>
      <c r="Z515" s="4">
        <f>GroDB[[#This Row],[Unit_Price]]*GroDB[[#This Row],[Sales_Volume]]</f>
        <v>1500</v>
      </c>
      <c r="AA515" s="22">
        <f>GroDB[[#This Row],[ADU]]/GroDB[[#Totals],[ADU]]</f>
        <v>4.3570536952259511E-3</v>
      </c>
      <c r="AB515" s="1">
        <f>GroDB[[#This Row],[Sales_Volume]]*GroDB[[#This Row],[Ordering Cost]]</f>
        <v>1200</v>
      </c>
    </row>
    <row r="516" spans="1:28" x14ac:dyDescent="0.35">
      <c r="A516" s="5" t="s">
        <v>272</v>
      </c>
      <c r="B516" s="3" t="s">
        <v>32</v>
      </c>
      <c r="C516" s="3" t="s">
        <v>372</v>
      </c>
      <c r="D516" s="3" t="s">
        <v>1954</v>
      </c>
      <c r="E516" s="3" t="s">
        <v>56</v>
      </c>
      <c r="F516" s="3" t="s">
        <v>1955</v>
      </c>
      <c r="G516" s="3" t="s">
        <v>1956</v>
      </c>
      <c r="H516" s="43">
        <v>45614</v>
      </c>
      <c r="I516" s="43">
        <v>45610</v>
      </c>
      <c r="J516" s="47" t="str">
        <f>IF(GroDB[[#This Row],[Last_Order_Date]]&lt;=GroDB[[#This Row],[Date_Received]], "Yes", "No")</f>
        <v>Yes</v>
      </c>
      <c r="K516" s="43">
        <f>IF(GroDB[[#This Row],[Column1]]="No",GroDB[[#This Row],[Last_Order_Date]],GroDB[[#This Row],[Date_Received]])</f>
        <v>45614</v>
      </c>
      <c r="L516" s="43">
        <f>IF(GroDB[[#This Row],[Column1]]="No",GroDB[[#This Row],[Date_Received]],GroDB[[#This Row],[Last_Order_Date]])</f>
        <v>45610</v>
      </c>
      <c r="M516" s="45">
        <f>GroDB[[#This Row],[Date_Received1]]-GroDB[[#This Row],[Procurement_Date]]</f>
        <v>4</v>
      </c>
      <c r="N516" s="43">
        <v>45481</v>
      </c>
      <c r="O516" s="91">
        <f>GroDB[[#This Row],[Expiration_Date]]-GroDB[[#This Row],[Date_Received1]]</f>
        <v>-133</v>
      </c>
      <c r="P516" s="4">
        <v>0.8</v>
      </c>
      <c r="Q516" s="3">
        <v>43</v>
      </c>
      <c r="R516" s="3">
        <v>10</v>
      </c>
      <c r="S516" s="3">
        <v>15</v>
      </c>
      <c r="T516" s="4">
        <v>1</v>
      </c>
      <c r="U516" s="3">
        <v>27</v>
      </c>
      <c r="V516" s="51">
        <f>IF(GroDB[[#This Row],[LeadTime]]=0,GroDB[[#This Row],[Sales_Volume]],GroDB[[#This Row],[Sales_Volume]]/GroDB[[#This Row],[LeadTime]])</f>
        <v>6.75</v>
      </c>
      <c r="W516" s="51">
        <f>_xlfn.STDEV.S(GroDB[Daily Sales])</f>
        <v>5.1999899792654221</v>
      </c>
      <c r="X516" s="3">
        <v>69</v>
      </c>
      <c r="Y516" s="7">
        <v>0.53</v>
      </c>
      <c r="Z516" s="4">
        <f>GroDB[[#This Row],[Unit_Price]]*GroDB[[#This Row],[Sales_Volume]]</f>
        <v>27</v>
      </c>
      <c r="AA516" s="22">
        <f>GroDB[[#This Row],[ADU]]/GroDB[[#Totals],[ADU]]</f>
        <v>7.8426966514067128E-5</v>
      </c>
      <c r="AB516" s="1">
        <f>GroDB[[#This Row],[Sales_Volume]]*GroDB[[#This Row],[Ordering Cost]]</f>
        <v>21.6</v>
      </c>
    </row>
    <row r="517" spans="1:28" x14ac:dyDescent="0.35">
      <c r="A517" s="5" t="s">
        <v>342</v>
      </c>
      <c r="B517" s="3" t="s">
        <v>18</v>
      </c>
      <c r="C517" s="3" t="s">
        <v>207</v>
      </c>
      <c r="D517" s="3" t="s">
        <v>1957</v>
      </c>
      <c r="E517" s="3" t="s">
        <v>21</v>
      </c>
      <c r="F517" s="3" t="s">
        <v>1958</v>
      </c>
      <c r="G517" s="3" t="s">
        <v>1959</v>
      </c>
      <c r="H517" s="43">
        <v>45614</v>
      </c>
      <c r="I517" s="43">
        <v>45468</v>
      </c>
      <c r="J517" s="47" t="str">
        <f>IF(GroDB[[#This Row],[Last_Order_Date]]&lt;=GroDB[[#This Row],[Date_Received]], "Yes", "No")</f>
        <v>Yes</v>
      </c>
      <c r="K517" s="43">
        <f>IF(GroDB[[#This Row],[Column1]]="No",GroDB[[#This Row],[Last_Order_Date]],GroDB[[#This Row],[Date_Received]])</f>
        <v>45614</v>
      </c>
      <c r="L517" s="43">
        <f>IF(GroDB[[#This Row],[Column1]]="No",GroDB[[#This Row],[Date_Received]],GroDB[[#This Row],[Last_Order_Date]])</f>
        <v>45468</v>
      </c>
      <c r="M517" s="45">
        <f>GroDB[[#This Row],[Date_Received1]]-GroDB[[#This Row],[Procurement_Date]]</f>
        <v>146</v>
      </c>
      <c r="N517" s="43">
        <v>45493</v>
      </c>
      <c r="O517" s="91">
        <f>GroDB[[#This Row],[Expiration_Date]]-GroDB[[#This Row],[Date_Received1]]</f>
        <v>-121</v>
      </c>
      <c r="P517" s="4">
        <v>4.8000000000000007</v>
      </c>
      <c r="Q517" s="3">
        <v>92</v>
      </c>
      <c r="R517" s="3">
        <v>96</v>
      </c>
      <c r="S517" s="3">
        <v>56</v>
      </c>
      <c r="T517" s="4">
        <v>6</v>
      </c>
      <c r="U517" s="3">
        <v>32</v>
      </c>
      <c r="V517" s="51">
        <f>IF(GroDB[[#This Row],[LeadTime]]=0,GroDB[[#This Row],[Sales_Volume]],GroDB[[#This Row],[Sales_Volume]]/GroDB[[#This Row],[LeadTime]])</f>
        <v>0.21917808219178081</v>
      </c>
      <c r="W517" s="51">
        <f>_xlfn.STDEV.S(GroDB[Daily Sales])</f>
        <v>5.1999899792654221</v>
      </c>
      <c r="X517" s="3">
        <v>22</v>
      </c>
      <c r="Y517" s="7">
        <v>-1.56</v>
      </c>
      <c r="Z517" s="4">
        <f>GroDB[[#This Row],[Unit_Price]]*GroDB[[#This Row],[Sales_Volume]]</f>
        <v>192</v>
      </c>
      <c r="AA517" s="22">
        <f>GroDB[[#This Row],[ADU]]/GroDB[[#Totals],[ADU]]</f>
        <v>5.577028729889218E-4</v>
      </c>
      <c r="AB517" s="1">
        <f>GroDB[[#This Row],[Sales_Volume]]*GroDB[[#This Row],[Ordering Cost]]</f>
        <v>153.60000000000002</v>
      </c>
    </row>
    <row r="518" spans="1:28" x14ac:dyDescent="0.35">
      <c r="A518" s="5" t="s">
        <v>320</v>
      </c>
      <c r="B518" s="3" t="s">
        <v>18</v>
      </c>
      <c r="C518" s="3" t="s">
        <v>356</v>
      </c>
      <c r="D518" s="3" t="s">
        <v>1960</v>
      </c>
      <c r="E518" s="3" t="s">
        <v>28</v>
      </c>
      <c r="F518" s="3" t="s">
        <v>1961</v>
      </c>
      <c r="G518" s="3" t="s">
        <v>1962</v>
      </c>
      <c r="H518" s="43">
        <v>45614</v>
      </c>
      <c r="I518" s="43">
        <v>45573</v>
      </c>
      <c r="J518" s="47" t="str">
        <f>IF(GroDB[[#This Row],[Last_Order_Date]]&lt;=GroDB[[#This Row],[Date_Received]], "Yes", "No")</f>
        <v>Yes</v>
      </c>
      <c r="K518" s="43">
        <f>IF(GroDB[[#This Row],[Column1]]="No",GroDB[[#This Row],[Last_Order_Date]],GroDB[[#This Row],[Date_Received]])</f>
        <v>45614</v>
      </c>
      <c r="L518" s="43">
        <f>IF(GroDB[[#This Row],[Column1]]="No",GroDB[[#This Row],[Date_Received]],GroDB[[#This Row],[Last_Order_Date]])</f>
        <v>45573</v>
      </c>
      <c r="M518" s="45">
        <f>GroDB[[#This Row],[Date_Received1]]-GroDB[[#This Row],[Procurement_Date]]</f>
        <v>41</v>
      </c>
      <c r="N518" s="43">
        <v>45629</v>
      </c>
      <c r="O518" s="91">
        <f>GroDB[[#This Row],[Expiration_Date]]-GroDB[[#This Row],[Date_Received1]]</f>
        <v>15</v>
      </c>
      <c r="P518" s="4">
        <v>3.08</v>
      </c>
      <c r="Q518" s="3">
        <v>85</v>
      </c>
      <c r="R518" s="3">
        <v>16</v>
      </c>
      <c r="S518" s="3">
        <v>74</v>
      </c>
      <c r="T518" s="4">
        <v>3.85</v>
      </c>
      <c r="U518" s="3">
        <v>58</v>
      </c>
      <c r="V518" s="51">
        <f>IF(GroDB[[#This Row],[LeadTime]]=0,GroDB[[#This Row],[Sales_Volume]],GroDB[[#This Row],[Sales_Volume]]/GroDB[[#This Row],[LeadTime]])</f>
        <v>1.4146341463414633</v>
      </c>
      <c r="W518" s="51">
        <f>_xlfn.STDEV.S(GroDB[Daily Sales])</f>
        <v>5.1999899792654221</v>
      </c>
      <c r="X518" s="3">
        <v>36</v>
      </c>
      <c r="Y518" s="7">
        <v>0.31</v>
      </c>
      <c r="Z518" s="4">
        <f>GroDB[[#This Row],[Unit_Price]]*GroDB[[#This Row],[Sales_Volume]]</f>
        <v>223.3</v>
      </c>
      <c r="AA518" s="22">
        <f>GroDB[[#This Row],[ADU]]/GroDB[[#Totals],[ADU]]</f>
        <v>6.4862006009597001E-4</v>
      </c>
      <c r="AB518" s="1">
        <f>GroDB[[#This Row],[Sales_Volume]]*GroDB[[#This Row],[Ordering Cost]]</f>
        <v>178.64000000000001</v>
      </c>
    </row>
    <row r="519" spans="1:28" x14ac:dyDescent="0.35">
      <c r="A519" s="5" t="s">
        <v>1516</v>
      </c>
      <c r="B519" s="3" t="s">
        <v>32</v>
      </c>
      <c r="C519" s="3" t="s">
        <v>996</v>
      </c>
      <c r="D519" s="3" t="s">
        <v>1963</v>
      </c>
      <c r="E519" s="3" t="s">
        <v>56</v>
      </c>
      <c r="F519" s="3" t="s">
        <v>1964</v>
      </c>
      <c r="G519" s="3" t="s">
        <v>1965</v>
      </c>
      <c r="H519" s="43">
        <v>45614</v>
      </c>
      <c r="I519" s="43">
        <v>45485</v>
      </c>
      <c r="J519" s="47" t="str">
        <f>IF(GroDB[[#This Row],[Last_Order_Date]]&lt;=GroDB[[#This Row],[Date_Received]], "Yes", "No")</f>
        <v>Yes</v>
      </c>
      <c r="K519" s="43">
        <f>IF(GroDB[[#This Row],[Column1]]="No",GroDB[[#This Row],[Last_Order_Date]],GroDB[[#This Row],[Date_Received]])</f>
        <v>45614</v>
      </c>
      <c r="L519" s="43">
        <f>IF(GroDB[[#This Row],[Column1]]="No",GroDB[[#This Row],[Date_Received]],GroDB[[#This Row],[Last_Order_Date]])</f>
        <v>45485</v>
      </c>
      <c r="M519" s="45">
        <f>GroDB[[#This Row],[Date_Received1]]-GroDB[[#This Row],[Procurement_Date]]</f>
        <v>129</v>
      </c>
      <c r="N519" s="43">
        <v>45351</v>
      </c>
      <c r="O519" s="91">
        <f>GroDB[[#This Row],[Expiration_Date]]-GroDB[[#This Row],[Date_Received1]]</f>
        <v>-263</v>
      </c>
      <c r="P519" s="4">
        <v>5.6000000000000005</v>
      </c>
      <c r="Q519" s="3">
        <v>24</v>
      </c>
      <c r="R519" s="3">
        <v>1</v>
      </c>
      <c r="S519" s="3">
        <v>65</v>
      </c>
      <c r="T519" s="4">
        <v>7</v>
      </c>
      <c r="U519" s="3">
        <v>58</v>
      </c>
      <c r="V519" s="51">
        <f>IF(GroDB[[#This Row],[LeadTime]]=0,GroDB[[#This Row],[Sales_Volume]],GroDB[[#This Row],[Sales_Volume]]/GroDB[[#This Row],[LeadTime]])</f>
        <v>0.44961240310077522</v>
      </c>
      <c r="W519" s="51">
        <f>_xlfn.STDEV.S(GroDB[Daily Sales])</f>
        <v>5.1999899792654221</v>
      </c>
      <c r="X519" s="3">
        <v>61</v>
      </c>
      <c r="Y519" s="7">
        <v>0.38</v>
      </c>
      <c r="Z519" s="4">
        <f>GroDB[[#This Row],[Unit_Price]]*GroDB[[#This Row],[Sales_Volume]]</f>
        <v>406</v>
      </c>
      <c r="AA519" s="22">
        <f>GroDB[[#This Row],[ADU]]/GroDB[[#Totals],[ADU]]</f>
        <v>1.1793092001744908E-3</v>
      </c>
      <c r="AB519" s="1">
        <f>GroDB[[#This Row],[Sales_Volume]]*GroDB[[#This Row],[Ordering Cost]]</f>
        <v>324.8</v>
      </c>
    </row>
    <row r="520" spans="1:28" x14ac:dyDescent="0.35">
      <c r="A520" s="5" t="s">
        <v>1202</v>
      </c>
      <c r="B520" s="3" t="s">
        <v>18</v>
      </c>
      <c r="C520" s="3" t="s">
        <v>122</v>
      </c>
      <c r="D520" s="3" t="s">
        <v>1966</v>
      </c>
      <c r="E520" s="3" t="s">
        <v>28</v>
      </c>
      <c r="F520" s="3" t="s">
        <v>1967</v>
      </c>
      <c r="G520" s="3" t="s">
        <v>1968</v>
      </c>
      <c r="H520" s="43">
        <v>45615</v>
      </c>
      <c r="I520" s="43">
        <v>45417</v>
      </c>
      <c r="J520" s="47" t="str">
        <f>IF(GroDB[[#This Row],[Last_Order_Date]]&lt;=GroDB[[#This Row],[Date_Received]], "Yes", "No")</f>
        <v>Yes</v>
      </c>
      <c r="K520" s="43">
        <f>IF(GroDB[[#This Row],[Column1]]="No",GroDB[[#This Row],[Last_Order_Date]],GroDB[[#This Row],[Date_Received]])</f>
        <v>45615</v>
      </c>
      <c r="L520" s="43">
        <f>IF(GroDB[[#This Row],[Column1]]="No",GroDB[[#This Row],[Date_Received]],GroDB[[#This Row],[Last_Order_Date]])</f>
        <v>45417</v>
      </c>
      <c r="M520" s="45">
        <f>GroDB[[#This Row],[Date_Received1]]-GroDB[[#This Row],[Procurement_Date]]</f>
        <v>198</v>
      </c>
      <c r="N520" s="43">
        <v>45640</v>
      </c>
      <c r="O520" s="91">
        <f>GroDB[[#This Row],[Expiration_Date]]-GroDB[[#This Row],[Date_Received1]]</f>
        <v>25</v>
      </c>
      <c r="P520" s="4">
        <v>2.4000000000000004</v>
      </c>
      <c r="Q520" s="3">
        <v>13</v>
      </c>
      <c r="R520" s="3">
        <v>88</v>
      </c>
      <c r="S520" s="3">
        <v>11</v>
      </c>
      <c r="T520" s="4">
        <v>3</v>
      </c>
      <c r="U520" s="3">
        <v>100</v>
      </c>
      <c r="V520" s="51">
        <f>IF(GroDB[[#This Row],[LeadTime]]=0,GroDB[[#This Row],[Sales_Volume]],GroDB[[#This Row],[Sales_Volume]]/GroDB[[#This Row],[LeadTime]])</f>
        <v>0.50505050505050508</v>
      </c>
      <c r="W520" s="51">
        <f>_xlfn.STDEV.S(GroDB[Daily Sales])</f>
        <v>5.1999899792654221</v>
      </c>
      <c r="X520" s="3">
        <v>52</v>
      </c>
      <c r="Y520" s="7">
        <v>-0.05</v>
      </c>
      <c r="Z520" s="4">
        <f>GroDB[[#This Row],[Unit_Price]]*GroDB[[#This Row],[Sales_Volume]]</f>
        <v>300</v>
      </c>
      <c r="AA520" s="22">
        <f>GroDB[[#This Row],[ADU]]/GroDB[[#Totals],[ADU]]</f>
        <v>8.7141073904519026E-4</v>
      </c>
      <c r="AB520" s="1">
        <f>GroDB[[#This Row],[Sales_Volume]]*GroDB[[#This Row],[Ordering Cost]]</f>
        <v>240.00000000000003</v>
      </c>
    </row>
    <row r="521" spans="1:28" x14ac:dyDescent="0.35">
      <c r="A521" s="5" t="s">
        <v>674</v>
      </c>
      <c r="B521" s="3" t="s">
        <v>60</v>
      </c>
      <c r="C521" s="3" t="s">
        <v>1708</v>
      </c>
      <c r="D521" s="3" t="s">
        <v>1969</v>
      </c>
      <c r="E521" s="3" t="s">
        <v>21</v>
      </c>
      <c r="F521" s="3" t="s">
        <v>1970</v>
      </c>
      <c r="G521" s="3" t="s">
        <v>1971</v>
      </c>
      <c r="H521" s="43">
        <v>45617</v>
      </c>
      <c r="I521" s="43">
        <v>45705</v>
      </c>
      <c r="J521" s="47" t="str">
        <f>IF(GroDB[[#This Row],[Last_Order_Date]]&lt;=GroDB[[#This Row],[Date_Received]], "Yes", "No")</f>
        <v>No</v>
      </c>
      <c r="K521" s="43">
        <f>IF(GroDB[[#This Row],[Column1]]="No",GroDB[[#This Row],[Last_Order_Date]],GroDB[[#This Row],[Date_Received]])</f>
        <v>45705</v>
      </c>
      <c r="L521" s="43">
        <f>IF(GroDB[[#This Row],[Column1]]="No",GroDB[[#This Row],[Date_Received]],GroDB[[#This Row],[Last_Order_Date]])</f>
        <v>45617</v>
      </c>
      <c r="M521" s="45">
        <f>GroDB[[#This Row],[Date_Received1]]-GroDB[[#This Row],[Procurement_Date]]</f>
        <v>88</v>
      </c>
      <c r="N521" s="43">
        <v>45656</v>
      </c>
      <c r="O521" s="91">
        <f>GroDB[[#This Row],[Expiration_Date]]-GroDB[[#This Row],[Date_Received1]]</f>
        <v>-49</v>
      </c>
      <c r="P521" s="4">
        <v>7.2</v>
      </c>
      <c r="Q521" s="3">
        <v>19</v>
      </c>
      <c r="R521" s="3">
        <v>99</v>
      </c>
      <c r="S521" s="3">
        <v>78</v>
      </c>
      <c r="T521" s="4">
        <v>9</v>
      </c>
      <c r="U521" s="3">
        <v>29</v>
      </c>
      <c r="V521" s="51">
        <f>IF(GroDB[[#This Row],[LeadTime]]=0,GroDB[[#This Row],[Sales_Volume]],GroDB[[#This Row],[Sales_Volume]]/GroDB[[#This Row],[LeadTime]])</f>
        <v>0.32954545454545453</v>
      </c>
      <c r="W521" s="51">
        <f>_xlfn.STDEV.S(GroDB[Daily Sales])</f>
        <v>5.1999899792654221</v>
      </c>
      <c r="X521" s="3">
        <v>54</v>
      </c>
      <c r="Y521" s="7">
        <v>0.48</v>
      </c>
      <c r="Z521" s="4">
        <f>GroDB[[#This Row],[Unit_Price]]*GroDB[[#This Row],[Sales_Volume]]</f>
        <v>261</v>
      </c>
      <c r="AA521" s="22">
        <f>GroDB[[#This Row],[ADU]]/GroDB[[#Totals],[ADU]]</f>
        <v>7.5812734296931553E-4</v>
      </c>
      <c r="AB521" s="1">
        <f>GroDB[[#This Row],[Sales_Volume]]*GroDB[[#This Row],[Ordering Cost]]</f>
        <v>208.8</v>
      </c>
    </row>
    <row r="522" spans="1:28" x14ac:dyDescent="0.35">
      <c r="A522" s="5" t="s">
        <v>126</v>
      </c>
      <c r="B522" s="3" t="s">
        <v>127</v>
      </c>
      <c r="C522" s="3" t="s">
        <v>1926</v>
      </c>
      <c r="D522" s="3" t="s">
        <v>1972</v>
      </c>
      <c r="E522" s="3" t="s">
        <v>28</v>
      </c>
      <c r="F522" s="3" t="s">
        <v>1973</v>
      </c>
      <c r="G522" s="3" t="s">
        <v>1974</v>
      </c>
      <c r="H522" s="43">
        <v>45618</v>
      </c>
      <c r="I522" s="43">
        <v>45406</v>
      </c>
      <c r="J522" s="47" t="str">
        <f>IF(GroDB[[#This Row],[Last_Order_Date]]&lt;=GroDB[[#This Row],[Date_Received]], "Yes", "No")</f>
        <v>Yes</v>
      </c>
      <c r="K522" s="43">
        <f>IF(GroDB[[#This Row],[Column1]]="No",GroDB[[#This Row],[Last_Order_Date]],GroDB[[#This Row],[Date_Received]])</f>
        <v>45618</v>
      </c>
      <c r="L522" s="43">
        <f>IF(GroDB[[#This Row],[Column1]]="No",GroDB[[#This Row],[Date_Received]],GroDB[[#This Row],[Last_Order_Date]])</f>
        <v>45406</v>
      </c>
      <c r="M522" s="45">
        <f>GroDB[[#This Row],[Date_Received1]]-GroDB[[#This Row],[Procurement_Date]]</f>
        <v>212</v>
      </c>
      <c r="N522" s="43">
        <v>45369</v>
      </c>
      <c r="O522" s="91">
        <f>GroDB[[#This Row],[Expiration_Date]]-GroDB[[#This Row],[Date_Received1]]</f>
        <v>-249</v>
      </c>
      <c r="P522" s="4">
        <v>16</v>
      </c>
      <c r="Q522" s="3">
        <v>97</v>
      </c>
      <c r="R522" s="3">
        <v>77</v>
      </c>
      <c r="S522" s="3">
        <v>99</v>
      </c>
      <c r="T522" s="4">
        <v>20</v>
      </c>
      <c r="U522" s="3">
        <v>74</v>
      </c>
      <c r="V522" s="51">
        <f>IF(GroDB[[#This Row],[LeadTime]]=0,GroDB[[#This Row],[Sales_Volume]],GroDB[[#This Row],[Sales_Volume]]/GroDB[[#This Row],[LeadTime]])</f>
        <v>0.34905660377358488</v>
      </c>
      <c r="W522" s="51">
        <f>_xlfn.STDEV.S(GroDB[Daily Sales])</f>
        <v>5.1999899792654221</v>
      </c>
      <c r="X522" s="3">
        <v>98</v>
      </c>
      <c r="Y522" s="7">
        <v>-0.86</v>
      </c>
      <c r="Z522" s="4">
        <f>GroDB[[#This Row],[Unit_Price]]*GroDB[[#This Row],[Sales_Volume]]</f>
        <v>1480</v>
      </c>
      <c r="AA522" s="22">
        <f>GroDB[[#This Row],[ADU]]/GroDB[[#Totals],[ADU]]</f>
        <v>4.2989596459562717E-3</v>
      </c>
      <c r="AB522" s="1">
        <f>GroDB[[#This Row],[Sales_Volume]]*GroDB[[#This Row],[Ordering Cost]]</f>
        <v>1184</v>
      </c>
    </row>
    <row r="523" spans="1:28" x14ac:dyDescent="0.35">
      <c r="A523" s="5" t="s">
        <v>600</v>
      </c>
      <c r="B523" s="3" t="s">
        <v>32</v>
      </c>
      <c r="C523" s="3" t="s">
        <v>504</v>
      </c>
      <c r="D523" s="3" t="s">
        <v>1975</v>
      </c>
      <c r="E523" s="3" t="s">
        <v>28</v>
      </c>
      <c r="F523" s="3" t="s">
        <v>1976</v>
      </c>
      <c r="G523" s="3" t="s">
        <v>1977</v>
      </c>
      <c r="H523" s="43">
        <v>45618</v>
      </c>
      <c r="I523" s="43">
        <v>45544</v>
      </c>
      <c r="J523" s="47" t="str">
        <f>IF(GroDB[[#This Row],[Last_Order_Date]]&lt;=GroDB[[#This Row],[Date_Received]], "Yes", "No")</f>
        <v>Yes</v>
      </c>
      <c r="K523" s="43">
        <f>IF(GroDB[[#This Row],[Column1]]="No",GroDB[[#This Row],[Last_Order_Date]],GroDB[[#This Row],[Date_Received]])</f>
        <v>45618</v>
      </c>
      <c r="L523" s="43">
        <f>IF(GroDB[[#This Row],[Column1]]="No",GroDB[[#This Row],[Date_Received]],GroDB[[#This Row],[Last_Order_Date]])</f>
        <v>45544</v>
      </c>
      <c r="M523" s="45">
        <f>GroDB[[#This Row],[Date_Received1]]-GroDB[[#This Row],[Procurement_Date]]</f>
        <v>74</v>
      </c>
      <c r="N523" s="43">
        <v>45588</v>
      </c>
      <c r="O523" s="91">
        <f>GroDB[[#This Row],[Expiration_Date]]-GroDB[[#This Row],[Date_Received1]]</f>
        <v>-30</v>
      </c>
      <c r="P523" s="4">
        <v>1.92</v>
      </c>
      <c r="Q523" s="3">
        <v>52</v>
      </c>
      <c r="R523" s="3">
        <v>64</v>
      </c>
      <c r="S523" s="3">
        <v>54</v>
      </c>
      <c r="T523" s="4">
        <v>2.4</v>
      </c>
      <c r="U523" s="3">
        <v>21</v>
      </c>
      <c r="V523" s="51">
        <f>IF(GroDB[[#This Row],[LeadTime]]=0,GroDB[[#This Row],[Sales_Volume]],GroDB[[#This Row],[Sales_Volume]]/GroDB[[#This Row],[LeadTime]])</f>
        <v>0.28378378378378377</v>
      </c>
      <c r="W523" s="51">
        <f>_xlfn.STDEV.S(GroDB[Daily Sales])</f>
        <v>5.1999899792654221</v>
      </c>
      <c r="X523" s="3">
        <v>55</v>
      </c>
      <c r="Y523" s="7">
        <v>-0.32</v>
      </c>
      <c r="Z523" s="4">
        <f>GroDB[[#This Row],[Unit_Price]]*GroDB[[#This Row],[Sales_Volume]]</f>
        <v>50.4</v>
      </c>
      <c r="AA523" s="22">
        <f>GroDB[[#This Row],[ADU]]/GroDB[[#Totals],[ADU]]</f>
        <v>1.4639700415959196E-4</v>
      </c>
      <c r="AB523" s="1">
        <f>GroDB[[#This Row],[Sales_Volume]]*GroDB[[#This Row],[Ordering Cost]]</f>
        <v>40.32</v>
      </c>
    </row>
    <row r="524" spans="1:28" x14ac:dyDescent="0.35">
      <c r="A524" s="5" t="s">
        <v>1085</v>
      </c>
      <c r="B524" s="3" t="s">
        <v>32</v>
      </c>
      <c r="C524" s="3" t="s">
        <v>1418</v>
      </c>
      <c r="D524" s="3" t="s">
        <v>1978</v>
      </c>
      <c r="E524" s="3" t="s">
        <v>21</v>
      </c>
      <c r="F524" s="3" t="s">
        <v>1979</v>
      </c>
      <c r="G524" s="3" t="s">
        <v>1980</v>
      </c>
      <c r="H524" s="43">
        <v>45619</v>
      </c>
      <c r="I524" s="43">
        <v>45585</v>
      </c>
      <c r="J524" s="47" t="str">
        <f>IF(GroDB[[#This Row],[Last_Order_Date]]&lt;=GroDB[[#This Row],[Date_Received]], "Yes", "No")</f>
        <v>Yes</v>
      </c>
      <c r="K524" s="43">
        <f>IF(GroDB[[#This Row],[Column1]]="No",GroDB[[#This Row],[Last_Order_Date]],GroDB[[#This Row],[Date_Received]])</f>
        <v>45619</v>
      </c>
      <c r="L524" s="43">
        <f>IF(GroDB[[#This Row],[Column1]]="No",GroDB[[#This Row],[Date_Received]],GroDB[[#This Row],[Last_Order_Date]])</f>
        <v>45585</v>
      </c>
      <c r="M524" s="45">
        <f>GroDB[[#This Row],[Date_Received1]]-GroDB[[#This Row],[Procurement_Date]]</f>
        <v>34</v>
      </c>
      <c r="N524" s="43">
        <v>45462</v>
      </c>
      <c r="O524" s="91">
        <f>GroDB[[#This Row],[Expiration_Date]]-GroDB[[#This Row],[Date_Received1]]</f>
        <v>-157</v>
      </c>
      <c r="P524" s="4">
        <v>6.4</v>
      </c>
      <c r="Q524" s="3">
        <v>96</v>
      </c>
      <c r="R524" s="3">
        <v>34</v>
      </c>
      <c r="S524" s="3">
        <v>57</v>
      </c>
      <c r="T524" s="4">
        <v>8</v>
      </c>
      <c r="U524" s="3">
        <v>71</v>
      </c>
      <c r="V524" s="51">
        <f>IF(GroDB[[#This Row],[LeadTime]]=0,GroDB[[#This Row],[Sales_Volume]],GroDB[[#This Row],[Sales_Volume]]/GroDB[[#This Row],[LeadTime]])</f>
        <v>2.0882352941176472</v>
      </c>
      <c r="W524" s="51">
        <f>_xlfn.STDEV.S(GroDB[Daily Sales])</f>
        <v>5.1999899792654221</v>
      </c>
      <c r="X524" s="3">
        <v>17</v>
      </c>
      <c r="Y524" s="7">
        <v>-1.62</v>
      </c>
      <c r="Z524" s="4">
        <f>GroDB[[#This Row],[Unit_Price]]*GroDB[[#This Row],[Sales_Volume]]</f>
        <v>568</v>
      </c>
      <c r="AA524" s="22">
        <f>GroDB[[#This Row],[ADU]]/GroDB[[#Totals],[ADU]]</f>
        <v>1.6498709992588936E-3</v>
      </c>
      <c r="AB524" s="1">
        <f>GroDB[[#This Row],[Sales_Volume]]*GroDB[[#This Row],[Ordering Cost]]</f>
        <v>454.40000000000003</v>
      </c>
    </row>
    <row r="525" spans="1:28" x14ac:dyDescent="0.35">
      <c r="A525" s="5" t="s">
        <v>1016</v>
      </c>
      <c r="B525" s="3" t="s">
        <v>25</v>
      </c>
      <c r="C525" s="3" t="s">
        <v>1540</v>
      </c>
      <c r="D525" s="3" t="s">
        <v>1981</v>
      </c>
      <c r="E525" s="3" t="s">
        <v>21</v>
      </c>
      <c r="F525" s="3" t="s">
        <v>1982</v>
      </c>
      <c r="G525" s="3" t="s">
        <v>1983</v>
      </c>
      <c r="H525" s="43">
        <v>45619</v>
      </c>
      <c r="I525" s="43">
        <v>45553</v>
      </c>
      <c r="J525" s="47" t="str">
        <f>IF(GroDB[[#This Row],[Last_Order_Date]]&lt;=GroDB[[#This Row],[Date_Received]], "Yes", "No")</f>
        <v>Yes</v>
      </c>
      <c r="K525" s="43">
        <f>IF(GroDB[[#This Row],[Column1]]="No",GroDB[[#This Row],[Last_Order_Date]],GroDB[[#This Row],[Date_Received]])</f>
        <v>45619</v>
      </c>
      <c r="L525" s="43">
        <f>IF(GroDB[[#This Row],[Column1]]="No",GroDB[[#This Row],[Date_Received]],GroDB[[#This Row],[Last_Order_Date]])</f>
        <v>45553</v>
      </c>
      <c r="M525" s="45">
        <f>GroDB[[#This Row],[Date_Received1]]-GroDB[[#This Row],[Procurement_Date]]</f>
        <v>66</v>
      </c>
      <c r="N525" s="43">
        <v>45664</v>
      </c>
      <c r="O525" s="91">
        <f>GroDB[[#This Row],[Expiration_Date]]-GroDB[[#This Row],[Date_Received1]]</f>
        <v>45</v>
      </c>
      <c r="P525" s="4">
        <v>2</v>
      </c>
      <c r="Q525" s="3">
        <v>26</v>
      </c>
      <c r="R525" s="3">
        <v>100</v>
      </c>
      <c r="S525" s="3">
        <v>13</v>
      </c>
      <c r="T525" s="4">
        <v>2.5</v>
      </c>
      <c r="U525" s="3">
        <v>45</v>
      </c>
      <c r="V525" s="51">
        <f>IF(GroDB[[#This Row],[LeadTime]]=0,GroDB[[#This Row],[Sales_Volume]],GroDB[[#This Row],[Sales_Volume]]/GroDB[[#This Row],[LeadTime]])</f>
        <v>0.68181818181818177</v>
      </c>
      <c r="W525" s="51">
        <f>_xlfn.STDEV.S(GroDB[Daily Sales])</f>
        <v>5.1999899792654221</v>
      </c>
      <c r="X525" s="3">
        <v>45</v>
      </c>
      <c r="Y525" s="7">
        <v>0.76</v>
      </c>
      <c r="Z525" s="4">
        <f>GroDB[[#This Row],[Unit_Price]]*GroDB[[#This Row],[Sales_Volume]]</f>
        <v>112.5</v>
      </c>
      <c r="AA525" s="22">
        <f>GroDB[[#This Row],[ADU]]/GroDB[[#Totals],[ADU]]</f>
        <v>3.2677902714194632E-4</v>
      </c>
      <c r="AB525" s="1">
        <f>GroDB[[#This Row],[Sales_Volume]]*GroDB[[#This Row],[Ordering Cost]]</f>
        <v>90</v>
      </c>
    </row>
    <row r="526" spans="1:28" x14ac:dyDescent="0.35">
      <c r="A526" s="5" t="s">
        <v>554</v>
      </c>
      <c r="B526" s="3" t="s">
        <v>53</v>
      </c>
      <c r="C526" s="3" t="s">
        <v>388</v>
      </c>
      <c r="D526" s="3" t="s">
        <v>1984</v>
      </c>
      <c r="E526" s="3" t="s">
        <v>28</v>
      </c>
      <c r="F526" s="3" t="s">
        <v>1985</v>
      </c>
      <c r="G526" s="3" t="s">
        <v>1986</v>
      </c>
      <c r="H526" s="43">
        <v>45619</v>
      </c>
      <c r="I526" s="43">
        <v>45515</v>
      </c>
      <c r="J526" s="47" t="str">
        <f>IF(GroDB[[#This Row],[Last_Order_Date]]&lt;=GroDB[[#This Row],[Date_Received]], "Yes", "No")</f>
        <v>Yes</v>
      </c>
      <c r="K526" s="43">
        <f>IF(GroDB[[#This Row],[Column1]]="No",GroDB[[#This Row],[Last_Order_Date]],GroDB[[#This Row],[Date_Received]])</f>
        <v>45619</v>
      </c>
      <c r="L526" s="43">
        <f>IF(GroDB[[#This Row],[Column1]]="No",GroDB[[#This Row],[Date_Received]],GroDB[[#This Row],[Last_Order_Date]])</f>
        <v>45515</v>
      </c>
      <c r="M526" s="45">
        <f>GroDB[[#This Row],[Date_Received1]]-GroDB[[#This Row],[Procurement_Date]]</f>
        <v>104</v>
      </c>
      <c r="N526" s="43">
        <v>45461</v>
      </c>
      <c r="O526" s="91">
        <f>GroDB[[#This Row],[Expiration_Date]]-GroDB[[#This Row],[Date_Received1]]</f>
        <v>-158</v>
      </c>
      <c r="P526" s="4">
        <v>2</v>
      </c>
      <c r="Q526" s="3">
        <v>51</v>
      </c>
      <c r="R526" s="3">
        <v>47</v>
      </c>
      <c r="S526" s="3">
        <v>6</v>
      </c>
      <c r="T526" s="4">
        <v>2.5</v>
      </c>
      <c r="U526" s="3">
        <v>53</v>
      </c>
      <c r="V526" s="51">
        <f>IF(GroDB[[#This Row],[LeadTime]]=0,GroDB[[#This Row],[Sales_Volume]],GroDB[[#This Row],[Sales_Volume]]/GroDB[[#This Row],[LeadTime]])</f>
        <v>0.50961538461538458</v>
      </c>
      <c r="W526" s="51">
        <f>_xlfn.STDEV.S(GroDB[Daily Sales])</f>
        <v>5.1999899792654221</v>
      </c>
      <c r="X526" s="3">
        <v>4</v>
      </c>
      <c r="Y526" s="7">
        <v>0</v>
      </c>
      <c r="Z526" s="4">
        <f>GroDB[[#This Row],[Unit_Price]]*GroDB[[#This Row],[Sales_Volume]]</f>
        <v>132.5</v>
      </c>
      <c r="AA526" s="22">
        <f>GroDB[[#This Row],[ADU]]/GroDB[[#Totals],[ADU]]</f>
        <v>3.8487307641162571E-4</v>
      </c>
      <c r="AB526" s="1">
        <f>GroDB[[#This Row],[Sales_Volume]]*GroDB[[#This Row],[Ordering Cost]]</f>
        <v>106</v>
      </c>
    </row>
    <row r="527" spans="1:28" x14ac:dyDescent="0.35">
      <c r="A527" s="5" t="s">
        <v>170</v>
      </c>
      <c r="B527" s="3" t="s">
        <v>53</v>
      </c>
      <c r="C527" s="3" t="s">
        <v>1987</v>
      </c>
      <c r="D527" s="3" t="s">
        <v>1988</v>
      </c>
      <c r="E527" s="3" t="s">
        <v>56</v>
      </c>
      <c r="F527" s="3" t="s">
        <v>1989</v>
      </c>
      <c r="G527" s="3" t="s">
        <v>1990</v>
      </c>
      <c r="H527" s="43">
        <v>45619</v>
      </c>
      <c r="I527" s="43">
        <v>45697</v>
      </c>
      <c r="J527" s="47" t="str">
        <f>IF(GroDB[[#This Row],[Last_Order_Date]]&lt;=GroDB[[#This Row],[Date_Received]], "Yes", "No")</f>
        <v>No</v>
      </c>
      <c r="K527" s="43">
        <f>IF(GroDB[[#This Row],[Column1]]="No",GroDB[[#This Row],[Last_Order_Date]],GroDB[[#This Row],[Date_Received]])</f>
        <v>45697</v>
      </c>
      <c r="L527" s="43">
        <f>IF(GroDB[[#This Row],[Column1]]="No",GroDB[[#This Row],[Date_Received]],GroDB[[#This Row],[Last_Order_Date]])</f>
        <v>45619</v>
      </c>
      <c r="M527" s="45">
        <f>GroDB[[#This Row],[Date_Received1]]-GroDB[[#This Row],[Procurement_Date]]</f>
        <v>78</v>
      </c>
      <c r="N527" s="43">
        <v>45469</v>
      </c>
      <c r="O527" s="91">
        <f>GroDB[[#This Row],[Expiration_Date]]-GroDB[[#This Row],[Date_Received1]]</f>
        <v>-228</v>
      </c>
      <c r="P527" s="4">
        <v>3.6</v>
      </c>
      <c r="Q527" s="3">
        <v>51</v>
      </c>
      <c r="R527" s="3">
        <v>19</v>
      </c>
      <c r="S527" s="3">
        <v>96</v>
      </c>
      <c r="T527" s="4">
        <v>4.5</v>
      </c>
      <c r="U527" s="3">
        <v>73</v>
      </c>
      <c r="V527" s="51">
        <f>IF(GroDB[[#This Row],[LeadTime]]=0,GroDB[[#This Row],[Sales_Volume]],GroDB[[#This Row],[Sales_Volume]]/GroDB[[#This Row],[LeadTime]])</f>
        <v>0.9358974358974359</v>
      </c>
      <c r="W527" s="51">
        <f>_xlfn.STDEV.S(GroDB[Daily Sales])</f>
        <v>5.1999899792654221</v>
      </c>
      <c r="X527" s="3">
        <v>42</v>
      </c>
      <c r="Y527" s="7">
        <v>0.92</v>
      </c>
      <c r="Z527" s="4">
        <f>GroDB[[#This Row],[Unit_Price]]*GroDB[[#This Row],[Sales_Volume]]</f>
        <v>328.5</v>
      </c>
      <c r="AA527" s="22">
        <f>GroDB[[#This Row],[ADU]]/GroDB[[#Totals],[ADU]]</f>
        <v>9.5419475925448329E-4</v>
      </c>
      <c r="AB527" s="1">
        <f>GroDB[[#This Row],[Sales_Volume]]*GroDB[[#This Row],[Ordering Cost]]</f>
        <v>262.8</v>
      </c>
    </row>
    <row r="528" spans="1:28" x14ac:dyDescent="0.35">
      <c r="A528" s="5" t="s">
        <v>116</v>
      </c>
      <c r="B528" s="3" t="s">
        <v>18</v>
      </c>
      <c r="C528" s="3" t="s">
        <v>1346</v>
      </c>
      <c r="D528" s="3" t="s">
        <v>1991</v>
      </c>
      <c r="E528" s="3" t="s">
        <v>28</v>
      </c>
      <c r="F528" s="3" t="s">
        <v>1992</v>
      </c>
      <c r="G528" s="3" t="s">
        <v>1993</v>
      </c>
      <c r="H528" s="43">
        <v>45620</v>
      </c>
      <c r="I528" s="43">
        <v>45413</v>
      </c>
      <c r="J528" s="47" t="str">
        <f>IF(GroDB[[#This Row],[Last_Order_Date]]&lt;=GroDB[[#This Row],[Date_Received]], "Yes", "No")</f>
        <v>Yes</v>
      </c>
      <c r="K528" s="43">
        <f>IF(GroDB[[#This Row],[Column1]]="No",GroDB[[#This Row],[Last_Order_Date]],GroDB[[#This Row],[Date_Received]])</f>
        <v>45620</v>
      </c>
      <c r="L528" s="43">
        <f>IF(GroDB[[#This Row],[Column1]]="No",GroDB[[#This Row],[Date_Received]],GroDB[[#This Row],[Last_Order_Date]])</f>
        <v>45413</v>
      </c>
      <c r="M528" s="45">
        <f>GroDB[[#This Row],[Date_Received1]]-GroDB[[#This Row],[Procurement_Date]]</f>
        <v>207</v>
      </c>
      <c r="N528" s="43">
        <v>45665</v>
      </c>
      <c r="O528" s="91">
        <f>GroDB[[#This Row],[Expiration_Date]]-GroDB[[#This Row],[Date_Received1]]</f>
        <v>45</v>
      </c>
      <c r="P528" s="4">
        <v>2.4000000000000004</v>
      </c>
      <c r="Q528" s="3">
        <v>39</v>
      </c>
      <c r="R528" s="3">
        <v>21</v>
      </c>
      <c r="S528" s="3">
        <v>5</v>
      </c>
      <c r="T528" s="4">
        <v>3</v>
      </c>
      <c r="U528" s="3">
        <v>51</v>
      </c>
      <c r="V528" s="51">
        <f>IF(GroDB[[#This Row],[LeadTime]]=0,GroDB[[#This Row],[Sales_Volume]],GroDB[[#This Row],[Sales_Volume]]/GroDB[[#This Row],[LeadTime]])</f>
        <v>0.24637681159420291</v>
      </c>
      <c r="W528" s="51">
        <f>_xlfn.STDEV.S(GroDB[Daily Sales])</f>
        <v>5.1999899792654221</v>
      </c>
      <c r="X528" s="3">
        <v>98</v>
      </c>
      <c r="Y528" s="7">
        <v>0.42</v>
      </c>
      <c r="Z528" s="4">
        <f>GroDB[[#This Row],[Unit_Price]]*GroDB[[#This Row],[Sales_Volume]]</f>
        <v>153</v>
      </c>
      <c r="AA528" s="22">
        <f>GroDB[[#This Row],[ADU]]/GroDB[[#Totals],[ADU]]</f>
        <v>4.4441947691304702E-4</v>
      </c>
      <c r="AB528" s="1">
        <f>GroDB[[#This Row],[Sales_Volume]]*GroDB[[#This Row],[Ordering Cost]]</f>
        <v>122.40000000000002</v>
      </c>
    </row>
    <row r="529" spans="1:28" x14ac:dyDescent="0.35">
      <c r="A529" s="5" t="s">
        <v>253</v>
      </c>
      <c r="B529" s="3" t="s">
        <v>18</v>
      </c>
      <c r="C529" s="3" t="s">
        <v>61</v>
      </c>
      <c r="D529" s="3" t="s">
        <v>1994</v>
      </c>
      <c r="E529" s="3" t="s">
        <v>56</v>
      </c>
      <c r="F529" s="3" t="s">
        <v>1995</v>
      </c>
      <c r="G529" s="3" t="s">
        <v>1996</v>
      </c>
      <c r="H529" s="43">
        <v>45620</v>
      </c>
      <c r="I529" s="43">
        <v>45623</v>
      </c>
      <c r="J529" s="47" t="str">
        <f>IF(GroDB[[#This Row],[Last_Order_Date]]&lt;=GroDB[[#This Row],[Date_Received]], "Yes", "No")</f>
        <v>No</v>
      </c>
      <c r="K529" s="43">
        <f>IF(GroDB[[#This Row],[Column1]]="No",GroDB[[#This Row],[Last_Order_Date]],GroDB[[#This Row],[Date_Received]])</f>
        <v>45623</v>
      </c>
      <c r="L529" s="43">
        <f>IF(GroDB[[#This Row],[Column1]]="No",GroDB[[#This Row],[Date_Received]],GroDB[[#This Row],[Last_Order_Date]])</f>
        <v>45620</v>
      </c>
      <c r="M529" s="45">
        <f>GroDB[[#This Row],[Date_Received1]]-GroDB[[#This Row],[Procurement_Date]]</f>
        <v>3</v>
      </c>
      <c r="N529" s="43">
        <v>45620</v>
      </c>
      <c r="O529" s="91">
        <f>GroDB[[#This Row],[Expiration_Date]]-GroDB[[#This Row],[Date_Received1]]</f>
        <v>-3</v>
      </c>
      <c r="P529" s="4">
        <v>4</v>
      </c>
      <c r="Q529" s="3">
        <v>90</v>
      </c>
      <c r="R529" s="3">
        <v>91</v>
      </c>
      <c r="S529" s="3">
        <v>62</v>
      </c>
      <c r="T529" s="4">
        <v>5</v>
      </c>
      <c r="U529" s="3">
        <v>34</v>
      </c>
      <c r="V529" s="51">
        <f>IF(GroDB[[#This Row],[LeadTime]]=0,GroDB[[#This Row],[Sales_Volume]],GroDB[[#This Row],[Sales_Volume]]/GroDB[[#This Row],[LeadTime]])</f>
        <v>11.333333333333334</v>
      </c>
      <c r="W529" s="51">
        <f>_xlfn.STDEV.S(GroDB[Daily Sales])</f>
        <v>5.1999899792654221</v>
      </c>
      <c r="X529" s="3">
        <v>72</v>
      </c>
      <c r="Y529" s="7">
        <v>-0.92</v>
      </c>
      <c r="Z529" s="4">
        <f>GroDB[[#This Row],[Unit_Price]]*GroDB[[#This Row],[Sales_Volume]]</f>
        <v>170</v>
      </c>
      <c r="AA529" s="22">
        <f>GroDB[[#This Row],[ADU]]/GroDB[[#Totals],[ADU]]</f>
        <v>4.9379941879227447E-4</v>
      </c>
      <c r="AB529" s="1">
        <f>GroDB[[#This Row],[Sales_Volume]]*GroDB[[#This Row],[Ordering Cost]]</f>
        <v>136</v>
      </c>
    </row>
    <row r="530" spans="1:28" x14ac:dyDescent="0.35">
      <c r="A530" s="5" t="s">
        <v>293</v>
      </c>
      <c r="B530" s="3" t="s">
        <v>18</v>
      </c>
      <c r="C530" s="3" t="s">
        <v>1997</v>
      </c>
      <c r="D530" s="3" t="s">
        <v>1998</v>
      </c>
      <c r="E530" s="3" t="s">
        <v>56</v>
      </c>
      <c r="F530" s="3" t="s">
        <v>1999</v>
      </c>
      <c r="G530" s="3" t="s">
        <v>2000</v>
      </c>
      <c r="H530" s="43">
        <v>45621</v>
      </c>
      <c r="I530" s="43">
        <v>45691</v>
      </c>
      <c r="J530" s="47" t="str">
        <f>IF(GroDB[[#This Row],[Last_Order_Date]]&lt;=GroDB[[#This Row],[Date_Received]], "Yes", "No")</f>
        <v>No</v>
      </c>
      <c r="K530" s="43">
        <f>IF(GroDB[[#This Row],[Column1]]="No",GroDB[[#This Row],[Last_Order_Date]],GroDB[[#This Row],[Date_Received]])</f>
        <v>45691</v>
      </c>
      <c r="L530" s="43">
        <f>IF(GroDB[[#This Row],[Column1]]="No",GroDB[[#This Row],[Date_Received]],GroDB[[#This Row],[Last_Order_Date]])</f>
        <v>45621</v>
      </c>
      <c r="M530" s="45">
        <f>GroDB[[#This Row],[Date_Received1]]-GroDB[[#This Row],[Procurement_Date]]</f>
        <v>70</v>
      </c>
      <c r="N530" s="43">
        <v>45610</v>
      </c>
      <c r="O530" s="91">
        <f>GroDB[[#This Row],[Expiration_Date]]-GroDB[[#This Row],[Date_Received1]]</f>
        <v>-81</v>
      </c>
      <c r="P530" s="4">
        <v>1.6</v>
      </c>
      <c r="Q530" s="3">
        <v>35</v>
      </c>
      <c r="R530" s="3">
        <v>92</v>
      </c>
      <c r="S530" s="3">
        <v>74</v>
      </c>
      <c r="T530" s="4">
        <v>2</v>
      </c>
      <c r="U530" s="3">
        <v>76</v>
      </c>
      <c r="V530" s="51">
        <f>IF(GroDB[[#This Row],[LeadTime]]=0,GroDB[[#This Row],[Sales_Volume]],GroDB[[#This Row],[Sales_Volume]]/GroDB[[#This Row],[LeadTime]])</f>
        <v>1.0857142857142856</v>
      </c>
      <c r="W530" s="51">
        <f>_xlfn.STDEV.S(GroDB[Daily Sales])</f>
        <v>5.1999899792654221</v>
      </c>
      <c r="X530" s="3">
        <v>32</v>
      </c>
      <c r="Y530" s="7">
        <v>-1.1200000000000001</v>
      </c>
      <c r="Z530" s="4">
        <f>GroDB[[#This Row],[Unit_Price]]*GroDB[[#This Row],[Sales_Volume]]</f>
        <v>152</v>
      </c>
      <c r="AA530" s="22">
        <f>GroDB[[#This Row],[ADU]]/GroDB[[#Totals],[ADU]]</f>
        <v>4.4151477444956307E-4</v>
      </c>
      <c r="AB530" s="1">
        <f>GroDB[[#This Row],[Sales_Volume]]*GroDB[[#This Row],[Ordering Cost]]</f>
        <v>121.60000000000001</v>
      </c>
    </row>
    <row r="531" spans="1:28" x14ac:dyDescent="0.35">
      <c r="A531" s="5" t="s">
        <v>1081</v>
      </c>
      <c r="B531" s="3" t="s">
        <v>127</v>
      </c>
      <c r="C531" s="3" t="s">
        <v>2001</v>
      </c>
      <c r="D531" s="3" t="s">
        <v>2002</v>
      </c>
      <c r="E531" s="3" t="s">
        <v>28</v>
      </c>
      <c r="F531" s="3" t="s">
        <v>2003</v>
      </c>
      <c r="G531" s="3" t="s">
        <v>2004</v>
      </c>
      <c r="H531" s="43">
        <v>45621</v>
      </c>
      <c r="I531" s="43">
        <v>45687</v>
      </c>
      <c r="J531" s="47" t="str">
        <f>IF(GroDB[[#This Row],[Last_Order_Date]]&lt;=GroDB[[#This Row],[Date_Received]], "Yes", "No")</f>
        <v>No</v>
      </c>
      <c r="K531" s="43">
        <f>IF(GroDB[[#This Row],[Column1]]="No",GroDB[[#This Row],[Last_Order_Date]],GroDB[[#This Row],[Date_Received]])</f>
        <v>45687</v>
      </c>
      <c r="L531" s="43">
        <f>IF(GroDB[[#This Row],[Column1]]="No",GroDB[[#This Row],[Date_Received]],GroDB[[#This Row],[Last_Order_Date]])</f>
        <v>45621</v>
      </c>
      <c r="M531" s="45">
        <f>GroDB[[#This Row],[Date_Received1]]-GroDB[[#This Row],[Procurement_Date]]</f>
        <v>66</v>
      </c>
      <c r="N531" s="43">
        <v>45427</v>
      </c>
      <c r="O531" s="91">
        <f>GroDB[[#This Row],[Expiration_Date]]-GroDB[[#This Row],[Date_Received1]]</f>
        <v>-260</v>
      </c>
      <c r="P531" s="4">
        <v>6.4</v>
      </c>
      <c r="Q531" s="3">
        <v>39</v>
      </c>
      <c r="R531" s="3">
        <v>88</v>
      </c>
      <c r="S531" s="3">
        <v>100</v>
      </c>
      <c r="T531" s="4">
        <v>8</v>
      </c>
      <c r="U531" s="3">
        <v>28</v>
      </c>
      <c r="V531" s="51">
        <f>IF(GroDB[[#This Row],[LeadTime]]=0,GroDB[[#This Row],[Sales_Volume]],GroDB[[#This Row],[Sales_Volume]]/GroDB[[#This Row],[LeadTime]])</f>
        <v>0.42424242424242425</v>
      </c>
      <c r="W531" s="51">
        <f>_xlfn.STDEV.S(GroDB[Daily Sales])</f>
        <v>5.1999899792654221</v>
      </c>
      <c r="X531" s="3">
        <v>18</v>
      </c>
      <c r="Y531" s="7">
        <v>0.57999999999999996</v>
      </c>
      <c r="Z531" s="4">
        <f>GroDB[[#This Row],[Unit_Price]]*GroDB[[#This Row],[Sales_Volume]]</f>
        <v>224</v>
      </c>
      <c r="AA531" s="22">
        <f>GroDB[[#This Row],[ADU]]/GroDB[[#Totals],[ADU]]</f>
        <v>6.506533518204087E-4</v>
      </c>
      <c r="AB531" s="1">
        <f>GroDB[[#This Row],[Sales_Volume]]*GroDB[[#This Row],[Ordering Cost]]</f>
        <v>179.20000000000002</v>
      </c>
    </row>
    <row r="532" spans="1:28" x14ac:dyDescent="0.35">
      <c r="A532" s="5" t="s">
        <v>416</v>
      </c>
      <c r="B532" s="3" t="s">
        <v>53</v>
      </c>
      <c r="C532" s="3" t="s">
        <v>199</v>
      </c>
      <c r="D532" s="3" t="s">
        <v>2005</v>
      </c>
      <c r="E532" s="3" t="s">
        <v>56</v>
      </c>
      <c r="F532" s="3" t="s">
        <v>2006</v>
      </c>
      <c r="G532" s="3" t="s">
        <v>2007</v>
      </c>
      <c r="H532" s="43">
        <v>45621</v>
      </c>
      <c r="I532" s="43">
        <v>45524</v>
      </c>
      <c r="J532" s="47" t="str">
        <f>IF(GroDB[[#This Row],[Last_Order_Date]]&lt;=GroDB[[#This Row],[Date_Received]], "Yes", "No")</f>
        <v>Yes</v>
      </c>
      <c r="K532" s="43">
        <f>IF(GroDB[[#This Row],[Column1]]="No",GroDB[[#This Row],[Last_Order_Date]],GroDB[[#This Row],[Date_Received]])</f>
        <v>45621</v>
      </c>
      <c r="L532" s="43">
        <f>IF(GroDB[[#This Row],[Column1]]="No",GroDB[[#This Row],[Date_Received]],GroDB[[#This Row],[Last_Order_Date]])</f>
        <v>45524</v>
      </c>
      <c r="M532" s="45">
        <f>GroDB[[#This Row],[Date_Received1]]-GroDB[[#This Row],[Procurement_Date]]</f>
        <v>97</v>
      </c>
      <c r="N532" s="43">
        <v>45506</v>
      </c>
      <c r="O532" s="91">
        <f>GroDB[[#This Row],[Expiration_Date]]-GroDB[[#This Row],[Date_Received1]]</f>
        <v>-115</v>
      </c>
      <c r="P532" s="4">
        <v>2.4000000000000004</v>
      </c>
      <c r="Q532" s="3">
        <v>64</v>
      </c>
      <c r="R532" s="3">
        <v>97</v>
      </c>
      <c r="S532" s="3">
        <v>91</v>
      </c>
      <c r="T532" s="4">
        <v>3</v>
      </c>
      <c r="U532" s="3">
        <v>48</v>
      </c>
      <c r="V532" s="51">
        <f>IF(GroDB[[#This Row],[LeadTime]]=0,GroDB[[#This Row],[Sales_Volume]],GroDB[[#This Row],[Sales_Volume]]/GroDB[[#This Row],[LeadTime]])</f>
        <v>0.49484536082474229</v>
      </c>
      <c r="W532" s="51">
        <f>_xlfn.STDEV.S(GroDB[Daily Sales])</f>
        <v>5.1999899792654221</v>
      </c>
      <c r="X532" s="3">
        <v>100</v>
      </c>
      <c r="Y532" s="7">
        <v>0.36</v>
      </c>
      <c r="Z532" s="4">
        <f>GroDB[[#This Row],[Unit_Price]]*GroDB[[#This Row],[Sales_Volume]]</f>
        <v>144</v>
      </c>
      <c r="AA532" s="22">
        <f>GroDB[[#This Row],[ADU]]/GroDB[[#Totals],[ADU]]</f>
        <v>4.182771547416913E-4</v>
      </c>
      <c r="AB532" s="1">
        <f>GroDB[[#This Row],[Sales_Volume]]*GroDB[[#This Row],[Ordering Cost]]</f>
        <v>115.20000000000002</v>
      </c>
    </row>
    <row r="533" spans="1:28" x14ac:dyDescent="0.35">
      <c r="A533" s="5" t="s">
        <v>333</v>
      </c>
      <c r="B533" s="3" t="s">
        <v>53</v>
      </c>
      <c r="C533" s="3" t="s">
        <v>2008</v>
      </c>
      <c r="D533" s="3" t="s">
        <v>2009</v>
      </c>
      <c r="E533" s="3" t="s">
        <v>56</v>
      </c>
      <c r="F533" s="3" t="s">
        <v>2010</v>
      </c>
      <c r="G533" s="3" t="s">
        <v>2011</v>
      </c>
      <c r="H533" s="43">
        <v>45621</v>
      </c>
      <c r="I533" s="43">
        <v>45396</v>
      </c>
      <c r="J533" s="47" t="str">
        <f>IF(GroDB[[#This Row],[Last_Order_Date]]&lt;=GroDB[[#This Row],[Date_Received]], "Yes", "No")</f>
        <v>Yes</v>
      </c>
      <c r="K533" s="43">
        <f>IF(GroDB[[#This Row],[Column1]]="No",GroDB[[#This Row],[Last_Order_Date]],GroDB[[#This Row],[Date_Received]])</f>
        <v>45621</v>
      </c>
      <c r="L533" s="43">
        <f>IF(GroDB[[#This Row],[Column1]]="No",GroDB[[#This Row],[Date_Received]],GroDB[[#This Row],[Last_Order_Date]])</f>
        <v>45396</v>
      </c>
      <c r="M533" s="45">
        <f>GroDB[[#This Row],[Date_Received1]]-GroDB[[#This Row],[Procurement_Date]]</f>
        <v>225</v>
      </c>
      <c r="N533" s="43">
        <v>45514</v>
      </c>
      <c r="O533" s="91">
        <f>GroDB[[#This Row],[Expiration_Date]]-GroDB[[#This Row],[Date_Received1]]</f>
        <v>-107</v>
      </c>
      <c r="P533" s="4">
        <v>8</v>
      </c>
      <c r="Q533" s="3">
        <v>98</v>
      </c>
      <c r="R533" s="3">
        <v>30</v>
      </c>
      <c r="S533" s="3">
        <v>39</v>
      </c>
      <c r="T533" s="4">
        <v>10</v>
      </c>
      <c r="U533" s="3">
        <v>31</v>
      </c>
      <c r="V533" s="51">
        <f>IF(GroDB[[#This Row],[LeadTime]]=0,GroDB[[#This Row],[Sales_Volume]],GroDB[[#This Row],[Sales_Volume]]/GroDB[[#This Row],[LeadTime]])</f>
        <v>0.13777777777777778</v>
      </c>
      <c r="W533" s="51">
        <f>_xlfn.STDEV.S(GroDB[Daily Sales])</f>
        <v>5.1999899792654221</v>
      </c>
      <c r="X533" s="3">
        <v>26</v>
      </c>
      <c r="Y533" s="7">
        <v>-1.08</v>
      </c>
      <c r="Z533" s="4">
        <f>GroDB[[#This Row],[Unit_Price]]*GroDB[[#This Row],[Sales_Volume]]</f>
        <v>310</v>
      </c>
      <c r="AA533" s="22">
        <f>GroDB[[#This Row],[ADU]]/GroDB[[#Totals],[ADU]]</f>
        <v>9.0045776368002993E-4</v>
      </c>
      <c r="AB533" s="1">
        <f>GroDB[[#This Row],[Sales_Volume]]*GroDB[[#This Row],[Ordering Cost]]</f>
        <v>248</v>
      </c>
    </row>
    <row r="534" spans="1:28" x14ac:dyDescent="0.35">
      <c r="A534" s="5" t="s">
        <v>170</v>
      </c>
      <c r="B534" s="3" t="s">
        <v>53</v>
      </c>
      <c r="C534" s="3" t="s">
        <v>1328</v>
      </c>
      <c r="D534" s="3" t="s">
        <v>2012</v>
      </c>
      <c r="E534" s="3" t="s">
        <v>56</v>
      </c>
      <c r="F534" s="3" t="s">
        <v>2013</v>
      </c>
      <c r="G534" s="3" t="s">
        <v>2014</v>
      </c>
      <c r="H534" s="43">
        <v>45622</v>
      </c>
      <c r="I534" s="43">
        <v>45541</v>
      </c>
      <c r="J534" s="47" t="str">
        <f>IF(GroDB[[#This Row],[Last_Order_Date]]&lt;=GroDB[[#This Row],[Date_Received]], "Yes", "No")</f>
        <v>Yes</v>
      </c>
      <c r="K534" s="43">
        <f>IF(GroDB[[#This Row],[Column1]]="No",GroDB[[#This Row],[Last_Order_Date]],GroDB[[#This Row],[Date_Received]])</f>
        <v>45622</v>
      </c>
      <c r="L534" s="43">
        <f>IF(GroDB[[#This Row],[Column1]]="No",GroDB[[#This Row],[Date_Received]],GroDB[[#This Row],[Last_Order_Date]])</f>
        <v>45541</v>
      </c>
      <c r="M534" s="45">
        <f>GroDB[[#This Row],[Date_Received1]]-GroDB[[#This Row],[Procurement_Date]]</f>
        <v>81</v>
      </c>
      <c r="N534" s="43">
        <v>45556</v>
      </c>
      <c r="O534" s="91">
        <f>GroDB[[#This Row],[Expiration_Date]]-GroDB[[#This Row],[Date_Received1]]</f>
        <v>-66</v>
      </c>
      <c r="P534" s="4">
        <v>3.6</v>
      </c>
      <c r="Q534" s="3">
        <v>95</v>
      </c>
      <c r="R534" s="3">
        <v>93</v>
      </c>
      <c r="S534" s="3">
        <v>16</v>
      </c>
      <c r="T534" s="4">
        <v>4.5</v>
      </c>
      <c r="U534" s="3">
        <v>60</v>
      </c>
      <c r="V534" s="51">
        <f>IF(GroDB[[#This Row],[LeadTime]]=0,GroDB[[#This Row],[Sales_Volume]],GroDB[[#This Row],[Sales_Volume]]/GroDB[[#This Row],[LeadTime]])</f>
        <v>0.7407407407407407</v>
      </c>
      <c r="W534" s="51">
        <f>_xlfn.STDEV.S(GroDB[Daily Sales])</f>
        <v>5.1999899792654221</v>
      </c>
      <c r="X534" s="3">
        <v>19</v>
      </c>
      <c r="Y534" s="7">
        <v>0.16</v>
      </c>
      <c r="Z534" s="4">
        <f>GroDB[[#This Row],[Unit_Price]]*GroDB[[#This Row],[Sales_Volume]]</f>
        <v>270</v>
      </c>
      <c r="AA534" s="22">
        <f>GroDB[[#This Row],[ADU]]/GroDB[[#Totals],[ADU]]</f>
        <v>7.8426966514067126E-4</v>
      </c>
      <c r="AB534" s="1">
        <f>GroDB[[#This Row],[Sales_Volume]]*GroDB[[#This Row],[Ordering Cost]]</f>
        <v>216</v>
      </c>
    </row>
    <row r="535" spans="1:28" x14ac:dyDescent="0.35">
      <c r="A535" s="5" t="s">
        <v>24</v>
      </c>
      <c r="B535" s="3" t="s">
        <v>25</v>
      </c>
      <c r="C535" s="3" t="s">
        <v>670</v>
      </c>
      <c r="D535" s="3" t="s">
        <v>2015</v>
      </c>
      <c r="E535" s="3" t="s">
        <v>21</v>
      </c>
      <c r="F535" s="3" t="s">
        <v>2016</v>
      </c>
      <c r="G535" s="3" t="s">
        <v>2017</v>
      </c>
      <c r="H535" s="43">
        <v>45622</v>
      </c>
      <c r="I535" s="43">
        <v>45545</v>
      </c>
      <c r="J535" s="47" t="str">
        <f>IF(GroDB[[#This Row],[Last_Order_Date]]&lt;=GroDB[[#This Row],[Date_Received]], "Yes", "No")</f>
        <v>Yes</v>
      </c>
      <c r="K535" s="43">
        <f>IF(GroDB[[#This Row],[Column1]]="No",GroDB[[#This Row],[Last_Order_Date]],GroDB[[#This Row],[Date_Received]])</f>
        <v>45622</v>
      </c>
      <c r="L535" s="43">
        <f>IF(GroDB[[#This Row],[Column1]]="No",GroDB[[#This Row],[Date_Received]],GroDB[[#This Row],[Last_Order_Date]])</f>
        <v>45545</v>
      </c>
      <c r="M535" s="45">
        <f>GroDB[[#This Row],[Date_Received1]]-GroDB[[#This Row],[Procurement_Date]]</f>
        <v>77</v>
      </c>
      <c r="N535" s="43">
        <v>45507</v>
      </c>
      <c r="O535" s="91">
        <f>GroDB[[#This Row],[Expiration_Date]]-GroDB[[#This Row],[Date_Received1]]</f>
        <v>-115</v>
      </c>
      <c r="P535" s="4">
        <v>1.6</v>
      </c>
      <c r="Q535" s="3">
        <v>70</v>
      </c>
      <c r="R535" s="3">
        <v>96</v>
      </c>
      <c r="S535" s="3">
        <v>21</v>
      </c>
      <c r="T535" s="4">
        <v>2</v>
      </c>
      <c r="U535" s="3">
        <v>100</v>
      </c>
      <c r="V535" s="51">
        <f>IF(GroDB[[#This Row],[LeadTime]]=0,GroDB[[#This Row],[Sales_Volume]],GroDB[[#This Row],[Sales_Volume]]/GroDB[[#This Row],[LeadTime]])</f>
        <v>1.2987012987012987</v>
      </c>
      <c r="W535" s="51">
        <f>_xlfn.STDEV.S(GroDB[Daily Sales])</f>
        <v>5.1999899792654221</v>
      </c>
      <c r="X535" s="3">
        <v>15</v>
      </c>
      <c r="Y535" s="7">
        <v>0.68</v>
      </c>
      <c r="Z535" s="4">
        <f>GroDB[[#This Row],[Unit_Price]]*GroDB[[#This Row],[Sales_Volume]]</f>
        <v>200</v>
      </c>
      <c r="AA535" s="22">
        <f>GroDB[[#This Row],[ADU]]/GroDB[[#Totals],[ADU]]</f>
        <v>5.8094049269679347E-4</v>
      </c>
      <c r="AB535" s="1">
        <f>GroDB[[#This Row],[Sales_Volume]]*GroDB[[#This Row],[Ordering Cost]]</f>
        <v>160</v>
      </c>
    </row>
    <row r="536" spans="1:28" x14ac:dyDescent="0.35">
      <c r="A536" s="5" t="s">
        <v>1278</v>
      </c>
      <c r="B536" s="3" t="s">
        <v>18</v>
      </c>
      <c r="C536" s="3" t="s">
        <v>518</v>
      </c>
      <c r="D536" s="3" t="s">
        <v>2018</v>
      </c>
      <c r="E536" s="3" t="s">
        <v>56</v>
      </c>
      <c r="F536" s="3" t="s">
        <v>2019</v>
      </c>
      <c r="G536" s="3" t="s">
        <v>2020</v>
      </c>
      <c r="H536" s="43">
        <v>45622</v>
      </c>
      <c r="I536" s="43">
        <v>45639</v>
      </c>
      <c r="J536" s="47" t="str">
        <f>IF(GroDB[[#This Row],[Last_Order_Date]]&lt;=GroDB[[#This Row],[Date_Received]], "Yes", "No")</f>
        <v>No</v>
      </c>
      <c r="K536" s="43">
        <f>IF(GroDB[[#This Row],[Column1]]="No",GroDB[[#This Row],[Last_Order_Date]],GroDB[[#This Row],[Date_Received]])</f>
        <v>45639</v>
      </c>
      <c r="L536" s="43">
        <f>IF(GroDB[[#This Row],[Column1]]="No",GroDB[[#This Row],[Date_Received]],GroDB[[#This Row],[Last_Order_Date]])</f>
        <v>45622</v>
      </c>
      <c r="M536" s="45">
        <f>GroDB[[#This Row],[Date_Received1]]-GroDB[[#This Row],[Procurement_Date]]</f>
        <v>17</v>
      </c>
      <c r="N536" s="43">
        <v>45627</v>
      </c>
      <c r="O536" s="91">
        <f>GroDB[[#This Row],[Expiration_Date]]-GroDB[[#This Row],[Date_Received1]]</f>
        <v>-12</v>
      </c>
      <c r="P536" s="4">
        <v>3.6</v>
      </c>
      <c r="Q536" s="3">
        <v>20</v>
      </c>
      <c r="R536" s="3">
        <v>91</v>
      </c>
      <c r="S536" s="3">
        <v>12</v>
      </c>
      <c r="T536" s="4">
        <v>4.5</v>
      </c>
      <c r="U536" s="3">
        <v>35</v>
      </c>
      <c r="V536" s="51">
        <f>IF(GroDB[[#This Row],[LeadTime]]=0,GroDB[[#This Row],[Sales_Volume]],GroDB[[#This Row],[Sales_Volume]]/GroDB[[#This Row],[LeadTime]])</f>
        <v>2.0588235294117645</v>
      </c>
      <c r="W536" s="51">
        <f>_xlfn.STDEV.S(GroDB[Daily Sales])</f>
        <v>5.1999899792654221</v>
      </c>
      <c r="X536" s="3">
        <v>50</v>
      </c>
      <c r="Y536" s="7">
        <v>0.85</v>
      </c>
      <c r="Z536" s="4">
        <f>GroDB[[#This Row],[Unit_Price]]*GroDB[[#This Row],[Sales_Volume]]</f>
        <v>157.5</v>
      </c>
      <c r="AA536" s="22">
        <f>GroDB[[#This Row],[ADU]]/GroDB[[#Totals],[ADU]]</f>
        <v>4.5749063799872488E-4</v>
      </c>
      <c r="AB536" s="1">
        <f>GroDB[[#This Row],[Sales_Volume]]*GroDB[[#This Row],[Ordering Cost]]</f>
        <v>126</v>
      </c>
    </row>
    <row r="537" spans="1:28" x14ac:dyDescent="0.35">
      <c r="A537" s="5" t="s">
        <v>276</v>
      </c>
      <c r="B537" s="3" t="s">
        <v>18</v>
      </c>
      <c r="C537" s="3" t="s">
        <v>641</v>
      </c>
      <c r="D537" s="3" t="s">
        <v>2021</v>
      </c>
      <c r="E537" s="3" t="s">
        <v>21</v>
      </c>
      <c r="F537" s="3" t="s">
        <v>2022</v>
      </c>
      <c r="G537" s="3" t="s">
        <v>2023</v>
      </c>
      <c r="H537" s="43">
        <v>45622</v>
      </c>
      <c r="I537" s="43">
        <v>45509</v>
      </c>
      <c r="J537" s="47" t="str">
        <f>IF(GroDB[[#This Row],[Last_Order_Date]]&lt;=GroDB[[#This Row],[Date_Received]], "Yes", "No")</f>
        <v>Yes</v>
      </c>
      <c r="K537" s="43">
        <f>IF(GroDB[[#This Row],[Column1]]="No",GroDB[[#This Row],[Last_Order_Date]],GroDB[[#This Row],[Date_Received]])</f>
        <v>45622</v>
      </c>
      <c r="L537" s="43">
        <f>IF(GroDB[[#This Row],[Column1]]="No",GroDB[[#This Row],[Date_Received]],GroDB[[#This Row],[Last_Order_Date]])</f>
        <v>45509</v>
      </c>
      <c r="M537" s="45">
        <f>GroDB[[#This Row],[Date_Received1]]-GroDB[[#This Row],[Procurement_Date]]</f>
        <v>113</v>
      </c>
      <c r="N537" s="43">
        <v>45469</v>
      </c>
      <c r="O537" s="91">
        <f>GroDB[[#This Row],[Expiration_Date]]-GroDB[[#This Row],[Date_Received1]]</f>
        <v>-153</v>
      </c>
      <c r="P537" s="4">
        <v>2.8000000000000003</v>
      </c>
      <c r="Q537" s="3">
        <v>18</v>
      </c>
      <c r="R537" s="3">
        <v>7</v>
      </c>
      <c r="S537" s="3">
        <v>58</v>
      </c>
      <c r="T537" s="4">
        <v>3.5</v>
      </c>
      <c r="U537" s="3">
        <v>88</v>
      </c>
      <c r="V537" s="51">
        <f>IF(GroDB[[#This Row],[LeadTime]]=0,GroDB[[#This Row],[Sales_Volume]],GroDB[[#This Row],[Sales_Volume]]/GroDB[[#This Row],[LeadTime]])</f>
        <v>0.77876106194690264</v>
      </c>
      <c r="W537" s="51">
        <f>_xlfn.STDEV.S(GroDB[Daily Sales])</f>
        <v>5.1999899792654221</v>
      </c>
      <c r="X537" s="3">
        <v>96</v>
      </c>
      <c r="Y537" s="7">
        <v>-0.43</v>
      </c>
      <c r="Z537" s="4">
        <f>GroDB[[#This Row],[Unit_Price]]*GroDB[[#This Row],[Sales_Volume]]</f>
        <v>308</v>
      </c>
      <c r="AA537" s="22">
        <f>GroDB[[#This Row],[ADU]]/GroDB[[#Totals],[ADU]]</f>
        <v>8.9464835875306204E-4</v>
      </c>
      <c r="AB537" s="1">
        <f>GroDB[[#This Row],[Sales_Volume]]*GroDB[[#This Row],[Ordering Cost]]</f>
        <v>246.40000000000003</v>
      </c>
    </row>
    <row r="538" spans="1:28" x14ac:dyDescent="0.35">
      <c r="A538" s="5" t="s">
        <v>592</v>
      </c>
      <c r="B538" s="3" t="s">
        <v>25</v>
      </c>
      <c r="C538" s="3" t="s">
        <v>1143</v>
      </c>
      <c r="D538" s="3" t="s">
        <v>2024</v>
      </c>
      <c r="E538" s="3" t="s">
        <v>21</v>
      </c>
      <c r="F538" s="3" t="s">
        <v>2025</v>
      </c>
      <c r="G538" s="3" t="s">
        <v>2026</v>
      </c>
      <c r="H538" s="43">
        <v>45622</v>
      </c>
      <c r="I538" s="43">
        <v>45519</v>
      </c>
      <c r="J538" s="47" t="str">
        <f>IF(GroDB[[#This Row],[Last_Order_Date]]&lt;=GroDB[[#This Row],[Date_Received]], "Yes", "No")</f>
        <v>Yes</v>
      </c>
      <c r="K538" s="43">
        <f>IF(GroDB[[#This Row],[Column1]]="No",GroDB[[#This Row],[Last_Order_Date]],GroDB[[#This Row],[Date_Received]])</f>
        <v>45622</v>
      </c>
      <c r="L538" s="43">
        <f>IF(GroDB[[#This Row],[Column1]]="No",GroDB[[#This Row],[Date_Received]],GroDB[[#This Row],[Last_Order_Date]])</f>
        <v>45519</v>
      </c>
      <c r="M538" s="45">
        <f>GroDB[[#This Row],[Date_Received1]]-GroDB[[#This Row],[Procurement_Date]]</f>
        <v>103</v>
      </c>
      <c r="N538" s="43">
        <v>45390</v>
      </c>
      <c r="O538" s="91">
        <f>GroDB[[#This Row],[Expiration_Date]]-GroDB[[#This Row],[Date_Received1]]</f>
        <v>-232</v>
      </c>
      <c r="P538" s="4">
        <v>4</v>
      </c>
      <c r="Q538" s="3">
        <v>54</v>
      </c>
      <c r="R538" s="3">
        <v>86</v>
      </c>
      <c r="S538" s="3">
        <v>69</v>
      </c>
      <c r="T538" s="4">
        <v>5</v>
      </c>
      <c r="U538" s="3">
        <v>29</v>
      </c>
      <c r="V538" s="51">
        <f>IF(GroDB[[#This Row],[LeadTime]]=0,GroDB[[#This Row],[Sales_Volume]],GroDB[[#This Row],[Sales_Volume]]/GroDB[[#This Row],[LeadTime]])</f>
        <v>0.28155339805825241</v>
      </c>
      <c r="W538" s="51">
        <f>_xlfn.STDEV.S(GroDB[Daily Sales])</f>
        <v>5.1999899792654221</v>
      </c>
      <c r="X538" s="3">
        <v>8</v>
      </c>
      <c r="Y538" s="7">
        <v>-0.09</v>
      </c>
      <c r="Z538" s="4">
        <f>GroDB[[#This Row],[Unit_Price]]*GroDB[[#This Row],[Sales_Volume]]</f>
        <v>145</v>
      </c>
      <c r="AA538" s="22">
        <f>GroDB[[#This Row],[ADU]]/GroDB[[#Totals],[ADU]]</f>
        <v>4.211818572051753E-4</v>
      </c>
      <c r="AB538" s="1">
        <f>GroDB[[#This Row],[Sales_Volume]]*GroDB[[#This Row],[Ordering Cost]]</f>
        <v>116</v>
      </c>
    </row>
    <row r="539" spans="1:28" x14ac:dyDescent="0.35">
      <c r="A539" s="5" t="s">
        <v>1278</v>
      </c>
      <c r="B539" s="3" t="s">
        <v>18</v>
      </c>
      <c r="C539" s="3" t="s">
        <v>496</v>
      </c>
      <c r="D539" s="3" t="s">
        <v>2027</v>
      </c>
      <c r="E539" s="3" t="s">
        <v>21</v>
      </c>
      <c r="F539" s="3" t="s">
        <v>2028</v>
      </c>
      <c r="G539" s="3" t="s">
        <v>2029</v>
      </c>
      <c r="H539" s="43">
        <v>45622</v>
      </c>
      <c r="I539" s="43">
        <v>45352</v>
      </c>
      <c r="J539" s="47" t="str">
        <f>IF(GroDB[[#This Row],[Last_Order_Date]]&lt;=GroDB[[#This Row],[Date_Received]], "Yes", "No")</f>
        <v>Yes</v>
      </c>
      <c r="K539" s="43">
        <f>IF(GroDB[[#This Row],[Column1]]="No",GroDB[[#This Row],[Last_Order_Date]],GroDB[[#This Row],[Date_Received]])</f>
        <v>45622</v>
      </c>
      <c r="L539" s="43">
        <f>IF(GroDB[[#This Row],[Column1]]="No",GroDB[[#This Row],[Date_Received]],GroDB[[#This Row],[Last_Order_Date]])</f>
        <v>45352</v>
      </c>
      <c r="M539" s="45">
        <f>GroDB[[#This Row],[Date_Received1]]-GroDB[[#This Row],[Procurement_Date]]</f>
        <v>270</v>
      </c>
      <c r="N539" s="43">
        <v>45531</v>
      </c>
      <c r="O539" s="91">
        <f>GroDB[[#This Row],[Expiration_Date]]-GroDB[[#This Row],[Date_Received1]]</f>
        <v>-91</v>
      </c>
      <c r="P539" s="4">
        <v>3.6</v>
      </c>
      <c r="Q539" s="3">
        <v>19</v>
      </c>
      <c r="R539" s="3">
        <v>28</v>
      </c>
      <c r="S539" s="3">
        <v>83</v>
      </c>
      <c r="T539" s="4">
        <v>4.5</v>
      </c>
      <c r="U539" s="3">
        <v>91</v>
      </c>
      <c r="V539" s="51">
        <f>IF(GroDB[[#This Row],[LeadTime]]=0,GroDB[[#This Row],[Sales_Volume]],GroDB[[#This Row],[Sales_Volume]]/GroDB[[#This Row],[LeadTime]])</f>
        <v>0.33703703703703702</v>
      </c>
      <c r="W539" s="51">
        <f>_xlfn.STDEV.S(GroDB[Daily Sales])</f>
        <v>5.1999899792654221</v>
      </c>
      <c r="X539" s="3">
        <v>73</v>
      </c>
      <c r="Y539" s="7">
        <v>0.72</v>
      </c>
      <c r="Z539" s="4">
        <f>GroDB[[#This Row],[Unit_Price]]*GroDB[[#This Row],[Sales_Volume]]</f>
        <v>409.5</v>
      </c>
      <c r="AA539" s="22">
        <f>GroDB[[#This Row],[ADU]]/GroDB[[#Totals],[ADU]]</f>
        <v>1.1894756587966847E-3</v>
      </c>
      <c r="AB539" s="1">
        <f>GroDB[[#This Row],[Sales_Volume]]*GroDB[[#This Row],[Ordering Cost]]</f>
        <v>327.60000000000002</v>
      </c>
    </row>
    <row r="540" spans="1:28" x14ac:dyDescent="0.35">
      <c r="A540" s="5" t="s">
        <v>111</v>
      </c>
      <c r="B540" s="3" t="s">
        <v>32</v>
      </c>
      <c r="C540" s="3" t="s">
        <v>778</v>
      </c>
      <c r="D540" s="3" t="s">
        <v>2030</v>
      </c>
      <c r="E540" s="3" t="s">
        <v>56</v>
      </c>
      <c r="F540" s="3" t="s">
        <v>2031</v>
      </c>
      <c r="G540" s="3" t="s">
        <v>2032</v>
      </c>
      <c r="H540" s="43">
        <v>45623</v>
      </c>
      <c r="I540" s="43">
        <v>45675</v>
      </c>
      <c r="J540" s="47" t="str">
        <f>IF(GroDB[[#This Row],[Last_Order_Date]]&lt;=GroDB[[#This Row],[Date_Received]], "Yes", "No")</f>
        <v>No</v>
      </c>
      <c r="K540" s="43">
        <f>IF(GroDB[[#This Row],[Column1]]="No",GroDB[[#This Row],[Last_Order_Date]],GroDB[[#This Row],[Date_Received]])</f>
        <v>45675</v>
      </c>
      <c r="L540" s="43">
        <f>IF(GroDB[[#This Row],[Column1]]="No",GroDB[[#This Row],[Date_Received]],GroDB[[#This Row],[Last_Order_Date]])</f>
        <v>45623</v>
      </c>
      <c r="M540" s="45">
        <f>GroDB[[#This Row],[Date_Received1]]-GroDB[[#This Row],[Procurement_Date]]</f>
        <v>52</v>
      </c>
      <c r="N540" s="43">
        <v>45663</v>
      </c>
      <c r="O540" s="91">
        <f>GroDB[[#This Row],[Expiration_Date]]-GroDB[[#This Row],[Date_Received1]]</f>
        <v>-12</v>
      </c>
      <c r="P540" s="4">
        <v>4.8000000000000007</v>
      </c>
      <c r="Q540" s="3">
        <v>66</v>
      </c>
      <c r="R540" s="3">
        <v>40</v>
      </c>
      <c r="S540" s="3">
        <v>8</v>
      </c>
      <c r="T540" s="4">
        <v>6</v>
      </c>
      <c r="U540" s="3">
        <v>43</v>
      </c>
      <c r="V540" s="51">
        <f>IF(GroDB[[#This Row],[LeadTime]]=0,GroDB[[#This Row],[Sales_Volume]],GroDB[[#This Row],[Sales_Volume]]/GroDB[[#This Row],[LeadTime]])</f>
        <v>0.82692307692307687</v>
      </c>
      <c r="W540" s="51">
        <f>_xlfn.STDEV.S(GroDB[Daily Sales])</f>
        <v>5.1999899792654221</v>
      </c>
      <c r="X540" s="3">
        <v>49</v>
      </c>
      <c r="Y540" s="7">
        <v>0.2</v>
      </c>
      <c r="Z540" s="4">
        <f>GroDB[[#This Row],[Unit_Price]]*GroDB[[#This Row],[Sales_Volume]]</f>
        <v>258</v>
      </c>
      <c r="AA540" s="22">
        <f>GroDB[[#This Row],[ADU]]/GroDB[[#Totals],[ADU]]</f>
        <v>7.4941323557886359E-4</v>
      </c>
      <c r="AB540" s="1">
        <f>GroDB[[#This Row],[Sales_Volume]]*GroDB[[#This Row],[Ordering Cost]]</f>
        <v>206.40000000000003</v>
      </c>
    </row>
    <row r="541" spans="1:28" x14ac:dyDescent="0.35">
      <c r="A541" s="5" t="s">
        <v>392</v>
      </c>
      <c r="B541" s="3" t="s">
        <v>18</v>
      </c>
      <c r="C541" s="3" t="s">
        <v>2033</v>
      </c>
      <c r="D541" s="3" t="s">
        <v>2034</v>
      </c>
      <c r="E541" s="3" t="s">
        <v>21</v>
      </c>
      <c r="F541" s="3" t="s">
        <v>2035</v>
      </c>
      <c r="G541" s="3" t="s">
        <v>2036</v>
      </c>
      <c r="H541" s="43">
        <v>45623</v>
      </c>
      <c r="I541" s="43">
        <v>45412</v>
      </c>
      <c r="J541" s="47" t="str">
        <f>IF(GroDB[[#This Row],[Last_Order_Date]]&lt;=GroDB[[#This Row],[Date_Received]], "Yes", "No")</f>
        <v>Yes</v>
      </c>
      <c r="K541" s="43">
        <f>IF(GroDB[[#This Row],[Column1]]="No",GroDB[[#This Row],[Last_Order_Date]],GroDB[[#This Row],[Date_Received]])</f>
        <v>45623</v>
      </c>
      <c r="L541" s="43">
        <f>IF(GroDB[[#This Row],[Column1]]="No",GroDB[[#This Row],[Date_Received]],GroDB[[#This Row],[Last_Order_Date]])</f>
        <v>45412</v>
      </c>
      <c r="M541" s="45">
        <f>GroDB[[#This Row],[Date_Received1]]-GroDB[[#This Row],[Procurement_Date]]</f>
        <v>211</v>
      </c>
      <c r="N541" s="43">
        <v>45465</v>
      </c>
      <c r="O541" s="91">
        <f>GroDB[[#This Row],[Expiration_Date]]-GroDB[[#This Row],[Date_Received1]]</f>
        <v>-158</v>
      </c>
      <c r="P541" s="4">
        <v>4.4000000000000004</v>
      </c>
      <c r="Q541" s="3">
        <v>88</v>
      </c>
      <c r="R541" s="3">
        <v>27</v>
      </c>
      <c r="S541" s="3">
        <v>92</v>
      </c>
      <c r="T541" s="4">
        <v>5.5</v>
      </c>
      <c r="U541" s="3">
        <v>57</v>
      </c>
      <c r="V541" s="51">
        <f>IF(GroDB[[#This Row],[LeadTime]]=0,GroDB[[#This Row],[Sales_Volume]],GroDB[[#This Row],[Sales_Volume]]/GroDB[[#This Row],[LeadTime]])</f>
        <v>0.27014218009478674</v>
      </c>
      <c r="W541" s="51">
        <f>_xlfn.STDEV.S(GroDB[Daily Sales])</f>
        <v>5.1999899792654221</v>
      </c>
      <c r="X541" s="3">
        <v>37</v>
      </c>
      <c r="Y541" s="7">
        <v>-0.14000000000000001</v>
      </c>
      <c r="Z541" s="4">
        <f>GroDB[[#This Row],[Unit_Price]]*GroDB[[#This Row],[Sales_Volume]]</f>
        <v>313.5</v>
      </c>
      <c r="AA541" s="22">
        <f>GroDB[[#This Row],[ADU]]/GroDB[[#Totals],[ADU]]</f>
        <v>9.1062422230222379E-4</v>
      </c>
      <c r="AB541" s="1">
        <f>GroDB[[#This Row],[Sales_Volume]]*GroDB[[#This Row],[Ordering Cost]]</f>
        <v>250.8</v>
      </c>
    </row>
    <row r="542" spans="1:28" x14ac:dyDescent="0.35">
      <c r="A542" s="5" t="s">
        <v>151</v>
      </c>
      <c r="B542" s="3" t="s">
        <v>91</v>
      </c>
      <c r="C542" s="3" t="s">
        <v>2037</v>
      </c>
      <c r="D542" s="3" t="s">
        <v>2038</v>
      </c>
      <c r="E542" s="3" t="s">
        <v>21</v>
      </c>
      <c r="F542" s="3" t="s">
        <v>2039</v>
      </c>
      <c r="G542" s="3" t="s">
        <v>2040</v>
      </c>
      <c r="H542" s="43">
        <v>45623</v>
      </c>
      <c r="I542" s="43">
        <v>45348</v>
      </c>
      <c r="J542" s="47" t="str">
        <f>IF(GroDB[[#This Row],[Last_Order_Date]]&lt;=GroDB[[#This Row],[Date_Received]], "Yes", "No")</f>
        <v>Yes</v>
      </c>
      <c r="K542" s="43">
        <f>IF(GroDB[[#This Row],[Column1]]="No",GroDB[[#This Row],[Last_Order_Date]],GroDB[[#This Row],[Date_Received]])</f>
        <v>45623</v>
      </c>
      <c r="L542" s="43">
        <f>IF(GroDB[[#This Row],[Column1]]="No",GroDB[[#This Row],[Date_Received]],GroDB[[#This Row],[Last_Order_Date]])</f>
        <v>45348</v>
      </c>
      <c r="M542" s="45">
        <f>GroDB[[#This Row],[Date_Received1]]-GroDB[[#This Row],[Procurement_Date]]</f>
        <v>275</v>
      </c>
      <c r="N542" s="43">
        <v>45480</v>
      </c>
      <c r="O542" s="91">
        <f>GroDB[[#This Row],[Expiration_Date]]-GroDB[[#This Row],[Date_Received1]]</f>
        <v>-143</v>
      </c>
      <c r="P542" s="4">
        <v>3.2</v>
      </c>
      <c r="Q542" s="3">
        <v>71</v>
      </c>
      <c r="R542" s="3">
        <v>97</v>
      </c>
      <c r="S542" s="3">
        <v>44</v>
      </c>
      <c r="T542" s="4">
        <v>4</v>
      </c>
      <c r="U542" s="3">
        <v>58</v>
      </c>
      <c r="V542" s="51">
        <f>IF(GroDB[[#This Row],[LeadTime]]=0,GroDB[[#This Row],[Sales_Volume]],GroDB[[#This Row],[Sales_Volume]]/GroDB[[#This Row],[LeadTime]])</f>
        <v>0.21090909090909091</v>
      </c>
      <c r="W542" s="51">
        <f>_xlfn.STDEV.S(GroDB[Daily Sales])</f>
        <v>5.1999899792654221</v>
      </c>
      <c r="X542" s="3">
        <v>14</v>
      </c>
      <c r="Y542" s="7">
        <v>0.35</v>
      </c>
      <c r="Z542" s="4">
        <f>GroDB[[#This Row],[Unit_Price]]*GroDB[[#This Row],[Sales_Volume]]</f>
        <v>232</v>
      </c>
      <c r="AA542" s="22">
        <f>GroDB[[#This Row],[ADU]]/GroDB[[#Totals],[ADU]]</f>
        <v>6.7389097152828047E-4</v>
      </c>
      <c r="AB542" s="1">
        <f>GroDB[[#This Row],[Sales_Volume]]*GroDB[[#This Row],[Ordering Cost]]</f>
        <v>185.60000000000002</v>
      </c>
    </row>
    <row r="543" spans="1:28" x14ac:dyDescent="0.35">
      <c r="A543" s="5" t="s">
        <v>293</v>
      </c>
      <c r="B543" s="3" t="s">
        <v>18</v>
      </c>
      <c r="C543" s="3" t="s">
        <v>2041</v>
      </c>
      <c r="D543" s="3" t="s">
        <v>2042</v>
      </c>
      <c r="E543" s="3" t="s">
        <v>56</v>
      </c>
      <c r="F543" s="3" t="s">
        <v>2043</v>
      </c>
      <c r="G543" s="3" t="s">
        <v>2044</v>
      </c>
      <c r="H543" s="43">
        <v>45623</v>
      </c>
      <c r="I543" s="43">
        <v>45530</v>
      </c>
      <c r="J543" s="47" t="str">
        <f>IF(GroDB[[#This Row],[Last_Order_Date]]&lt;=GroDB[[#This Row],[Date_Received]], "Yes", "No")</f>
        <v>Yes</v>
      </c>
      <c r="K543" s="43">
        <f>IF(GroDB[[#This Row],[Column1]]="No",GroDB[[#This Row],[Last_Order_Date]],GroDB[[#This Row],[Date_Received]])</f>
        <v>45623</v>
      </c>
      <c r="L543" s="43">
        <f>IF(GroDB[[#This Row],[Column1]]="No",GroDB[[#This Row],[Date_Received]],GroDB[[#This Row],[Last_Order_Date]])</f>
        <v>45530</v>
      </c>
      <c r="M543" s="45">
        <f>GroDB[[#This Row],[Date_Received1]]-GroDB[[#This Row],[Procurement_Date]]</f>
        <v>93</v>
      </c>
      <c r="N543" s="43">
        <v>45467</v>
      </c>
      <c r="O543" s="91">
        <f>GroDB[[#This Row],[Expiration_Date]]-GroDB[[#This Row],[Date_Received1]]</f>
        <v>-156</v>
      </c>
      <c r="P543" s="4">
        <v>1.6</v>
      </c>
      <c r="Q543" s="3">
        <v>39</v>
      </c>
      <c r="R543" s="3">
        <v>37</v>
      </c>
      <c r="S543" s="3">
        <v>48</v>
      </c>
      <c r="T543" s="4">
        <v>2</v>
      </c>
      <c r="U543" s="3">
        <v>25</v>
      </c>
      <c r="V543" s="51">
        <f>IF(GroDB[[#This Row],[LeadTime]]=0,GroDB[[#This Row],[Sales_Volume]],GroDB[[#This Row],[Sales_Volume]]/GroDB[[#This Row],[LeadTime]])</f>
        <v>0.26881720430107525</v>
      </c>
      <c r="W543" s="51">
        <f>_xlfn.STDEV.S(GroDB[Daily Sales])</f>
        <v>5.1999899792654221</v>
      </c>
      <c r="X543" s="3">
        <v>19</v>
      </c>
      <c r="Y543" s="7">
        <v>0.76</v>
      </c>
      <c r="Z543" s="4">
        <f>GroDB[[#This Row],[Unit_Price]]*GroDB[[#This Row],[Sales_Volume]]</f>
        <v>50</v>
      </c>
      <c r="AA543" s="22">
        <f>GroDB[[#This Row],[ADU]]/GroDB[[#Totals],[ADU]]</f>
        <v>1.4523512317419837E-4</v>
      </c>
      <c r="AB543" s="1">
        <f>GroDB[[#This Row],[Sales_Volume]]*GroDB[[#This Row],[Ordering Cost]]</f>
        <v>40</v>
      </c>
    </row>
    <row r="544" spans="1:28" x14ac:dyDescent="0.35">
      <c r="A544" s="5" t="s">
        <v>320</v>
      </c>
      <c r="B544" s="3" t="s">
        <v>18</v>
      </c>
      <c r="C544" s="3" t="s">
        <v>2045</v>
      </c>
      <c r="D544" s="3" t="s">
        <v>2046</v>
      </c>
      <c r="E544" s="3" t="s">
        <v>21</v>
      </c>
      <c r="F544" s="3" t="s">
        <v>2047</v>
      </c>
      <c r="G544" s="3" t="s">
        <v>2048</v>
      </c>
      <c r="H544" s="43">
        <v>45624</v>
      </c>
      <c r="I544" s="43">
        <v>45684</v>
      </c>
      <c r="J544" s="47" t="str">
        <f>IF(GroDB[[#This Row],[Last_Order_Date]]&lt;=GroDB[[#This Row],[Date_Received]], "Yes", "No")</f>
        <v>No</v>
      </c>
      <c r="K544" s="43">
        <f>IF(GroDB[[#This Row],[Column1]]="No",GroDB[[#This Row],[Last_Order_Date]],GroDB[[#This Row],[Date_Received]])</f>
        <v>45684</v>
      </c>
      <c r="L544" s="43">
        <f>IF(GroDB[[#This Row],[Column1]]="No",GroDB[[#This Row],[Date_Received]],GroDB[[#This Row],[Last_Order_Date]])</f>
        <v>45624</v>
      </c>
      <c r="M544" s="45">
        <f>GroDB[[#This Row],[Date_Received1]]-GroDB[[#This Row],[Procurement_Date]]</f>
        <v>60</v>
      </c>
      <c r="N544" s="43">
        <v>45708</v>
      </c>
      <c r="O544" s="91">
        <f>GroDB[[#This Row],[Expiration_Date]]-GroDB[[#This Row],[Date_Received1]]</f>
        <v>24</v>
      </c>
      <c r="P544" s="4">
        <v>3.08</v>
      </c>
      <c r="Q544" s="3">
        <v>20</v>
      </c>
      <c r="R544" s="3">
        <v>42</v>
      </c>
      <c r="S544" s="3">
        <v>21</v>
      </c>
      <c r="T544" s="4">
        <v>3.85</v>
      </c>
      <c r="U544" s="3">
        <v>61</v>
      </c>
      <c r="V544" s="51">
        <f>IF(GroDB[[#This Row],[LeadTime]]=0,GroDB[[#This Row],[Sales_Volume]],GroDB[[#This Row],[Sales_Volume]]/GroDB[[#This Row],[LeadTime]])</f>
        <v>1.0166666666666666</v>
      </c>
      <c r="W544" s="51">
        <f>_xlfn.STDEV.S(GroDB[Daily Sales])</f>
        <v>5.1999899792654221</v>
      </c>
      <c r="X544" s="3">
        <v>25</v>
      </c>
      <c r="Y544" s="7">
        <v>0.24</v>
      </c>
      <c r="Z544" s="4">
        <f>GroDB[[#This Row],[Unit_Price]]*GroDB[[#This Row],[Sales_Volume]]</f>
        <v>234.85</v>
      </c>
      <c r="AA544" s="22">
        <f>GroDB[[#This Row],[ADU]]/GroDB[[#Totals],[ADU]]</f>
        <v>6.8216937354920973E-4</v>
      </c>
      <c r="AB544" s="1">
        <f>GroDB[[#This Row],[Sales_Volume]]*GroDB[[#This Row],[Ordering Cost]]</f>
        <v>187.88</v>
      </c>
    </row>
    <row r="545" spans="1:28" x14ac:dyDescent="0.35">
      <c r="A545" s="5" t="s">
        <v>566</v>
      </c>
      <c r="B545" s="3" t="s">
        <v>127</v>
      </c>
      <c r="C545" s="3" t="s">
        <v>277</v>
      </c>
      <c r="D545" s="3" t="s">
        <v>2049</v>
      </c>
      <c r="E545" s="3" t="s">
        <v>21</v>
      </c>
      <c r="F545" s="3" t="s">
        <v>2050</v>
      </c>
      <c r="G545" s="3" t="s">
        <v>2051</v>
      </c>
      <c r="H545" s="43">
        <v>45624</v>
      </c>
      <c r="I545" s="43">
        <v>45559</v>
      </c>
      <c r="J545" s="47" t="str">
        <f>IF(GroDB[[#This Row],[Last_Order_Date]]&lt;=GroDB[[#This Row],[Date_Received]], "Yes", "No")</f>
        <v>Yes</v>
      </c>
      <c r="K545" s="43">
        <f>IF(GroDB[[#This Row],[Column1]]="No",GroDB[[#This Row],[Last_Order_Date]],GroDB[[#This Row],[Date_Received]])</f>
        <v>45624</v>
      </c>
      <c r="L545" s="43">
        <f>IF(GroDB[[#This Row],[Column1]]="No",GroDB[[#This Row],[Date_Received]],GroDB[[#This Row],[Last_Order_Date]])</f>
        <v>45559</v>
      </c>
      <c r="M545" s="45">
        <f>GroDB[[#This Row],[Date_Received1]]-GroDB[[#This Row],[Procurement_Date]]</f>
        <v>65</v>
      </c>
      <c r="N545" s="43">
        <v>45534</v>
      </c>
      <c r="O545" s="91">
        <f>GroDB[[#This Row],[Expiration_Date]]-GroDB[[#This Row],[Date_Received1]]</f>
        <v>-90</v>
      </c>
      <c r="P545" s="4">
        <v>12</v>
      </c>
      <c r="Q545" s="3">
        <v>33</v>
      </c>
      <c r="R545" s="3">
        <v>22</v>
      </c>
      <c r="S545" s="3">
        <v>94</v>
      </c>
      <c r="T545" s="4">
        <v>15</v>
      </c>
      <c r="U545" s="3">
        <v>96</v>
      </c>
      <c r="V545" s="51">
        <f>IF(GroDB[[#This Row],[LeadTime]]=0,GroDB[[#This Row],[Sales_Volume]],GroDB[[#This Row],[Sales_Volume]]/GroDB[[#This Row],[LeadTime]])</f>
        <v>1.476923076923077</v>
      </c>
      <c r="W545" s="51">
        <f>_xlfn.STDEV.S(GroDB[Daily Sales])</f>
        <v>5.1999899792654221</v>
      </c>
      <c r="X545" s="3">
        <v>56</v>
      </c>
      <c r="Y545" s="7">
        <v>0.59</v>
      </c>
      <c r="Z545" s="4">
        <f>GroDB[[#This Row],[Unit_Price]]*GroDB[[#This Row],[Sales_Volume]]</f>
        <v>1440</v>
      </c>
      <c r="AA545" s="22">
        <f>GroDB[[#This Row],[ADU]]/GroDB[[#Totals],[ADU]]</f>
        <v>4.1827715474169131E-3</v>
      </c>
      <c r="AB545" s="1">
        <f>GroDB[[#This Row],[Sales_Volume]]*GroDB[[#This Row],[Ordering Cost]]</f>
        <v>1152</v>
      </c>
    </row>
    <row r="546" spans="1:28" x14ac:dyDescent="0.35">
      <c r="A546" s="5" t="s">
        <v>193</v>
      </c>
      <c r="B546" s="3" t="s">
        <v>18</v>
      </c>
      <c r="C546" s="3" t="s">
        <v>1550</v>
      </c>
      <c r="D546" s="3" t="s">
        <v>2052</v>
      </c>
      <c r="E546" s="3" t="s">
        <v>28</v>
      </c>
      <c r="F546" s="3" t="s">
        <v>2053</v>
      </c>
      <c r="G546" s="3" t="s">
        <v>2054</v>
      </c>
      <c r="H546" s="43">
        <v>45625</v>
      </c>
      <c r="I546" s="43">
        <v>45695</v>
      </c>
      <c r="J546" s="47" t="str">
        <f>IF(GroDB[[#This Row],[Last_Order_Date]]&lt;=GroDB[[#This Row],[Date_Received]], "Yes", "No")</f>
        <v>No</v>
      </c>
      <c r="K546" s="43">
        <f>IF(GroDB[[#This Row],[Column1]]="No",GroDB[[#This Row],[Last_Order_Date]],GroDB[[#This Row],[Date_Received]])</f>
        <v>45695</v>
      </c>
      <c r="L546" s="43">
        <f>IF(GroDB[[#This Row],[Column1]]="No",GroDB[[#This Row],[Date_Received]],GroDB[[#This Row],[Last_Order_Date]])</f>
        <v>45625</v>
      </c>
      <c r="M546" s="45">
        <f>GroDB[[#This Row],[Date_Received1]]-GroDB[[#This Row],[Procurement_Date]]</f>
        <v>70</v>
      </c>
      <c r="N546" s="43">
        <v>45661</v>
      </c>
      <c r="O546" s="91">
        <f>GroDB[[#This Row],[Expiration_Date]]-GroDB[[#This Row],[Date_Received1]]</f>
        <v>-34</v>
      </c>
      <c r="P546" s="4">
        <v>1.6</v>
      </c>
      <c r="Q546" s="3">
        <v>29</v>
      </c>
      <c r="R546" s="3">
        <v>83</v>
      </c>
      <c r="S546" s="3">
        <v>91</v>
      </c>
      <c r="T546" s="4">
        <v>2</v>
      </c>
      <c r="U546" s="3">
        <v>81</v>
      </c>
      <c r="V546" s="51">
        <f>IF(GroDB[[#This Row],[LeadTime]]=0,GroDB[[#This Row],[Sales_Volume]],GroDB[[#This Row],[Sales_Volume]]/GroDB[[#This Row],[LeadTime]])</f>
        <v>1.1571428571428573</v>
      </c>
      <c r="W546" s="51">
        <f>_xlfn.STDEV.S(GroDB[Daily Sales])</f>
        <v>5.1999899792654221</v>
      </c>
      <c r="X546" s="3">
        <v>53</v>
      </c>
      <c r="Y546" s="7">
        <v>0.42</v>
      </c>
      <c r="Z546" s="4">
        <f>GroDB[[#This Row],[Unit_Price]]*GroDB[[#This Row],[Sales_Volume]]</f>
        <v>162</v>
      </c>
      <c r="AA546" s="22">
        <f>GroDB[[#This Row],[ADU]]/GroDB[[#Totals],[ADU]]</f>
        <v>4.7056179908440274E-4</v>
      </c>
      <c r="AB546" s="1">
        <f>GroDB[[#This Row],[Sales_Volume]]*GroDB[[#This Row],[Ordering Cost]]</f>
        <v>129.6</v>
      </c>
    </row>
    <row r="547" spans="1:28" x14ac:dyDescent="0.35">
      <c r="A547" s="5" t="s">
        <v>329</v>
      </c>
      <c r="B547" s="3" t="s">
        <v>53</v>
      </c>
      <c r="C547" s="3" t="s">
        <v>1766</v>
      </c>
      <c r="D547" s="3" t="s">
        <v>2055</v>
      </c>
      <c r="E547" s="3" t="s">
        <v>28</v>
      </c>
      <c r="F547" s="3" t="s">
        <v>2056</v>
      </c>
      <c r="G547" s="3" t="s">
        <v>2057</v>
      </c>
      <c r="H547" s="43">
        <v>45625</v>
      </c>
      <c r="I547" s="43">
        <v>45627</v>
      </c>
      <c r="J547" s="47" t="str">
        <f>IF(GroDB[[#This Row],[Last_Order_Date]]&lt;=GroDB[[#This Row],[Date_Received]], "Yes", "No")</f>
        <v>No</v>
      </c>
      <c r="K547" s="43">
        <f>IF(GroDB[[#This Row],[Column1]]="No",GroDB[[#This Row],[Last_Order_Date]],GroDB[[#This Row],[Date_Received]])</f>
        <v>45627</v>
      </c>
      <c r="L547" s="43">
        <f>IF(GroDB[[#This Row],[Column1]]="No",GroDB[[#This Row],[Date_Received]],GroDB[[#This Row],[Last_Order_Date]])</f>
        <v>45625</v>
      </c>
      <c r="M547" s="45">
        <f>GroDB[[#This Row],[Date_Received1]]-GroDB[[#This Row],[Procurement_Date]]</f>
        <v>2</v>
      </c>
      <c r="N547" s="43">
        <v>45677</v>
      </c>
      <c r="O547" s="91">
        <f>GroDB[[#This Row],[Expiration_Date]]-GroDB[[#This Row],[Date_Received1]]</f>
        <v>50</v>
      </c>
      <c r="P547" s="4">
        <v>5</v>
      </c>
      <c r="Q547" s="3">
        <v>92</v>
      </c>
      <c r="R547" s="3">
        <v>48</v>
      </c>
      <c r="S547" s="3">
        <v>22</v>
      </c>
      <c r="T547" s="4">
        <v>6.25</v>
      </c>
      <c r="U547" s="3">
        <v>38</v>
      </c>
      <c r="V547" s="51">
        <f>IF(GroDB[[#This Row],[LeadTime]]=0,GroDB[[#This Row],[Sales_Volume]],GroDB[[#This Row],[Sales_Volume]]/GroDB[[#This Row],[LeadTime]])</f>
        <v>19</v>
      </c>
      <c r="W547" s="51">
        <f>_xlfn.STDEV.S(GroDB[Daily Sales])</f>
        <v>5.1999899792654221</v>
      </c>
      <c r="X547" s="3">
        <v>61</v>
      </c>
      <c r="Y547" s="7">
        <v>0.35</v>
      </c>
      <c r="Z547" s="4">
        <f>GroDB[[#This Row],[Unit_Price]]*GroDB[[#This Row],[Sales_Volume]]</f>
        <v>237.5</v>
      </c>
      <c r="AA547" s="22">
        <f>GroDB[[#This Row],[ADU]]/GroDB[[#Totals],[ADU]]</f>
        <v>6.8986683507744223E-4</v>
      </c>
      <c r="AB547" s="1">
        <f>GroDB[[#This Row],[Sales_Volume]]*GroDB[[#This Row],[Ordering Cost]]</f>
        <v>190</v>
      </c>
    </row>
    <row r="548" spans="1:28" x14ac:dyDescent="0.35">
      <c r="A548" s="5" t="s">
        <v>272</v>
      </c>
      <c r="B548" s="3" t="s">
        <v>32</v>
      </c>
      <c r="C548" s="3" t="s">
        <v>1719</v>
      </c>
      <c r="D548" s="3" t="s">
        <v>2058</v>
      </c>
      <c r="E548" s="3" t="s">
        <v>28</v>
      </c>
      <c r="F548" s="3" t="s">
        <v>2059</v>
      </c>
      <c r="G548" s="3" t="s">
        <v>2060</v>
      </c>
      <c r="H548" s="43">
        <v>45626</v>
      </c>
      <c r="I548" s="43">
        <v>45521</v>
      </c>
      <c r="J548" s="47" t="str">
        <f>IF(GroDB[[#This Row],[Last_Order_Date]]&lt;=GroDB[[#This Row],[Date_Received]], "Yes", "No")</f>
        <v>Yes</v>
      </c>
      <c r="K548" s="43">
        <f>IF(GroDB[[#This Row],[Column1]]="No",GroDB[[#This Row],[Last_Order_Date]],GroDB[[#This Row],[Date_Received]])</f>
        <v>45626</v>
      </c>
      <c r="L548" s="43">
        <f>IF(GroDB[[#This Row],[Column1]]="No",GroDB[[#This Row],[Date_Received]],GroDB[[#This Row],[Last_Order_Date]])</f>
        <v>45521</v>
      </c>
      <c r="M548" s="45">
        <f>GroDB[[#This Row],[Date_Received1]]-GroDB[[#This Row],[Procurement_Date]]</f>
        <v>105</v>
      </c>
      <c r="N548" s="43">
        <v>45484</v>
      </c>
      <c r="O548" s="91">
        <f>GroDB[[#This Row],[Expiration_Date]]-GroDB[[#This Row],[Date_Received1]]</f>
        <v>-142</v>
      </c>
      <c r="P548" s="4">
        <v>0.8</v>
      </c>
      <c r="Q548" s="3">
        <v>70</v>
      </c>
      <c r="R548" s="3">
        <v>92</v>
      </c>
      <c r="S548" s="3">
        <v>74</v>
      </c>
      <c r="T548" s="4">
        <v>1</v>
      </c>
      <c r="U548" s="3">
        <v>95</v>
      </c>
      <c r="V548" s="51">
        <f>IF(GroDB[[#This Row],[LeadTime]]=0,GroDB[[#This Row],[Sales_Volume]],GroDB[[#This Row],[Sales_Volume]]/GroDB[[#This Row],[LeadTime]])</f>
        <v>0.90476190476190477</v>
      </c>
      <c r="W548" s="51">
        <f>_xlfn.STDEV.S(GroDB[Daily Sales])</f>
        <v>5.1999899792654221</v>
      </c>
      <c r="X548" s="3">
        <v>26</v>
      </c>
      <c r="Y548" s="7">
        <v>-0.61</v>
      </c>
      <c r="Z548" s="4">
        <f>GroDB[[#This Row],[Unit_Price]]*GroDB[[#This Row],[Sales_Volume]]</f>
        <v>95</v>
      </c>
      <c r="AA548" s="22">
        <f>GroDB[[#This Row],[ADU]]/GroDB[[#Totals],[ADU]]</f>
        <v>2.759467340309769E-4</v>
      </c>
      <c r="AB548" s="1">
        <f>GroDB[[#This Row],[Sales_Volume]]*GroDB[[#This Row],[Ordering Cost]]</f>
        <v>76</v>
      </c>
    </row>
    <row r="549" spans="1:28" x14ac:dyDescent="0.35">
      <c r="A549" s="5" t="s">
        <v>31</v>
      </c>
      <c r="B549" s="3" t="s">
        <v>32</v>
      </c>
      <c r="C549" s="3" t="s">
        <v>199</v>
      </c>
      <c r="D549" s="3" t="s">
        <v>2061</v>
      </c>
      <c r="E549" s="3" t="s">
        <v>28</v>
      </c>
      <c r="F549" s="3" t="s">
        <v>2062</v>
      </c>
      <c r="G549" s="3" t="s">
        <v>2063</v>
      </c>
      <c r="H549" s="43">
        <v>45626</v>
      </c>
      <c r="I549" s="43">
        <v>45625</v>
      </c>
      <c r="J549" s="47" t="str">
        <f>IF(GroDB[[#This Row],[Last_Order_Date]]&lt;=GroDB[[#This Row],[Date_Received]], "Yes", "No")</f>
        <v>Yes</v>
      </c>
      <c r="K549" s="43">
        <f>IF(GroDB[[#This Row],[Column1]]="No",GroDB[[#This Row],[Last_Order_Date]],GroDB[[#This Row],[Date_Received]])</f>
        <v>45626</v>
      </c>
      <c r="L549" s="43">
        <f>IF(GroDB[[#This Row],[Column1]]="No",GroDB[[#This Row],[Date_Received]],GroDB[[#This Row],[Last_Order_Date]])</f>
        <v>45625</v>
      </c>
      <c r="M549" s="45">
        <f>GroDB[[#This Row],[Date_Received1]]-GroDB[[#This Row],[Procurement_Date]]</f>
        <v>1</v>
      </c>
      <c r="N549" s="43">
        <v>45394</v>
      </c>
      <c r="O549" s="91">
        <f>GroDB[[#This Row],[Expiration_Date]]-GroDB[[#This Row],[Date_Received1]]</f>
        <v>-232</v>
      </c>
      <c r="P549" s="4">
        <v>9.6000000000000014</v>
      </c>
      <c r="Q549" s="3">
        <v>65</v>
      </c>
      <c r="R549" s="3">
        <v>54</v>
      </c>
      <c r="S549" s="3">
        <v>29</v>
      </c>
      <c r="T549" s="4">
        <v>12</v>
      </c>
      <c r="U549" s="3">
        <v>69</v>
      </c>
      <c r="V549" s="51">
        <f>IF(GroDB[[#This Row],[LeadTime]]=0,GroDB[[#This Row],[Sales_Volume]],GroDB[[#This Row],[Sales_Volume]]/GroDB[[#This Row],[LeadTime]])</f>
        <v>69</v>
      </c>
      <c r="W549" s="51">
        <f>_xlfn.STDEV.S(GroDB[Daily Sales])</f>
        <v>5.1999899792654221</v>
      </c>
      <c r="X549" s="3">
        <v>79</v>
      </c>
      <c r="Y549" s="7">
        <v>0.73</v>
      </c>
      <c r="Z549" s="4">
        <f>GroDB[[#This Row],[Unit_Price]]*GroDB[[#This Row],[Sales_Volume]]</f>
        <v>828</v>
      </c>
      <c r="AA549" s="22">
        <f>GroDB[[#This Row],[ADU]]/GroDB[[#Totals],[ADU]]</f>
        <v>2.4050936397647252E-3</v>
      </c>
      <c r="AB549" s="1">
        <f>GroDB[[#This Row],[Sales_Volume]]*GroDB[[#This Row],[Ordering Cost]]</f>
        <v>662.40000000000009</v>
      </c>
    </row>
    <row r="550" spans="1:28" x14ac:dyDescent="0.35">
      <c r="A550" s="5" t="s">
        <v>544</v>
      </c>
      <c r="B550" s="3" t="s">
        <v>91</v>
      </c>
      <c r="C550" s="3" t="s">
        <v>1526</v>
      </c>
      <c r="D550" s="3" t="s">
        <v>2064</v>
      </c>
      <c r="E550" s="3" t="s">
        <v>21</v>
      </c>
      <c r="F550" s="3" t="s">
        <v>2065</v>
      </c>
      <c r="G550" s="3" t="s">
        <v>2066</v>
      </c>
      <c r="H550" s="43">
        <v>45639</v>
      </c>
      <c r="I550" s="43">
        <v>45697</v>
      </c>
      <c r="J550" s="47" t="str">
        <f>IF(GroDB[[#This Row],[Last_Order_Date]]&lt;=GroDB[[#This Row],[Date_Received]], "Yes", "No")</f>
        <v>No</v>
      </c>
      <c r="K550" s="43">
        <f>IF(GroDB[[#This Row],[Column1]]="No",GroDB[[#This Row],[Last_Order_Date]],GroDB[[#This Row],[Date_Received]])</f>
        <v>45697</v>
      </c>
      <c r="L550" s="43">
        <f>IF(GroDB[[#This Row],[Column1]]="No",GroDB[[#This Row],[Date_Received]],GroDB[[#This Row],[Last_Order_Date]])</f>
        <v>45639</v>
      </c>
      <c r="M550" s="45">
        <f>GroDB[[#This Row],[Date_Received1]]-GroDB[[#This Row],[Procurement_Date]]</f>
        <v>58</v>
      </c>
      <c r="N550" s="43">
        <v>45491</v>
      </c>
      <c r="O550" s="91">
        <f>GroDB[[#This Row],[Expiration_Date]]-GroDB[[#This Row],[Date_Received1]]</f>
        <v>-206</v>
      </c>
      <c r="P550" s="4">
        <v>2.4000000000000004</v>
      </c>
      <c r="Q550" s="3">
        <v>26</v>
      </c>
      <c r="R550" s="3">
        <v>79</v>
      </c>
      <c r="S550" s="3">
        <v>31</v>
      </c>
      <c r="T550" s="4">
        <v>3</v>
      </c>
      <c r="U550" s="3">
        <v>47</v>
      </c>
      <c r="V550" s="51">
        <f>IF(GroDB[[#This Row],[LeadTime]]=0,GroDB[[#This Row],[Sales_Volume]],GroDB[[#This Row],[Sales_Volume]]/GroDB[[#This Row],[LeadTime]])</f>
        <v>0.81034482758620685</v>
      </c>
      <c r="W550" s="51">
        <f>_xlfn.STDEV.S(GroDB[Daily Sales])</f>
        <v>5.1999899792654221</v>
      </c>
      <c r="X550" s="3">
        <v>41</v>
      </c>
      <c r="Y550" s="7">
        <v>-0.14000000000000001</v>
      </c>
      <c r="Z550" s="4">
        <f>GroDB[[#This Row],[Unit_Price]]*GroDB[[#This Row],[Sales_Volume]]</f>
        <v>141</v>
      </c>
      <c r="AA550" s="22">
        <f>GroDB[[#This Row],[ADU]]/GroDB[[#Totals],[ADU]]</f>
        <v>4.0956304735123941E-4</v>
      </c>
      <c r="AB550" s="1">
        <f>GroDB[[#This Row],[Sales_Volume]]*GroDB[[#This Row],[Ordering Cost]]</f>
        <v>112.80000000000001</v>
      </c>
    </row>
    <row r="551" spans="1:28" x14ac:dyDescent="0.35">
      <c r="A551" s="5" t="s">
        <v>817</v>
      </c>
      <c r="B551" s="3" t="s">
        <v>18</v>
      </c>
      <c r="C551" s="3" t="s">
        <v>2067</v>
      </c>
      <c r="D551" s="3" t="s">
        <v>2068</v>
      </c>
      <c r="E551" s="3" t="s">
        <v>28</v>
      </c>
      <c r="F551" s="3" t="s">
        <v>2069</v>
      </c>
      <c r="G551" s="3" t="s">
        <v>2070</v>
      </c>
      <c r="H551" s="43">
        <v>45639</v>
      </c>
      <c r="I551" s="43">
        <v>45684</v>
      </c>
      <c r="J551" s="47" t="str">
        <f>IF(GroDB[[#This Row],[Last_Order_Date]]&lt;=GroDB[[#This Row],[Date_Received]], "Yes", "No")</f>
        <v>No</v>
      </c>
      <c r="K551" s="43">
        <f>IF(GroDB[[#This Row],[Column1]]="No",GroDB[[#This Row],[Last_Order_Date]],GroDB[[#This Row],[Date_Received]])</f>
        <v>45684</v>
      </c>
      <c r="L551" s="43">
        <f>IF(GroDB[[#This Row],[Column1]]="No",GroDB[[#This Row],[Date_Received]],GroDB[[#This Row],[Last_Order_Date]])</f>
        <v>45639</v>
      </c>
      <c r="M551" s="45">
        <f>GroDB[[#This Row],[Date_Received1]]-GroDB[[#This Row],[Procurement_Date]]</f>
        <v>45</v>
      </c>
      <c r="N551" s="43">
        <v>45523</v>
      </c>
      <c r="O551" s="91">
        <f>GroDB[[#This Row],[Expiration_Date]]-GroDB[[#This Row],[Date_Received1]]</f>
        <v>-161</v>
      </c>
      <c r="P551" s="4">
        <v>2.4000000000000004</v>
      </c>
      <c r="Q551" s="3">
        <v>99</v>
      </c>
      <c r="R551" s="3">
        <v>1</v>
      </c>
      <c r="S551" s="3">
        <v>4</v>
      </c>
      <c r="T551" s="4">
        <v>3</v>
      </c>
      <c r="U551" s="3">
        <v>50</v>
      </c>
      <c r="V551" s="51">
        <f>IF(GroDB[[#This Row],[LeadTime]]=0,GroDB[[#This Row],[Sales_Volume]],GroDB[[#This Row],[Sales_Volume]]/GroDB[[#This Row],[LeadTime]])</f>
        <v>1.1111111111111112</v>
      </c>
      <c r="W551" s="51">
        <f>_xlfn.STDEV.S(GroDB[Daily Sales])</f>
        <v>5.1999899792654221</v>
      </c>
      <c r="X551" s="3">
        <v>53</v>
      </c>
      <c r="Y551" s="7">
        <v>0.13</v>
      </c>
      <c r="Z551" s="4">
        <f>GroDB[[#This Row],[Unit_Price]]*GroDB[[#This Row],[Sales_Volume]]</f>
        <v>150</v>
      </c>
      <c r="AA551" s="22">
        <f>GroDB[[#This Row],[ADU]]/GroDB[[#Totals],[ADU]]</f>
        <v>4.3570536952259513E-4</v>
      </c>
      <c r="AB551" s="1">
        <f>GroDB[[#This Row],[Sales_Volume]]*GroDB[[#This Row],[Ordering Cost]]</f>
        <v>120.00000000000001</v>
      </c>
    </row>
    <row r="552" spans="1:28" x14ac:dyDescent="0.35">
      <c r="A552" s="5" t="s">
        <v>836</v>
      </c>
      <c r="B552" s="3" t="s">
        <v>91</v>
      </c>
      <c r="C552" s="3" t="s">
        <v>500</v>
      </c>
      <c r="D552" s="3" t="s">
        <v>2071</v>
      </c>
      <c r="E552" s="3" t="s">
        <v>56</v>
      </c>
      <c r="F552" s="3" t="s">
        <v>2072</v>
      </c>
      <c r="G552" s="3" t="s">
        <v>2073</v>
      </c>
      <c r="H552" s="43">
        <v>45639</v>
      </c>
      <c r="I552" s="43">
        <v>45669</v>
      </c>
      <c r="J552" s="47" t="str">
        <f>IF(GroDB[[#This Row],[Last_Order_Date]]&lt;=GroDB[[#This Row],[Date_Received]], "Yes", "No")</f>
        <v>No</v>
      </c>
      <c r="K552" s="43">
        <f>IF(GroDB[[#This Row],[Column1]]="No",GroDB[[#This Row],[Last_Order_Date]],GroDB[[#This Row],[Date_Received]])</f>
        <v>45669</v>
      </c>
      <c r="L552" s="43">
        <f>IF(GroDB[[#This Row],[Column1]]="No",GroDB[[#This Row],[Date_Received]],GroDB[[#This Row],[Last_Order_Date]])</f>
        <v>45639</v>
      </c>
      <c r="M552" s="45">
        <f>GroDB[[#This Row],[Date_Received1]]-GroDB[[#This Row],[Procurement_Date]]</f>
        <v>30</v>
      </c>
      <c r="N552" s="43">
        <v>45622</v>
      </c>
      <c r="O552" s="91">
        <f>GroDB[[#This Row],[Expiration_Date]]-GroDB[[#This Row],[Date_Received1]]</f>
        <v>-47</v>
      </c>
      <c r="P552" s="4">
        <v>2.6</v>
      </c>
      <c r="Q552" s="3">
        <v>47</v>
      </c>
      <c r="R552" s="3">
        <v>26</v>
      </c>
      <c r="S552" s="3">
        <v>40</v>
      </c>
      <c r="T552" s="4">
        <v>3.25</v>
      </c>
      <c r="U552" s="3">
        <v>30</v>
      </c>
      <c r="V552" s="51">
        <f>IF(GroDB[[#This Row],[LeadTime]]=0,GroDB[[#This Row],[Sales_Volume]],GroDB[[#This Row],[Sales_Volume]]/GroDB[[#This Row],[LeadTime]])</f>
        <v>1</v>
      </c>
      <c r="W552" s="51">
        <f>_xlfn.STDEV.S(GroDB[Daily Sales])</f>
        <v>5.1999899792654221</v>
      </c>
      <c r="X552" s="3">
        <v>72</v>
      </c>
      <c r="Y552" s="7">
        <v>-0.06</v>
      </c>
      <c r="Z552" s="4">
        <f>GroDB[[#This Row],[Unit_Price]]*GroDB[[#This Row],[Sales_Volume]]</f>
        <v>97.5</v>
      </c>
      <c r="AA552" s="22">
        <f>GroDB[[#This Row],[ADU]]/GroDB[[#Totals],[ADU]]</f>
        <v>2.8320849018968682E-4</v>
      </c>
      <c r="AB552" s="1">
        <f>GroDB[[#This Row],[Sales_Volume]]*GroDB[[#This Row],[Ordering Cost]]</f>
        <v>78</v>
      </c>
    </row>
    <row r="553" spans="1:28" x14ac:dyDescent="0.35">
      <c r="A553" s="5" t="s">
        <v>947</v>
      </c>
      <c r="B553" s="3" t="s">
        <v>18</v>
      </c>
      <c r="C553" s="3" t="s">
        <v>1020</v>
      </c>
      <c r="D553" s="3" t="s">
        <v>2074</v>
      </c>
      <c r="E553" s="3" t="s">
        <v>56</v>
      </c>
      <c r="F553" s="3" t="s">
        <v>2075</v>
      </c>
      <c r="G553" s="3" t="s">
        <v>2076</v>
      </c>
      <c r="H553" s="43">
        <v>45640</v>
      </c>
      <c r="I553" s="43">
        <v>45502</v>
      </c>
      <c r="J553" s="47" t="str">
        <f>IF(GroDB[[#This Row],[Last_Order_Date]]&lt;=GroDB[[#This Row],[Date_Received]], "Yes", "No")</f>
        <v>Yes</v>
      </c>
      <c r="K553" s="43">
        <f>IF(GroDB[[#This Row],[Column1]]="No",GroDB[[#This Row],[Last_Order_Date]],GroDB[[#This Row],[Date_Received]])</f>
        <v>45640</v>
      </c>
      <c r="L553" s="43">
        <f>IF(GroDB[[#This Row],[Column1]]="No",GroDB[[#This Row],[Date_Received]],GroDB[[#This Row],[Last_Order_Date]])</f>
        <v>45502</v>
      </c>
      <c r="M553" s="45">
        <f>GroDB[[#This Row],[Date_Received1]]-GroDB[[#This Row],[Procurement_Date]]</f>
        <v>138</v>
      </c>
      <c r="N553" s="43">
        <v>45592</v>
      </c>
      <c r="O553" s="91">
        <f>GroDB[[#This Row],[Expiration_Date]]-GroDB[[#This Row],[Date_Received1]]</f>
        <v>-48</v>
      </c>
      <c r="P553" s="4">
        <v>0.96</v>
      </c>
      <c r="Q553" s="3">
        <v>28</v>
      </c>
      <c r="R553" s="3">
        <v>40</v>
      </c>
      <c r="S553" s="3">
        <v>27</v>
      </c>
      <c r="T553" s="4">
        <v>1.2</v>
      </c>
      <c r="U553" s="3">
        <v>30</v>
      </c>
      <c r="V553" s="51">
        <f>IF(GroDB[[#This Row],[LeadTime]]=0,GroDB[[#This Row],[Sales_Volume]],GroDB[[#This Row],[Sales_Volume]]/GroDB[[#This Row],[LeadTime]])</f>
        <v>0.21739130434782608</v>
      </c>
      <c r="W553" s="51">
        <f>_xlfn.STDEV.S(GroDB[Daily Sales])</f>
        <v>5.1999899792654221</v>
      </c>
      <c r="X553" s="3">
        <v>56</v>
      </c>
      <c r="Y553" s="7">
        <v>-1.4</v>
      </c>
      <c r="Z553" s="4">
        <f>GroDB[[#This Row],[Unit_Price]]*GroDB[[#This Row],[Sales_Volume]]</f>
        <v>36</v>
      </c>
      <c r="AA553" s="22">
        <f>GroDB[[#This Row],[ADU]]/GroDB[[#Totals],[ADU]]</f>
        <v>1.0456928868542282E-4</v>
      </c>
      <c r="AB553" s="1">
        <f>GroDB[[#This Row],[Sales_Volume]]*GroDB[[#This Row],[Ordering Cost]]</f>
        <v>28.799999999999997</v>
      </c>
    </row>
    <row r="554" spans="1:28" x14ac:dyDescent="0.35">
      <c r="A554" s="5" t="s">
        <v>272</v>
      </c>
      <c r="B554" s="3" t="s">
        <v>32</v>
      </c>
      <c r="C554" s="3" t="s">
        <v>2077</v>
      </c>
      <c r="D554" s="3" t="s">
        <v>2078</v>
      </c>
      <c r="E554" s="3" t="s">
        <v>21</v>
      </c>
      <c r="F554" s="3" t="s">
        <v>2079</v>
      </c>
      <c r="G554" s="3" t="s">
        <v>2080</v>
      </c>
      <c r="H554" s="43">
        <v>45640</v>
      </c>
      <c r="I554" s="43">
        <v>45625</v>
      </c>
      <c r="J554" s="47" t="str">
        <f>IF(GroDB[[#This Row],[Last_Order_Date]]&lt;=GroDB[[#This Row],[Date_Received]], "Yes", "No")</f>
        <v>Yes</v>
      </c>
      <c r="K554" s="43">
        <f>IF(GroDB[[#This Row],[Column1]]="No",GroDB[[#This Row],[Last_Order_Date]],GroDB[[#This Row],[Date_Received]])</f>
        <v>45640</v>
      </c>
      <c r="L554" s="43">
        <f>IF(GroDB[[#This Row],[Column1]]="No",GroDB[[#This Row],[Date_Received]],GroDB[[#This Row],[Last_Order_Date]])</f>
        <v>45625</v>
      </c>
      <c r="M554" s="45">
        <f>GroDB[[#This Row],[Date_Received1]]-GroDB[[#This Row],[Procurement_Date]]</f>
        <v>15</v>
      </c>
      <c r="N554" s="43">
        <v>45506</v>
      </c>
      <c r="O554" s="91">
        <f>GroDB[[#This Row],[Expiration_Date]]-GroDB[[#This Row],[Date_Received1]]</f>
        <v>-134</v>
      </c>
      <c r="P554" s="4">
        <v>0.8</v>
      </c>
      <c r="Q554" s="3">
        <v>44</v>
      </c>
      <c r="R554" s="3">
        <v>75</v>
      </c>
      <c r="S554" s="3">
        <v>72</v>
      </c>
      <c r="T554" s="4">
        <v>1</v>
      </c>
      <c r="U554" s="3">
        <v>96</v>
      </c>
      <c r="V554" s="51">
        <f>IF(GroDB[[#This Row],[LeadTime]]=0,GroDB[[#This Row],[Sales_Volume]],GroDB[[#This Row],[Sales_Volume]]/GroDB[[#This Row],[LeadTime]])</f>
        <v>6.4</v>
      </c>
      <c r="W554" s="51">
        <f>_xlfn.STDEV.S(GroDB[Daily Sales])</f>
        <v>5.1999899792654221</v>
      </c>
      <c r="X554" s="3">
        <v>38</v>
      </c>
      <c r="Y554" s="7">
        <v>-0.87</v>
      </c>
      <c r="Z554" s="4">
        <f>GroDB[[#This Row],[Unit_Price]]*GroDB[[#This Row],[Sales_Volume]]</f>
        <v>96</v>
      </c>
      <c r="AA554" s="22">
        <f>GroDB[[#This Row],[ADU]]/GroDB[[#Totals],[ADU]]</f>
        <v>2.788514364944609E-4</v>
      </c>
      <c r="AB554" s="1">
        <f>GroDB[[#This Row],[Sales_Volume]]*GroDB[[#This Row],[Ordering Cost]]</f>
        <v>76.800000000000011</v>
      </c>
    </row>
    <row r="555" spans="1:28" x14ac:dyDescent="0.35">
      <c r="A555" s="5" t="s">
        <v>828</v>
      </c>
      <c r="B555" s="3" t="s">
        <v>32</v>
      </c>
      <c r="C555" s="3" t="s">
        <v>2081</v>
      </c>
      <c r="D555" s="3" t="s">
        <v>2082</v>
      </c>
      <c r="E555" s="3" t="s">
        <v>28</v>
      </c>
      <c r="F555" s="3" t="s">
        <v>2083</v>
      </c>
      <c r="G555" s="3" t="s">
        <v>2084</v>
      </c>
      <c r="H555" s="43">
        <v>45641</v>
      </c>
      <c r="I555" s="43">
        <v>45626</v>
      </c>
      <c r="J555" s="47" t="str">
        <f>IF(GroDB[[#This Row],[Last_Order_Date]]&lt;=GroDB[[#This Row],[Date_Received]], "Yes", "No")</f>
        <v>Yes</v>
      </c>
      <c r="K555" s="43">
        <f>IF(GroDB[[#This Row],[Column1]]="No",GroDB[[#This Row],[Last_Order_Date]],GroDB[[#This Row],[Date_Received]])</f>
        <v>45641</v>
      </c>
      <c r="L555" s="43">
        <f>IF(GroDB[[#This Row],[Column1]]="No",GroDB[[#This Row],[Date_Received]],GroDB[[#This Row],[Last_Order_Date]])</f>
        <v>45626</v>
      </c>
      <c r="M555" s="45">
        <f>GroDB[[#This Row],[Date_Received1]]-GroDB[[#This Row],[Procurement_Date]]</f>
        <v>15</v>
      </c>
      <c r="N555" s="43">
        <v>45636</v>
      </c>
      <c r="O555" s="91">
        <f>GroDB[[#This Row],[Expiration_Date]]-GroDB[[#This Row],[Date_Received1]]</f>
        <v>-5</v>
      </c>
      <c r="P555" s="4">
        <v>4</v>
      </c>
      <c r="Q555" s="3">
        <v>89</v>
      </c>
      <c r="R555" s="3">
        <v>42</v>
      </c>
      <c r="S555" s="3">
        <v>76</v>
      </c>
      <c r="T555" s="4">
        <v>5</v>
      </c>
      <c r="U555" s="3">
        <v>94</v>
      </c>
      <c r="V555" s="51">
        <f>IF(GroDB[[#This Row],[LeadTime]]=0,GroDB[[#This Row],[Sales_Volume]],GroDB[[#This Row],[Sales_Volume]]/GroDB[[#This Row],[LeadTime]])</f>
        <v>6.2666666666666666</v>
      </c>
      <c r="W555" s="51">
        <f>_xlfn.STDEV.S(GroDB[Daily Sales])</f>
        <v>5.1999899792654221</v>
      </c>
      <c r="X555" s="3">
        <v>81</v>
      </c>
      <c r="Y555" s="7">
        <v>0.6</v>
      </c>
      <c r="Z555" s="4">
        <f>GroDB[[#This Row],[Unit_Price]]*GroDB[[#This Row],[Sales_Volume]]</f>
        <v>470</v>
      </c>
      <c r="AA555" s="22">
        <f>GroDB[[#This Row],[ADU]]/GroDB[[#Totals],[ADU]]</f>
        <v>1.3652101578374646E-3</v>
      </c>
      <c r="AB555" s="1">
        <f>GroDB[[#This Row],[Sales_Volume]]*GroDB[[#This Row],[Ordering Cost]]</f>
        <v>376</v>
      </c>
    </row>
    <row r="556" spans="1:28" x14ac:dyDescent="0.35">
      <c r="A556" s="5" t="s">
        <v>686</v>
      </c>
      <c r="B556" s="3" t="s">
        <v>18</v>
      </c>
      <c r="C556" s="3" t="s">
        <v>943</v>
      </c>
      <c r="D556" s="3" t="s">
        <v>2085</v>
      </c>
      <c r="E556" s="3" t="s">
        <v>21</v>
      </c>
      <c r="F556" s="3" t="s">
        <v>2086</v>
      </c>
      <c r="G556" s="3" t="s">
        <v>2087</v>
      </c>
      <c r="H556" s="43">
        <v>45641</v>
      </c>
      <c r="I556" s="43">
        <v>45656</v>
      </c>
      <c r="J556" s="47" t="str">
        <f>IF(GroDB[[#This Row],[Last_Order_Date]]&lt;=GroDB[[#This Row],[Date_Received]], "Yes", "No")</f>
        <v>No</v>
      </c>
      <c r="K556" s="43">
        <f>IF(GroDB[[#This Row],[Column1]]="No",GroDB[[#This Row],[Last_Order_Date]],GroDB[[#This Row],[Date_Received]])</f>
        <v>45656</v>
      </c>
      <c r="L556" s="43">
        <f>IF(GroDB[[#This Row],[Column1]]="No",GroDB[[#This Row],[Date_Received]],GroDB[[#This Row],[Last_Order_Date]])</f>
        <v>45641</v>
      </c>
      <c r="M556" s="45">
        <f>GroDB[[#This Row],[Date_Received1]]-GroDB[[#This Row],[Procurement_Date]]</f>
        <v>15</v>
      </c>
      <c r="N556" s="43">
        <v>45528</v>
      </c>
      <c r="O556" s="91">
        <f>GroDB[[#This Row],[Expiration_Date]]-GroDB[[#This Row],[Date_Received1]]</f>
        <v>-128</v>
      </c>
      <c r="P556" s="4">
        <v>2</v>
      </c>
      <c r="Q556" s="3">
        <v>100</v>
      </c>
      <c r="R556" s="3">
        <v>64</v>
      </c>
      <c r="S556" s="3">
        <v>62</v>
      </c>
      <c r="T556" s="4">
        <v>2.5</v>
      </c>
      <c r="U556" s="3">
        <v>84</v>
      </c>
      <c r="V556" s="51">
        <f>IF(GroDB[[#This Row],[LeadTime]]=0,GroDB[[#This Row],[Sales_Volume]],GroDB[[#This Row],[Sales_Volume]]/GroDB[[#This Row],[LeadTime]])</f>
        <v>5.6</v>
      </c>
      <c r="W556" s="51">
        <f>_xlfn.STDEV.S(GroDB[Daily Sales])</f>
        <v>5.1999899792654221</v>
      </c>
      <c r="X556" s="3">
        <v>44</v>
      </c>
      <c r="Y556" s="7">
        <v>0.14000000000000001</v>
      </c>
      <c r="Z556" s="4">
        <f>GroDB[[#This Row],[Unit_Price]]*GroDB[[#This Row],[Sales_Volume]]</f>
        <v>210</v>
      </c>
      <c r="AA556" s="22">
        <f>GroDB[[#This Row],[ADU]]/GroDB[[#Totals],[ADU]]</f>
        <v>6.0998751733163314E-4</v>
      </c>
      <c r="AB556" s="1">
        <f>GroDB[[#This Row],[Sales_Volume]]*GroDB[[#This Row],[Ordering Cost]]</f>
        <v>168</v>
      </c>
    </row>
    <row r="557" spans="1:28" x14ac:dyDescent="0.35">
      <c r="A557" s="5" t="s">
        <v>1179</v>
      </c>
      <c r="B557" s="3" t="s">
        <v>91</v>
      </c>
      <c r="C557" s="3" t="s">
        <v>312</v>
      </c>
      <c r="D557" s="3" t="s">
        <v>2088</v>
      </c>
      <c r="E557" s="3" t="s">
        <v>21</v>
      </c>
      <c r="F557" s="3" t="s">
        <v>2089</v>
      </c>
      <c r="G557" s="3" t="s">
        <v>2090</v>
      </c>
      <c r="H557" s="43">
        <v>45642</v>
      </c>
      <c r="I557" s="43">
        <v>45441</v>
      </c>
      <c r="J557" s="47" t="str">
        <f>IF(GroDB[[#This Row],[Last_Order_Date]]&lt;=GroDB[[#This Row],[Date_Received]], "Yes", "No")</f>
        <v>Yes</v>
      </c>
      <c r="K557" s="43">
        <f>IF(GroDB[[#This Row],[Column1]]="No",GroDB[[#This Row],[Last_Order_Date]],GroDB[[#This Row],[Date_Received]])</f>
        <v>45642</v>
      </c>
      <c r="L557" s="43">
        <f>IF(GroDB[[#This Row],[Column1]]="No",GroDB[[#This Row],[Date_Received]],GroDB[[#This Row],[Last_Order_Date]])</f>
        <v>45441</v>
      </c>
      <c r="M557" s="45">
        <f>GroDB[[#This Row],[Date_Received1]]-GroDB[[#This Row],[Procurement_Date]]</f>
        <v>201</v>
      </c>
      <c r="N557" s="43">
        <v>45574</v>
      </c>
      <c r="O557" s="91">
        <f>GroDB[[#This Row],[Expiration_Date]]-GroDB[[#This Row],[Date_Received1]]</f>
        <v>-68</v>
      </c>
      <c r="P557" s="4">
        <v>2</v>
      </c>
      <c r="Q557" s="3">
        <v>62</v>
      </c>
      <c r="R557" s="3">
        <v>49</v>
      </c>
      <c r="S557" s="3">
        <v>38</v>
      </c>
      <c r="T557" s="4">
        <v>2.5</v>
      </c>
      <c r="U557" s="3">
        <v>42</v>
      </c>
      <c r="V557" s="51">
        <f>IF(GroDB[[#This Row],[LeadTime]]=0,GroDB[[#This Row],[Sales_Volume]],GroDB[[#This Row],[Sales_Volume]]/GroDB[[#This Row],[LeadTime]])</f>
        <v>0.20895522388059701</v>
      </c>
      <c r="W557" s="51">
        <f>_xlfn.STDEV.S(GroDB[Daily Sales])</f>
        <v>5.1999899792654221</v>
      </c>
      <c r="X557" s="3">
        <v>44</v>
      </c>
      <c r="Y557" s="7">
        <v>0.48</v>
      </c>
      <c r="Z557" s="4">
        <f>GroDB[[#This Row],[Unit_Price]]*GroDB[[#This Row],[Sales_Volume]]</f>
        <v>105</v>
      </c>
      <c r="AA557" s="22">
        <f>GroDB[[#This Row],[ADU]]/GroDB[[#Totals],[ADU]]</f>
        <v>3.0499375866581657E-4</v>
      </c>
      <c r="AB557" s="1">
        <f>GroDB[[#This Row],[Sales_Volume]]*GroDB[[#This Row],[Ordering Cost]]</f>
        <v>84</v>
      </c>
    </row>
    <row r="558" spans="1:28" x14ac:dyDescent="0.35">
      <c r="A558" s="5" t="s">
        <v>243</v>
      </c>
      <c r="B558" s="3" t="s">
        <v>18</v>
      </c>
      <c r="C558" s="3" t="s">
        <v>421</v>
      </c>
      <c r="D558" s="3" t="s">
        <v>2091</v>
      </c>
      <c r="E558" s="3" t="s">
        <v>28</v>
      </c>
      <c r="F558" s="3" t="s">
        <v>2092</v>
      </c>
      <c r="G558" s="3" t="s">
        <v>2093</v>
      </c>
      <c r="H558" s="43">
        <v>45642</v>
      </c>
      <c r="I558" s="43">
        <v>45357</v>
      </c>
      <c r="J558" s="47" t="str">
        <f>IF(GroDB[[#This Row],[Last_Order_Date]]&lt;=GroDB[[#This Row],[Date_Received]], "Yes", "No")</f>
        <v>Yes</v>
      </c>
      <c r="K558" s="43">
        <f>IF(GroDB[[#This Row],[Column1]]="No",GroDB[[#This Row],[Last_Order_Date]],GroDB[[#This Row],[Date_Received]])</f>
        <v>45642</v>
      </c>
      <c r="L558" s="43">
        <f>IF(GroDB[[#This Row],[Column1]]="No",GroDB[[#This Row],[Date_Received]],GroDB[[#This Row],[Last_Order_Date]])</f>
        <v>45357</v>
      </c>
      <c r="M558" s="45">
        <f>GroDB[[#This Row],[Date_Received1]]-GroDB[[#This Row],[Procurement_Date]]</f>
        <v>285</v>
      </c>
      <c r="N558" s="43">
        <v>45498</v>
      </c>
      <c r="O558" s="91">
        <f>GroDB[[#This Row],[Expiration_Date]]-GroDB[[#This Row],[Date_Received1]]</f>
        <v>-144</v>
      </c>
      <c r="P558" s="4">
        <v>1.6</v>
      </c>
      <c r="Q558" s="3">
        <v>100</v>
      </c>
      <c r="R558" s="3">
        <v>7</v>
      </c>
      <c r="S558" s="3">
        <v>14</v>
      </c>
      <c r="T558" s="4">
        <v>2</v>
      </c>
      <c r="U558" s="3">
        <v>26</v>
      </c>
      <c r="V558" s="51">
        <f>IF(GroDB[[#This Row],[LeadTime]]=0,GroDB[[#This Row],[Sales_Volume]],GroDB[[#This Row],[Sales_Volume]]/GroDB[[#This Row],[LeadTime]])</f>
        <v>9.1228070175438603E-2</v>
      </c>
      <c r="W558" s="51">
        <f>_xlfn.STDEV.S(GroDB[Daily Sales])</f>
        <v>5.1999899792654221</v>
      </c>
      <c r="X558" s="3">
        <v>33</v>
      </c>
      <c r="Y558" s="7">
        <v>-0.05</v>
      </c>
      <c r="Z558" s="4">
        <f>GroDB[[#This Row],[Unit_Price]]*GroDB[[#This Row],[Sales_Volume]]</f>
        <v>52</v>
      </c>
      <c r="AA558" s="22">
        <f>GroDB[[#This Row],[ADU]]/GroDB[[#Totals],[ADU]]</f>
        <v>1.5104452810116631E-4</v>
      </c>
      <c r="AB558" s="1">
        <f>GroDB[[#This Row],[Sales_Volume]]*GroDB[[#This Row],[Ordering Cost]]</f>
        <v>41.6</v>
      </c>
    </row>
    <row r="559" spans="1:28" x14ac:dyDescent="0.35">
      <c r="A559" s="5" t="s">
        <v>106</v>
      </c>
      <c r="B559" s="3" t="s">
        <v>32</v>
      </c>
      <c r="C559" s="3" t="s">
        <v>1671</v>
      </c>
      <c r="D559" s="3" t="s">
        <v>2094</v>
      </c>
      <c r="E559" s="3" t="s">
        <v>28</v>
      </c>
      <c r="F559" s="3" t="s">
        <v>2095</v>
      </c>
      <c r="G559" s="3" t="s">
        <v>2096</v>
      </c>
      <c r="H559" s="43">
        <v>45643</v>
      </c>
      <c r="I559" s="43">
        <v>45647</v>
      </c>
      <c r="J559" s="47" t="str">
        <f>IF(GroDB[[#This Row],[Last_Order_Date]]&lt;=GroDB[[#This Row],[Date_Received]], "Yes", "No")</f>
        <v>No</v>
      </c>
      <c r="K559" s="43">
        <f>IF(GroDB[[#This Row],[Column1]]="No",GroDB[[#This Row],[Last_Order_Date]],GroDB[[#This Row],[Date_Received]])</f>
        <v>45647</v>
      </c>
      <c r="L559" s="43">
        <f>IF(GroDB[[#This Row],[Column1]]="No",GroDB[[#This Row],[Date_Received]],GroDB[[#This Row],[Last_Order_Date]])</f>
        <v>45643</v>
      </c>
      <c r="M559" s="45">
        <f>GroDB[[#This Row],[Date_Received1]]-GroDB[[#This Row],[Procurement_Date]]</f>
        <v>4</v>
      </c>
      <c r="N559" s="43">
        <v>45428</v>
      </c>
      <c r="O559" s="91">
        <f>GroDB[[#This Row],[Expiration_Date]]-GroDB[[#This Row],[Date_Received1]]</f>
        <v>-219</v>
      </c>
      <c r="P559" s="4">
        <v>2</v>
      </c>
      <c r="Q559" s="3">
        <v>42</v>
      </c>
      <c r="R559" s="3">
        <v>94</v>
      </c>
      <c r="S559" s="3">
        <v>79</v>
      </c>
      <c r="T559" s="4">
        <v>2.5</v>
      </c>
      <c r="U559" s="3">
        <v>61</v>
      </c>
      <c r="V559" s="51">
        <f>IF(GroDB[[#This Row],[LeadTime]]=0,GroDB[[#This Row],[Sales_Volume]],GroDB[[#This Row],[Sales_Volume]]/GroDB[[#This Row],[LeadTime]])</f>
        <v>15.25</v>
      </c>
      <c r="W559" s="51">
        <f>_xlfn.STDEV.S(GroDB[Daily Sales])</f>
        <v>5.1999899792654221</v>
      </c>
      <c r="X559" s="3">
        <v>92</v>
      </c>
      <c r="Y559" s="7">
        <v>-0.27</v>
      </c>
      <c r="Z559" s="4">
        <f>GroDB[[#This Row],[Unit_Price]]*GroDB[[#This Row],[Sales_Volume]]</f>
        <v>152.5</v>
      </c>
      <c r="AA559" s="22">
        <f>GroDB[[#This Row],[ADU]]/GroDB[[#Totals],[ADU]]</f>
        <v>4.4296712568130505E-4</v>
      </c>
      <c r="AB559" s="1">
        <f>GroDB[[#This Row],[Sales_Volume]]*GroDB[[#This Row],[Ordering Cost]]</f>
        <v>122</v>
      </c>
    </row>
    <row r="560" spans="1:28" x14ac:dyDescent="0.35">
      <c r="A560" s="5" t="s">
        <v>531</v>
      </c>
      <c r="B560" s="3" t="s">
        <v>53</v>
      </c>
      <c r="C560" s="3" t="s">
        <v>570</v>
      </c>
      <c r="D560" s="3" t="s">
        <v>2097</v>
      </c>
      <c r="E560" s="3" t="s">
        <v>21</v>
      </c>
      <c r="F560" s="3" t="s">
        <v>2098</v>
      </c>
      <c r="G560" s="3" t="s">
        <v>2099</v>
      </c>
      <c r="H560" s="43">
        <v>45644</v>
      </c>
      <c r="I560" s="43">
        <v>45436</v>
      </c>
      <c r="J560" s="47" t="str">
        <f>IF(GroDB[[#This Row],[Last_Order_Date]]&lt;=GroDB[[#This Row],[Date_Received]], "Yes", "No")</f>
        <v>Yes</v>
      </c>
      <c r="K560" s="43">
        <f>IF(GroDB[[#This Row],[Column1]]="No",GroDB[[#This Row],[Last_Order_Date]],GroDB[[#This Row],[Date_Received]])</f>
        <v>45644</v>
      </c>
      <c r="L560" s="43">
        <f>IF(GroDB[[#This Row],[Column1]]="No",GroDB[[#This Row],[Date_Received]],GroDB[[#This Row],[Last_Order_Date]])</f>
        <v>45436</v>
      </c>
      <c r="M560" s="45">
        <f>GroDB[[#This Row],[Date_Received1]]-GroDB[[#This Row],[Procurement_Date]]</f>
        <v>208</v>
      </c>
      <c r="N560" s="43">
        <v>45664</v>
      </c>
      <c r="O560" s="91">
        <f>GroDB[[#This Row],[Expiration_Date]]-GroDB[[#This Row],[Date_Received1]]</f>
        <v>20</v>
      </c>
      <c r="P560" s="4">
        <v>1.2800000000000002</v>
      </c>
      <c r="Q560" s="3">
        <v>62</v>
      </c>
      <c r="R560" s="3">
        <v>81</v>
      </c>
      <c r="S560" s="3">
        <v>91</v>
      </c>
      <c r="T560" s="4">
        <v>1.6</v>
      </c>
      <c r="U560" s="3">
        <v>100</v>
      </c>
      <c r="V560" s="51">
        <f>IF(GroDB[[#This Row],[LeadTime]]=0,GroDB[[#This Row],[Sales_Volume]],GroDB[[#This Row],[Sales_Volume]]/GroDB[[#This Row],[LeadTime]])</f>
        <v>0.48076923076923078</v>
      </c>
      <c r="W560" s="51">
        <f>_xlfn.STDEV.S(GroDB[Daily Sales])</f>
        <v>5.1999899792654221</v>
      </c>
      <c r="X560" s="3">
        <v>42</v>
      </c>
      <c r="Y560" s="7">
        <v>-0.51</v>
      </c>
      <c r="Z560" s="4">
        <f>GroDB[[#This Row],[Unit_Price]]*GroDB[[#This Row],[Sales_Volume]]</f>
        <v>160</v>
      </c>
      <c r="AA560" s="22">
        <f>GroDB[[#This Row],[ADU]]/GroDB[[#Totals],[ADU]]</f>
        <v>4.647523941574348E-4</v>
      </c>
      <c r="AB560" s="1">
        <f>GroDB[[#This Row],[Sales_Volume]]*GroDB[[#This Row],[Ordering Cost]]</f>
        <v>128.00000000000003</v>
      </c>
    </row>
    <row r="561" spans="1:28" x14ac:dyDescent="0.35">
      <c r="A561" s="5" t="s">
        <v>438</v>
      </c>
      <c r="B561" s="3" t="s">
        <v>18</v>
      </c>
      <c r="C561" s="3" t="s">
        <v>522</v>
      </c>
      <c r="D561" s="3" t="s">
        <v>2100</v>
      </c>
      <c r="E561" s="3" t="s">
        <v>21</v>
      </c>
      <c r="F561" s="3" t="s">
        <v>2101</v>
      </c>
      <c r="G561" s="3" t="s">
        <v>2102</v>
      </c>
      <c r="H561" s="43">
        <v>45644</v>
      </c>
      <c r="I561" s="43">
        <v>45712</v>
      </c>
      <c r="J561" s="47" t="str">
        <f>IF(GroDB[[#This Row],[Last_Order_Date]]&lt;=GroDB[[#This Row],[Date_Received]], "Yes", "No")</f>
        <v>No</v>
      </c>
      <c r="K561" s="43">
        <f>IF(GroDB[[#This Row],[Column1]]="No",GroDB[[#This Row],[Last_Order_Date]],GroDB[[#This Row],[Date_Received]])</f>
        <v>45712</v>
      </c>
      <c r="L561" s="43">
        <f>IF(GroDB[[#This Row],[Column1]]="No",GroDB[[#This Row],[Date_Received]],GroDB[[#This Row],[Last_Order_Date]])</f>
        <v>45644</v>
      </c>
      <c r="M561" s="45">
        <f>GroDB[[#This Row],[Date_Received1]]-GroDB[[#This Row],[Procurement_Date]]</f>
        <v>68</v>
      </c>
      <c r="N561" s="43">
        <v>45685</v>
      </c>
      <c r="O561" s="91">
        <f>GroDB[[#This Row],[Expiration_Date]]-GroDB[[#This Row],[Date_Received1]]</f>
        <v>-27</v>
      </c>
      <c r="P561" s="4">
        <v>4</v>
      </c>
      <c r="Q561" s="3">
        <v>19</v>
      </c>
      <c r="R561" s="3">
        <v>47</v>
      </c>
      <c r="S561" s="3">
        <v>25</v>
      </c>
      <c r="T561" s="4">
        <v>5</v>
      </c>
      <c r="U561" s="3">
        <v>96</v>
      </c>
      <c r="V561" s="51">
        <f>IF(GroDB[[#This Row],[LeadTime]]=0,GroDB[[#This Row],[Sales_Volume]],GroDB[[#This Row],[Sales_Volume]]/GroDB[[#This Row],[LeadTime]])</f>
        <v>1.411764705882353</v>
      </c>
      <c r="W561" s="51">
        <f>_xlfn.STDEV.S(GroDB[Daily Sales])</f>
        <v>5.1999899792654221</v>
      </c>
      <c r="X561" s="3">
        <v>37</v>
      </c>
      <c r="Y561" s="7">
        <v>0.57999999999999996</v>
      </c>
      <c r="Z561" s="4">
        <f>GroDB[[#This Row],[Unit_Price]]*GroDB[[#This Row],[Sales_Volume]]</f>
        <v>480</v>
      </c>
      <c r="AA561" s="22">
        <f>GroDB[[#This Row],[ADU]]/GroDB[[#Totals],[ADU]]</f>
        <v>1.3942571824723045E-3</v>
      </c>
      <c r="AB561" s="1">
        <f>GroDB[[#This Row],[Sales_Volume]]*GroDB[[#This Row],[Ordering Cost]]</f>
        <v>384</v>
      </c>
    </row>
    <row r="562" spans="1:28" x14ac:dyDescent="0.35">
      <c r="A562" s="5" t="s">
        <v>980</v>
      </c>
      <c r="B562" s="3" t="s">
        <v>60</v>
      </c>
      <c r="C562" s="3" t="s">
        <v>1704</v>
      </c>
      <c r="D562" s="3" t="s">
        <v>2103</v>
      </c>
      <c r="E562" s="3" t="s">
        <v>28</v>
      </c>
      <c r="F562" s="3" t="s">
        <v>2104</v>
      </c>
      <c r="G562" s="3" t="s">
        <v>2105</v>
      </c>
      <c r="H562" s="43">
        <v>45644</v>
      </c>
      <c r="I562" s="43">
        <v>45447</v>
      </c>
      <c r="J562" s="47" t="str">
        <f>IF(GroDB[[#This Row],[Last_Order_Date]]&lt;=GroDB[[#This Row],[Date_Received]], "Yes", "No")</f>
        <v>Yes</v>
      </c>
      <c r="K562" s="43">
        <f>IF(GroDB[[#This Row],[Column1]]="No",GroDB[[#This Row],[Last_Order_Date]],GroDB[[#This Row],[Date_Received]])</f>
        <v>45644</v>
      </c>
      <c r="L562" s="43">
        <f>IF(GroDB[[#This Row],[Column1]]="No",GroDB[[#This Row],[Date_Received]],GroDB[[#This Row],[Last_Order_Date]])</f>
        <v>45447</v>
      </c>
      <c r="M562" s="45">
        <f>GroDB[[#This Row],[Date_Received1]]-GroDB[[#This Row],[Procurement_Date]]</f>
        <v>197</v>
      </c>
      <c r="N562" s="43">
        <v>45398</v>
      </c>
      <c r="O562" s="91">
        <f>GroDB[[#This Row],[Expiration_Date]]-GroDB[[#This Row],[Date_Received1]]</f>
        <v>-246</v>
      </c>
      <c r="P562" s="4">
        <v>12</v>
      </c>
      <c r="Q562" s="3">
        <v>52</v>
      </c>
      <c r="R562" s="3">
        <v>46</v>
      </c>
      <c r="S562" s="3">
        <v>12</v>
      </c>
      <c r="T562" s="4">
        <v>15</v>
      </c>
      <c r="U562" s="3">
        <v>43</v>
      </c>
      <c r="V562" s="51">
        <f>IF(GroDB[[#This Row],[LeadTime]]=0,GroDB[[#This Row],[Sales_Volume]],GroDB[[#This Row],[Sales_Volume]]/GroDB[[#This Row],[LeadTime]])</f>
        <v>0.21827411167512689</v>
      </c>
      <c r="W562" s="51">
        <f>_xlfn.STDEV.S(GroDB[Daily Sales])</f>
        <v>5.1999899792654221</v>
      </c>
      <c r="X562" s="3">
        <v>34</v>
      </c>
      <c r="Y562" s="7">
        <v>0.61</v>
      </c>
      <c r="Z562" s="4">
        <f>GroDB[[#This Row],[Unit_Price]]*GroDB[[#This Row],[Sales_Volume]]</f>
        <v>645</v>
      </c>
      <c r="AA562" s="22">
        <f>GroDB[[#This Row],[ADU]]/GroDB[[#Totals],[ADU]]</f>
        <v>1.873533088947159E-3</v>
      </c>
      <c r="AB562" s="1">
        <f>GroDB[[#This Row],[Sales_Volume]]*GroDB[[#This Row],[Ordering Cost]]</f>
        <v>516</v>
      </c>
    </row>
    <row r="563" spans="1:28" x14ac:dyDescent="0.35">
      <c r="A563" s="5" t="s">
        <v>151</v>
      </c>
      <c r="B563" s="3" t="s">
        <v>91</v>
      </c>
      <c r="C563" s="3" t="s">
        <v>466</v>
      </c>
      <c r="D563" s="3" t="s">
        <v>2106</v>
      </c>
      <c r="E563" s="3" t="s">
        <v>21</v>
      </c>
      <c r="F563" s="3" t="s">
        <v>2107</v>
      </c>
      <c r="G563" s="3" t="s">
        <v>2108</v>
      </c>
      <c r="H563" s="43">
        <v>45645</v>
      </c>
      <c r="I563" s="43">
        <v>45559</v>
      </c>
      <c r="J563" s="47" t="str">
        <f>IF(GroDB[[#This Row],[Last_Order_Date]]&lt;=GroDB[[#This Row],[Date_Received]], "Yes", "No")</f>
        <v>Yes</v>
      </c>
      <c r="K563" s="43">
        <f>IF(GroDB[[#This Row],[Column1]]="No",GroDB[[#This Row],[Last_Order_Date]],GroDB[[#This Row],[Date_Received]])</f>
        <v>45645</v>
      </c>
      <c r="L563" s="43">
        <f>IF(GroDB[[#This Row],[Column1]]="No",GroDB[[#This Row],[Date_Received]],GroDB[[#This Row],[Last_Order_Date]])</f>
        <v>45559</v>
      </c>
      <c r="M563" s="45">
        <f>GroDB[[#This Row],[Date_Received1]]-GroDB[[#This Row],[Procurement_Date]]</f>
        <v>86</v>
      </c>
      <c r="N563" s="43">
        <v>45616</v>
      </c>
      <c r="O563" s="91">
        <f>GroDB[[#This Row],[Expiration_Date]]-GroDB[[#This Row],[Date_Received1]]</f>
        <v>-29</v>
      </c>
      <c r="P563" s="4">
        <v>3.6</v>
      </c>
      <c r="Q563" s="3">
        <v>30</v>
      </c>
      <c r="R563" s="3">
        <v>85</v>
      </c>
      <c r="S563" s="3">
        <v>21</v>
      </c>
      <c r="T563" s="4">
        <v>4.5</v>
      </c>
      <c r="U563" s="3">
        <v>32</v>
      </c>
      <c r="V563" s="51">
        <f>IF(GroDB[[#This Row],[LeadTime]]=0,GroDB[[#This Row],[Sales_Volume]],GroDB[[#This Row],[Sales_Volume]]/GroDB[[#This Row],[LeadTime]])</f>
        <v>0.37209302325581395</v>
      </c>
      <c r="W563" s="51">
        <f>_xlfn.STDEV.S(GroDB[Daily Sales])</f>
        <v>5.1999899792654221</v>
      </c>
      <c r="X563" s="3">
        <v>83</v>
      </c>
      <c r="Y563" s="7">
        <v>0.21</v>
      </c>
      <c r="Z563" s="4">
        <f>GroDB[[#This Row],[Unit_Price]]*GroDB[[#This Row],[Sales_Volume]]</f>
        <v>144</v>
      </c>
      <c r="AA563" s="22">
        <f>GroDB[[#This Row],[ADU]]/GroDB[[#Totals],[ADU]]</f>
        <v>4.182771547416913E-4</v>
      </c>
      <c r="AB563" s="1">
        <f>GroDB[[#This Row],[Sales_Volume]]*GroDB[[#This Row],[Ordering Cost]]</f>
        <v>115.2</v>
      </c>
    </row>
    <row r="564" spans="1:28" x14ac:dyDescent="0.35">
      <c r="A564" s="5" t="s">
        <v>142</v>
      </c>
      <c r="B564" s="3" t="s">
        <v>18</v>
      </c>
      <c r="C564" s="3" t="s">
        <v>770</v>
      </c>
      <c r="D564" s="3" t="s">
        <v>2109</v>
      </c>
      <c r="E564" s="3" t="s">
        <v>56</v>
      </c>
      <c r="F564" s="3" t="s">
        <v>2110</v>
      </c>
      <c r="G564" s="3" t="s">
        <v>2111</v>
      </c>
      <c r="H564" s="43">
        <v>45645</v>
      </c>
      <c r="I564" s="43">
        <v>45615</v>
      </c>
      <c r="J564" s="47" t="str">
        <f>IF(GroDB[[#This Row],[Last_Order_Date]]&lt;=GroDB[[#This Row],[Date_Received]], "Yes", "No")</f>
        <v>Yes</v>
      </c>
      <c r="K564" s="43">
        <f>IF(GroDB[[#This Row],[Column1]]="No",GroDB[[#This Row],[Last_Order_Date]],GroDB[[#This Row],[Date_Received]])</f>
        <v>45645</v>
      </c>
      <c r="L564" s="43">
        <f>IF(GroDB[[#This Row],[Column1]]="No",GroDB[[#This Row],[Date_Received]],GroDB[[#This Row],[Last_Order_Date]])</f>
        <v>45615</v>
      </c>
      <c r="M564" s="45">
        <f>GroDB[[#This Row],[Date_Received1]]-GroDB[[#This Row],[Procurement_Date]]</f>
        <v>30</v>
      </c>
      <c r="N564" s="43">
        <v>45413</v>
      </c>
      <c r="O564" s="91">
        <f>GroDB[[#This Row],[Expiration_Date]]-GroDB[[#This Row],[Date_Received1]]</f>
        <v>-232</v>
      </c>
      <c r="P564" s="4">
        <v>3.2</v>
      </c>
      <c r="Q564" s="3">
        <v>77</v>
      </c>
      <c r="R564" s="3">
        <v>52</v>
      </c>
      <c r="S564" s="3">
        <v>28</v>
      </c>
      <c r="T564" s="4">
        <v>4</v>
      </c>
      <c r="U564" s="3">
        <v>48</v>
      </c>
      <c r="V564" s="51">
        <f>IF(GroDB[[#This Row],[LeadTime]]=0,GroDB[[#This Row],[Sales_Volume]],GroDB[[#This Row],[Sales_Volume]]/GroDB[[#This Row],[LeadTime]])</f>
        <v>1.6</v>
      </c>
      <c r="W564" s="51">
        <f>_xlfn.STDEV.S(GroDB[Daily Sales])</f>
        <v>5.1999899792654221</v>
      </c>
      <c r="X564" s="3">
        <v>43</v>
      </c>
      <c r="Y564" s="7">
        <v>-1.59</v>
      </c>
      <c r="Z564" s="4">
        <f>GroDB[[#This Row],[Unit_Price]]*GroDB[[#This Row],[Sales_Volume]]</f>
        <v>192</v>
      </c>
      <c r="AA564" s="22">
        <f>GroDB[[#This Row],[ADU]]/GroDB[[#Totals],[ADU]]</f>
        <v>5.577028729889218E-4</v>
      </c>
      <c r="AB564" s="1">
        <f>GroDB[[#This Row],[Sales_Volume]]*GroDB[[#This Row],[Ordering Cost]]</f>
        <v>153.60000000000002</v>
      </c>
    </row>
    <row r="565" spans="1:28" x14ac:dyDescent="0.35">
      <c r="A565" s="5" t="s">
        <v>111</v>
      </c>
      <c r="B565" s="3" t="s">
        <v>32</v>
      </c>
      <c r="C565" s="3" t="s">
        <v>2112</v>
      </c>
      <c r="D565" s="3" t="s">
        <v>2113</v>
      </c>
      <c r="E565" s="3" t="s">
        <v>21</v>
      </c>
      <c r="F565" s="3" t="s">
        <v>2114</v>
      </c>
      <c r="G565" s="3" t="s">
        <v>2115</v>
      </c>
      <c r="H565" s="43">
        <v>45645</v>
      </c>
      <c r="I565" s="43">
        <v>45503</v>
      </c>
      <c r="J565" s="47" t="str">
        <f>IF(GroDB[[#This Row],[Last_Order_Date]]&lt;=GroDB[[#This Row],[Date_Received]], "Yes", "No")</f>
        <v>Yes</v>
      </c>
      <c r="K565" s="43">
        <f>IF(GroDB[[#This Row],[Column1]]="No",GroDB[[#This Row],[Last_Order_Date]],GroDB[[#This Row],[Date_Received]])</f>
        <v>45645</v>
      </c>
      <c r="L565" s="43">
        <f>IF(GroDB[[#This Row],[Column1]]="No",GroDB[[#This Row],[Date_Received]],GroDB[[#This Row],[Last_Order_Date]])</f>
        <v>45503</v>
      </c>
      <c r="M565" s="45">
        <f>GroDB[[#This Row],[Date_Received1]]-GroDB[[#This Row],[Procurement_Date]]</f>
        <v>142</v>
      </c>
      <c r="N565" s="43">
        <v>45685</v>
      </c>
      <c r="O565" s="91">
        <f>GroDB[[#This Row],[Expiration_Date]]-GroDB[[#This Row],[Date_Received1]]</f>
        <v>40</v>
      </c>
      <c r="P565" s="4">
        <v>4.88</v>
      </c>
      <c r="Q565" s="3">
        <v>96</v>
      </c>
      <c r="R565" s="3">
        <v>80</v>
      </c>
      <c r="S565" s="3">
        <v>20</v>
      </c>
      <c r="T565" s="4">
        <v>6.1</v>
      </c>
      <c r="U565" s="3">
        <v>94</v>
      </c>
      <c r="V565" s="51">
        <f>IF(GroDB[[#This Row],[LeadTime]]=0,GroDB[[#This Row],[Sales_Volume]],GroDB[[#This Row],[Sales_Volume]]/GroDB[[#This Row],[LeadTime]])</f>
        <v>0.6619718309859155</v>
      </c>
      <c r="W565" s="51">
        <f>_xlfn.STDEV.S(GroDB[Daily Sales])</f>
        <v>5.1999899792654221</v>
      </c>
      <c r="X565" s="3">
        <v>49</v>
      </c>
      <c r="Y565" s="7">
        <v>0.1</v>
      </c>
      <c r="Z565" s="4">
        <f>GroDB[[#This Row],[Unit_Price]]*GroDB[[#This Row],[Sales_Volume]]</f>
        <v>573.4</v>
      </c>
      <c r="AA565" s="22">
        <f>GroDB[[#This Row],[ADU]]/GroDB[[#Totals],[ADU]]</f>
        <v>1.665556392561707E-3</v>
      </c>
      <c r="AB565" s="1">
        <f>GroDB[[#This Row],[Sales_Volume]]*GroDB[[#This Row],[Ordering Cost]]</f>
        <v>458.71999999999997</v>
      </c>
    </row>
    <row r="566" spans="1:28" x14ac:dyDescent="0.35">
      <c r="A566" s="5" t="s">
        <v>674</v>
      </c>
      <c r="B566" s="3" t="s">
        <v>60</v>
      </c>
      <c r="C566" s="3" t="s">
        <v>171</v>
      </c>
      <c r="D566" s="3" t="s">
        <v>2116</v>
      </c>
      <c r="E566" s="3" t="s">
        <v>28</v>
      </c>
      <c r="F566" s="3" t="s">
        <v>2117</v>
      </c>
      <c r="G566" s="3" t="s">
        <v>2118</v>
      </c>
      <c r="H566" s="43">
        <v>45645</v>
      </c>
      <c r="I566" s="43">
        <v>45396</v>
      </c>
      <c r="J566" s="47" t="str">
        <f>IF(GroDB[[#This Row],[Last_Order_Date]]&lt;=GroDB[[#This Row],[Date_Received]], "Yes", "No")</f>
        <v>Yes</v>
      </c>
      <c r="K566" s="43">
        <f>IF(GroDB[[#This Row],[Column1]]="No",GroDB[[#This Row],[Last_Order_Date]],GroDB[[#This Row],[Date_Received]])</f>
        <v>45645</v>
      </c>
      <c r="L566" s="43">
        <f>IF(GroDB[[#This Row],[Column1]]="No",GroDB[[#This Row],[Date_Received]],GroDB[[#This Row],[Last_Order_Date]])</f>
        <v>45396</v>
      </c>
      <c r="M566" s="45">
        <f>GroDB[[#This Row],[Date_Received1]]-GroDB[[#This Row],[Procurement_Date]]</f>
        <v>249</v>
      </c>
      <c r="N566" s="43">
        <v>45481</v>
      </c>
      <c r="O566" s="91">
        <f>GroDB[[#This Row],[Expiration_Date]]-GroDB[[#This Row],[Date_Received1]]</f>
        <v>-164</v>
      </c>
      <c r="P566" s="4">
        <v>7.2</v>
      </c>
      <c r="Q566" s="3">
        <v>67</v>
      </c>
      <c r="R566" s="3">
        <v>71</v>
      </c>
      <c r="S566" s="3">
        <v>4</v>
      </c>
      <c r="T566" s="4">
        <v>9</v>
      </c>
      <c r="U566" s="3">
        <v>76</v>
      </c>
      <c r="V566" s="51">
        <f>IF(GroDB[[#This Row],[LeadTime]]=0,GroDB[[#This Row],[Sales_Volume]],GroDB[[#This Row],[Sales_Volume]]/GroDB[[#This Row],[LeadTime]])</f>
        <v>0.30522088353413657</v>
      </c>
      <c r="W566" s="51">
        <f>_xlfn.STDEV.S(GroDB[Daily Sales])</f>
        <v>5.1999899792654221</v>
      </c>
      <c r="X566" s="3">
        <v>34</v>
      </c>
      <c r="Y566" s="7">
        <v>0.48</v>
      </c>
      <c r="Z566" s="4">
        <f>GroDB[[#This Row],[Unit_Price]]*GroDB[[#This Row],[Sales_Volume]]</f>
        <v>684</v>
      </c>
      <c r="AA566" s="22">
        <f>GroDB[[#This Row],[ADU]]/GroDB[[#Totals],[ADU]]</f>
        <v>1.9868164850230336E-3</v>
      </c>
      <c r="AB566" s="1">
        <f>GroDB[[#This Row],[Sales_Volume]]*GroDB[[#This Row],[Ordering Cost]]</f>
        <v>547.20000000000005</v>
      </c>
    </row>
    <row r="567" spans="1:28" x14ac:dyDescent="0.35">
      <c r="A567" s="5" t="s">
        <v>59</v>
      </c>
      <c r="B567" s="3" t="s">
        <v>60</v>
      </c>
      <c r="C567" s="3" t="s">
        <v>1374</v>
      </c>
      <c r="D567" s="3" t="s">
        <v>2119</v>
      </c>
      <c r="E567" s="3" t="s">
        <v>28</v>
      </c>
      <c r="F567" s="3" t="s">
        <v>2120</v>
      </c>
      <c r="G567" s="3" t="s">
        <v>2121</v>
      </c>
      <c r="H567" s="43">
        <v>45645</v>
      </c>
      <c r="I567" s="43">
        <v>45482</v>
      </c>
      <c r="J567" s="47" t="str">
        <f>IF(GroDB[[#This Row],[Last_Order_Date]]&lt;=GroDB[[#This Row],[Date_Received]], "Yes", "No")</f>
        <v>Yes</v>
      </c>
      <c r="K567" s="43">
        <f>IF(GroDB[[#This Row],[Column1]]="No",GroDB[[#This Row],[Last_Order_Date]],GroDB[[#This Row],[Date_Received]])</f>
        <v>45645</v>
      </c>
      <c r="L567" s="43">
        <f>IF(GroDB[[#This Row],[Column1]]="No",GroDB[[#This Row],[Date_Received]],GroDB[[#This Row],[Last_Order_Date]])</f>
        <v>45482</v>
      </c>
      <c r="M567" s="45">
        <f>GroDB[[#This Row],[Date_Received1]]-GroDB[[#This Row],[Procurement_Date]]</f>
        <v>163</v>
      </c>
      <c r="N567" s="43">
        <v>45564</v>
      </c>
      <c r="O567" s="91">
        <f>GroDB[[#This Row],[Expiration_Date]]-GroDB[[#This Row],[Date_Received1]]</f>
        <v>-81</v>
      </c>
      <c r="P567" s="4">
        <v>8</v>
      </c>
      <c r="Q567" s="3">
        <v>86</v>
      </c>
      <c r="R567" s="3">
        <v>55</v>
      </c>
      <c r="S567" s="3">
        <v>96</v>
      </c>
      <c r="T567" s="4">
        <v>10</v>
      </c>
      <c r="U567" s="3">
        <v>37</v>
      </c>
      <c r="V567" s="51">
        <f>IF(GroDB[[#This Row],[LeadTime]]=0,GroDB[[#This Row],[Sales_Volume]],GroDB[[#This Row],[Sales_Volume]]/GroDB[[#This Row],[LeadTime]])</f>
        <v>0.22699386503067484</v>
      </c>
      <c r="W567" s="51">
        <f>_xlfn.STDEV.S(GroDB[Daily Sales])</f>
        <v>5.1999899792654221</v>
      </c>
      <c r="X567" s="3">
        <v>53</v>
      </c>
      <c r="Y567" s="7">
        <v>0.55000000000000004</v>
      </c>
      <c r="Z567" s="4">
        <f>GroDB[[#This Row],[Unit_Price]]*GroDB[[#This Row],[Sales_Volume]]</f>
        <v>370</v>
      </c>
      <c r="AA567" s="22">
        <f>GroDB[[#This Row],[ADU]]/GroDB[[#Totals],[ADU]]</f>
        <v>1.0747399114890679E-3</v>
      </c>
      <c r="AB567" s="1">
        <f>GroDB[[#This Row],[Sales_Volume]]*GroDB[[#This Row],[Ordering Cost]]</f>
        <v>296</v>
      </c>
    </row>
    <row r="568" spans="1:28" x14ac:dyDescent="0.35">
      <c r="A568" s="5" t="s">
        <v>31</v>
      </c>
      <c r="B568" s="3" t="s">
        <v>32</v>
      </c>
      <c r="C568" s="3" t="s">
        <v>1307</v>
      </c>
      <c r="D568" s="3" t="s">
        <v>2122</v>
      </c>
      <c r="E568" s="3" t="s">
        <v>56</v>
      </c>
      <c r="F568" s="3" t="s">
        <v>2123</v>
      </c>
      <c r="G568" s="3" t="s">
        <v>2124</v>
      </c>
      <c r="H568" s="43">
        <v>45647</v>
      </c>
      <c r="I568" s="43">
        <v>45670</v>
      </c>
      <c r="J568" s="47" t="str">
        <f>IF(GroDB[[#This Row],[Last_Order_Date]]&lt;=GroDB[[#This Row],[Date_Received]], "Yes", "No")</f>
        <v>No</v>
      </c>
      <c r="K568" s="43">
        <f>IF(GroDB[[#This Row],[Column1]]="No",GroDB[[#This Row],[Last_Order_Date]],GroDB[[#This Row],[Date_Received]])</f>
        <v>45670</v>
      </c>
      <c r="L568" s="43">
        <f>IF(GroDB[[#This Row],[Column1]]="No",GroDB[[#This Row],[Date_Received]],GroDB[[#This Row],[Last_Order_Date]])</f>
        <v>45647</v>
      </c>
      <c r="M568" s="45">
        <f>GroDB[[#This Row],[Date_Received1]]-GroDB[[#This Row],[Procurement_Date]]</f>
        <v>23</v>
      </c>
      <c r="N568" s="43">
        <v>45565</v>
      </c>
      <c r="O568" s="91">
        <f>GroDB[[#This Row],[Expiration_Date]]-GroDB[[#This Row],[Date_Received1]]</f>
        <v>-105</v>
      </c>
      <c r="P568" s="4">
        <v>9.6000000000000014</v>
      </c>
      <c r="Q568" s="3">
        <v>63</v>
      </c>
      <c r="R568" s="3">
        <v>4</v>
      </c>
      <c r="S568" s="3">
        <v>85</v>
      </c>
      <c r="T568" s="4">
        <v>12</v>
      </c>
      <c r="U568" s="3">
        <v>59</v>
      </c>
      <c r="V568" s="51">
        <f>IF(GroDB[[#This Row],[LeadTime]]=0,GroDB[[#This Row],[Sales_Volume]],GroDB[[#This Row],[Sales_Volume]]/GroDB[[#This Row],[LeadTime]])</f>
        <v>2.5652173913043477</v>
      </c>
      <c r="W568" s="51">
        <f>_xlfn.STDEV.S(GroDB[Daily Sales])</f>
        <v>5.1999899792654221</v>
      </c>
      <c r="X568" s="3">
        <v>71</v>
      </c>
      <c r="Y568" s="7">
        <v>-0.43</v>
      </c>
      <c r="Z568" s="4">
        <f>GroDB[[#This Row],[Unit_Price]]*GroDB[[#This Row],[Sales_Volume]]</f>
        <v>708</v>
      </c>
      <c r="AA568" s="22">
        <f>GroDB[[#This Row],[ADU]]/GroDB[[#Totals],[ADU]]</f>
        <v>2.0565293441466492E-3</v>
      </c>
      <c r="AB568" s="1">
        <f>GroDB[[#This Row],[Sales_Volume]]*GroDB[[#This Row],[Ordering Cost]]</f>
        <v>566.40000000000009</v>
      </c>
    </row>
    <row r="569" spans="1:28" x14ac:dyDescent="0.35">
      <c r="A569" s="5" t="s">
        <v>90</v>
      </c>
      <c r="B569" s="3" t="s">
        <v>91</v>
      </c>
      <c r="C569" s="3" t="s">
        <v>425</v>
      </c>
      <c r="D569" s="3" t="s">
        <v>2125</v>
      </c>
      <c r="E569" s="3" t="s">
        <v>56</v>
      </c>
      <c r="F569" s="3" t="s">
        <v>2126</v>
      </c>
      <c r="G569" s="3" t="s">
        <v>2127</v>
      </c>
      <c r="H569" s="43">
        <v>45647</v>
      </c>
      <c r="I569" s="43">
        <v>45391</v>
      </c>
      <c r="J569" s="47" t="str">
        <f>IF(GroDB[[#This Row],[Last_Order_Date]]&lt;=GroDB[[#This Row],[Date_Received]], "Yes", "No")</f>
        <v>Yes</v>
      </c>
      <c r="K569" s="43">
        <f>IF(GroDB[[#This Row],[Column1]]="No",GroDB[[#This Row],[Last_Order_Date]],GroDB[[#This Row],[Date_Received]])</f>
        <v>45647</v>
      </c>
      <c r="L569" s="43">
        <f>IF(GroDB[[#This Row],[Column1]]="No",GroDB[[#This Row],[Date_Received]],GroDB[[#This Row],[Last_Order_Date]])</f>
        <v>45391</v>
      </c>
      <c r="M569" s="45">
        <f>GroDB[[#This Row],[Date_Received1]]-GroDB[[#This Row],[Procurement_Date]]</f>
        <v>256</v>
      </c>
      <c r="N569" s="43">
        <v>45465</v>
      </c>
      <c r="O569" s="91">
        <f>GroDB[[#This Row],[Expiration_Date]]-GroDB[[#This Row],[Date_Received1]]</f>
        <v>-182</v>
      </c>
      <c r="P569" s="4">
        <v>3.2</v>
      </c>
      <c r="Q569" s="3">
        <v>39</v>
      </c>
      <c r="R569" s="3">
        <v>16</v>
      </c>
      <c r="S569" s="3">
        <v>57</v>
      </c>
      <c r="T569" s="4">
        <v>4</v>
      </c>
      <c r="U569" s="3">
        <v>98</v>
      </c>
      <c r="V569" s="51">
        <f>IF(GroDB[[#This Row],[LeadTime]]=0,GroDB[[#This Row],[Sales_Volume]],GroDB[[#This Row],[Sales_Volume]]/GroDB[[#This Row],[LeadTime]])</f>
        <v>0.3828125</v>
      </c>
      <c r="W569" s="51">
        <f>_xlfn.STDEV.S(GroDB[Daily Sales])</f>
        <v>5.1999899792654221</v>
      </c>
      <c r="X569" s="3">
        <v>12</v>
      </c>
      <c r="Y569" s="7">
        <v>-0.2</v>
      </c>
      <c r="Z569" s="4">
        <f>GroDB[[#This Row],[Unit_Price]]*GroDB[[#This Row],[Sales_Volume]]</f>
        <v>392</v>
      </c>
      <c r="AA569" s="22">
        <f>GroDB[[#This Row],[ADU]]/GroDB[[#Totals],[ADU]]</f>
        <v>1.1386433656857152E-3</v>
      </c>
      <c r="AB569" s="1">
        <f>GroDB[[#This Row],[Sales_Volume]]*GroDB[[#This Row],[Ordering Cost]]</f>
        <v>313.60000000000002</v>
      </c>
    </row>
    <row r="570" spans="1:28" x14ac:dyDescent="0.35">
      <c r="A570" s="5" t="s">
        <v>342</v>
      </c>
      <c r="B570" s="3" t="s">
        <v>18</v>
      </c>
      <c r="C570" s="3" t="s">
        <v>2128</v>
      </c>
      <c r="D570" s="3" t="s">
        <v>2129</v>
      </c>
      <c r="E570" s="3" t="s">
        <v>28</v>
      </c>
      <c r="F570" s="3" t="s">
        <v>2130</v>
      </c>
      <c r="G570" s="3" t="s">
        <v>2131</v>
      </c>
      <c r="H570" s="43">
        <v>45647</v>
      </c>
      <c r="I570" s="43">
        <v>45538</v>
      </c>
      <c r="J570" s="47" t="str">
        <f>IF(GroDB[[#This Row],[Last_Order_Date]]&lt;=GroDB[[#This Row],[Date_Received]], "Yes", "No")</f>
        <v>Yes</v>
      </c>
      <c r="K570" s="43">
        <f>IF(GroDB[[#This Row],[Column1]]="No",GroDB[[#This Row],[Last_Order_Date]],GroDB[[#This Row],[Date_Received]])</f>
        <v>45647</v>
      </c>
      <c r="L570" s="43">
        <f>IF(GroDB[[#This Row],[Column1]]="No",GroDB[[#This Row],[Date_Received]],GroDB[[#This Row],[Last_Order_Date]])</f>
        <v>45538</v>
      </c>
      <c r="M570" s="45">
        <f>GroDB[[#This Row],[Date_Received1]]-GroDB[[#This Row],[Procurement_Date]]</f>
        <v>109</v>
      </c>
      <c r="N570" s="43">
        <v>45673</v>
      </c>
      <c r="O570" s="91">
        <f>GroDB[[#This Row],[Expiration_Date]]-GroDB[[#This Row],[Date_Received1]]</f>
        <v>26</v>
      </c>
      <c r="P570" s="4">
        <v>4.8000000000000007</v>
      </c>
      <c r="Q570" s="3">
        <v>43</v>
      </c>
      <c r="R570" s="3">
        <v>65</v>
      </c>
      <c r="S570" s="3">
        <v>66</v>
      </c>
      <c r="T570" s="4">
        <v>6</v>
      </c>
      <c r="U570" s="3">
        <v>78</v>
      </c>
      <c r="V570" s="51">
        <f>IF(GroDB[[#This Row],[LeadTime]]=0,GroDB[[#This Row],[Sales_Volume]],GroDB[[#This Row],[Sales_Volume]]/GroDB[[#This Row],[LeadTime]])</f>
        <v>0.7155963302752294</v>
      </c>
      <c r="W570" s="51">
        <f>_xlfn.STDEV.S(GroDB[Daily Sales])</f>
        <v>5.1999899792654221</v>
      </c>
      <c r="X570" s="3">
        <v>73</v>
      </c>
      <c r="Y570" s="7">
        <v>0.88</v>
      </c>
      <c r="Z570" s="4">
        <f>GroDB[[#This Row],[Unit_Price]]*GroDB[[#This Row],[Sales_Volume]]</f>
        <v>468</v>
      </c>
      <c r="AA570" s="22">
        <f>GroDB[[#This Row],[ADU]]/GroDB[[#Totals],[ADU]]</f>
        <v>1.3594007529104967E-3</v>
      </c>
      <c r="AB570" s="1">
        <f>GroDB[[#This Row],[Sales_Volume]]*GroDB[[#This Row],[Ordering Cost]]</f>
        <v>374.40000000000003</v>
      </c>
    </row>
    <row r="571" spans="1:28" x14ac:dyDescent="0.35">
      <c r="A571" s="5" t="s">
        <v>420</v>
      </c>
      <c r="B571" s="3" t="s">
        <v>60</v>
      </c>
      <c r="C571" s="3" t="s">
        <v>1378</v>
      </c>
      <c r="D571" s="3" t="s">
        <v>2132</v>
      </c>
      <c r="E571" s="3" t="s">
        <v>28</v>
      </c>
      <c r="F571" s="3" t="s">
        <v>2133</v>
      </c>
      <c r="G571" s="3" t="s">
        <v>2134</v>
      </c>
      <c r="H571" s="43">
        <v>45647</v>
      </c>
      <c r="I571" s="43">
        <v>45422</v>
      </c>
      <c r="J571" s="47" t="str">
        <f>IF(GroDB[[#This Row],[Last_Order_Date]]&lt;=GroDB[[#This Row],[Date_Received]], "Yes", "No")</f>
        <v>Yes</v>
      </c>
      <c r="K571" s="43">
        <f>IF(GroDB[[#This Row],[Column1]]="No",GroDB[[#This Row],[Last_Order_Date]],GroDB[[#This Row],[Date_Received]])</f>
        <v>45647</v>
      </c>
      <c r="L571" s="43">
        <f>IF(GroDB[[#This Row],[Column1]]="No",GroDB[[#This Row],[Date_Received]],GroDB[[#This Row],[Last_Order_Date]])</f>
        <v>45422</v>
      </c>
      <c r="M571" s="45">
        <f>GroDB[[#This Row],[Date_Received1]]-GroDB[[#This Row],[Procurement_Date]]</f>
        <v>225</v>
      </c>
      <c r="N571" s="43">
        <v>45416</v>
      </c>
      <c r="O571" s="91">
        <f>GroDB[[#This Row],[Expiration_Date]]-GroDB[[#This Row],[Date_Received1]]</f>
        <v>-231</v>
      </c>
      <c r="P571" s="4">
        <v>14.4</v>
      </c>
      <c r="Q571" s="3">
        <v>37</v>
      </c>
      <c r="R571" s="3">
        <v>33</v>
      </c>
      <c r="S571" s="3">
        <v>80</v>
      </c>
      <c r="T571" s="4">
        <v>18</v>
      </c>
      <c r="U571" s="3">
        <v>27</v>
      </c>
      <c r="V571" s="51">
        <f>IF(GroDB[[#This Row],[LeadTime]]=0,GroDB[[#This Row],[Sales_Volume]],GroDB[[#This Row],[Sales_Volume]]/GroDB[[#This Row],[LeadTime]])</f>
        <v>0.12</v>
      </c>
      <c r="W571" s="51">
        <f>_xlfn.STDEV.S(GroDB[Daily Sales])</f>
        <v>5.1999899792654221</v>
      </c>
      <c r="X571" s="3">
        <v>73</v>
      </c>
      <c r="Y571" s="7">
        <v>0.06</v>
      </c>
      <c r="Z571" s="4">
        <f>GroDB[[#This Row],[Unit_Price]]*GroDB[[#This Row],[Sales_Volume]]</f>
        <v>486</v>
      </c>
      <c r="AA571" s="22">
        <f>GroDB[[#This Row],[ADU]]/GroDB[[#Totals],[ADU]]</f>
        <v>1.4116853972532082E-3</v>
      </c>
      <c r="AB571" s="1">
        <f>GroDB[[#This Row],[Sales_Volume]]*GroDB[[#This Row],[Ordering Cost]]</f>
        <v>388.8</v>
      </c>
    </row>
    <row r="572" spans="1:28" x14ac:dyDescent="0.35">
      <c r="A572" s="5" t="s">
        <v>1109</v>
      </c>
      <c r="B572" s="3" t="s">
        <v>18</v>
      </c>
      <c r="C572" s="3" t="s">
        <v>509</v>
      </c>
      <c r="D572" s="3" t="s">
        <v>2135</v>
      </c>
      <c r="E572" s="3" t="s">
        <v>21</v>
      </c>
      <c r="F572" s="3" t="s">
        <v>2136</v>
      </c>
      <c r="G572" s="3" t="s">
        <v>2137</v>
      </c>
      <c r="H572" s="43">
        <v>45648</v>
      </c>
      <c r="I572" s="43">
        <v>45542</v>
      </c>
      <c r="J572" s="47" t="str">
        <f>IF(GroDB[[#This Row],[Last_Order_Date]]&lt;=GroDB[[#This Row],[Date_Received]], "Yes", "No")</f>
        <v>Yes</v>
      </c>
      <c r="K572" s="43">
        <f>IF(GroDB[[#This Row],[Column1]]="No",GroDB[[#This Row],[Last_Order_Date]],GroDB[[#This Row],[Date_Received]])</f>
        <v>45648</v>
      </c>
      <c r="L572" s="43">
        <f>IF(GroDB[[#This Row],[Column1]]="No",GroDB[[#This Row],[Date_Received]],GroDB[[#This Row],[Last_Order_Date]])</f>
        <v>45542</v>
      </c>
      <c r="M572" s="45">
        <f>GroDB[[#This Row],[Date_Received1]]-GroDB[[#This Row],[Procurement_Date]]</f>
        <v>106</v>
      </c>
      <c r="N572" s="43">
        <v>45554</v>
      </c>
      <c r="O572" s="91">
        <f>GroDB[[#This Row],[Expiration_Date]]-GroDB[[#This Row],[Date_Received1]]</f>
        <v>-94</v>
      </c>
      <c r="P572" s="4">
        <v>2</v>
      </c>
      <c r="Q572" s="3">
        <v>61</v>
      </c>
      <c r="R572" s="3">
        <v>90</v>
      </c>
      <c r="S572" s="3">
        <v>26</v>
      </c>
      <c r="T572" s="4">
        <v>2.5</v>
      </c>
      <c r="U572" s="3">
        <v>79</v>
      </c>
      <c r="V572" s="51">
        <f>IF(GroDB[[#This Row],[LeadTime]]=0,GroDB[[#This Row],[Sales_Volume]],GroDB[[#This Row],[Sales_Volume]]/GroDB[[#This Row],[LeadTime]])</f>
        <v>0.74528301886792447</v>
      </c>
      <c r="W572" s="51">
        <f>_xlfn.STDEV.S(GroDB[Daily Sales])</f>
        <v>5.1999899792654221</v>
      </c>
      <c r="X572" s="3">
        <v>84</v>
      </c>
      <c r="Y572" s="7">
        <v>-1.7</v>
      </c>
      <c r="Z572" s="4">
        <f>GroDB[[#This Row],[Unit_Price]]*GroDB[[#This Row],[Sales_Volume]]</f>
        <v>197.5</v>
      </c>
      <c r="AA572" s="22">
        <f>GroDB[[#This Row],[ADU]]/GroDB[[#Totals],[ADU]]</f>
        <v>5.7367873653808355E-4</v>
      </c>
      <c r="AB572" s="1">
        <f>GroDB[[#This Row],[Sales_Volume]]*GroDB[[#This Row],[Ordering Cost]]</f>
        <v>158</v>
      </c>
    </row>
    <row r="573" spans="1:28" x14ac:dyDescent="0.35">
      <c r="A573" s="5" t="s">
        <v>1016</v>
      </c>
      <c r="B573" s="3" t="s">
        <v>25</v>
      </c>
      <c r="C573" s="3" t="s">
        <v>628</v>
      </c>
      <c r="D573" s="3" t="s">
        <v>2138</v>
      </c>
      <c r="E573" s="3" t="s">
        <v>21</v>
      </c>
      <c r="F573" s="3" t="s">
        <v>2139</v>
      </c>
      <c r="G573" s="3" t="s">
        <v>2140</v>
      </c>
      <c r="H573" s="43">
        <v>45648</v>
      </c>
      <c r="I573" s="43">
        <v>45414</v>
      </c>
      <c r="J573" s="47" t="str">
        <f>IF(GroDB[[#This Row],[Last_Order_Date]]&lt;=GroDB[[#This Row],[Date_Received]], "Yes", "No")</f>
        <v>Yes</v>
      </c>
      <c r="K573" s="43">
        <f>IF(GroDB[[#This Row],[Column1]]="No",GroDB[[#This Row],[Last_Order_Date]],GroDB[[#This Row],[Date_Received]])</f>
        <v>45648</v>
      </c>
      <c r="L573" s="43">
        <f>IF(GroDB[[#This Row],[Column1]]="No",GroDB[[#This Row],[Date_Received]],GroDB[[#This Row],[Last_Order_Date]])</f>
        <v>45414</v>
      </c>
      <c r="M573" s="45">
        <f>GroDB[[#This Row],[Date_Received1]]-GroDB[[#This Row],[Procurement_Date]]</f>
        <v>234</v>
      </c>
      <c r="N573" s="43">
        <v>45632</v>
      </c>
      <c r="O573" s="91">
        <f>GroDB[[#This Row],[Expiration_Date]]-GroDB[[#This Row],[Date_Received1]]</f>
        <v>-16</v>
      </c>
      <c r="P573" s="4">
        <v>2</v>
      </c>
      <c r="Q573" s="3">
        <v>28</v>
      </c>
      <c r="R573" s="3">
        <v>32</v>
      </c>
      <c r="S573" s="3">
        <v>71</v>
      </c>
      <c r="T573" s="4">
        <v>2.5</v>
      </c>
      <c r="U573" s="3">
        <v>32</v>
      </c>
      <c r="V573" s="51">
        <f>IF(GroDB[[#This Row],[LeadTime]]=0,GroDB[[#This Row],[Sales_Volume]],GroDB[[#This Row],[Sales_Volume]]/GroDB[[#This Row],[LeadTime]])</f>
        <v>0.13675213675213677</v>
      </c>
      <c r="W573" s="51">
        <f>_xlfn.STDEV.S(GroDB[Daily Sales])</f>
        <v>5.1999899792654221</v>
      </c>
      <c r="X573" s="3">
        <v>49</v>
      </c>
      <c r="Y573" s="7">
        <v>-0.06</v>
      </c>
      <c r="Z573" s="4">
        <f>GroDB[[#This Row],[Unit_Price]]*GroDB[[#This Row],[Sales_Volume]]</f>
        <v>80</v>
      </c>
      <c r="AA573" s="22">
        <f>GroDB[[#This Row],[ADU]]/GroDB[[#Totals],[ADU]]</f>
        <v>2.323761970787174E-4</v>
      </c>
      <c r="AB573" s="1">
        <f>GroDB[[#This Row],[Sales_Volume]]*GroDB[[#This Row],[Ordering Cost]]</f>
        <v>64</v>
      </c>
    </row>
    <row r="574" spans="1:28" x14ac:dyDescent="0.35">
      <c r="A574" s="5" t="s">
        <v>272</v>
      </c>
      <c r="B574" s="3" t="s">
        <v>32</v>
      </c>
      <c r="C574" s="3" t="s">
        <v>1398</v>
      </c>
      <c r="D574" s="3" t="s">
        <v>2141</v>
      </c>
      <c r="E574" s="3" t="s">
        <v>56</v>
      </c>
      <c r="F574" s="3" t="s">
        <v>2142</v>
      </c>
      <c r="G574" s="3" t="s">
        <v>2143</v>
      </c>
      <c r="H574" s="43">
        <v>45649</v>
      </c>
      <c r="I574" s="43">
        <v>45700</v>
      </c>
      <c r="J574" s="47" t="str">
        <f>IF(GroDB[[#This Row],[Last_Order_Date]]&lt;=GroDB[[#This Row],[Date_Received]], "Yes", "No")</f>
        <v>No</v>
      </c>
      <c r="K574" s="43">
        <f>IF(GroDB[[#This Row],[Column1]]="No",GroDB[[#This Row],[Last_Order_Date]],GroDB[[#This Row],[Date_Received]])</f>
        <v>45700</v>
      </c>
      <c r="L574" s="43">
        <f>IF(GroDB[[#This Row],[Column1]]="No",GroDB[[#This Row],[Date_Received]],GroDB[[#This Row],[Last_Order_Date]])</f>
        <v>45649</v>
      </c>
      <c r="M574" s="45">
        <f>GroDB[[#This Row],[Date_Received1]]-GroDB[[#This Row],[Procurement_Date]]</f>
        <v>51</v>
      </c>
      <c r="N574" s="43">
        <v>45408</v>
      </c>
      <c r="O574" s="91">
        <f>GroDB[[#This Row],[Expiration_Date]]-GroDB[[#This Row],[Date_Received1]]</f>
        <v>-292</v>
      </c>
      <c r="P574" s="4">
        <v>0.8</v>
      </c>
      <c r="Q574" s="3">
        <v>63</v>
      </c>
      <c r="R574" s="3">
        <v>38</v>
      </c>
      <c r="S574" s="3">
        <v>77</v>
      </c>
      <c r="T574" s="4">
        <v>1</v>
      </c>
      <c r="U574" s="3">
        <v>23</v>
      </c>
      <c r="V574" s="51">
        <f>IF(GroDB[[#This Row],[LeadTime]]=0,GroDB[[#This Row],[Sales_Volume]],GroDB[[#This Row],[Sales_Volume]]/GroDB[[#This Row],[LeadTime]])</f>
        <v>0.45098039215686275</v>
      </c>
      <c r="W574" s="51">
        <f>_xlfn.STDEV.S(GroDB[Daily Sales])</f>
        <v>5.1999899792654221</v>
      </c>
      <c r="X574" s="3">
        <v>18</v>
      </c>
      <c r="Y574" s="7">
        <v>-0.53</v>
      </c>
      <c r="Z574" s="4">
        <f>GroDB[[#This Row],[Unit_Price]]*GroDB[[#This Row],[Sales_Volume]]</f>
        <v>23</v>
      </c>
      <c r="AA574" s="22">
        <f>GroDB[[#This Row],[ADU]]/GroDB[[#Totals],[ADU]]</f>
        <v>6.6808156660131253E-5</v>
      </c>
      <c r="AB574" s="1">
        <f>GroDB[[#This Row],[Sales_Volume]]*GroDB[[#This Row],[Ordering Cost]]</f>
        <v>18.400000000000002</v>
      </c>
    </row>
    <row r="575" spans="1:28" x14ac:dyDescent="0.35">
      <c r="A575" s="5" t="s">
        <v>355</v>
      </c>
      <c r="B575" s="3" t="s">
        <v>18</v>
      </c>
      <c r="C575" s="3" t="s">
        <v>2144</v>
      </c>
      <c r="D575" s="3" t="s">
        <v>2145</v>
      </c>
      <c r="E575" s="3" t="s">
        <v>21</v>
      </c>
      <c r="F575" s="3" t="s">
        <v>2146</v>
      </c>
      <c r="G575" s="3" t="s">
        <v>2147</v>
      </c>
      <c r="H575" s="43">
        <v>45649</v>
      </c>
      <c r="I575" s="43">
        <v>45622</v>
      </c>
      <c r="J575" s="47" t="str">
        <f>IF(GroDB[[#This Row],[Last_Order_Date]]&lt;=GroDB[[#This Row],[Date_Received]], "Yes", "No")</f>
        <v>Yes</v>
      </c>
      <c r="K575" s="43">
        <f>IF(GroDB[[#This Row],[Column1]]="No",GroDB[[#This Row],[Last_Order_Date]],GroDB[[#This Row],[Date_Received]])</f>
        <v>45649</v>
      </c>
      <c r="L575" s="43">
        <f>IF(GroDB[[#This Row],[Column1]]="No",GroDB[[#This Row],[Date_Received]],GroDB[[#This Row],[Last_Order_Date]])</f>
        <v>45622</v>
      </c>
      <c r="M575" s="45">
        <f>GroDB[[#This Row],[Date_Received1]]-GroDB[[#This Row],[Procurement_Date]]</f>
        <v>27</v>
      </c>
      <c r="N575" s="43">
        <v>45556</v>
      </c>
      <c r="O575" s="91">
        <f>GroDB[[#This Row],[Expiration_Date]]-GroDB[[#This Row],[Date_Received1]]</f>
        <v>-93</v>
      </c>
      <c r="P575" s="4">
        <v>53.24</v>
      </c>
      <c r="Q575" s="3">
        <v>69</v>
      </c>
      <c r="R575" s="3">
        <v>21</v>
      </c>
      <c r="S575" s="3">
        <v>68</v>
      </c>
      <c r="T575" s="4">
        <v>66.55</v>
      </c>
      <c r="U575" s="3">
        <v>36</v>
      </c>
      <c r="V575" s="51">
        <f>IF(GroDB[[#This Row],[LeadTime]]=0,GroDB[[#This Row],[Sales_Volume]],GroDB[[#This Row],[Sales_Volume]]/GroDB[[#This Row],[LeadTime]])</f>
        <v>1.3333333333333333</v>
      </c>
      <c r="W575" s="51">
        <f>_xlfn.STDEV.S(GroDB[Daily Sales])</f>
        <v>5.1999899792654221</v>
      </c>
      <c r="X575" s="3">
        <v>35</v>
      </c>
      <c r="Y575" s="7">
        <v>0.22</v>
      </c>
      <c r="Z575" s="4">
        <f>GroDB[[#This Row],[Unit_Price]]*GroDB[[#This Row],[Sales_Volume]]</f>
        <v>2395.7999999999997</v>
      </c>
      <c r="AA575" s="22">
        <f>GroDB[[#This Row],[ADU]]/GroDB[[#Totals],[ADU]]</f>
        <v>6.9590861620148882E-3</v>
      </c>
      <c r="AB575" s="1">
        <f>GroDB[[#This Row],[Sales_Volume]]*GroDB[[#This Row],[Ordering Cost]]</f>
        <v>1916.64</v>
      </c>
    </row>
    <row r="576" spans="1:28" x14ac:dyDescent="0.35">
      <c r="A576" s="5" t="s">
        <v>420</v>
      </c>
      <c r="B576" s="3" t="s">
        <v>60</v>
      </c>
      <c r="C576" s="3" t="s">
        <v>1906</v>
      </c>
      <c r="D576" s="3" t="s">
        <v>2148</v>
      </c>
      <c r="E576" s="3" t="s">
        <v>21</v>
      </c>
      <c r="F576" s="3" t="s">
        <v>2149</v>
      </c>
      <c r="G576" s="3" t="s">
        <v>2150</v>
      </c>
      <c r="H576" s="43">
        <v>45650</v>
      </c>
      <c r="I576" s="43">
        <v>45522</v>
      </c>
      <c r="J576" s="47" t="str">
        <f>IF(GroDB[[#This Row],[Last_Order_Date]]&lt;=GroDB[[#This Row],[Date_Received]], "Yes", "No")</f>
        <v>Yes</v>
      </c>
      <c r="K576" s="43">
        <f>IF(GroDB[[#This Row],[Column1]]="No",GroDB[[#This Row],[Last_Order_Date]],GroDB[[#This Row],[Date_Received]])</f>
        <v>45650</v>
      </c>
      <c r="L576" s="43">
        <f>IF(GroDB[[#This Row],[Column1]]="No",GroDB[[#This Row],[Date_Received]],GroDB[[#This Row],[Last_Order_Date]])</f>
        <v>45522</v>
      </c>
      <c r="M576" s="45">
        <f>GroDB[[#This Row],[Date_Received1]]-GroDB[[#This Row],[Procurement_Date]]</f>
        <v>128</v>
      </c>
      <c r="N576" s="43">
        <v>45386</v>
      </c>
      <c r="O576" s="91">
        <f>GroDB[[#This Row],[Expiration_Date]]-GroDB[[#This Row],[Date_Received1]]</f>
        <v>-264</v>
      </c>
      <c r="P576" s="4">
        <v>14.4</v>
      </c>
      <c r="Q576" s="3">
        <v>92</v>
      </c>
      <c r="R576" s="3">
        <v>68</v>
      </c>
      <c r="S576" s="3">
        <v>79</v>
      </c>
      <c r="T576" s="4">
        <v>18</v>
      </c>
      <c r="U576" s="3">
        <v>40</v>
      </c>
      <c r="V576" s="51">
        <f>IF(GroDB[[#This Row],[LeadTime]]=0,GroDB[[#This Row],[Sales_Volume]],GroDB[[#This Row],[Sales_Volume]]/GroDB[[#This Row],[LeadTime]])</f>
        <v>0.3125</v>
      </c>
      <c r="W576" s="51">
        <f>_xlfn.STDEV.S(GroDB[Daily Sales])</f>
        <v>5.1999899792654221</v>
      </c>
      <c r="X576" s="3">
        <v>57</v>
      </c>
      <c r="Y576" s="7">
        <v>0.03</v>
      </c>
      <c r="Z576" s="4">
        <f>GroDB[[#This Row],[Unit_Price]]*GroDB[[#This Row],[Sales_Volume]]</f>
        <v>720</v>
      </c>
      <c r="AA576" s="22">
        <f>GroDB[[#This Row],[ADU]]/GroDB[[#Totals],[ADU]]</f>
        <v>2.0913857737084565E-3</v>
      </c>
      <c r="AB576" s="1">
        <f>GroDB[[#This Row],[Sales_Volume]]*GroDB[[#This Row],[Ordering Cost]]</f>
        <v>576</v>
      </c>
    </row>
    <row r="577" spans="1:28" x14ac:dyDescent="0.35">
      <c r="A577" s="5" t="s">
        <v>508</v>
      </c>
      <c r="B577" s="3" t="s">
        <v>127</v>
      </c>
      <c r="C577" s="3" t="s">
        <v>92</v>
      </c>
      <c r="D577" s="3" t="s">
        <v>2151</v>
      </c>
      <c r="E577" s="3" t="s">
        <v>21</v>
      </c>
      <c r="F577" s="3" t="s">
        <v>2152</v>
      </c>
      <c r="G577" s="3" t="s">
        <v>2153</v>
      </c>
      <c r="H577" s="43">
        <v>45650</v>
      </c>
      <c r="I577" s="43">
        <v>45397</v>
      </c>
      <c r="J577" s="47" t="str">
        <f>IF(GroDB[[#This Row],[Last_Order_Date]]&lt;=GroDB[[#This Row],[Date_Received]], "Yes", "No")</f>
        <v>Yes</v>
      </c>
      <c r="K577" s="43">
        <f>IF(GroDB[[#This Row],[Column1]]="No",GroDB[[#This Row],[Last_Order_Date]],GroDB[[#This Row],[Date_Received]])</f>
        <v>45650</v>
      </c>
      <c r="L577" s="43">
        <f>IF(GroDB[[#This Row],[Column1]]="No",GroDB[[#This Row],[Date_Received]],GroDB[[#This Row],[Last_Order_Date]])</f>
        <v>45397</v>
      </c>
      <c r="M577" s="45">
        <f>GroDB[[#This Row],[Date_Received1]]-GroDB[[#This Row],[Procurement_Date]]</f>
        <v>253</v>
      </c>
      <c r="N577" s="43">
        <v>45502</v>
      </c>
      <c r="O577" s="91">
        <f>GroDB[[#This Row],[Expiration_Date]]-GroDB[[#This Row],[Date_Received1]]</f>
        <v>-148</v>
      </c>
      <c r="P577" s="4">
        <v>4</v>
      </c>
      <c r="Q577" s="3">
        <v>19</v>
      </c>
      <c r="R577" s="3">
        <v>78</v>
      </c>
      <c r="S577" s="3">
        <v>90</v>
      </c>
      <c r="T577" s="4">
        <v>5</v>
      </c>
      <c r="U577" s="3">
        <v>72</v>
      </c>
      <c r="V577" s="51">
        <f>IF(GroDB[[#This Row],[LeadTime]]=0,GroDB[[#This Row],[Sales_Volume]],GroDB[[#This Row],[Sales_Volume]]/GroDB[[#This Row],[LeadTime]])</f>
        <v>0.28458498023715417</v>
      </c>
      <c r="W577" s="51">
        <f>_xlfn.STDEV.S(GroDB[Daily Sales])</f>
        <v>5.1999899792654221</v>
      </c>
      <c r="X577" s="3">
        <v>84</v>
      </c>
      <c r="Y577" s="7">
        <v>-0.43</v>
      </c>
      <c r="Z577" s="4">
        <f>GroDB[[#This Row],[Unit_Price]]*GroDB[[#This Row],[Sales_Volume]]</f>
        <v>360</v>
      </c>
      <c r="AA577" s="22">
        <f>GroDB[[#This Row],[ADU]]/GroDB[[#Totals],[ADU]]</f>
        <v>1.0456928868542283E-3</v>
      </c>
      <c r="AB577" s="1">
        <f>GroDB[[#This Row],[Sales_Volume]]*GroDB[[#This Row],[Ordering Cost]]</f>
        <v>288</v>
      </c>
    </row>
    <row r="578" spans="1:28" x14ac:dyDescent="0.35">
      <c r="A578" s="5" t="s">
        <v>101</v>
      </c>
      <c r="B578" s="3" t="s">
        <v>18</v>
      </c>
      <c r="C578" s="3" t="s">
        <v>1378</v>
      </c>
      <c r="D578" s="3" t="s">
        <v>2154</v>
      </c>
      <c r="E578" s="3" t="s">
        <v>28</v>
      </c>
      <c r="F578" s="3" t="s">
        <v>2155</v>
      </c>
      <c r="G578" s="3" t="s">
        <v>2156</v>
      </c>
      <c r="H578" s="43">
        <v>45650</v>
      </c>
      <c r="I578" s="43">
        <v>45582</v>
      </c>
      <c r="J578" s="47" t="str">
        <f>IF(GroDB[[#This Row],[Last_Order_Date]]&lt;=GroDB[[#This Row],[Date_Received]], "Yes", "No")</f>
        <v>Yes</v>
      </c>
      <c r="K578" s="43">
        <f>IF(GroDB[[#This Row],[Column1]]="No",GroDB[[#This Row],[Last_Order_Date]],GroDB[[#This Row],[Date_Received]])</f>
        <v>45650</v>
      </c>
      <c r="L578" s="43">
        <f>IF(GroDB[[#This Row],[Column1]]="No",GroDB[[#This Row],[Date_Received]],GroDB[[#This Row],[Last_Order_Date]])</f>
        <v>45582</v>
      </c>
      <c r="M578" s="45">
        <f>GroDB[[#This Row],[Date_Received1]]-GroDB[[#This Row],[Procurement_Date]]</f>
        <v>68</v>
      </c>
      <c r="N578" s="43">
        <v>45436</v>
      </c>
      <c r="O578" s="91">
        <f>GroDB[[#This Row],[Expiration_Date]]-GroDB[[#This Row],[Date_Received1]]</f>
        <v>-214</v>
      </c>
      <c r="P578" s="4">
        <v>3.6</v>
      </c>
      <c r="Q578" s="3">
        <v>84</v>
      </c>
      <c r="R578" s="3">
        <v>74</v>
      </c>
      <c r="S578" s="3">
        <v>48</v>
      </c>
      <c r="T578" s="4">
        <v>4.5</v>
      </c>
      <c r="U578" s="3">
        <v>64</v>
      </c>
      <c r="V578" s="51">
        <f>IF(GroDB[[#This Row],[LeadTime]]=0,GroDB[[#This Row],[Sales_Volume]],GroDB[[#This Row],[Sales_Volume]]/GroDB[[#This Row],[LeadTime]])</f>
        <v>0.94117647058823528</v>
      </c>
      <c r="W578" s="51">
        <f>_xlfn.STDEV.S(GroDB[Daily Sales])</f>
        <v>5.1999899792654221</v>
      </c>
      <c r="X578" s="3">
        <v>32</v>
      </c>
      <c r="Y578" s="7">
        <v>-0.17</v>
      </c>
      <c r="Z578" s="4">
        <f>GroDB[[#This Row],[Unit_Price]]*GroDB[[#This Row],[Sales_Volume]]</f>
        <v>288</v>
      </c>
      <c r="AA578" s="22">
        <f>GroDB[[#This Row],[ADU]]/GroDB[[#Totals],[ADU]]</f>
        <v>8.3655430948338259E-4</v>
      </c>
      <c r="AB578" s="1">
        <f>GroDB[[#This Row],[Sales_Volume]]*GroDB[[#This Row],[Ordering Cost]]</f>
        <v>230.4</v>
      </c>
    </row>
    <row r="579" spans="1:28" x14ac:dyDescent="0.35">
      <c r="A579" s="5" t="s">
        <v>193</v>
      </c>
      <c r="B579" s="3" t="s">
        <v>18</v>
      </c>
      <c r="C579" s="3" t="s">
        <v>235</v>
      </c>
      <c r="D579" s="3" t="s">
        <v>2157</v>
      </c>
      <c r="E579" s="3" t="s">
        <v>28</v>
      </c>
      <c r="F579" s="3" t="s">
        <v>2158</v>
      </c>
      <c r="G579" s="3" t="s">
        <v>2159</v>
      </c>
      <c r="H579" s="43">
        <v>45650</v>
      </c>
      <c r="I579" s="43">
        <v>45423</v>
      </c>
      <c r="J579" s="47" t="str">
        <f>IF(GroDB[[#This Row],[Last_Order_Date]]&lt;=GroDB[[#This Row],[Date_Received]], "Yes", "No")</f>
        <v>Yes</v>
      </c>
      <c r="K579" s="43">
        <f>IF(GroDB[[#This Row],[Column1]]="No",GroDB[[#This Row],[Last_Order_Date]],GroDB[[#This Row],[Date_Received]])</f>
        <v>45650</v>
      </c>
      <c r="L579" s="43">
        <f>IF(GroDB[[#This Row],[Column1]]="No",GroDB[[#This Row],[Date_Received]],GroDB[[#This Row],[Last_Order_Date]])</f>
        <v>45423</v>
      </c>
      <c r="M579" s="45">
        <f>GroDB[[#This Row],[Date_Received1]]-GroDB[[#This Row],[Procurement_Date]]</f>
        <v>227</v>
      </c>
      <c r="N579" s="43">
        <v>45355</v>
      </c>
      <c r="O579" s="91">
        <f>GroDB[[#This Row],[Expiration_Date]]-GroDB[[#This Row],[Date_Received1]]</f>
        <v>-295</v>
      </c>
      <c r="P579" s="4">
        <v>1.52</v>
      </c>
      <c r="Q579" s="3">
        <v>14</v>
      </c>
      <c r="R579" s="3">
        <v>75</v>
      </c>
      <c r="S579" s="3">
        <v>19</v>
      </c>
      <c r="T579" s="4">
        <v>1.9</v>
      </c>
      <c r="U579" s="3">
        <v>100</v>
      </c>
      <c r="V579" s="51">
        <f>IF(GroDB[[#This Row],[LeadTime]]=0,GroDB[[#This Row],[Sales_Volume]],GroDB[[#This Row],[Sales_Volume]]/GroDB[[#This Row],[LeadTime]])</f>
        <v>0.44052863436123346</v>
      </c>
      <c r="W579" s="51">
        <f>_xlfn.STDEV.S(GroDB[Daily Sales])</f>
        <v>5.1999899792654221</v>
      </c>
      <c r="X579" s="3">
        <v>84</v>
      </c>
      <c r="Y579" s="7">
        <v>0.5</v>
      </c>
      <c r="Z579" s="4">
        <f>GroDB[[#This Row],[Unit_Price]]*GroDB[[#This Row],[Sales_Volume]]</f>
        <v>190</v>
      </c>
      <c r="AA579" s="22">
        <f>GroDB[[#This Row],[ADU]]/GroDB[[#Totals],[ADU]]</f>
        <v>5.518934680619538E-4</v>
      </c>
      <c r="AB579" s="1">
        <f>GroDB[[#This Row],[Sales_Volume]]*GroDB[[#This Row],[Ordering Cost]]</f>
        <v>152</v>
      </c>
    </row>
    <row r="580" spans="1:28" x14ac:dyDescent="0.35">
      <c r="A580" s="5" t="s">
        <v>1092</v>
      </c>
      <c r="B580" s="3" t="s">
        <v>18</v>
      </c>
      <c r="C580" s="3" t="s">
        <v>2144</v>
      </c>
      <c r="D580" s="3" t="s">
        <v>2160</v>
      </c>
      <c r="E580" s="3" t="s">
        <v>56</v>
      </c>
      <c r="F580" s="3" t="s">
        <v>2161</v>
      </c>
      <c r="G580" s="3" t="s">
        <v>2162</v>
      </c>
      <c r="H580" s="43">
        <v>45651</v>
      </c>
      <c r="I580" s="43">
        <v>45485</v>
      </c>
      <c r="J580" s="47" t="str">
        <f>IF(GroDB[[#This Row],[Last_Order_Date]]&lt;=GroDB[[#This Row],[Date_Received]], "Yes", "No")</f>
        <v>Yes</v>
      </c>
      <c r="K580" s="43">
        <f>IF(GroDB[[#This Row],[Column1]]="No",GroDB[[#This Row],[Last_Order_Date]],GroDB[[#This Row],[Date_Received]])</f>
        <v>45651</v>
      </c>
      <c r="L580" s="43">
        <f>IF(GroDB[[#This Row],[Column1]]="No",GroDB[[#This Row],[Date_Received]],GroDB[[#This Row],[Last_Order_Date]])</f>
        <v>45485</v>
      </c>
      <c r="M580" s="45">
        <f>GroDB[[#This Row],[Date_Received1]]-GroDB[[#This Row],[Procurement_Date]]</f>
        <v>166</v>
      </c>
      <c r="N580" s="43">
        <v>45471</v>
      </c>
      <c r="O580" s="91">
        <f>GroDB[[#This Row],[Expiration_Date]]-GroDB[[#This Row],[Date_Received1]]</f>
        <v>-180</v>
      </c>
      <c r="P580" s="4">
        <v>6.4</v>
      </c>
      <c r="Q580" s="3">
        <v>30</v>
      </c>
      <c r="R580" s="3">
        <v>25</v>
      </c>
      <c r="S580" s="3">
        <v>11</v>
      </c>
      <c r="T580" s="4">
        <v>8</v>
      </c>
      <c r="U580" s="3">
        <v>42</v>
      </c>
      <c r="V580" s="51">
        <f>IF(GroDB[[#This Row],[LeadTime]]=0,GroDB[[#This Row],[Sales_Volume]],GroDB[[#This Row],[Sales_Volume]]/GroDB[[#This Row],[LeadTime]])</f>
        <v>0.25301204819277107</v>
      </c>
      <c r="W580" s="51">
        <f>_xlfn.STDEV.S(GroDB[Daily Sales])</f>
        <v>5.1999899792654221</v>
      </c>
      <c r="X580" s="3">
        <v>76</v>
      </c>
      <c r="Y580" s="7">
        <v>0.16</v>
      </c>
      <c r="Z580" s="4">
        <f>GroDB[[#This Row],[Unit_Price]]*GroDB[[#This Row],[Sales_Volume]]</f>
        <v>336</v>
      </c>
      <c r="AA580" s="22">
        <f>GroDB[[#This Row],[ADU]]/GroDB[[#Totals],[ADU]]</f>
        <v>9.7598002773061304E-4</v>
      </c>
      <c r="AB580" s="1">
        <f>GroDB[[#This Row],[Sales_Volume]]*GroDB[[#This Row],[Ordering Cost]]</f>
        <v>268.8</v>
      </c>
    </row>
    <row r="581" spans="1:28" x14ac:dyDescent="0.35">
      <c r="A581" s="5" t="s">
        <v>47</v>
      </c>
      <c r="B581" s="3" t="s">
        <v>18</v>
      </c>
      <c r="C581" s="3" t="s">
        <v>2163</v>
      </c>
      <c r="D581" s="3" t="s">
        <v>2164</v>
      </c>
      <c r="E581" s="3" t="s">
        <v>28</v>
      </c>
      <c r="F581" s="3" t="s">
        <v>2165</v>
      </c>
      <c r="G581" s="3" t="s">
        <v>2166</v>
      </c>
      <c r="H581" s="43">
        <v>45652</v>
      </c>
      <c r="I581" s="43">
        <v>45433</v>
      </c>
      <c r="J581" s="47" t="str">
        <f>IF(GroDB[[#This Row],[Last_Order_Date]]&lt;=GroDB[[#This Row],[Date_Received]], "Yes", "No")</f>
        <v>Yes</v>
      </c>
      <c r="K581" s="43">
        <f>IF(GroDB[[#This Row],[Column1]]="No",GroDB[[#This Row],[Last_Order_Date]],GroDB[[#This Row],[Date_Received]])</f>
        <v>45652</v>
      </c>
      <c r="L581" s="43">
        <f>IF(GroDB[[#This Row],[Column1]]="No",GroDB[[#This Row],[Date_Received]],GroDB[[#This Row],[Last_Order_Date]])</f>
        <v>45433</v>
      </c>
      <c r="M581" s="45">
        <f>GroDB[[#This Row],[Date_Received1]]-GroDB[[#This Row],[Procurement_Date]]</f>
        <v>219</v>
      </c>
      <c r="N581" s="43">
        <v>45397</v>
      </c>
      <c r="O581" s="91">
        <f>GroDB[[#This Row],[Expiration_Date]]-GroDB[[#This Row],[Date_Received1]]</f>
        <v>-255</v>
      </c>
      <c r="P581" s="4">
        <v>2</v>
      </c>
      <c r="Q581" s="3">
        <v>63</v>
      </c>
      <c r="R581" s="3">
        <v>60</v>
      </c>
      <c r="S581" s="3">
        <v>54</v>
      </c>
      <c r="T581" s="4">
        <v>2.5</v>
      </c>
      <c r="U581" s="3">
        <v>33</v>
      </c>
      <c r="V581" s="51">
        <f>IF(GroDB[[#This Row],[LeadTime]]=0,GroDB[[#This Row],[Sales_Volume]],GroDB[[#This Row],[Sales_Volume]]/GroDB[[#This Row],[LeadTime]])</f>
        <v>0.15068493150684931</v>
      </c>
      <c r="W581" s="51">
        <f>_xlfn.STDEV.S(GroDB[Daily Sales])</f>
        <v>5.1999899792654221</v>
      </c>
      <c r="X581" s="3">
        <v>31</v>
      </c>
      <c r="Y581" s="7">
        <v>-0.81</v>
      </c>
      <c r="Z581" s="4">
        <f>GroDB[[#This Row],[Unit_Price]]*GroDB[[#This Row],[Sales_Volume]]</f>
        <v>82.5</v>
      </c>
      <c r="AA581" s="22">
        <f>GroDB[[#This Row],[ADU]]/GroDB[[#Totals],[ADU]]</f>
        <v>2.3963795323742732E-4</v>
      </c>
      <c r="AB581" s="1">
        <f>GroDB[[#This Row],[Sales_Volume]]*GroDB[[#This Row],[Ordering Cost]]</f>
        <v>66</v>
      </c>
    </row>
    <row r="582" spans="1:28" x14ac:dyDescent="0.35">
      <c r="A582" s="5" t="s">
        <v>517</v>
      </c>
      <c r="B582" s="3" t="s">
        <v>127</v>
      </c>
      <c r="C582" s="3" t="s">
        <v>2167</v>
      </c>
      <c r="D582" s="3" t="s">
        <v>2168</v>
      </c>
      <c r="E582" s="3" t="s">
        <v>56</v>
      </c>
      <c r="F582" s="3" t="s">
        <v>2169</v>
      </c>
      <c r="G582" s="3" t="s">
        <v>2170</v>
      </c>
      <c r="H582" s="43">
        <v>45652</v>
      </c>
      <c r="I582" s="43">
        <v>45470</v>
      </c>
      <c r="J582" s="47" t="str">
        <f>IF(GroDB[[#This Row],[Last_Order_Date]]&lt;=GroDB[[#This Row],[Date_Received]], "Yes", "No")</f>
        <v>Yes</v>
      </c>
      <c r="K582" s="43">
        <f>IF(GroDB[[#This Row],[Column1]]="No",GroDB[[#This Row],[Last_Order_Date]],GroDB[[#This Row],[Date_Received]])</f>
        <v>45652</v>
      </c>
      <c r="L582" s="43">
        <f>IF(GroDB[[#This Row],[Column1]]="No",GroDB[[#This Row],[Date_Received]],GroDB[[#This Row],[Last_Order_Date]])</f>
        <v>45470</v>
      </c>
      <c r="M582" s="45">
        <f>GroDB[[#This Row],[Date_Received1]]-GroDB[[#This Row],[Procurement_Date]]</f>
        <v>182</v>
      </c>
      <c r="N582" s="43">
        <v>45615</v>
      </c>
      <c r="O582" s="91">
        <f>GroDB[[#This Row],[Expiration_Date]]-GroDB[[#This Row],[Date_Received1]]</f>
        <v>-37</v>
      </c>
      <c r="P582" s="4">
        <v>20.240000000000002</v>
      </c>
      <c r="Q582" s="3">
        <v>60</v>
      </c>
      <c r="R582" s="3">
        <v>27</v>
      </c>
      <c r="S582" s="3">
        <v>58</v>
      </c>
      <c r="T582" s="4">
        <v>25.3</v>
      </c>
      <c r="U582" s="3">
        <v>43</v>
      </c>
      <c r="V582" s="51">
        <f>IF(GroDB[[#This Row],[LeadTime]]=0,GroDB[[#This Row],[Sales_Volume]],GroDB[[#This Row],[Sales_Volume]]/GroDB[[#This Row],[LeadTime]])</f>
        <v>0.23626373626373626</v>
      </c>
      <c r="W582" s="51">
        <f>_xlfn.STDEV.S(GroDB[Daily Sales])</f>
        <v>5.1999899792654221</v>
      </c>
      <c r="X582" s="3">
        <v>91</v>
      </c>
      <c r="Y582" s="7">
        <v>0.06</v>
      </c>
      <c r="Z582" s="4">
        <f>GroDB[[#This Row],[Unit_Price]]*GroDB[[#This Row],[Sales_Volume]]</f>
        <v>1087.9000000000001</v>
      </c>
      <c r="AA582" s="22">
        <f>GroDB[[#This Row],[ADU]]/GroDB[[#Totals],[ADU]]</f>
        <v>3.1600258100242086E-3</v>
      </c>
      <c r="AB582" s="1">
        <f>GroDB[[#This Row],[Sales_Volume]]*GroDB[[#This Row],[Ordering Cost]]</f>
        <v>870.32</v>
      </c>
    </row>
    <row r="583" spans="1:28" x14ac:dyDescent="0.35">
      <c r="A583" s="5" t="s">
        <v>420</v>
      </c>
      <c r="B583" s="3" t="s">
        <v>60</v>
      </c>
      <c r="C583" s="3" t="s">
        <v>527</v>
      </c>
      <c r="D583" s="3" t="s">
        <v>2171</v>
      </c>
      <c r="E583" s="3" t="s">
        <v>28</v>
      </c>
      <c r="F583" s="3" t="s">
        <v>2172</v>
      </c>
      <c r="G583" s="3" t="s">
        <v>2173</v>
      </c>
      <c r="H583" s="43">
        <v>45652</v>
      </c>
      <c r="I583" s="43">
        <v>45349</v>
      </c>
      <c r="J583" s="47" t="str">
        <f>IF(GroDB[[#This Row],[Last_Order_Date]]&lt;=GroDB[[#This Row],[Date_Received]], "Yes", "No")</f>
        <v>Yes</v>
      </c>
      <c r="K583" s="43">
        <f>IF(GroDB[[#This Row],[Column1]]="No",GroDB[[#This Row],[Last_Order_Date]],GroDB[[#This Row],[Date_Received]])</f>
        <v>45652</v>
      </c>
      <c r="L583" s="43">
        <f>IF(GroDB[[#This Row],[Column1]]="No",GroDB[[#This Row],[Date_Received]],GroDB[[#This Row],[Last_Order_Date]])</f>
        <v>45349</v>
      </c>
      <c r="M583" s="45">
        <f>GroDB[[#This Row],[Date_Received1]]-GroDB[[#This Row],[Procurement_Date]]</f>
        <v>303</v>
      </c>
      <c r="N583" s="43">
        <v>45411</v>
      </c>
      <c r="O583" s="91">
        <f>GroDB[[#This Row],[Expiration_Date]]-GroDB[[#This Row],[Date_Received1]]</f>
        <v>-241</v>
      </c>
      <c r="P583" s="4">
        <v>14.4</v>
      </c>
      <c r="Q583" s="3">
        <v>16</v>
      </c>
      <c r="R583" s="3">
        <v>34</v>
      </c>
      <c r="S583" s="3">
        <v>89</v>
      </c>
      <c r="T583" s="4">
        <v>18</v>
      </c>
      <c r="U583" s="3">
        <v>35</v>
      </c>
      <c r="V583" s="51">
        <f>IF(GroDB[[#This Row],[LeadTime]]=0,GroDB[[#This Row],[Sales_Volume]],GroDB[[#This Row],[Sales_Volume]]/GroDB[[#This Row],[LeadTime]])</f>
        <v>0.11551155115511551</v>
      </c>
      <c r="W583" s="51">
        <f>_xlfn.STDEV.S(GroDB[Daily Sales])</f>
        <v>5.1999899792654221</v>
      </c>
      <c r="X583" s="3">
        <v>52</v>
      </c>
      <c r="Y583" s="7">
        <v>-1.1200000000000001</v>
      </c>
      <c r="Z583" s="4">
        <f>GroDB[[#This Row],[Unit_Price]]*GroDB[[#This Row],[Sales_Volume]]</f>
        <v>630</v>
      </c>
      <c r="AA583" s="22">
        <f>GroDB[[#This Row],[ADU]]/GroDB[[#Totals],[ADU]]</f>
        <v>1.8299625519948995E-3</v>
      </c>
      <c r="AB583" s="1">
        <f>GroDB[[#This Row],[Sales_Volume]]*GroDB[[#This Row],[Ordering Cost]]</f>
        <v>504</v>
      </c>
    </row>
    <row r="584" spans="1:28" x14ac:dyDescent="0.35">
      <c r="A584" s="5" t="s">
        <v>526</v>
      </c>
      <c r="B584" s="3" t="s">
        <v>53</v>
      </c>
      <c r="C584" s="3" t="s">
        <v>19</v>
      </c>
      <c r="D584" s="3" t="s">
        <v>2174</v>
      </c>
      <c r="E584" s="3" t="s">
        <v>21</v>
      </c>
      <c r="F584" s="3" t="s">
        <v>2175</v>
      </c>
      <c r="G584" s="3" t="s">
        <v>2176</v>
      </c>
      <c r="H584" s="43">
        <v>45652</v>
      </c>
      <c r="I584" s="43">
        <v>45630</v>
      </c>
      <c r="J584" s="47" t="str">
        <f>IF(GroDB[[#This Row],[Last_Order_Date]]&lt;=GroDB[[#This Row],[Date_Received]], "Yes", "No")</f>
        <v>Yes</v>
      </c>
      <c r="K584" s="43">
        <f>IF(GroDB[[#This Row],[Column1]]="No",GroDB[[#This Row],[Last_Order_Date]],GroDB[[#This Row],[Date_Received]])</f>
        <v>45652</v>
      </c>
      <c r="L584" s="43">
        <f>IF(GroDB[[#This Row],[Column1]]="No",GroDB[[#This Row],[Date_Received]],GroDB[[#This Row],[Last_Order_Date]])</f>
        <v>45630</v>
      </c>
      <c r="M584" s="45">
        <f>GroDB[[#This Row],[Date_Received1]]-GroDB[[#This Row],[Procurement_Date]]</f>
        <v>22</v>
      </c>
      <c r="N584" s="43">
        <v>45625</v>
      </c>
      <c r="O584" s="91">
        <f>GroDB[[#This Row],[Expiration_Date]]-GroDB[[#This Row],[Date_Received1]]</f>
        <v>-27</v>
      </c>
      <c r="P584" s="4">
        <v>1.4400000000000002</v>
      </c>
      <c r="Q584" s="3">
        <v>18</v>
      </c>
      <c r="R584" s="3">
        <v>86</v>
      </c>
      <c r="S584" s="3">
        <v>20</v>
      </c>
      <c r="T584" s="4">
        <v>1.8</v>
      </c>
      <c r="U584" s="3">
        <v>64</v>
      </c>
      <c r="V584" s="51">
        <f>IF(GroDB[[#This Row],[LeadTime]]=0,GroDB[[#This Row],[Sales_Volume]],GroDB[[#This Row],[Sales_Volume]]/GroDB[[#This Row],[LeadTime]])</f>
        <v>2.9090909090909092</v>
      </c>
      <c r="W584" s="51">
        <f>_xlfn.STDEV.S(GroDB[Daily Sales])</f>
        <v>5.1999899792654221</v>
      </c>
      <c r="X584" s="3">
        <v>34</v>
      </c>
      <c r="Y584" s="7">
        <v>-0.49</v>
      </c>
      <c r="Z584" s="4">
        <f>GroDB[[#This Row],[Unit_Price]]*GroDB[[#This Row],[Sales_Volume]]</f>
        <v>115.2</v>
      </c>
      <c r="AA584" s="22">
        <f>GroDB[[#This Row],[ADU]]/GroDB[[#Totals],[ADU]]</f>
        <v>3.3462172379335306E-4</v>
      </c>
      <c r="AB584" s="1">
        <f>GroDB[[#This Row],[Sales_Volume]]*GroDB[[#This Row],[Ordering Cost]]</f>
        <v>92.160000000000011</v>
      </c>
    </row>
    <row r="585" spans="1:28" x14ac:dyDescent="0.35">
      <c r="A585" s="5" t="s">
        <v>175</v>
      </c>
      <c r="B585" s="3" t="s">
        <v>53</v>
      </c>
      <c r="C585" s="3" t="s">
        <v>1739</v>
      </c>
      <c r="D585" s="3" t="s">
        <v>2177</v>
      </c>
      <c r="E585" s="3" t="s">
        <v>21</v>
      </c>
      <c r="F585" s="3" t="s">
        <v>2178</v>
      </c>
      <c r="G585" s="3" t="s">
        <v>2179</v>
      </c>
      <c r="H585" s="43">
        <v>45652</v>
      </c>
      <c r="I585" s="43">
        <v>45644</v>
      </c>
      <c r="J585" s="47" t="str">
        <f>IF(GroDB[[#This Row],[Last_Order_Date]]&lt;=GroDB[[#This Row],[Date_Received]], "Yes", "No")</f>
        <v>Yes</v>
      </c>
      <c r="K585" s="43">
        <f>IF(GroDB[[#This Row],[Column1]]="No",GroDB[[#This Row],[Last_Order_Date]],GroDB[[#This Row],[Date_Received]])</f>
        <v>45652</v>
      </c>
      <c r="L585" s="43">
        <f>IF(GroDB[[#This Row],[Column1]]="No",GroDB[[#This Row],[Date_Received]],GroDB[[#This Row],[Last_Order_Date]])</f>
        <v>45644</v>
      </c>
      <c r="M585" s="45">
        <f>GroDB[[#This Row],[Date_Received1]]-GroDB[[#This Row],[Procurement_Date]]</f>
        <v>8</v>
      </c>
      <c r="N585" s="43">
        <v>45478</v>
      </c>
      <c r="O585" s="91">
        <f>GroDB[[#This Row],[Expiration_Date]]-GroDB[[#This Row],[Date_Received1]]</f>
        <v>-174</v>
      </c>
      <c r="P585" s="4">
        <v>1.2000000000000002</v>
      </c>
      <c r="Q585" s="3">
        <v>64</v>
      </c>
      <c r="R585" s="3">
        <v>11</v>
      </c>
      <c r="S585" s="3">
        <v>97</v>
      </c>
      <c r="T585" s="4">
        <v>1.5</v>
      </c>
      <c r="U585" s="3">
        <v>33</v>
      </c>
      <c r="V585" s="51">
        <f>IF(GroDB[[#This Row],[LeadTime]]=0,GroDB[[#This Row],[Sales_Volume]],GroDB[[#This Row],[Sales_Volume]]/GroDB[[#This Row],[LeadTime]])</f>
        <v>4.125</v>
      </c>
      <c r="W585" s="51">
        <f>_xlfn.STDEV.S(GroDB[Daily Sales])</f>
        <v>5.1999899792654221</v>
      </c>
      <c r="X585" s="3">
        <v>83</v>
      </c>
      <c r="Y585" s="7">
        <v>0.47</v>
      </c>
      <c r="Z585" s="4">
        <f>GroDB[[#This Row],[Unit_Price]]*GroDB[[#This Row],[Sales_Volume]]</f>
        <v>49.5</v>
      </c>
      <c r="AA585" s="22">
        <f>GroDB[[#This Row],[ADU]]/GroDB[[#Totals],[ADU]]</f>
        <v>1.437827719424564E-4</v>
      </c>
      <c r="AB585" s="1">
        <f>GroDB[[#This Row],[Sales_Volume]]*GroDB[[#This Row],[Ordering Cost]]</f>
        <v>39.600000000000009</v>
      </c>
    </row>
    <row r="586" spans="1:28" x14ac:dyDescent="0.35">
      <c r="A586" s="5" t="s">
        <v>293</v>
      </c>
      <c r="B586" s="3" t="s">
        <v>18</v>
      </c>
      <c r="C586" s="3" t="s">
        <v>2180</v>
      </c>
      <c r="D586" s="3" t="s">
        <v>2181</v>
      </c>
      <c r="E586" s="3" t="s">
        <v>28</v>
      </c>
      <c r="F586" s="3" t="s">
        <v>2182</v>
      </c>
      <c r="G586" s="3" t="s">
        <v>2183</v>
      </c>
      <c r="H586" s="43">
        <v>45652</v>
      </c>
      <c r="I586" s="43">
        <v>45387</v>
      </c>
      <c r="J586" s="47" t="str">
        <f>IF(GroDB[[#This Row],[Last_Order_Date]]&lt;=GroDB[[#This Row],[Date_Received]], "Yes", "No")</f>
        <v>Yes</v>
      </c>
      <c r="K586" s="43">
        <f>IF(GroDB[[#This Row],[Column1]]="No",GroDB[[#This Row],[Last_Order_Date]],GroDB[[#This Row],[Date_Received]])</f>
        <v>45652</v>
      </c>
      <c r="L586" s="43">
        <f>IF(GroDB[[#This Row],[Column1]]="No",GroDB[[#This Row],[Date_Received]],GroDB[[#This Row],[Last_Order_Date]])</f>
        <v>45387</v>
      </c>
      <c r="M586" s="45">
        <f>GroDB[[#This Row],[Date_Received1]]-GroDB[[#This Row],[Procurement_Date]]</f>
        <v>265</v>
      </c>
      <c r="N586" s="43">
        <v>45511</v>
      </c>
      <c r="O586" s="91">
        <f>GroDB[[#This Row],[Expiration_Date]]-GroDB[[#This Row],[Date_Received1]]</f>
        <v>-141</v>
      </c>
      <c r="P586" s="4">
        <v>1.6</v>
      </c>
      <c r="Q586" s="3">
        <v>74</v>
      </c>
      <c r="R586" s="3">
        <v>4</v>
      </c>
      <c r="S586" s="3">
        <v>39</v>
      </c>
      <c r="T586" s="4">
        <v>2</v>
      </c>
      <c r="U586" s="3">
        <v>97</v>
      </c>
      <c r="V586" s="51">
        <f>IF(GroDB[[#This Row],[LeadTime]]=0,GroDB[[#This Row],[Sales_Volume]],GroDB[[#This Row],[Sales_Volume]]/GroDB[[#This Row],[LeadTime]])</f>
        <v>0.36603773584905658</v>
      </c>
      <c r="W586" s="51">
        <f>_xlfn.STDEV.S(GroDB[Daily Sales])</f>
        <v>5.1999899792654221</v>
      </c>
      <c r="X586" s="3">
        <v>24</v>
      </c>
      <c r="Y586" s="7">
        <v>-1.52</v>
      </c>
      <c r="Z586" s="4">
        <f>GroDB[[#This Row],[Unit_Price]]*GroDB[[#This Row],[Sales_Volume]]</f>
        <v>194</v>
      </c>
      <c r="AA586" s="22">
        <f>GroDB[[#This Row],[ADU]]/GroDB[[#Totals],[ADU]]</f>
        <v>5.6351227791588969E-4</v>
      </c>
      <c r="AB586" s="1">
        <f>GroDB[[#This Row],[Sales_Volume]]*GroDB[[#This Row],[Ordering Cost]]</f>
        <v>155.20000000000002</v>
      </c>
    </row>
    <row r="587" spans="1:28" x14ac:dyDescent="0.35">
      <c r="A587" s="5" t="s">
        <v>37</v>
      </c>
      <c r="B587" s="3" t="s">
        <v>18</v>
      </c>
      <c r="C587" s="3" t="s">
        <v>1877</v>
      </c>
      <c r="D587" s="3" t="s">
        <v>2184</v>
      </c>
      <c r="E587" s="3" t="s">
        <v>28</v>
      </c>
      <c r="F587" s="3" t="s">
        <v>2185</v>
      </c>
      <c r="G587" s="3" t="s">
        <v>2186</v>
      </c>
      <c r="H587" s="43">
        <v>45653</v>
      </c>
      <c r="I587" s="43">
        <v>45633</v>
      </c>
      <c r="J587" s="47" t="str">
        <f>IF(GroDB[[#This Row],[Last_Order_Date]]&lt;=GroDB[[#This Row],[Date_Received]], "Yes", "No")</f>
        <v>Yes</v>
      </c>
      <c r="K587" s="43">
        <f>IF(GroDB[[#This Row],[Column1]]="No",GroDB[[#This Row],[Last_Order_Date]],GroDB[[#This Row],[Date_Received]])</f>
        <v>45653</v>
      </c>
      <c r="L587" s="43">
        <f>IF(GroDB[[#This Row],[Column1]]="No",GroDB[[#This Row],[Date_Received]],GroDB[[#This Row],[Last_Order_Date]])</f>
        <v>45633</v>
      </c>
      <c r="M587" s="45">
        <f>GroDB[[#This Row],[Date_Received1]]-GroDB[[#This Row],[Procurement_Date]]</f>
        <v>20</v>
      </c>
      <c r="N587" s="43">
        <v>45605</v>
      </c>
      <c r="O587" s="91">
        <f>GroDB[[#This Row],[Expiration_Date]]-GroDB[[#This Row],[Date_Received1]]</f>
        <v>-48</v>
      </c>
      <c r="P587" s="4">
        <v>1.2800000000000002</v>
      </c>
      <c r="Q587" s="3">
        <v>92</v>
      </c>
      <c r="R587" s="3">
        <v>39</v>
      </c>
      <c r="S587" s="3">
        <v>50</v>
      </c>
      <c r="T587" s="4">
        <v>1.6</v>
      </c>
      <c r="U587" s="3">
        <v>30</v>
      </c>
      <c r="V587" s="51">
        <f>IF(GroDB[[#This Row],[LeadTime]]=0,GroDB[[#This Row],[Sales_Volume]],GroDB[[#This Row],[Sales_Volume]]/GroDB[[#This Row],[LeadTime]])</f>
        <v>1.5</v>
      </c>
      <c r="W587" s="51">
        <f>_xlfn.STDEV.S(GroDB[Daily Sales])</f>
        <v>5.1999899792654221</v>
      </c>
      <c r="X587" s="3">
        <v>41</v>
      </c>
      <c r="Y587" s="7">
        <v>0.75</v>
      </c>
      <c r="Z587" s="4">
        <f>GroDB[[#This Row],[Unit_Price]]*GroDB[[#This Row],[Sales_Volume]]</f>
        <v>48</v>
      </c>
      <c r="AA587" s="22">
        <f>GroDB[[#This Row],[ADU]]/GroDB[[#Totals],[ADU]]</f>
        <v>1.3942571824723045E-4</v>
      </c>
      <c r="AB587" s="1">
        <f>GroDB[[#This Row],[Sales_Volume]]*GroDB[[#This Row],[Ordering Cost]]</f>
        <v>38.400000000000006</v>
      </c>
    </row>
    <row r="588" spans="1:28" x14ac:dyDescent="0.35">
      <c r="A588" s="5" t="s">
        <v>126</v>
      </c>
      <c r="B588" s="3" t="s">
        <v>127</v>
      </c>
      <c r="C588" s="3" t="s">
        <v>2167</v>
      </c>
      <c r="D588" s="3" t="s">
        <v>2187</v>
      </c>
      <c r="E588" s="3" t="s">
        <v>56</v>
      </c>
      <c r="F588" s="3" t="s">
        <v>2188</v>
      </c>
      <c r="G588" s="3" t="s">
        <v>2189</v>
      </c>
      <c r="H588" s="43">
        <v>45653</v>
      </c>
      <c r="I588" s="43">
        <v>45438</v>
      </c>
      <c r="J588" s="47" t="str">
        <f>IF(GroDB[[#This Row],[Last_Order_Date]]&lt;=GroDB[[#This Row],[Date_Received]], "Yes", "No")</f>
        <v>Yes</v>
      </c>
      <c r="K588" s="43">
        <f>IF(GroDB[[#This Row],[Column1]]="No",GroDB[[#This Row],[Last_Order_Date]],GroDB[[#This Row],[Date_Received]])</f>
        <v>45653</v>
      </c>
      <c r="L588" s="43">
        <f>IF(GroDB[[#This Row],[Column1]]="No",GroDB[[#This Row],[Date_Received]],GroDB[[#This Row],[Last_Order_Date]])</f>
        <v>45438</v>
      </c>
      <c r="M588" s="45">
        <f>GroDB[[#This Row],[Date_Received1]]-GroDB[[#This Row],[Procurement_Date]]</f>
        <v>215</v>
      </c>
      <c r="N588" s="43">
        <v>45682</v>
      </c>
      <c r="O588" s="91">
        <f>GroDB[[#This Row],[Expiration_Date]]-GroDB[[#This Row],[Date_Received1]]</f>
        <v>29</v>
      </c>
      <c r="P588" s="4">
        <v>16</v>
      </c>
      <c r="Q588" s="3">
        <v>45</v>
      </c>
      <c r="R588" s="3">
        <v>36</v>
      </c>
      <c r="S588" s="3">
        <v>97</v>
      </c>
      <c r="T588" s="4">
        <v>20</v>
      </c>
      <c r="U588" s="3">
        <v>36</v>
      </c>
      <c r="V588" s="51">
        <f>IF(GroDB[[#This Row],[LeadTime]]=0,GroDB[[#This Row],[Sales_Volume]],GroDB[[#This Row],[Sales_Volume]]/GroDB[[#This Row],[LeadTime]])</f>
        <v>0.16744186046511628</v>
      </c>
      <c r="W588" s="51">
        <f>_xlfn.STDEV.S(GroDB[Daily Sales])</f>
        <v>5.1999899792654221</v>
      </c>
      <c r="X588" s="3">
        <v>6</v>
      </c>
      <c r="Y588" s="7">
        <v>-0.37</v>
      </c>
      <c r="Z588" s="4">
        <f>GroDB[[#This Row],[Unit_Price]]*GroDB[[#This Row],[Sales_Volume]]</f>
        <v>720</v>
      </c>
      <c r="AA588" s="22">
        <f>GroDB[[#This Row],[ADU]]/GroDB[[#Totals],[ADU]]</f>
        <v>2.0913857737084565E-3</v>
      </c>
      <c r="AB588" s="1">
        <f>GroDB[[#This Row],[Sales_Volume]]*GroDB[[#This Row],[Ordering Cost]]</f>
        <v>576</v>
      </c>
    </row>
    <row r="589" spans="1:28" x14ac:dyDescent="0.35">
      <c r="A589" s="5" t="s">
        <v>1369</v>
      </c>
      <c r="B589" s="3" t="s">
        <v>32</v>
      </c>
      <c r="C589" s="3" t="s">
        <v>1318</v>
      </c>
      <c r="D589" s="3" t="s">
        <v>2190</v>
      </c>
      <c r="E589" s="3" t="s">
        <v>56</v>
      </c>
      <c r="F589" s="3" t="s">
        <v>2191</v>
      </c>
      <c r="G589" s="3" t="s">
        <v>2192</v>
      </c>
      <c r="H589" s="43">
        <v>45653</v>
      </c>
      <c r="I589" s="43">
        <v>45670</v>
      </c>
      <c r="J589" s="47" t="str">
        <f>IF(GroDB[[#This Row],[Last_Order_Date]]&lt;=GroDB[[#This Row],[Date_Received]], "Yes", "No")</f>
        <v>No</v>
      </c>
      <c r="K589" s="43">
        <f>IF(GroDB[[#This Row],[Column1]]="No",GroDB[[#This Row],[Last_Order_Date]],GroDB[[#This Row],[Date_Received]])</f>
        <v>45670</v>
      </c>
      <c r="L589" s="43">
        <f>IF(GroDB[[#This Row],[Column1]]="No",GroDB[[#This Row],[Date_Received]],GroDB[[#This Row],[Last_Order_Date]])</f>
        <v>45653</v>
      </c>
      <c r="M589" s="45">
        <f>GroDB[[#This Row],[Date_Received1]]-GroDB[[#This Row],[Procurement_Date]]</f>
        <v>17</v>
      </c>
      <c r="N589" s="43">
        <v>45518</v>
      </c>
      <c r="O589" s="91">
        <f>GroDB[[#This Row],[Expiration_Date]]-GroDB[[#This Row],[Date_Received1]]</f>
        <v>-152</v>
      </c>
      <c r="P589" s="4">
        <v>3.2</v>
      </c>
      <c r="Q589" s="3">
        <v>74</v>
      </c>
      <c r="R589" s="3">
        <v>62</v>
      </c>
      <c r="S589" s="3">
        <v>6</v>
      </c>
      <c r="T589" s="4">
        <v>4</v>
      </c>
      <c r="U589" s="3">
        <v>65</v>
      </c>
      <c r="V589" s="51">
        <f>IF(GroDB[[#This Row],[LeadTime]]=0,GroDB[[#This Row],[Sales_Volume]],GroDB[[#This Row],[Sales_Volume]]/GroDB[[#This Row],[LeadTime]])</f>
        <v>3.8235294117647061</v>
      </c>
      <c r="W589" s="51">
        <f>_xlfn.STDEV.S(GroDB[Daily Sales])</f>
        <v>5.1999899792654221</v>
      </c>
      <c r="X589" s="3">
        <v>96</v>
      </c>
      <c r="Y589" s="7">
        <v>0.83</v>
      </c>
      <c r="Z589" s="4">
        <f>GroDB[[#This Row],[Unit_Price]]*GroDB[[#This Row],[Sales_Volume]]</f>
        <v>260</v>
      </c>
      <c r="AA589" s="22">
        <f>GroDB[[#This Row],[ADU]]/GroDB[[#Totals],[ADU]]</f>
        <v>7.5522264050583159E-4</v>
      </c>
      <c r="AB589" s="1">
        <f>GroDB[[#This Row],[Sales_Volume]]*GroDB[[#This Row],[Ordering Cost]]</f>
        <v>208</v>
      </c>
    </row>
    <row r="590" spans="1:28" x14ac:dyDescent="0.35">
      <c r="A590" s="5" t="s">
        <v>627</v>
      </c>
      <c r="B590" s="3" t="s">
        <v>53</v>
      </c>
      <c r="C590" s="3" t="s">
        <v>1829</v>
      </c>
      <c r="D590" s="3" t="s">
        <v>2193</v>
      </c>
      <c r="E590" s="3" t="s">
        <v>56</v>
      </c>
      <c r="F590" s="3" t="s">
        <v>2194</v>
      </c>
      <c r="G590" s="3" t="s">
        <v>2195</v>
      </c>
      <c r="H590" s="43">
        <v>45653</v>
      </c>
      <c r="I590" s="43">
        <v>45708</v>
      </c>
      <c r="J590" s="47" t="str">
        <f>IF(GroDB[[#This Row],[Last_Order_Date]]&lt;=GroDB[[#This Row],[Date_Received]], "Yes", "No")</f>
        <v>No</v>
      </c>
      <c r="K590" s="43">
        <f>IF(GroDB[[#This Row],[Column1]]="No",GroDB[[#This Row],[Last_Order_Date]],GroDB[[#This Row],[Date_Received]])</f>
        <v>45708</v>
      </c>
      <c r="L590" s="43">
        <f>IF(GroDB[[#This Row],[Column1]]="No",GroDB[[#This Row],[Date_Received]],GroDB[[#This Row],[Last_Order_Date]])</f>
        <v>45653</v>
      </c>
      <c r="M590" s="45">
        <f>GroDB[[#This Row],[Date_Received1]]-GroDB[[#This Row],[Procurement_Date]]</f>
        <v>55</v>
      </c>
      <c r="N590" s="43">
        <v>45595</v>
      </c>
      <c r="O590" s="91">
        <f>GroDB[[#This Row],[Expiration_Date]]-GroDB[[#This Row],[Date_Received1]]</f>
        <v>-113</v>
      </c>
      <c r="P590" s="4">
        <v>1.92</v>
      </c>
      <c r="Q590" s="3">
        <v>88</v>
      </c>
      <c r="R590" s="3">
        <v>34</v>
      </c>
      <c r="S590" s="3">
        <v>94</v>
      </c>
      <c r="T590" s="4">
        <v>2.4</v>
      </c>
      <c r="U590" s="3">
        <v>95</v>
      </c>
      <c r="V590" s="51">
        <f>IF(GroDB[[#This Row],[LeadTime]]=0,GroDB[[#This Row],[Sales_Volume]],GroDB[[#This Row],[Sales_Volume]]/GroDB[[#This Row],[LeadTime]])</f>
        <v>1.7272727272727273</v>
      </c>
      <c r="W590" s="51">
        <f>_xlfn.STDEV.S(GroDB[Daily Sales])</f>
        <v>5.1999899792654221</v>
      </c>
      <c r="X590" s="3">
        <v>63</v>
      </c>
      <c r="Y590" s="7">
        <v>-0.48</v>
      </c>
      <c r="Z590" s="4">
        <f>GroDB[[#This Row],[Unit_Price]]*GroDB[[#This Row],[Sales_Volume]]</f>
        <v>228</v>
      </c>
      <c r="AA590" s="22">
        <f>GroDB[[#This Row],[ADU]]/GroDB[[#Totals],[ADU]]</f>
        <v>6.6227216167434458E-4</v>
      </c>
      <c r="AB590" s="1">
        <f>GroDB[[#This Row],[Sales_Volume]]*GroDB[[#This Row],[Ordering Cost]]</f>
        <v>182.4</v>
      </c>
    </row>
    <row r="591" spans="1:28" x14ac:dyDescent="0.35">
      <c r="A591" s="5" t="s">
        <v>517</v>
      </c>
      <c r="B591" s="3" t="s">
        <v>127</v>
      </c>
      <c r="C591" s="3" t="s">
        <v>904</v>
      </c>
      <c r="D591" s="3" t="s">
        <v>2196</v>
      </c>
      <c r="E591" s="3" t="s">
        <v>56</v>
      </c>
      <c r="F591" s="3" t="s">
        <v>2197</v>
      </c>
      <c r="G591" s="3" t="s">
        <v>2198</v>
      </c>
      <c r="H591" s="43">
        <v>45654</v>
      </c>
      <c r="I591" s="43">
        <v>45490</v>
      </c>
      <c r="J591" s="47" t="str">
        <f>IF(GroDB[[#This Row],[Last_Order_Date]]&lt;=GroDB[[#This Row],[Date_Received]], "Yes", "No")</f>
        <v>Yes</v>
      </c>
      <c r="K591" s="43">
        <f>IF(GroDB[[#This Row],[Column1]]="No",GroDB[[#This Row],[Last_Order_Date]],GroDB[[#This Row],[Date_Received]])</f>
        <v>45654</v>
      </c>
      <c r="L591" s="43">
        <f>IF(GroDB[[#This Row],[Column1]]="No",GroDB[[#This Row],[Date_Received]],GroDB[[#This Row],[Last_Order_Date]])</f>
        <v>45490</v>
      </c>
      <c r="M591" s="45">
        <f>GroDB[[#This Row],[Date_Received1]]-GroDB[[#This Row],[Procurement_Date]]</f>
        <v>164</v>
      </c>
      <c r="N591" s="43">
        <v>45631</v>
      </c>
      <c r="O591" s="91">
        <f>GroDB[[#This Row],[Expiration_Date]]-GroDB[[#This Row],[Date_Received1]]</f>
        <v>-23</v>
      </c>
      <c r="P591" s="4">
        <v>20.400000000000002</v>
      </c>
      <c r="Q591" s="3">
        <v>50</v>
      </c>
      <c r="R591" s="3">
        <v>100</v>
      </c>
      <c r="S591" s="3">
        <v>91</v>
      </c>
      <c r="T591" s="4">
        <v>25.5</v>
      </c>
      <c r="U591" s="3">
        <v>29</v>
      </c>
      <c r="V591" s="51">
        <f>IF(GroDB[[#This Row],[LeadTime]]=0,GroDB[[#This Row],[Sales_Volume]],GroDB[[#This Row],[Sales_Volume]]/GroDB[[#This Row],[LeadTime]])</f>
        <v>0.17682926829268292</v>
      </c>
      <c r="W591" s="51">
        <f>_xlfn.STDEV.S(GroDB[Daily Sales])</f>
        <v>5.1999899792654221</v>
      </c>
      <c r="X591" s="3">
        <v>31</v>
      </c>
      <c r="Y591" s="7">
        <v>0.34</v>
      </c>
      <c r="Z591" s="4">
        <f>GroDB[[#This Row],[Unit_Price]]*GroDB[[#This Row],[Sales_Volume]]</f>
        <v>739.5</v>
      </c>
      <c r="AA591" s="22">
        <f>GroDB[[#This Row],[ADU]]/GroDB[[#Totals],[ADU]]</f>
        <v>2.148027471746394E-3</v>
      </c>
      <c r="AB591" s="1">
        <f>GroDB[[#This Row],[Sales_Volume]]*GroDB[[#This Row],[Ordering Cost]]</f>
        <v>591.6</v>
      </c>
    </row>
    <row r="592" spans="1:28" x14ac:dyDescent="0.35">
      <c r="A592" s="5" t="s">
        <v>1138</v>
      </c>
      <c r="B592" s="3" t="s">
        <v>32</v>
      </c>
      <c r="C592" s="3" t="s">
        <v>2199</v>
      </c>
      <c r="D592" s="3" t="s">
        <v>2200</v>
      </c>
      <c r="E592" s="3" t="s">
        <v>28</v>
      </c>
      <c r="F592" s="3" t="s">
        <v>2201</v>
      </c>
      <c r="G592" s="3" t="s">
        <v>2202</v>
      </c>
      <c r="H592" s="43">
        <v>45655</v>
      </c>
      <c r="I592" s="43">
        <v>45649</v>
      </c>
      <c r="J592" s="47" t="str">
        <f>IF(GroDB[[#This Row],[Last_Order_Date]]&lt;=GroDB[[#This Row],[Date_Received]], "Yes", "No")</f>
        <v>Yes</v>
      </c>
      <c r="K592" s="43">
        <f>IF(GroDB[[#This Row],[Column1]]="No",GroDB[[#This Row],[Last_Order_Date]],GroDB[[#This Row],[Date_Received]])</f>
        <v>45655</v>
      </c>
      <c r="L592" s="43">
        <f>IF(GroDB[[#This Row],[Column1]]="No",GroDB[[#This Row],[Date_Received]],GroDB[[#This Row],[Last_Order_Date]])</f>
        <v>45649</v>
      </c>
      <c r="M592" s="45">
        <f>GroDB[[#This Row],[Date_Received1]]-GroDB[[#This Row],[Procurement_Date]]</f>
        <v>6</v>
      </c>
      <c r="N592" s="43">
        <v>45543</v>
      </c>
      <c r="O592" s="91">
        <f>GroDB[[#This Row],[Expiration_Date]]-GroDB[[#This Row],[Date_Received1]]</f>
        <v>-112</v>
      </c>
      <c r="P592" s="4">
        <v>0.16000000000000003</v>
      </c>
      <c r="Q592" s="3">
        <v>10</v>
      </c>
      <c r="R592" s="3">
        <v>17</v>
      </c>
      <c r="S592" s="3">
        <v>70</v>
      </c>
      <c r="T592" s="4">
        <v>0.2</v>
      </c>
      <c r="U592" s="3">
        <v>100</v>
      </c>
      <c r="V592" s="51">
        <f>IF(GroDB[[#This Row],[LeadTime]]=0,GroDB[[#This Row],[Sales_Volume]],GroDB[[#This Row],[Sales_Volume]]/GroDB[[#This Row],[LeadTime]])</f>
        <v>16.666666666666668</v>
      </c>
      <c r="W592" s="51">
        <f>_xlfn.STDEV.S(GroDB[Daily Sales])</f>
        <v>5.1999899792654221</v>
      </c>
      <c r="X592" s="3">
        <v>63</v>
      </c>
      <c r="Y592" s="7">
        <v>-7.0000000000000007E-2</v>
      </c>
      <c r="Z592" s="4">
        <f>GroDB[[#This Row],[Unit_Price]]*GroDB[[#This Row],[Sales_Volume]]</f>
        <v>20</v>
      </c>
      <c r="AA592" s="22">
        <f>GroDB[[#This Row],[ADU]]/GroDB[[#Totals],[ADU]]</f>
        <v>5.809404926967935E-5</v>
      </c>
      <c r="AB592" s="1">
        <f>GroDB[[#This Row],[Sales_Volume]]*GroDB[[#This Row],[Ordering Cost]]</f>
        <v>16.000000000000004</v>
      </c>
    </row>
    <row r="593" spans="1:28" x14ac:dyDescent="0.35">
      <c r="A593" s="5" t="s">
        <v>566</v>
      </c>
      <c r="B593" s="3" t="s">
        <v>127</v>
      </c>
      <c r="C593" s="3" t="s">
        <v>1578</v>
      </c>
      <c r="D593" s="3" t="s">
        <v>2203</v>
      </c>
      <c r="E593" s="3" t="s">
        <v>28</v>
      </c>
      <c r="F593" s="3" t="s">
        <v>2204</v>
      </c>
      <c r="G593" s="3" t="s">
        <v>2205</v>
      </c>
      <c r="H593" s="43">
        <v>45655</v>
      </c>
      <c r="I593" s="43">
        <v>45435</v>
      </c>
      <c r="J593" s="47" t="str">
        <f>IF(GroDB[[#This Row],[Last_Order_Date]]&lt;=GroDB[[#This Row],[Date_Received]], "Yes", "No")</f>
        <v>Yes</v>
      </c>
      <c r="K593" s="43">
        <f>IF(GroDB[[#This Row],[Column1]]="No",GroDB[[#This Row],[Last_Order_Date]],GroDB[[#This Row],[Date_Received]])</f>
        <v>45655</v>
      </c>
      <c r="L593" s="43">
        <f>IF(GroDB[[#This Row],[Column1]]="No",GroDB[[#This Row],[Date_Received]],GroDB[[#This Row],[Last_Order_Date]])</f>
        <v>45435</v>
      </c>
      <c r="M593" s="45">
        <f>GroDB[[#This Row],[Date_Received1]]-GroDB[[#This Row],[Procurement_Date]]</f>
        <v>220</v>
      </c>
      <c r="N593" s="43">
        <v>45521</v>
      </c>
      <c r="O593" s="91">
        <f>GroDB[[#This Row],[Expiration_Date]]-GroDB[[#This Row],[Date_Received1]]</f>
        <v>-134</v>
      </c>
      <c r="P593" s="4">
        <v>11.920000000000002</v>
      </c>
      <c r="Q593" s="3">
        <v>87</v>
      </c>
      <c r="R593" s="3">
        <v>91</v>
      </c>
      <c r="S593" s="3">
        <v>23</v>
      </c>
      <c r="T593" s="4">
        <v>14.9</v>
      </c>
      <c r="U593" s="3">
        <v>90</v>
      </c>
      <c r="V593" s="51">
        <f>IF(GroDB[[#This Row],[LeadTime]]=0,GroDB[[#This Row],[Sales_Volume]],GroDB[[#This Row],[Sales_Volume]]/GroDB[[#This Row],[LeadTime]])</f>
        <v>0.40909090909090912</v>
      </c>
      <c r="W593" s="51">
        <f>_xlfn.STDEV.S(GroDB[Daily Sales])</f>
        <v>5.1999899792654221</v>
      </c>
      <c r="X593" s="3">
        <v>75</v>
      </c>
      <c r="Y593" s="7">
        <v>0.37</v>
      </c>
      <c r="Z593" s="4">
        <f>GroDB[[#This Row],[Unit_Price]]*GroDB[[#This Row],[Sales_Volume]]</f>
        <v>1341</v>
      </c>
      <c r="AA593" s="22">
        <f>GroDB[[#This Row],[ADU]]/GroDB[[#Totals],[ADU]]</f>
        <v>3.8952060035320002E-3</v>
      </c>
      <c r="AB593" s="1">
        <f>GroDB[[#This Row],[Sales_Volume]]*GroDB[[#This Row],[Ordering Cost]]</f>
        <v>1072.8000000000002</v>
      </c>
    </row>
    <row r="594" spans="1:28" x14ac:dyDescent="0.35">
      <c r="A594" s="5" t="s">
        <v>574</v>
      </c>
      <c r="B594" s="3" t="s">
        <v>53</v>
      </c>
      <c r="C594" s="3" t="s">
        <v>2206</v>
      </c>
      <c r="D594" s="3" t="s">
        <v>2207</v>
      </c>
      <c r="E594" s="3" t="s">
        <v>21</v>
      </c>
      <c r="F594" s="3" t="s">
        <v>2208</v>
      </c>
      <c r="G594" s="3" t="s">
        <v>2209</v>
      </c>
      <c r="H594" s="43">
        <v>45655</v>
      </c>
      <c r="I594" s="43">
        <v>45372</v>
      </c>
      <c r="J594" s="47" t="str">
        <f>IF(GroDB[[#This Row],[Last_Order_Date]]&lt;=GroDB[[#This Row],[Date_Received]], "Yes", "No")</f>
        <v>Yes</v>
      </c>
      <c r="K594" s="43">
        <f>IF(GroDB[[#This Row],[Column1]]="No",GroDB[[#This Row],[Last_Order_Date]],GroDB[[#This Row],[Date_Received]])</f>
        <v>45655</v>
      </c>
      <c r="L594" s="43">
        <f>IF(GroDB[[#This Row],[Column1]]="No",GroDB[[#This Row],[Date_Received]],GroDB[[#This Row],[Last_Order_Date]])</f>
        <v>45372</v>
      </c>
      <c r="M594" s="45">
        <f>GroDB[[#This Row],[Date_Received1]]-GroDB[[#This Row],[Procurement_Date]]</f>
        <v>283</v>
      </c>
      <c r="N594" s="43">
        <v>45510</v>
      </c>
      <c r="O594" s="91">
        <f>GroDB[[#This Row],[Expiration_Date]]-GroDB[[#This Row],[Date_Received1]]</f>
        <v>-145</v>
      </c>
      <c r="P594" s="4">
        <v>1.6</v>
      </c>
      <c r="Q594" s="3">
        <v>38</v>
      </c>
      <c r="R594" s="3">
        <v>82</v>
      </c>
      <c r="S594" s="3">
        <v>17</v>
      </c>
      <c r="T594" s="4">
        <v>2</v>
      </c>
      <c r="U594" s="3">
        <v>52</v>
      </c>
      <c r="V594" s="51">
        <f>IF(GroDB[[#This Row],[LeadTime]]=0,GroDB[[#This Row],[Sales_Volume]],GroDB[[#This Row],[Sales_Volume]]/GroDB[[#This Row],[LeadTime]])</f>
        <v>0.18374558303886926</v>
      </c>
      <c r="W594" s="51">
        <f>_xlfn.STDEV.S(GroDB[Daily Sales])</f>
        <v>5.1999899792654221</v>
      </c>
      <c r="X594" s="3">
        <v>47</v>
      </c>
      <c r="Y594" s="7">
        <v>0.17</v>
      </c>
      <c r="Z594" s="4">
        <f>GroDB[[#This Row],[Unit_Price]]*GroDB[[#This Row],[Sales_Volume]]</f>
        <v>104</v>
      </c>
      <c r="AA594" s="22">
        <f>GroDB[[#This Row],[ADU]]/GroDB[[#Totals],[ADU]]</f>
        <v>3.0208905620233262E-4</v>
      </c>
      <c r="AB594" s="1">
        <f>GroDB[[#This Row],[Sales_Volume]]*GroDB[[#This Row],[Ordering Cost]]</f>
        <v>83.2</v>
      </c>
    </row>
    <row r="595" spans="1:28" x14ac:dyDescent="0.35">
      <c r="A595" s="5" t="s">
        <v>156</v>
      </c>
      <c r="B595" s="3" t="s">
        <v>127</v>
      </c>
      <c r="C595" s="3" t="s">
        <v>356</v>
      </c>
      <c r="D595" s="3" t="s">
        <v>2210</v>
      </c>
      <c r="E595" s="3" t="s">
        <v>56</v>
      </c>
      <c r="F595" s="3" t="s">
        <v>2211</v>
      </c>
      <c r="G595" s="3" t="s">
        <v>2212</v>
      </c>
      <c r="H595" s="43">
        <v>45656</v>
      </c>
      <c r="I595" s="43">
        <v>45367</v>
      </c>
      <c r="J595" s="47" t="str">
        <f>IF(GroDB[[#This Row],[Last_Order_Date]]&lt;=GroDB[[#This Row],[Date_Received]], "Yes", "No")</f>
        <v>Yes</v>
      </c>
      <c r="K595" s="43">
        <f>IF(GroDB[[#This Row],[Column1]]="No",GroDB[[#This Row],[Last_Order_Date]],GroDB[[#This Row],[Date_Received]])</f>
        <v>45656</v>
      </c>
      <c r="L595" s="43">
        <f>IF(GroDB[[#This Row],[Column1]]="No",GroDB[[#This Row],[Date_Received]],GroDB[[#This Row],[Last_Order_Date]])</f>
        <v>45367</v>
      </c>
      <c r="M595" s="45">
        <f>GroDB[[#This Row],[Date_Received1]]-GroDB[[#This Row],[Procurement_Date]]</f>
        <v>289</v>
      </c>
      <c r="N595" s="43">
        <v>45561</v>
      </c>
      <c r="O595" s="91">
        <f>GroDB[[#This Row],[Expiration_Date]]-GroDB[[#This Row],[Date_Received1]]</f>
        <v>-95</v>
      </c>
      <c r="P595" s="4">
        <v>10</v>
      </c>
      <c r="Q595" s="3">
        <v>61</v>
      </c>
      <c r="R595" s="3">
        <v>31</v>
      </c>
      <c r="S595" s="3">
        <v>100</v>
      </c>
      <c r="T595" s="4">
        <v>12.5</v>
      </c>
      <c r="U595" s="3">
        <v>95</v>
      </c>
      <c r="V595" s="51">
        <f>IF(GroDB[[#This Row],[LeadTime]]=0,GroDB[[#This Row],[Sales_Volume]],GroDB[[#This Row],[Sales_Volume]]/GroDB[[#This Row],[LeadTime]])</f>
        <v>0.32871972318339099</v>
      </c>
      <c r="W595" s="51">
        <f>_xlfn.STDEV.S(GroDB[Daily Sales])</f>
        <v>5.1999899792654221</v>
      </c>
      <c r="X595" s="3">
        <v>61</v>
      </c>
      <c r="Y595" s="7">
        <v>0.1</v>
      </c>
      <c r="Z595" s="4">
        <f>GroDB[[#This Row],[Unit_Price]]*GroDB[[#This Row],[Sales_Volume]]</f>
        <v>1187.5</v>
      </c>
      <c r="AA595" s="22">
        <f>GroDB[[#This Row],[ADU]]/GroDB[[#Totals],[ADU]]</f>
        <v>3.4493341753872113E-3</v>
      </c>
      <c r="AB595" s="1">
        <f>GroDB[[#This Row],[Sales_Volume]]*GroDB[[#This Row],[Ordering Cost]]</f>
        <v>950</v>
      </c>
    </row>
    <row r="596" spans="1:28" x14ac:dyDescent="0.35">
      <c r="A596" s="5" t="s">
        <v>85</v>
      </c>
      <c r="B596" s="3" t="s">
        <v>18</v>
      </c>
      <c r="C596" s="3" t="s">
        <v>687</v>
      </c>
      <c r="D596" s="3" t="s">
        <v>2213</v>
      </c>
      <c r="E596" s="3" t="s">
        <v>28</v>
      </c>
      <c r="F596" s="3" t="s">
        <v>2214</v>
      </c>
      <c r="G596" s="3" t="s">
        <v>2215</v>
      </c>
      <c r="H596" s="43">
        <v>45656</v>
      </c>
      <c r="I596" s="43">
        <v>45376</v>
      </c>
      <c r="J596" s="47" t="str">
        <f>IF(GroDB[[#This Row],[Last_Order_Date]]&lt;=GroDB[[#This Row],[Date_Received]], "Yes", "No")</f>
        <v>Yes</v>
      </c>
      <c r="K596" s="43">
        <f>IF(GroDB[[#This Row],[Column1]]="No",GroDB[[#This Row],[Last_Order_Date]],GroDB[[#This Row],[Date_Received]])</f>
        <v>45656</v>
      </c>
      <c r="L596" s="43">
        <f>IF(GroDB[[#This Row],[Column1]]="No",GroDB[[#This Row],[Date_Received]],GroDB[[#This Row],[Last_Order_Date]])</f>
        <v>45376</v>
      </c>
      <c r="M596" s="45">
        <f>GroDB[[#This Row],[Date_Received1]]-GroDB[[#This Row],[Procurement_Date]]</f>
        <v>280</v>
      </c>
      <c r="N596" s="43">
        <v>45698</v>
      </c>
      <c r="O596" s="91">
        <f>GroDB[[#This Row],[Expiration_Date]]-GroDB[[#This Row],[Date_Received1]]</f>
        <v>42</v>
      </c>
      <c r="P596" s="4">
        <v>2.4000000000000004</v>
      </c>
      <c r="Q596" s="3">
        <v>81</v>
      </c>
      <c r="R596" s="3">
        <v>35</v>
      </c>
      <c r="S596" s="3">
        <v>82</v>
      </c>
      <c r="T596" s="4">
        <v>3</v>
      </c>
      <c r="U596" s="3">
        <v>86</v>
      </c>
      <c r="V596" s="51">
        <f>IF(GroDB[[#This Row],[LeadTime]]=0,GroDB[[#This Row],[Sales_Volume]],GroDB[[#This Row],[Sales_Volume]]/GroDB[[#This Row],[LeadTime]])</f>
        <v>0.30714285714285716</v>
      </c>
      <c r="W596" s="51">
        <f>_xlfn.STDEV.S(GroDB[Daily Sales])</f>
        <v>5.1999899792654221</v>
      </c>
      <c r="X596" s="3">
        <v>71</v>
      </c>
      <c r="Y596" s="7">
        <v>0.36</v>
      </c>
      <c r="Z596" s="4">
        <f>GroDB[[#This Row],[Unit_Price]]*GroDB[[#This Row],[Sales_Volume]]</f>
        <v>258</v>
      </c>
      <c r="AA596" s="22">
        <f>GroDB[[#This Row],[ADU]]/GroDB[[#Totals],[ADU]]</f>
        <v>7.4941323557886359E-4</v>
      </c>
      <c r="AB596" s="1">
        <f>GroDB[[#This Row],[Sales_Volume]]*GroDB[[#This Row],[Ordering Cost]]</f>
        <v>206.40000000000003</v>
      </c>
    </row>
    <row r="597" spans="1:28" x14ac:dyDescent="0.35">
      <c r="A597" s="5" t="s">
        <v>303</v>
      </c>
      <c r="B597" s="3" t="s">
        <v>60</v>
      </c>
      <c r="C597" s="3" t="s">
        <v>1374</v>
      </c>
      <c r="D597" s="3" t="s">
        <v>2216</v>
      </c>
      <c r="E597" s="3" t="s">
        <v>21</v>
      </c>
      <c r="F597" s="3" t="s">
        <v>2217</v>
      </c>
      <c r="G597" s="3" t="s">
        <v>2218</v>
      </c>
      <c r="H597" s="43">
        <v>45657</v>
      </c>
      <c r="I597" s="43">
        <v>45359</v>
      </c>
      <c r="J597" s="47" t="str">
        <f>IF(GroDB[[#This Row],[Last_Order_Date]]&lt;=GroDB[[#This Row],[Date_Received]], "Yes", "No")</f>
        <v>Yes</v>
      </c>
      <c r="K597" s="43">
        <f>IF(GroDB[[#This Row],[Column1]]="No",GroDB[[#This Row],[Last_Order_Date]],GroDB[[#This Row],[Date_Received]])</f>
        <v>45657</v>
      </c>
      <c r="L597" s="43">
        <f>IF(GroDB[[#This Row],[Column1]]="No",GroDB[[#This Row],[Date_Received]],GroDB[[#This Row],[Last_Order_Date]])</f>
        <v>45359</v>
      </c>
      <c r="M597" s="45">
        <f>GroDB[[#This Row],[Date_Received1]]-GroDB[[#This Row],[Procurement_Date]]</f>
        <v>298</v>
      </c>
      <c r="N597" s="43">
        <v>45528</v>
      </c>
      <c r="O597" s="91">
        <f>GroDB[[#This Row],[Expiration_Date]]-GroDB[[#This Row],[Date_Received1]]</f>
        <v>-129</v>
      </c>
      <c r="P597" s="4">
        <v>4.8000000000000007</v>
      </c>
      <c r="Q597" s="3">
        <v>89</v>
      </c>
      <c r="R597" s="3">
        <v>34</v>
      </c>
      <c r="S597" s="3">
        <v>15</v>
      </c>
      <c r="T597" s="4">
        <v>6</v>
      </c>
      <c r="U597" s="3">
        <v>60</v>
      </c>
      <c r="V597" s="51">
        <f>IF(GroDB[[#This Row],[LeadTime]]=0,GroDB[[#This Row],[Sales_Volume]],GroDB[[#This Row],[Sales_Volume]]/GroDB[[#This Row],[LeadTime]])</f>
        <v>0.20134228187919462</v>
      </c>
      <c r="W597" s="51">
        <f>_xlfn.STDEV.S(GroDB[Daily Sales])</f>
        <v>5.1999899792654221</v>
      </c>
      <c r="X597" s="3">
        <v>2</v>
      </c>
      <c r="Y597" s="7">
        <v>0.17</v>
      </c>
      <c r="Z597" s="4">
        <f>GroDB[[#This Row],[Unit_Price]]*GroDB[[#This Row],[Sales_Volume]]</f>
        <v>360</v>
      </c>
      <c r="AA597" s="22">
        <f>GroDB[[#This Row],[ADU]]/GroDB[[#Totals],[ADU]]</f>
        <v>1.0456928868542283E-3</v>
      </c>
      <c r="AB597" s="1">
        <f>GroDB[[#This Row],[Sales_Volume]]*GroDB[[#This Row],[Ordering Cost]]</f>
        <v>288.00000000000006</v>
      </c>
    </row>
    <row r="598" spans="1:28" x14ac:dyDescent="0.35">
      <c r="A598" s="5" t="s">
        <v>101</v>
      </c>
      <c r="B598" s="3" t="s">
        <v>18</v>
      </c>
      <c r="C598" s="3" t="s">
        <v>2219</v>
      </c>
      <c r="D598" s="3" t="s">
        <v>2220</v>
      </c>
      <c r="E598" s="3" t="s">
        <v>56</v>
      </c>
      <c r="F598" s="3" t="s">
        <v>2221</v>
      </c>
      <c r="G598" s="3" t="s">
        <v>2222</v>
      </c>
      <c r="H598" s="43">
        <v>45657</v>
      </c>
      <c r="I598" s="43">
        <v>45399</v>
      </c>
      <c r="J598" s="47" t="str">
        <f>IF(GroDB[[#This Row],[Last_Order_Date]]&lt;=GroDB[[#This Row],[Date_Received]], "Yes", "No")</f>
        <v>Yes</v>
      </c>
      <c r="K598" s="43">
        <f>IF(GroDB[[#This Row],[Column1]]="No",GroDB[[#This Row],[Last_Order_Date]],GroDB[[#This Row],[Date_Received]])</f>
        <v>45657</v>
      </c>
      <c r="L598" s="43">
        <f>IF(GroDB[[#This Row],[Column1]]="No",GroDB[[#This Row],[Date_Received]],GroDB[[#This Row],[Last_Order_Date]])</f>
        <v>45399</v>
      </c>
      <c r="M598" s="45">
        <f>GroDB[[#This Row],[Date_Received1]]-GroDB[[#This Row],[Procurement_Date]]</f>
        <v>258</v>
      </c>
      <c r="N598" s="43">
        <v>45663</v>
      </c>
      <c r="O598" s="91">
        <f>GroDB[[#This Row],[Expiration_Date]]-GroDB[[#This Row],[Date_Received1]]</f>
        <v>6</v>
      </c>
      <c r="P598" s="4">
        <v>3.5600000000000005</v>
      </c>
      <c r="Q598" s="3">
        <v>58</v>
      </c>
      <c r="R598" s="3">
        <v>55</v>
      </c>
      <c r="S598" s="3">
        <v>5</v>
      </c>
      <c r="T598" s="4">
        <v>4.45</v>
      </c>
      <c r="U598" s="3">
        <v>62</v>
      </c>
      <c r="V598" s="51">
        <f>IF(GroDB[[#This Row],[LeadTime]]=0,GroDB[[#This Row],[Sales_Volume]],GroDB[[#This Row],[Sales_Volume]]/GroDB[[#This Row],[LeadTime]])</f>
        <v>0.24031007751937986</v>
      </c>
      <c r="W598" s="51">
        <f>_xlfn.STDEV.S(GroDB[Daily Sales])</f>
        <v>5.1999899792654221</v>
      </c>
      <c r="X598" s="3">
        <v>89</v>
      </c>
      <c r="Y598" s="7">
        <v>0.97</v>
      </c>
      <c r="Z598" s="4">
        <f>GroDB[[#This Row],[Unit_Price]]*GroDB[[#This Row],[Sales_Volume]]</f>
        <v>275.90000000000003</v>
      </c>
      <c r="AA598" s="22">
        <f>GroDB[[#This Row],[ADU]]/GroDB[[#Totals],[ADU]]</f>
        <v>8.0140740967522676E-4</v>
      </c>
      <c r="AB598" s="1">
        <f>GroDB[[#This Row],[Sales_Volume]]*GroDB[[#This Row],[Ordering Cost]]</f>
        <v>220.72000000000003</v>
      </c>
    </row>
    <row r="599" spans="1:28" x14ac:dyDescent="0.35">
      <c r="A599" s="5" t="s">
        <v>574</v>
      </c>
      <c r="B599" s="3" t="s">
        <v>53</v>
      </c>
      <c r="C599" s="3" t="s">
        <v>2223</v>
      </c>
      <c r="D599" s="3" t="s">
        <v>2224</v>
      </c>
      <c r="E599" s="3" t="s">
        <v>56</v>
      </c>
      <c r="F599" s="3" t="s">
        <v>2225</v>
      </c>
      <c r="G599" s="3" t="s">
        <v>2226</v>
      </c>
      <c r="H599" s="43">
        <v>45657</v>
      </c>
      <c r="I599" s="43">
        <v>45405</v>
      </c>
      <c r="J599" s="47" t="str">
        <f>IF(GroDB[[#This Row],[Last_Order_Date]]&lt;=GroDB[[#This Row],[Date_Received]], "Yes", "No")</f>
        <v>Yes</v>
      </c>
      <c r="K599" s="43">
        <f>IF(GroDB[[#This Row],[Column1]]="No",GroDB[[#This Row],[Last_Order_Date]],GroDB[[#This Row],[Date_Received]])</f>
        <v>45657</v>
      </c>
      <c r="L599" s="43">
        <f>IF(GroDB[[#This Row],[Column1]]="No",GroDB[[#This Row],[Date_Received]],GroDB[[#This Row],[Last_Order_Date]])</f>
        <v>45405</v>
      </c>
      <c r="M599" s="45">
        <f>GroDB[[#This Row],[Date_Received1]]-GroDB[[#This Row],[Procurement_Date]]</f>
        <v>252</v>
      </c>
      <c r="N599" s="43">
        <v>45394</v>
      </c>
      <c r="O599" s="91">
        <f>GroDB[[#This Row],[Expiration_Date]]-GroDB[[#This Row],[Date_Received1]]</f>
        <v>-263</v>
      </c>
      <c r="P599" s="4">
        <v>1.6</v>
      </c>
      <c r="Q599" s="3">
        <v>39</v>
      </c>
      <c r="R599" s="3">
        <v>83</v>
      </c>
      <c r="S599" s="3">
        <v>21</v>
      </c>
      <c r="T599" s="4">
        <v>2</v>
      </c>
      <c r="U599" s="3">
        <v>73</v>
      </c>
      <c r="V599" s="51">
        <f>IF(GroDB[[#This Row],[LeadTime]]=0,GroDB[[#This Row],[Sales_Volume]],GroDB[[#This Row],[Sales_Volume]]/GroDB[[#This Row],[LeadTime]])</f>
        <v>0.28968253968253971</v>
      </c>
      <c r="W599" s="51">
        <f>_xlfn.STDEV.S(GroDB[Daily Sales])</f>
        <v>5.1999899792654221</v>
      </c>
      <c r="X599" s="3">
        <v>88</v>
      </c>
      <c r="Y599" s="7">
        <v>-0.44</v>
      </c>
      <c r="Z599" s="4">
        <f>GroDB[[#This Row],[Unit_Price]]*GroDB[[#This Row],[Sales_Volume]]</f>
        <v>146</v>
      </c>
      <c r="AA599" s="22">
        <f>GroDB[[#This Row],[ADU]]/GroDB[[#Totals],[ADU]]</f>
        <v>4.2408655966865924E-4</v>
      </c>
      <c r="AB599" s="1">
        <f>GroDB[[#This Row],[Sales_Volume]]*GroDB[[#This Row],[Ordering Cost]]</f>
        <v>116.80000000000001</v>
      </c>
    </row>
    <row r="600" spans="1:28" x14ac:dyDescent="0.35">
      <c r="A600" s="5" t="s">
        <v>96</v>
      </c>
      <c r="B600" s="3" t="s">
        <v>18</v>
      </c>
      <c r="C600" s="3" t="s">
        <v>316</v>
      </c>
      <c r="D600" s="3" t="s">
        <v>2227</v>
      </c>
      <c r="E600" s="3" t="s">
        <v>56</v>
      </c>
      <c r="F600" s="3" t="s">
        <v>2228</v>
      </c>
      <c r="G600" s="3" t="s">
        <v>2229</v>
      </c>
      <c r="H600" s="43">
        <v>45657</v>
      </c>
      <c r="I600" s="43">
        <v>45519</v>
      </c>
      <c r="J600" s="47" t="str">
        <f>IF(GroDB[[#This Row],[Last_Order_Date]]&lt;=GroDB[[#This Row],[Date_Received]], "Yes", "No")</f>
        <v>Yes</v>
      </c>
      <c r="K600" s="43">
        <f>IF(GroDB[[#This Row],[Column1]]="No",GroDB[[#This Row],[Last_Order_Date]],GroDB[[#This Row],[Date_Received]])</f>
        <v>45657</v>
      </c>
      <c r="L600" s="43">
        <f>IF(GroDB[[#This Row],[Column1]]="No",GroDB[[#This Row],[Date_Received]],GroDB[[#This Row],[Last_Order_Date]])</f>
        <v>45519</v>
      </c>
      <c r="M600" s="45">
        <f>GroDB[[#This Row],[Date_Received1]]-GroDB[[#This Row],[Procurement_Date]]</f>
        <v>138</v>
      </c>
      <c r="N600" s="43">
        <v>45564</v>
      </c>
      <c r="O600" s="91">
        <f>GroDB[[#This Row],[Expiration_Date]]-GroDB[[#This Row],[Date_Received1]]</f>
        <v>-93</v>
      </c>
      <c r="P600" s="4">
        <v>2</v>
      </c>
      <c r="Q600" s="3">
        <v>95</v>
      </c>
      <c r="R600" s="3">
        <v>6</v>
      </c>
      <c r="S600" s="3">
        <v>59</v>
      </c>
      <c r="T600" s="4">
        <v>2.5</v>
      </c>
      <c r="U600" s="3">
        <v>49</v>
      </c>
      <c r="V600" s="51">
        <f>IF(GroDB[[#This Row],[LeadTime]]=0,GroDB[[#This Row],[Sales_Volume]],GroDB[[#This Row],[Sales_Volume]]/GroDB[[#This Row],[LeadTime]])</f>
        <v>0.35507246376811596</v>
      </c>
      <c r="W600" s="51">
        <f>_xlfn.STDEV.S(GroDB[Daily Sales])</f>
        <v>5.1999899792654221</v>
      </c>
      <c r="X600" s="3">
        <v>77</v>
      </c>
      <c r="Y600" s="7">
        <v>-0.21</v>
      </c>
      <c r="Z600" s="4">
        <f>GroDB[[#This Row],[Unit_Price]]*GroDB[[#This Row],[Sales_Volume]]</f>
        <v>122.5</v>
      </c>
      <c r="AA600" s="22">
        <f>GroDB[[#This Row],[ADU]]/GroDB[[#Totals],[ADU]]</f>
        <v>3.5582605177678604E-4</v>
      </c>
      <c r="AB600" s="1">
        <f>GroDB[[#This Row],[Sales_Volume]]*GroDB[[#This Row],[Ordering Cost]]</f>
        <v>98</v>
      </c>
    </row>
    <row r="601" spans="1:28" x14ac:dyDescent="0.35">
      <c r="A601" s="5" t="s">
        <v>691</v>
      </c>
      <c r="B601" s="3" t="s">
        <v>32</v>
      </c>
      <c r="C601" s="3" t="s">
        <v>203</v>
      </c>
      <c r="D601" s="3" t="s">
        <v>2230</v>
      </c>
      <c r="E601" s="3" t="s">
        <v>56</v>
      </c>
      <c r="F601" s="3" t="s">
        <v>2231</v>
      </c>
      <c r="G601" s="3" t="s">
        <v>2232</v>
      </c>
      <c r="H601" s="43">
        <v>45701</v>
      </c>
      <c r="I601" s="43">
        <v>45515</v>
      </c>
      <c r="J601" s="47" t="str">
        <f>IF(GroDB[[#This Row],[Last_Order_Date]]&lt;=GroDB[[#This Row],[Date_Received]], "Yes", "No")</f>
        <v>Yes</v>
      </c>
      <c r="K601" s="43">
        <f>IF(GroDB[[#This Row],[Column1]]="No",GroDB[[#This Row],[Last_Order_Date]],GroDB[[#This Row],[Date_Received]])</f>
        <v>45701</v>
      </c>
      <c r="L601" s="43">
        <f>IF(GroDB[[#This Row],[Column1]]="No",GroDB[[#This Row],[Date_Received]],GroDB[[#This Row],[Last_Order_Date]])</f>
        <v>45515</v>
      </c>
      <c r="M601" s="45">
        <f>GroDB[[#This Row],[Date_Received1]]-GroDB[[#This Row],[Procurement_Date]]</f>
        <v>186</v>
      </c>
      <c r="N601" s="43">
        <v>45388</v>
      </c>
      <c r="O601" s="91">
        <f>GroDB[[#This Row],[Expiration_Date]]-GroDB[[#This Row],[Date_Received1]]</f>
        <v>-313</v>
      </c>
      <c r="P601" s="4">
        <v>5.6000000000000005</v>
      </c>
      <c r="Q601" s="3">
        <v>67</v>
      </c>
      <c r="R601" s="3">
        <v>79</v>
      </c>
      <c r="S601" s="3">
        <v>98</v>
      </c>
      <c r="T601" s="4">
        <v>7</v>
      </c>
      <c r="U601" s="3">
        <v>73</v>
      </c>
      <c r="V601" s="51">
        <f>IF(GroDB[[#This Row],[LeadTime]]=0,GroDB[[#This Row],[Sales_Volume]],GroDB[[#This Row],[Sales_Volume]]/GroDB[[#This Row],[LeadTime]])</f>
        <v>0.39247311827956988</v>
      </c>
      <c r="W601" s="51">
        <f>_xlfn.STDEV.S(GroDB[Daily Sales])</f>
        <v>5.1999899792654221</v>
      </c>
      <c r="X601" s="3">
        <v>36</v>
      </c>
      <c r="Y601" s="7">
        <v>-0.56999999999999995</v>
      </c>
      <c r="Z601" s="4">
        <f>GroDB[[#This Row],[Unit_Price]]*GroDB[[#This Row],[Sales_Volume]]</f>
        <v>511</v>
      </c>
      <c r="AA601" s="22">
        <f>GroDB[[#This Row],[ADU]]/GroDB[[#Totals],[ADU]]</f>
        <v>1.4843029588403073E-3</v>
      </c>
      <c r="AB601" s="1">
        <f>GroDB[[#This Row],[Sales_Volume]]*GroDB[[#This Row],[Ordering Cost]]</f>
        <v>408.8</v>
      </c>
    </row>
    <row r="602" spans="1:28" x14ac:dyDescent="0.35">
      <c r="A602" s="5" t="s">
        <v>293</v>
      </c>
      <c r="B602" s="3" t="s">
        <v>18</v>
      </c>
      <c r="C602" s="3" t="s">
        <v>2233</v>
      </c>
      <c r="D602" s="3" t="s">
        <v>2234</v>
      </c>
      <c r="E602" s="3" t="s">
        <v>28</v>
      </c>
      <c r="F602" s="3" t="s">
        <v>2235</v>
      </c>
      <c r="G602" s="3" t="s">
        <v>2236</v>
      </c>
      <c r="H602" s="43">
        <v>45701</v>
      </c>
      <c r="I602" s="43">
        <v>45507</v>
      </c>
      <c r="J602" s="47" t="str">
        <f>IF(GroDB[[#This Row],[Last_Order_Date]]&lt;=GroDB[[#This Row],[Date_Received]], "Yes", "No")</f>
        <v>Yes</v>
      </c>
      <c r="K602" s="43">
        <f>IF(GroDB[[#This Row],[Column1]]="No",GroDB[[#This Row],[Last_Order_Date]],GroDB[[#This Row],[Date_Received]])</f>
        <v>45701</v>
      </c>
      <c r="L602" s="43">
        <f>IF(GroDB[[#This Row],[Column1]]="No",GroDB[[#This Row],[Date_Received]],GroDB[[#This Row],[Last_Order_Date]])</f>
        <v>45507</v>
      </c>
      <c r="M602" s="45">
        <f>GroDB[[#This Row],[Date_Received1]]-GroDB[[#This Row],[Procurement_Date]]</f>
        <v>194</v>
      </c>
      <c r="N602" s="43">
        <v>45570</v>
      </c>
      <c r="O602" s="91">
        <f>GroDB[[#This Row],[Expiration_Date]]-GroDB[[#This Row],[Date_Received1]]</f>
        <v>-131</v>
      </c>
      <c r="P602" s="4">
        <v>1.6</v>
      </c>
      <c r="Q602" s="3">
        <v>50</v>
      </c>
      <c r="R602" s="3">
        <v>20</v>
      </c>
      <c r="S602" s="3">
        <v>74</v>
      </c>
      <c r="T602" s="4">
        <v>2</v>
      </c>
      <c r="U602" s="3">
        <v>30</v>
      </c>
      <c r="V602" s="51">
        <f>IF(GroDB[[#This Row],[LeadTime]]=0,GroDB[[#This Row],[Sales_Volume]],GroDB[[#This Row],[Sales_Volume]]/GroDB[[#This Row],[LeadTime]])</f>
        <v>0.15463917525773196</v>
      </c>
      <c r="W602" s="51">
        <f>_xlfn.STDEV.S(GroDB[Daily Sales])</f>
        <v>5.1999899792654221</v>
      </c>
      <c r="X602" s="3">
        <v>57</v>
      </c>
      <c r="Y602" s="7">
        <v>0.51</v>
      </c>
      <c r="Z602" s="4">
        <f>GroDB[[#This Row],[Unit_Price]]*GroDB[[#This Row],[Sales_Volume]]</f>
        <v>60</v>
      </c>
      <c r="AA602" s="22">
        <f>GroDB[[#This Row],[ADU]]/GroDB[[#Totals],[ADU]]</f>
        <v>1.7428214780903806E-4</v>
      </c>
      <c r="AB602" s="1">
        <f>GroDB[[#This Row],[Sales_Volume]]*GroDB[[#This Row],[Ordering Cost]]</f>
        <v>48</v>
      </c>
    </row>
    <row r="603" spans="1:28" x14ac:dyDescent="0.35">
      <c r="A603" s="5" t="s">
        <v>325</v>
      </c>
      <c r="B603" s="3" t="s">
        <v>53</v>
      </c>
      <c r="C603" s="3" t="s">
        <v>1203</v>
      </c>
      <c r="D603" s="3" t="s">
        <v>2237</v>
      </c>
      <c r="E603" s="3" t="s">
        <v>28</v>
      </c>
      <c r="F603" s="3" t="s">
        <v>2238</v>
      </c>
      <c r="G603" s="3" t="s">
        <v>2239</v>
      </c>
      <c r="H603" s="43">
        <v>45701</v>
      </c>
      <c r="I603" s="43">
        <v>45573</v>
      </c>
      <c r="J603" s="47" t="str">
        <f>IF(GroDB[[#This Row],[Last_Order_Date]]&lt;=GroDB[[#This Row],[Date_Received]], "Yes", "No")</f>
        <v>Yes</v>
      </c>
      <c r="K603" s="43">
        <f>IF(GroDB[[#This Row],[Column1]]="No",GroDB[[#This Row],[Last_Order_Date]],GroDB[[#This Row],[Date_Received]])</f>
        <v>45701</v>
      </c>
      <c r="L603" s="43">
        <f>IF(GroDB[[#This Row],[Column1]]="No",GroDB[[#This Row],[Date_Received]],GroDB[[#This Row],[Last_Order_Date]])</f>
        <v>45573</v>
      </c>
      <c r="M603" s="45">
        <f>GroDB[[#This Row],[Date_Received1]]-GroDB[[#This Row],[Procurement_Date]]</f>
        <v>128</v>
      </c>
      <c r="N603" s="43">
        <v>45495</v>
      </c>
      <c r="O603" s="91">
        <f>GroDB[[#This Row],[Expiration_Date]]-GroDB[[#This Row],[Date_Received1]]</f>
        <v>-206</v>
      </c>
      <c r="P603" s="4">
        <v>3.44</v>
      </c>
      <c r="Q603" s="3">
        <v>10</v>
      </c>
      <c r="R603" s="3">
        <v>11</v>
      </c>
      <c r="S603" s="3">
        <v>29</v>
      </c>
      <c r="T603" s="4">
        <v>4.3</v>
      </c>
      <c r="U603" s="3">
        <v>29</v>
      </c>
      <c r="V603" s="51">
        <f>IF(GroDB[[#This Row],[LeadTime]]=0,GroDB[[#This Row],[Sales_Volume]],GroDB[[#This Row],[Sales_Volume]]/GroDB[[#This Row],[LeadTime]])</f>
        <v>0.2265625</v>
      </c>
      <c r="W603" s="51">
        <f>_xlfn.STDEV.S(GroDB[Daily Sales])</f>
        <v>5.1999899792654221</v>
      </c>
      <c r="X603" s="3">
        <v>72</v>
      </c>
      <c r="Y603" s="7">
        <v>-0.9</v>
      </c>
      <c r="Z603" s="4">
        <f>GroDB[[#This Row],[Unit_Price]]*GroDB[[#This Row],[Sales_Volume]]</f>
        <v>124.69999999999999</v>
      </c>
      <c r="AA603" s="22">
        <f>GroDB[[#This Row],[ADU]]/GroDB[[#Totals],[ADU]]</f>
        <v>3.622163971964507E-4</v>
      </c>
      <c r="AB603" s="1">
        <f>GroDB[[#This Row],[Sales_Volume]]*GroDB[[#This Row],[Ordering Cost]]</f>
        <v>99.76</v>
      </c>
    </row>
    <row r="604" spans="1:28" x14ac:dyDescent="0.35">
      <c r="A604" s="5" t="s">
        <v>121</v>
      </c>
      <c r="B604" s="3" t="s">
        <v>53</v>
      </c>
      <c r="C604" s="3" t="s">
        <v>321</v>
      </c>
      <c r="D604" s="3" t="s">
        <v>2240</v>
      </c>
      <c r="E604" s="3" t="s">
        <v>28</v>
      </c>
      <c r="F604" s="3" t="s">
        <v>2241</v>
      </c>
      <c r="G604" s="3" t="s">
        <v>2242</v>
      </c>
      <c r="H604" s="43">
        <v>45701</v>
      </c>
      <c r="I604" s="43">
        <v>45658</v>
      </c>
      <c r="J604" s="47" t="str">
        <f>IF(GroDB[[#This Row],[Last_Order_Date]]&lt;=GroDB[[#This Row],[Date_Received]], "Yes", "No")</f>
        <v>Yes</v>
      </c>
      <c r="K604" s="43">
        <f>IF(GroDB[[#This Row],[Column1]]="No",GroDB[[#This Row],[Last_Order_Date]],GroDB[[#This Row],[Date_Received]])</f>
        <v>45701</v>
      </c>
      <c r="L604" s="43">
        <f>IF(GroDB[[#This Row],[Column1]]="No",GroDB[[#This Row],[Date_Received]],GroDB[[#This Row],[Last_Order_Date]])</f>
        <v>45658</v>
      </c>
      <c r="M604" s="45">
        <f>GroDB[[#This Row],[Date_Received1]]-GroDB[[#This Row],[Procurement_Date]]</f>
        <v>43</v>
      </c>
      <c r="N604" s="43">
        <v>45546</v>
      </c>
      <c r="O604" s="91">
        <f>GroDB[[#This Row],[Expiration_Date]]-GroDB[[#This Row],[Date_Received1]]</f>
        <v>-155</v>
      </c>
      <c r="P604" s="4">
        <v>2.2000000000000002</v>
      </c>
      <c r="Q604" s="3">
        <v>59</v>
      </c>
      <c r="R604" s="3">
        <v>73</v>
      </c>
      <c r="S604" s="3">
        <v>86</v>
      </c>
      <c r="T604" s="4">
        <v>2.75</v>
      </c>
      <c r="U604" s="3">
        <v>32</v>
      </c>
      <c r="V604" s="51">
        <f>IF(GroDB[[#This Row],[LeadTime]]=0,GroDB[[#This Row],[Sales_Volume]],GroDB[[#This Row],[Sales_Volume]]/GroDB[[#This Row],[LeadTime]])</f>
        <v>0.7441860465116279</v>
      </c>
      <c r="W604" s="51">
        <f>_xlfn.STDEV.S(GroDB[Daily Sales])</f>
        <v>5.1999899792654221</v>
      </c>
      <c r="X604" s="3">
        <v>56</v>
      </c>
      <c r="Y604" s="7">
        <v>-1.48</v>
      </c>
      <c r="Z604" s="4">
        <f>GroDB[[#This Row],[Unit_Price]]*GroDB[[#This Row],[Sales_Volume]]</f>
        <v>88</v>
      </c>
      <c r="AA604" s="22">
        <f>GroDB[[#This Row],[ADU]]/GroDB[[#Totals],[ADU]]</f>
        <v>2.5561381678658912E-4</v>
      </c>
      <c r="AB604" s="1">
        <f>GroDB[[#This Row],[Sales_Volume]]*GroDB[[#This Row],[Ordering Cost]]</f>
        <v>70.400000000000006</v>
      </c>
    </row>
    <row r="605" spans="1:28" x14ac:dyDescent="0.35">
      <c r="A605" s="5" t="s">
        <v>674</v>
      </c>
      <c r="B605" s="3" t="s">
        <v>60</v>
      </c>
      <c r="C605" s="3" t="s">
        <v>2243</v>
      </c>
      <c r="D605" s="3" t="s">
        <v>2244</v>
      </c>
      <c r="E605" s="3" t="s">
        <v>56</v>
      </c>
      <c r="F605" s="3" t="s">
        <v>2245</v>
      </c>
      <c r="G605" s="3" t="s">
        <v>2246</v>
      </c>
      <c r="H605" s="43">
        <v>45702</v>
      </c>
      <c r="I605" s="43">
        <v>45524</v>
      </c>
      <c r="J605" s="47" t="str">
        <f>IF(GroDB[[#This Row],[Last_Order_Date]]&lt;=GroDB[[#This Row],[Date_Received]], "Yes", "No")</f>
        <v>Yes</v>
      </c>
      <c r="K605" s="43">
        <f>IF(GroDB[[#This Row],[Column1]]="No",GroDB[[#This Row],[Last_Order_Date]],GroDB[[#This Row],[Date_Received]])</f>
        <v>45702</v>
      </c>
      <c r="L605" s="43">
        <f>IF(GroDB[[#This Row],[Column1]]="No",GroDB[[#This Row],[Date_Received]],GroDB[[#This Row],[Last_Order_Date]])</f>
        <v>45524</v>
      </c>
      <c r="M605" s="45">
        <f>GroDB[[#This Row],[Date_Received1]]-GroDB[[#This Row],[Procurement_Date]]</f>
        <v>178</v>
      </c>
      <c r="N605" s="43">
        <v>45501</v>
      </c>
      <c r="O605" s="91">
        <f>GroDB[[#This Row],[Expiration_Date]]-GroDB[[#This Row],[Date_Received1]]</f>
        <v>-201</v>
      </c>
      <c r="P605" s="4">
        <v>7.2</v>
      </c>
      <c r="Q605" s="3">
        <v>17</v>
      </c>
      <c r="R605" s="3">
        <v>38</v>
      </c>
      <c r="S605" s="3">
        <v>93</v>
      </c>
      <c r="T605" s="4">
        <v>9</v>
      </c>
      <c r="U605" s="3">
        <v>100</v>
      </c>
      <c r="V605" s="51">
        <f>IF(GroDB[[#This Row],[LeadTime]]=0,GroDB[[#This Row],[Sales_Volume]],GroDB[[#This Row],[Sales_Volume]]/GroDB[[#This Row],[LeadTime]])</f>
        <v>0.5617977528089888</v>
      </c>
      <c r="W605" s="51">
        <f>_xlfn.STDEV.S(GroDB[Daily Sales])</f>
        <v>5.1999899792654221</v>
      </c>
      <c r="X605" s="3">
        <v>63</v>
      </c>
      <c r="Y605" s="7">
        <v>-0.75</v>
      </c>
      <c r="Z605" s="4">
        <f>GroDB[[#This Row],[Unit_Price]]*GroDB[[#This Row],[Sales_Volume]]</f>
        <v>900</v>
      </c>
      <c r="AA605" s="22">
        <f>GroDB[[#This Row],[ADU]]/GroDB[[#Totals],[ADU]]</f>
        <v>2.6142322171355706E-3</v>
      </c>
      <c r="AB605" s="1">
        <f>GroDB[[#This Row],[Sales_Volume]]*GroDB[[#This Row],[Ordering Cost]]</f>
        <v>720</v>
      </c>
    </row>
    <row r="606" spans="1:28" x14ac:dyDescent="0.35">
      <c r="A606" s="5" t="s">
        <v>37</v>
      </c>
      <c r="B606" s="3" t="s">
        <v>18</v>
      </c>
      <c r="C606" s="3" t="s">
        <v>641</v>
      </c>
      <c r="D606" s="3" t="s">
        <v>2247</v>
      </c>
      <c r="E606" s="3" t="s">
        <v>56</v>
      </c>
      <c r="F606" s="3" t="s">
        <v>2248</v>
      </c>
      <c r="G606" s="3" t="s">
        <v>2249</v>
      </c>
      <c r="H606" s="43">
        <v>45702</v>
      </c>
      <c r="I606" s="43">
        <v>45355</v>
      </c>
      <c r="J606" s="47" t="str">
        <f>IF(GroDB[[#This Row],[Last_Order_Date]]&lt;=GroDB[[#This Row],[Date_Received]], "Yes", "No")</f>
        <v>Yes</v>
      </c>
      <c r="K606" s="43">
        <f>IF(GroDB[[#This Row],[Column1]]="No",GroDB[[#This Row],[Last_Order_Date]],GroDB[[#This Row],[Date_Received]])</f>
        <v>45702</v>
      </c>
      <c r="L606" s="43">
        <f>IF(GroDB[[#This Row],[Column1]]="No",GroDB[[#This Row],[Date_Received]],GroDB[[#This Row],[Last_Order_Date]])</f>
        <v>45355</v>
      </c>
      <c r="M606" s="45">
        <f>GroDB[[#This Row],[Date_Received1]]-GroDB[[#This Row],[Procurement_Date]]</f>
        <v>347</v>
      </c>
      <c r="N606" s="43">
        <v>45644</v>
      </c>
      <c r="O606" s="91">
        <f>GroDB[[#This Row],[Expiration_Date]]-GroDB[[#This Row],[Date_Received1]]</f>
        <v>-58</v>
      </c>
      <c r="P606" s="4">
        <v>1.2000000000000002</v>
      </c>
      <c r="Q606" s="3">
        <v>74</v>
      </c>
      <c r="R606" s="3">
        <v>37</v>
      </c>
      <c r="S606" s="3">
        <v>57</v>
      </c>
      <c r="T606" s="4">
        <v>1.5</v>
      </c>
      <c r="U606" s="3">
        <v>91</v>
      </c>
      <c r="V606" s="51">
        <f>IF(GroDB[[#This Row],[LeadTime]]=0,GroDB[[#This Row],[Sales_Volume]],GroDB[[#This Row],[Sales_Volume]]/GroDB[[#This Row],[LeadTime]])</f>
        <v>0.26224783861671469</v>
      </c>
      <c r="W606" s="51">
        <f>_xlfn.STDEV.S(GroDB[Daily Sales])</f>
        <v>5.1999899792654221</v>
      </c>
      <c r="X606" s="3">
        <v>18</v>
      </c>
      <c r="Y606" s="7">
        <v>0.37</v>
      </c>
      <c r="Z606" s="4">
        <f>GroDB[[#This Row],[Unit_Price]]*GroDB[[#This Row],[Sales_Volume]]</f>
        <v>136.5</v>
      </c>
      <c r="AA606" s="22">
        <f>GroDB[[#This Row],[ADU]]/GroDB[[#Totals],[ADU]]</f>
        <v>3.9649188626556155E-4</v>
      </c>
      <c r="AB606" s="1">
        <f>GroDB[[#This Row],[Sales_Volume]]*GroDB[[#This Row],[Ordering Cost]]</f>
        <v>109.20000000000002</v>
      </c>
    </row>
    <row r="607" spans="1:28" x14ac:dyDescent="0.35">
      <c r="A607" s="5" t="s">
        <v>1624</v>
      </c>
      <c r="B607" s="3" t="s">
        <v>60</v>
      </c>
      <c r="C607" s="3" t="s">
        <v>1877</v>
      </c>
      <c r="D607" s="3" t="s">
        <v>2250</v>
      </c>
      <c r="E607" s="3" t="s">
        <v>28</v>
      </c>
      <c r="F607" s="3" t="s">
        <v>2251</v>
      </c>
      <c r="G607" s="3" t="s">
        <v>2252</v>
      </c>
      <c r="H607" s="43">
        <v>45702</v>
      </c>
      <c r="I607" s="43">
        <v>45515</v>
      </c>
      <c r="J607" s="47" t="str">
        <f>IF(GroDB[[#This Row],[Last_Order_Date]]&lt;=GroDB[[#This Row],[Date_Received]], "Yes", "No")</f>
        <v>Yes</v>
      </c>
      <c r="K607" s="43">
        <f>IF(GroDB[[#This Row],[Column1]]="No",GroDB[[#This Row],[Last_Order_Date]],GroDB[[#This Row],[Date_Received]])</f>
        <v>45702</v>
      </c>
      <c r="L607" s="43">
        <f>IF(GroDB[[#This Row],[Column1]]="No",GroDB[[#This Row],[Date_Received]],GroDB[[#This Row],[Last_Order_Date]])</f>
        <v>45515</v>
      </c>
      <c r="M607" s="45">
        <f>GroDB[[#This Row],[Date_Received1]]-GroDB[[#This Row],[Procurement_Date]]</f>
        <v>187</v>
      </c>
      <c r="N607" s="43">
        <v>45650</v>
      </c>
      <c r="O607" s="91">
        <f>GroDB[[#This Row],[Expiration_Date]]-GroDB[[#This Row],[Date_Received1]]</f>
        <v>-52</v>
      </c>
      <c r="P607" s="4">
        <v>6</v>
      </c>
      <c r="Q607" s="3">
        <v>91</v>
      </c>
      <c r="R607" s="3">
        <v>96</v>
      </c>
      <c r="S607" s="3">
        <v>90</v>
      </c>
      <c r="T607" s="4">
        <v>7.5</v>
      </c>
      <c r="U607" s="3">
        <v>90</v>
      </c>
      <c r="V607" s="51">
        <f>IF(GroDB[[#This Row],[LeadTime]]=0,GroDB[[#This Row],[Sales_Volume]],GroDB[[#This Row],[Sales_Volume]]/GroDB[[#This Row],[LeadTime]])</f>
        <v>0.48128342245989303</v>
      </c>
      <c r="W607" s="51">
        <f>_xlfn.STDEV.S(GroDB[Daily Sales])</f>
        <v>5.1999899792654221</v>
      </c>
      <c r="X607" s="3">
        <v>75</v>
      </c>
      <c r="Y607" s="7">
        <v>0.8</v>
      </c>
      <c r="Z607" s="4">
        <f>GroDB[[#This Row],[Unit_Price]]*GroDB[[#This Row],[Sales_Volume]]</f>
        <v>675</v>
      </c>
      <c r="AA607" s="22">
        <f>GroDB[[#This Row],[ADU]]/GroDB[[#Totals],[ADU]]</f>
        <v>1.9606741628516782E-3</v>
      </c>
      <c r="AB607" s="1">
        <f>GroDB[[#This Row],[Sales_Volume]]*GroDB[[#This Row],[Ordering Cost]]</f>
        <v>540</v>
      </c>
    </row>
    <row r="608" spans="1:28" x14ac:dyDescent="0.35">
      <c r="A608" s="5" t="s">
        <v>288</v>
      </c>
      <c r="B608" s="3" t="s">
        <v>60</v>
      </c>
      <c r="C608" s="3" t="s">
        <v>2253</v>
      </c>
      <c r="D608" s="3" t="s">
        <v>2254</v>
      </c>
      <c r="E608" s="3" t="s">
        <v>21</v>
      </c>
      <c r="F608" s="3" t="s">
        <v>2255</v>
      </c>
      <c r="G608" s="3" t="s">
        <v>2256</v>
      </c>
      <c r="H608" s="43">
        <v>45702</v>
      </c>
      <c r="I608" s="43">
        <v>45662</v>
      </c>
      <c r="J608" s="47" t="str">
        <f>IF(GroDB[[#This Row],[Last_Order_Date]]&lt;=GroDB[[#This Row],[Date_Received]], "Yes", "No")</f>
        <v>Yes</v>
      </c>
      <c r="K608" s="43">
        <f>IF(GroDB[[#This Row],[Column1]]="No",GroDB[[#This Row],[Last_Order_Date]],GroDB[[#This Row],[Date_Received]])</f>
        <v>45702</v>
      </c>
      <c r="L608" s="43">
        <f>IF(GroDB[[#This Row],[Column1]]="No",GroDB[[#This Row],[Date_Received]],GroDB[[#This Row],[Last_Order_Date]])</f>
        <v>45662</v>
      </c>
      <c r="M608" s="45">
        <f>GroDB[[#This Row],[Date_Received1]]-GroDB[[#This Row],[Procurement_Date]]</f>
        <v>40</v>
      </c>
      <c r="N608" s="43">
        <v>45606</v>
      </c>
      <c r="O608" s="91">
        <f>GroDB[[#This Row],[Expiration_Date]]-GroDB[[#This Row],[Date_Received1]]</f>
        <v>-96</v>
      </c>
      <c r="P608" s="4">
        <v>9.6000000000000014</v>
      </c>
      <c r="Q608" s="3">
        <v>89</v>
      </c>
      <c r="R608" s="3">
        <v>67</v>
      </c>
      <c r="S608" s="3">
        <v>89</v>
      </c>
      <c r="T608" s="4">
        <v>12</v>
      </c>
      <c r="U608" s="3">
        <v>96</v>
      </c>
      <c r="V608" s="51">
        <f>IF(GroDB[[#This Row],[LeadTime]]=0,GroDB[[#This Row],[Sales_Volume]],GroDB[[#This Row],[Sales_Volume]]/GroDB[[#This Row],[LeadTime]])</f>
        <v>2.4</v>
      </c>
      <c r="W608" s="51">
        <f>_xlfn.STDEV.S(GroDB[Daily Sales])</f>
        <v>5.1999899792654221</v>
      </c>
      <c r="X608" s="3">
        <v>42</v>
      </c>
      <c r="Y608" s="7">
        <v>0.17</v>
      </c>
      <c r="Z608" s="4">
        <f>GroDB[[#This Row],[Unit_Price]]*GroDB[[#This Row],[Sales_Volume]]</f>
        <v>1152</v>
      </c>
      <c r="AA608" s="22">
        <f>GroDB[[#This Row],[ADU]]/GroDB[[#Totals],[ADU]]</f>
        <v>3.3462172379335304E-3</v>
      </c>
      <c r="AB608" s="1">
        <f>GroDB[[#This Row],[Sales_Volume]]*GroDB[[#This Row],[Ordering Cost]]</f>
        <v>921.60000000000014</v>
      </c>
    </row>
    <row r="609" spans="1:28" x14ac:dyDescent="0.35">
      <c r="A609" s="5" t="s">
        <v>549</v>
      </c>
      <c r="B609" s="3" t="s">
        <v>32</v>
      </c>
      <c r="C609" s="3" t="s">
        <v>1156</v>
      </c>
      <c r="D609" s="3" t="s">
        <v>2257</v>
      </c>
      <c r="E609" s="3" t="s">
        <v>56</v>
      </c>
      <c r="F609" s="3" t="s">
        <v>2258</v>
      </c>
      <c r="G609" s="3" t="s">
        <v>2259</v>
      </c>
      <c r="H609" s="43">
        <v>45703</v>
      </c>
      <c r="I609" s="43">
        <v>45428</v>
      </c>
      <c r="J609" s="47" t="str">
        <f>IF(GroDB[[#This Row],[Last_Order_Date]]&lt;=GroDB[[#This Row],[Date_Received]], "Yes", "No")</f>
        <v>Yes</v>
      </c>
      <c r="K609" s="43">
        <f>IF(GroDB[[#This Row],[Column1]]="No",GroDB[[#This Row],[Last_Order_Date]],GroDB[[#This Row],[Date_Received]])</f>
        <v>45703</v>
      </c>
      <c r="L609" s="43">
        <f>IF(GroDB[[#This Row],[Column1]]="No",GroDB[[#This Row],[Date_Received]],GroDB[[#This Row],[Last_Order_Date]])</f>
        <v>45428</v>
      </c>
      <c r="M609" s="45">
        <f>GroDB[[#This Row],[Date_Received1]]-GroDB[[#This Row],[Procurement_Date]]</f>
        <v>275</v>
      </c>
      <c r="N609" s="43">
        <v>45588</v>
      </c>
      <c r="O609" s="91">
        <f>GroDB[[#This Row],[Expiration_Date]]-GroDB[[#This Row],[Date_Received1]]</f>
        <v>-115</v>
      </c>
      <c r="P609" s="4">
        <v>1.92</v>
      </c>
      <c r="Q609" s="3">
        <v>72</v>
      </c>
      <c r="R609" s="3">
        <v>58</v>
      </c>
      <c r="S609" s="3">
        <v>52</v>
      </c>
      <c r="T609" s="4">
        <v>2.4</v>
      </c>
      <c r="U609" s="3">
        <v>36</v>
      </c>
      <c r="V609" s="51">
        <f>IF(GroDB[[#This Row],[LeadTime]]=0,GroDB[[#This Row],[Sales_Volume]],GroDB[[#This Row],[Sales_Volume]]/GroDB[[#This Row],[LeadTime]])</f>
        <v>0.13090909090909092</v>
      </c>
      <c r="W609" s="51">
        <f>_xlfn.STDEV.S(GroDB[Daily Sales])</f>
        <v>5.1999899792654221</v>
      </c>
      <c r="X609" s="3">
        <v>14</v>
      </c>
      <c r="Y609" s="7">
        <v>0.56000000000000005</v>
      </c>
      <c r="Z609" s="4">
        <f>GroDB[[#This Row],[Unit_Price]]*GroDB[[#This Row],[Sales_Volume]]</f>
        <v>86.399999999999991</v>
      </c>
      <c r="AA609" s="22">
        <f>GroDB[[#This Row],[ADU]]/GroDB[[#Totals],[ADU]]</f>
        <v>2.5096629284501477E-4</v>
      </c>
      <c r="AB609" s="1">
        <f>GroDB[[#This Row],[Sales_Volume]]*GroDB[[#This Row],[Ordering Cost]]</f>
        <v>69.12</v>
      </c>
    </row>
    <row r="610" spans="1:28" x14ac:dyDescent="0.35">
      <c r="A610" s="5" t="s">
        <v>175</v>
      </c>
      <c r="B610" s="3" t="s">
        <v>53</v>
      </c>
      <c r="C610" s="3" t="s">
        <v>2260</v>
      </c>
      <c r="D610" s="3" t="s">
        <v>2261</v>
      </c>
      <c r="E610" s="3" t="s">
        <v>28</v>
      </c>
      <c r="F610" s="3" t="s">
        <v>2262</v>
      </c>
      <c r="G610" s="3" t="s">
        <v>2263</v>
      </c>
      <c r="H610" s="43">
        <v>45704</v>
      </c>
      <c r="I610" s="43">
        <v>45530</v>
      </c>
      <c r="J610" s="47" t="str">
        <f>IF(GroDB[[#This Row],[Last_Order_Date]]&lt;=GroDB[[#This Row],[Date_Received]], "Yes", "No")</f>
        <v>Yes</v>
      </c>
      <c r="K610" s="43">
        <f>IF(GroDB[[#This Row],[Column1]]="No",GroDB[[#This Row],[Last_Order_Date]],GroDB[[#This Row],[Date_Received]])</f>
        <v>45704</v>
      </c>
      <c r="L610" s="43">
        <f>IF(GroDB[[#This Row],[Column1]]="No",GroDB[[#This Row],[Date_Received]],GroDB[[#This Row],[Last_Order_Date]])</f>
        <v>45530</v>
      </c>
      <c r="M610" s="45">
        <f>GroDB[[#This Row],[Date_Received1]]-GroDB[[#This Row],[Procurement_Date]]</f>
        <v>174</v>
      </c>
      <c r="N610" s="43">
        <v>45595</v>
      </c>
      <c r="O610" s="91">
        <f>GroDB[[#This Row],[Expiration_Date]]-GroDB[[#This Row],[Date_Received1]]</f>
        <v>-109</v>
      </c>
      <c r="P610" s="4">
        <v>1.2000000000000002</v>
      </c>
      <c r="Q610" s="3">
        <v>25</v>
      </c>
      <c r="R610" s="3">
        <v>60</v>
      </c>
      <c r="S610" s="3">
        <v>36</v>
      </c>
      <c r="T610" s="4">
        <v>1.5</v>
      </c>
      <c r="U610" s="3">
        <v>31</v>
      </c>
      <c r="V610" s="51">
        <f>IF(GroDB[[#This Row],[LeadTime]]=0,GroDB[[#This Row],[Sales_Volume]],GroDB[[#This Row],[Sales_Volume]]/GroDB[[#This Row],[LeadTime]])</f>
        <v>0.17816091954022989</v>
      </c>
      <c r="W610" s="51">
        <f>_xlfn.STDEV.S(GroDB[Daily Sales])</f>
        <v>5.1999899792654221</v>
      </c>
      <c r="X610" s="3">
        <v>41</v>
      </c>
      <c r="Y610" s="7">
        <v>0.61</v>
      </c>
      <c r="Z610" s="4">
        <f>GroDB[[#This Row],[Unit_Price]]*GroDB[[#This Row],[Sales_Volume]]</f>
        <v>46.5</v>
      </c>
      <c r="AA610" s="22">
        <f>GroDB[[#This Row],[ADU]]/GroDB[[#Totals],[ADU]]</f>
        <v>1.3506866455200448E-4</v>
      </c>
      <c r="AB610" s="1">
        <f>GroDB[[#This Row],[Sales_Volume]]*GroDB[[#This Row],[Ordering Cost]]</f>
        <v>37.200000000000003</v>
      </c>
    </row>
    <row r="611" spans="1:28" x14ac:dyDescent="0.35">
      <c r="A611" s="5" t="s">
        <v>976</v>
      </c>
      <c r="B611" s="3" t="s">
        <v>60</v>
      </c>
      <c r="C611" s="3" t="s">
        <v>1054</v>
      </c>
      <c r="D611" s="3" t="s">
        <v>2264</v>
      </c>
      <c r="E611" s="3" t="s">
        <v>28</v>
      </c>
      <c r="F611" s="3" t="s">
        <v>2265</v>
      </c>
      <c r="G611" s="3" t="s">
        <v>2266</v>
      </c>
      <c r="H611" s="43">
        <v>45705</v>
      </c>
      <c r="I611" s="43">
        <v>45489</v>
      </c>
      <c r="J611" s="47" t="str">
        <f>IF(GroDB[[#This Row],[Last_Order_Date]]&lt;=GroDB[[#This Row],[Date_Received]], "Yes", "No")</f>
        <v>Yes</v>
      </c>
      <c r="K611" s="43">
        <f>IF(GroDB[[#This Row],[Column1]]="No",GroDB[[#This Row],[Last_Order_Date]],GroDB[[#This Row],[Date_Received]])</f>
        <v>45705</v>
      </c>
      <c r="L611" s="43">
        <f>IF(GroDB[[#This Row],[Column1]]="No",GroDB[[#This Row],[Date_Received]],GroDB[[#This Row],[Last_Order_Date]])</f>
        <v>45489</v>
      </c>
      <c r="M611" s="45">
        <f>GroDB[[#This Row],[Date_Received1]]-GroDB[[#This Row],[Procurement_Date]]</f>
        <v>216</v>
      </c>
      <c r="N611" s="43">
        <v>45355</v>
      </c>
      <c r="O611" s="91">
        <f>GroDB[[#This Row],[Expiration_Date]]-GroDB[[#This Row],[Date_Received1]]</f>
        <v>-350</v>
      </c>
      <c r="P611" s="4">
        <v>16</v>
      </c>
      <c r="Q611" s="3">
        <v>40</v>
      </c>
      <c r="R611" s="3">
        <v>81</v>
      </c>
      <c r="S611" s="3">
        <v>78</v>
      </c>
      <c r="T611" s="4">
        <v>20</v>
      </c>
      <c r="U611" s="3">
        <v>39</v>
      </c>
      <c r="V611" s="51">
        <f>IF(GroDB[[#This Row],[LeadTime]]=0,GroDB[[#This Row],[Sales_Volume]],GroDB[[#This Row],[Sales_Volume]]/GroDB[[#This Row],[LeadTime]])</f>
        <v>0.18055555555555555</v>
      </c>
      <c r="W611" s="51">
        <f>_xlfn.STDEV.S(GroDB[Daily Sales])</f>
        <v>5.1999899792654221</v>
      </c>
      <c r="X611" s="3">
        <v>65</v>
      </c>
      <c r="Y611" s="7">
        <v>-0.32</v>
      </c>
      <c r="Z611" s="4">
        <f>GroDB[[#This Row],[Unit_Price]]*GroDB[[#This Row],[Sales_Volume]]</f>
        <v>780</v>
      </c>
      <c r="AA611" s="22">
        <f>GroDB[[#This Row],[ADU]]/GroDB[[#Totals],[ADU]]</f>
        <v>2.2656679215174945E-3</v>
      </c>
      <c r="AB611" s="1">
        <f>GroDB[[#This Row],[Sales_Volume]]*GroDB[[#This Row],[Ordering Cost]]</f>
        <v>624</v>
      </c>
    </row>
    <row r="612" spans="1:28" x14ac:dyDescent="0.35">
      <c r="A612" s="5" t="s">
        <v>193</v>
      </c>
      <c r="B612" s="3" t="s">
        <v>18</v>
      </c>
      <c r="C612" s="3" t="s">
        <v>1697</v>
      </c>
      <c r="D612" s="3" t="s">
        <v>2267</v>
      </c>
      <c r="E612" s="3" t="s">
        <v>56</v>
      </c>
      <c r="F612" s="3" t="s">
        <v>2268</v>
      </c>
      <c r="G612" s="3" t="s">
        <v>2269</v>
      </c>
      <c r="H612" s="43">
        <v>45705</v>
      </c>
      <c r="I612" s="43">
        <v>45656</v>
      </c>
      <c r="J612" s="47" t="str">
        <f>IF(GroDB[[#This Row],[Last_Order_Date]]&lt;=GroDB[[#This Row],[Date_Received]], "Yes", "No")</f>
        <v>Yes</v>
      </c>
      <c r="K612" s="43">
        <f>IF(GroDB[[#This Row],[Column1]]="No",GroDB[[#This Row],[Last_Order_Date]],GroDB[[#This Row],[Date_Received]])</f>
        <v>45705</v>
      </c>
      <c r="L612" s="43">
        <f>IF(GroDB[[#This Row],[Column1]]="No",GroDB[[#This Row],[Date_Received]],GroDB[[#This Row],[Last_Order_Date]])</f>
        <v>45656</v>
      </c>
      <c r="M612" s="45">
        <f>GroDB[[#This Row],[Date_Received1]]-GroDB[[#This Row],[Procurement_Date]]</f>
        <v>49</v>
      </c>
      <c r="N612" s="43">
        <v>45366</v>
      </c>
      <c r="O612" s="91">
        <f>GroDB[[#This Row],[Expiration_Date]]-GroDB[[#This Row],[Date_Received1]]</f>
        <v>-339</v>
      </c>
      <c r="P612" s="4">
        <v>1.6</v>
      </c>
      <c r="Q612" s="3">
        <v>75</v>
      </c>
      <c r="R612" s="3">
        <v>18</v>
      </c>
      <c r="S612" s="3">
        <v>65</v>
      </c>
      <c r="T612" s="4">
        <v>2</v>
      </c>
      <c r="U612" s="3">
        <v>32</v>
      </c>
      <c r="V612" s="51">
        <f>IF(GroDB[[#This Row],[LeadTime]]=0,GroDB[[#This Row],[Sales_Volume]],GroDB[[#This Row],[Sales_Volume]]/GroDB[[#This Row],[LeadTime]])</f>
        <v>0.65306122448979587</v>
      </c>
      <c r="W612" s="51">
        <f>_xlfn.STDEV.S(GroDB[Daily Sales])</f>
        <v>5.1999899792654221</v>
      </c>
      <c r="X612" s="3">
        <v>92</v>
      </c>
      <c r="Y612" s="7">
        <v>-0.67</v>
      </c>
      <c r="Z612" s="4">
        <f>GroDB[[#This Row],[Unit_Price]]*GroDB[[#This Row],[Sales_Volume]]</f>
        <v>64</v>
      </c>
      <c r="AA612" s="22">
        <f>GroDB[[#This Row],[ADU]]/GroDB[[#Totals],[ADU]]</f>
        <v>1.8590095766297392E-4</v>
      </c>
      <c r="AB612" s="1">
        <f>GroDB[[#This Row],[Sales_Volume]]*GroDB[[#This Row],[Ordering Cost]]</f>
        <v>51.2</v>
      </c>
    </row>
    <row r="613" spans="1:28" x14ac:dyDescent="0.35">
      <c r="A613" s="5" t="s">
        <v>836</v>
      </c>
      <c r="B613" s="3" t="s">
        <v>91</v>
      </c>
      <c r="C613" s="3" t="s">
        <v>221</v>
      </c>
      <c r="D613" s="3" t="s">
        <v>2270</v>
      </c>
      <c r="E613" s="3" t="s">
        <v>21</v>
      </c>
      <c r="F613" s="3" t="s">
        <v>2271</v>
      </c>
      <c r="G613" s="3" t="s">
        <v>2272</v>
      </c>
      <c r="H613" s="43">
        <v>45706</v>
      </c>
      <c r="I613" s="43">
        <v>45561</v>
      </c>
      <c r="J613" s="47" t="str">
        <f>IF(GroDB[[#This Row],[Last_Order_Date]]&lt;=GroDB[[#This Row],[Date_Received]], "Yes", "No")</f>
        <v>Yes</v>
      </c>
      <c r="K613" s="43">
        <f>IF(GroDB[[#This Row],[Column1]]="No",GroDB[[#This Row],[Last_Order_Date]],GroDB[[#This Row],[Date_Received]])</f>
        <v>45706</v>
      </c>
      <c r="L613" s="43">
        <f>IF(GroDB[[#This Row],[Column1]]="No",GroDB[[#This Row],[Date_Received]],GroDB[[#This Row],[Last_Order_Date]])</f>
        <v>45561</v>
      </c>
      <c r="M613" s="45">
        <f>GroDB[[#This Row],[Date_Received1]]-GroDB[[#This Row],[Procurement_Date]]</f>
        <v>145</v>
      </c>
      <c r="N613" s="43">
        <v>45463</v>
      </c>
      <c r="O613" s="91">
        <f>GroDB[[#This Row],[Expiration_Date]]-GroDB[[#This Row],[Date_Received1]]</f>
        <v>-243</v>
      </c>
      <c r="P613" s="4">
        <v>2.8000000000000003</v>
      </c>
      <c r="Q613" s="3">
        <v>85</v>
      </c>
      <c r="R613" s="3">
        <v>57</v>
      </c>
      <c r="S613" s="3">
        <v>25</v>
      </c>
      <c r="T613" s="4">
        <v>3.5</v>
      </c>
      <c r="U613" s="3">
        <v>30</v>
      </c>
      <c r="V613" s="51">
        <f>IF(GroDB[[#This Row],[LeadTime]]=0,GroDB[[#This Row],[Sales_Volume]],GroDB[[#This Row],[Sales_Volume]]/GroDB[[#This Row],[LeadTime]])</f>
        <v>0.20689655172413793</v>
      </c>
      <c r="W613" s="51">
        <f>_xlfn.STDEV.S(GroDB[Daily Sales])</f>
        <v>5.1999899792654221</v>
      </c>
      <c r="X613" s="3">
        <v>42</v>
      </c>
      <c r="Y613" s="7">
        <v>-1.88</v>
      </c>
      <c r="Z613" s="4">
        <f>GroDB[[#This Row],[Unit_Price]]*GroDB[[#This Row],[Sales_Volume]]</f>
        <v>105</v>
      </c>
      <c r="AA613" s="22">
        <f>GroDB[[#This Row],[ADU]]/GroDB[[#Totals],[ADU]]</f>
        <v>3.0499375866581657E-4</v>
      </c>
      <c r="AB613" s="1">
        <f>GroDB[[#This Row],[Sales_Volume]]*GroDB[[#This Row],[Ordering Cost]]</f>
        <v>84.000000000000014</v>
      </c>
    </row>
    <row r="614" spans="1:28" x14ac:dyDescent="0.35">
      <c r="A614" s="5" t="s">
        <v>24</v>
      </c>
      <c r="B614" s="3" t="s">
        <v>25</v>
      </c>
      <c r="C614" s="3" t="s">
        <v>1020</v>
      </c>
      <c r="D614" s="3" t="s">
        <v>2273</v>
      </c>
      <c r="E614" s="3" t="s">
        <v>28</v>
      </c>
      <c r="F614" s="3" t="s">
        <v>2274</v>
      </c>
      <c r="G614" s="3" t="s">
        <v>2275</v>
      </c>
      <c r="H614" s="43">
        <v>45706</v>
      </c>
      <c r="I614" s="43">
        <v>45503</v>
      </c>
      <c r="J614" s="47" t="str">
        <f>IF(GroDB[[#This Row],[Last_Order_Date]]&lt;=GroDB[[#This Row],[Date_Received]], "Yes", "No")</f>
        <v>Yes</v>
      </c>
      <c r="K614" s="43">
        <f>IF(GroDB[[#This Row],[Column1]]="No",GroDB[[#This Row],[Last_Order_Date]],GroDB[[#This Row],[Date_Received]])</f>
        <v>45706</v>
      </c>
      <c r="L614" s="43">
        <f>IF(GroDB[[#This Row],[Column1]]="No",GroDB[[#This Row],[Date_Received]],GroDB[[#This Row],[Last_Order_Date]])</f>
        <v>45503</v>
      </c>
      <c r="M614" s="45">
        <f>GroDB[[#This Row],[Date_Received1]]-GroDB[[#This Row],[Procurement_Date]]</f>
        <v>203</v>
      </c>
      <c r="N614" s="43">
        <v>45367</v>
      </c>
      <c r="O614" s="91">
        <f>GroDB[[#This Row],[Expiration_Date]]-GroDB[[#This Row],[Date_Received1]]</f>
        <v>-339</v>
      </c>
      <c r="P614" s="4">
        <v>1.6</v>
      </c>
      <c r="Q614" s="3">
        <v>41</v>
      </c>
      <c r="R614" s="3">
        <v>66</v>
      </c>
      <c r="S614" s="3">
        <v>50</v>
      </c>
      <c r="T614" s="4">
        <v>2</v>
      </c>
      <c r="U614" s="3">
        <v>55</v>
      </c>
      <c r="V614" s="51">
        <f>IF(GroDB[[#This Row],[LeadTime]]=0,GroDB[[#This Row],[Sales_Volume]],GroDB[[#This Row],[Sales_Volume]]/GroDB[[#This Row],[LeadTime]])</f>
        <v>0.27093596059113301</v>
      </c>
      <c r="W614" s="51">
        <f>_xlfn.STDEV.S(GroDB[Daily Sales])</f>
        <v>5.1999899792654221</v>
      </c>
      <c r="X614" s="3">
        <v>74</v>
      </c>
      <c r="Y614" s="7">
        <v>-0.4</v>
      </c>
      <c r="Z614" s="4">
        <f>GroDB[[#This Row],[Unit_Price]]*GroDB[[#This Row],[Sales_Volume]]</f>
        <v>110</v>
      </c>
      <c r="AA614" s="22">
        <f>GroDB[[#This Row],[ADU]]/GroDB[[#Totals],[ADU]]</f>
        <v>3.195172709832364E-4</v>
      </c>
      <c r="AB614" s="1">
        <f>GroDB[[#This Row],[Sales_Volume]]*GroDB[[#This Row],[Ordering Cost]]</f>
        <v>88</v>
      </c>
    </row>
    <row r="615" spans="1:28" x14ac:dyDescent="0.35">
      <c r="A615" s="5" t="s">
        <v>380</v>
      </c>
      <c r="B615" s="3" t="s">
        <v>32</v>
      </c>
      <c r="C615" s="3" t="s">
        <v>161</v>
      </c>
      <c r="D615" s="3" t="s">
        <v>2276</v>
      </c>
      <c r="E615" s="3" t="s">
        <v>21</v>
      </c>
      <c r="F615" s="3" t="s">
        <v>2277</v>
      </c>
      <c r="G615" s="3" t="s">
        <v>2278</v>
      </c>
      <c r="H615" s="43">
        <v>45707</v>
      </c>
      <c r="I615" s="43">
        <v>45486</v>
      </c>
      <c r="J615" s="47" t="str">
        <f>IF(GroDB[[#This Row],[Last_Order_Date]]&lt;=GroDB[[#This Row],[Date_Received]], "Yes", "No")</f>
        <v>Yes</v>
      </c>
      <c r="K615" s="43">
        <f>IF(GroDB[[#This Row],[Column1]]="No",GroDB[[#This Row],[Last_Order_Date]],GroDB[[#This Row],[Date_Received]])</f>
        <v>45707</v>
      </c>
      <c r="L615" s="43">
        <f>IF(GroDB[[#This Row],[Column1]]="No",GroDB[[#This Row],[Date_Received]],GroDB[[#This Row],[Last_Order_Date]])</f>
        <v>45486</v>
      </c>
      <c r="M615" s="45">
        <f>GroDB[[#This Row],[Date_Received1]]-GroDB[[#This Row],[Procurement_Date]]</f>
        <v>221</v>
      </c>
      <c r="N615" s="43">
        <v>45377</v>
      </c>
      <c r="O615" s="91">
        <f>GroDB[[#This Row],[Expiration_Date]]-GroDB[[#This Row],[Date_Received1]]</f>
        <v>-330</v>
      </c>
      <c r="P615" s="4">
        <v>3.2</v>
      </c>
      <c r="Q615" s="3">
        <v>92</v>
      </c>
      <c r="R615" s="3">
        <v>99</v>
      </c>
      <c r="S615" s="3">
        <v>93</v>
      </c>
      <c r="T615" s="4">
        <v>4</v>
      </c>
      <c r="U615" s="3">
        <v>43</v>
      </c>
      <c r="V615" s="51">
        <f>IF(GroDB[[#This Row],[LeadTime]]=0,GroDB[[#This Row],[Sales_Volume]],GroDB[[#This Row],[Sales_Volume]]/GroDB[[#This Row],[LeadTime]])</f>
        <v>0.19457013574660634</v>
      </c>
      <c r="W615" s="51">
        <f>_xlfn.STDEV.S(GroDB[Daily Sales])</f>
        <v>5.1999899792654221</v>
      </c>
      <c r="X615" s="3">
        <v>90</v>
      </c>
      <c r="Y615" s="7">
        <v>-0.35</v>
      </c>
      <c r="Z615" s="4">
        <f>GroDB[[#This Row],[Unit_Price]]*GroDB[[#This Row],[Sales_Volume]]</f>
        <v>172</v>
      </c>
      <c r="AA615" s="22">
        <f>GroDB[[#This Row],[ADU]]/GroDB[[#Totals],[ADU]]</f>
        <v>4.9960882371924236E-4</v>
      </c>
      <c r="AB615" s="1">
        <f>GroDB[[#This Row],[Sales_Volume]]*GroDB[[#This Row],[Ordering Cost]]</f>
        <v>137.6</v>
      </c>
    </row>
    <row r="616" spans="1:28" x14ac:dyDescent="0.35">
      <c r="A616" s="5" t="s">
        <v>52</v>
      </c>
      <c r="B616" s="3" t="s">
        <v>53</v>
      </c>
      <c r="C616" s="3" t="s">
        <v>1805</v>
      </c>
      <c r="D616" s="3" t="s">
        <v>2279</v>
      </c>
      <c r="E616" s="3" t="s">
        <v>21</v>
      </c>
      <c r="F616" s="3" t="s">
        <v>2280</v>
      </c>
      <c r="G616" s="3" t="s">
        <v>2281</v>
      </c>
      <c r="H616" s="43">
        <v>45707</v>
      </c>
      <c r="I616" s="43">
        <v>45561</v>
      </c>
      <c r="J616" s="47" t="str">
        <f>IF(GroDB[[#This Row],[Last_Order_Date]]&lt;=GroDB[[#This Row],[Date_Received]], "Yes", "No")</f>
        <v>Yes</v>
      </c>
      <c r="K616" s="43">
        <f>IF(GroDB[[#This Row],[Column1]]="No",GroDB[[#This Row],[Last_Order_Date]],GroDB[[#This Row],[Date_Received]])</f>
        <v>45707</v>
      </c>
      <c r="L616" s="43">
        <f>IF(GroDB[[#This Row],[Column1]]="No",GroDB[[#This Row],[Date_Received]],GroDB[[#This Row],[Last_Order_Date]])</f>
        <v>45561</v>
      </c>
      <c r="M616" s="45">
        <f>GroDB[[#This Row],[Date_Received1]]-GroDB[[#This Row],[Procurement_Date]]</f>
        <v>146</v>
      </c>
      <c r="N616" s="43">
        <v>45681</v>
      </c>
      <c r="O616" s="91">
        <f>GroDB[[#This Row],[Expiration_Date]]-GroDB[[#This Row],[Date_Received1]]</f>
        <v>-26</v>
      </c>
      <c r="P616" s="4">
        <v>4</v>
      </c>
      <c r="Q616" s="3">
        <v>51</v>
      </c>
      <c r="R616" s="3">
        <v>55</v>
      </c>
      <c r="S616" s="3">
        <v>76</v>
      </c>
      <c r="T616" s="4">
        <v>5</v>
      </c>
      <c r="U616" s="3">
        <v>21</v>
      </c>
      <c r="V616" s="51">
        <f>IF(GroDB[[#This Row],[LeadTime]]=0,GroDB[[#This Row],[Sales_Volume]],GroDB[[#This Row],[Sales_Volume]]/GroDB[[#This Row],[LeadTime]])</f>
        <v>0.14383561643835616</v>
      </c>
      <c r="W616" s="51">
        <f>_xlfn.STDEV.S(GroDB[Daily Sales])</f>
        <v>5.1999899792654221</v>
      </c>
      <c r="X616" s="3">
        <v>13</v>
      </c>
      <c r="Y616" s="7">
        <v>-1.0900000000000001</v>
      </c>
      <c r="Z616" s="4">
        <f>GroDB[[#This Row],[Unit_Price]]*GroDB[[#This Row],[Sales_Volume]]</f>
        <v>105</v>
      </c>
      <c r="AA616" s="22">
        <f>GroDB[[#This Row],[ADU]]/GroDB[[#Totals],[ADU]]</f>
        <v>3.0499375866581657E-4</v>
      </c>
      <c r="AB616" s="1">
        <f>GroDB[[#This Row],[Sales_Volume]]*GroDB[[#This Row],[Ordering Cost]]</f>
        <v>84</v>
      </c>
    </row>
    <row r="617" spans="1:28" x14ac:dyDescent="0.35">
      <c r="A617" s="5" t="s">
        <v>531</v>
      </c>
      <c r="B617" s="3" t="s">
        <v>53</v>
      </c>
      <c r="C617" s="3" t="s">
        <v>138</v>
      </c>
      <c r="D617" s="3" t="s">
        <v>2282</v>
      </c>
      <c r="E617" s="3" t="s">
        <v>56</v>
      </c>
      <c r="F617" s="3" t="s">
        <v>2283</v>
      </c>
      <c r="G617" s="3" t="s">
        <v>2284</v>
      </c>
      <c r="H617" s="43">
        <v>45707</v>
      </c>
      <c r="I617" s="43">
        <v>45699</v>
      </c>
      <c r="J617" s="47" t="str">
        <f>IF(GroDB[[#This Row],[Last_Order_Date]]&lt;=GroDB[[#This Row],[Date_Received]], "Yes", "No")</f>
        <v>Yes</v>
      </c>
      <c r="K617" s="43">
        <f>IF(GroDB[[#This Row],[Column1]]="No",GroDB[[#This Row],[Last_Order_Date]],GroDB[[#This Row],[Date_Received]])</f>
        <v>45707</v>
      </c>
      <c r="L617" s="43">
        <f>IF(GroDB[[#This Row],[Column1]]="No",GroDB[[#This Row],[Date_Received]],GroDB[[#This Row],[Last_Order_Date]])</f>
        <v>45699</v>
      </c>
      <c r="M617" s="45">
        <f>GroDB[[#This Row],[Date_Received1]]-GroDB[[#This Row],[Procurement_Date]]</f>
        <v>8</v>
      </c>
      <c r="N617" s="43">
        <v>45585</v>
      </c>
      <c r="O617" s="91">
        <f>GroDB[[#This Row],[Expiration_Date]]-GroDB[[#This Row],[Date_Received1]]</f>
        <v>-122</v>
      </c>
      <c r="P617" s="4">
        <v>1.2000000000000002</v>
      </c>
      <c r="Q617" s="3">
        <v>98</v>
      </c>
      <c r="R617" s="3">
        <v>40</v>
      </c>
      <c r="S617" s="3">
        <v>93</v>
      </c>
      <c r="T617" s="4">
        <v>1.5</v>
      </c>
      <c r="U617" s="3">
        <v>30</v>
      </c>
      <c r="V617" s="51">
        <f>IF(GroDB[[#This Row],[LeadTime]]=0,GroDB[[#This Row],[Sales_Volume]],GroDB[[#This Row],[Sales_Volume]]/GroDB[[#This Row],[LeadTime]])</f>
        <v>3.75</v>
      </c>
      <c r="W617" s="51">
        <f>_xlfn.STDEV.S(GroDB[Daily Sales])</f>
        <v>5.1999899792654221</v>
      </c>
      <c r="X617" s="3">
        <v>53</v>
      </c>
      <c r="Y617" s="7">
        <v>0.38</v>
      </c>
      <c r="Z617" s="4">
        <f>GroDB[[#This Row],[Unit_Price]]*GroDB[[#This Row],[Sales_Volume]]</f>
        <v>45</v>
      </c>
      <c r="AA617" s="22">
        <f>GroDB[[#This Row],[ADU]]/GroDB[[#Totals],[ADU]]</f>
        <v>1.3071161085677853E-4</v>
      </c>
      <c r="AB617" s="1">
        <f>GroDB[[#This Row],[Sales_Volume]]*GroDB[[#This Row],[Ordering Cost]]</f>
        <v>36.000000000000007</v>
      </c>
    </row>
    <row r="618" spans="1:28" x14ac:dyDescent="0.35">
      <c r="A618" s="5" t="s">
        <v>59</v>
      </c>
      <c r="B618" s="3" t="s">
        <v>60</v>
      </c>
      <c r="C618" s="3" t="s">
        <v>922</v>
      </c>
      <c r="D618" s="3" t="s">
        <v>2285</v>
      </c>
      <c r="E618" s="3" t="s">
        <v>21</v>
      </c>
      <c r="F618" s="3" t="s">
        <v>2286</v>
      </c>
      <c r="G618" s="3" t="s">
        <v>2287</v>
      </c>
      <c r="H618" s="43">
        <v>45707</v>
      </c>
      <c r="I618" s="43">
        <v>45591</v>
      </c>
      <c r="J618" s="47" t="str">
        <f>IF(GroDB[[#This Row],[Last_Order_Date]]&lt;=GroDB[[#This Row],[Date_Received]], "Yes", "No")</f>
        <v>Yes</v>
      </c>
      <c r="K618" s="43">
        <f>IF(GroDB[[#This Row],[Column1]]="No",GroDB[[#This Row],[Last_Order_Date]],GroDB[[#This Row],[Date_Received]])</f>
        <v>45707</v>
      </c>
      <c r="L618" s="43">
        <f>IF(GroDB[[#This Row],[Column1]]="No",GroDB[[#This Row],[Date_Received]],GroDB[[#This Row],[Last_Order_Date]])</f>
        <v>45591</v>
      </c>
      <c r="M618" s="45">
        <f>GroDB[[#This Row],[Date_Received1]]-GroDB[[#This Row],[Procurement_Date]]</f>
        <v>116</v>
      </c>
      <c r="N618" s="43">
        <v>45633</v>
      </c>
      <c r="O618" s="91">
        <f>GroDB[[#This Row],[Expiration_Date]]-GroDB[[#This Row],[Date_Received1]]</f>
        <v>-74</v>
      </c>
      <c r="P618" s="4">
        <v>8</v>
      </c>
      <c r="Q618" s="3">
        <v>100</v>
      </c>
      <c r="R618" s="3">
        <v>99</v>
      </c>
      <c r="S618" s="3">
        <v>8</v>
      </c>
      <c r="T618" s="4">
        <v>10</v>
      </c>
      <c r="U618" s="3">
        <v>54</v>
      </c>
      <c r="V618" s="51">
        <f>IF(GroDB[[#This Row],[LeadTime]]=0,GroDB[[#This Row],[Sales_Volume]],GroDB[[#This Row],[Sales_Volume]]/GroDB[[#This Row],[LeadTime]])</f>
        <v>0.46551724137931033</v>
      </c>
      <c r="W618" s="51">
        <f>_xlfn.STDEV.S(GroDB[Daily Sales])</f>
        <v>5.1999899792654221</v>
      </c>
      <c r="X618" s="3">
        <v>92</v>
      </c>
      <c r="Y618" s="7">
        <v>-0.77</v>
      </c>
      <c r="Z618" s="4">
        <f>GroDB[[#This Row],[Unit_Price]]*GroDB[[#This Row],[Sales_Volume]]</f>
        <v>540</v>
      </c>
      <c r="AA618" s="22">
        <f>GroDB[[#This Row],[ADU]]/GroDB[[#Totals],[ADU]]</f>
        <v>1.5685393302813425E-3</v>
      </c>
      <c r="AB618" s="1">
        <f>GroDB[[#This Row],[Sales_Volume]]*GroDB[[#This Row],[Ordering Cost]]</f>
        <v>432</v>
      </c>
    </row>
    <row r="619" spans="1:28" x14ac:dyDescent="0.35">
      <c r="A619" s="5" t="s">
        <v>1109</v>
      </c>
      <c r="B619" s="3" t="s">
        <v>18</v>
      </c>
      <c r="C619" s="3" t="s">
        <v>1127</v>
      </c>
      <c r="D619" s="3" t="s">
        <v>2288</v>
      </c>
      <c r="E619" s="3" t="s">
        <v>28</v>
      </c>
      <c r="F619" s="3" t="s">
        <v>2289</v>
      </c>
      <c r="G619" s="3" t="s">
        <v>2290</v>
      </c>
      <c r="H619" s="43">
        <v>45707</v>
      </c>
      <c r="I619" s="43">
        <v>45468</v>
      </c>
      <c r="J619" s="47" t="str">
        <f>IF(GroDB[[#This Row],[Last_Order_Date]]&lt;=GroDB[[#This Row],[Date_Received]], "Yes", "No")</f>
        <v>Yes</v>
      </c>
      <c r="K619" s="43">
        <f>IF(GroDB[[#This Row],[Column1]]="No",GroDB[[#This Row],[Last_Order_Date]],GroDB[[#This Row],[Date_Received]])</f>
        <v>45707</v>
      </c>
      <c r="L619" s="43">
        <f>IF(GroDB[[#This Row],[Column1]]="No",GroDB[[#This Row],[Date_Received]],GroDB[[#This Row],[Last_Order_Date]])</f>
        <v>45468</v>
      </c>
      <c r="M619" s="45">
        <f>GroDB[[#This Row],[Date_Received1]]-GroDB[[#This Row],[Procurement_Date]]</f>
        <v>239</v>
      </c>
      <c r="N619" s="43">
        <v>45674</v>
      </c>
      <c r="O619" s="91">
        <f>GroDB[[#This Row],[Expiration_Date]]-GroDB[[#This Row],[Date_Received1]]</f>
        <v>-33</v>
      </c>
      <c r="P619" s="4">
        <v>2</v>
      </c>
      <c r="Q619" s="3">
        <v>43</v>
      </c>
      <c r="R619" s="3">
        <v>21</v>
      </c>
      <c r="S619" s="3">
        <v>31</v>
      </c>
      <c r="T619" s="4">
        <v>2.5</v>
      </c>
      <c r="U619" s="3">
        <v>22</v>
      </c>
      <c r="V619" s="51">
        <f>IF(GroDB[[#This Row],[LeadTime]]=0,GroDB[[#This Row],[Sales_Volume]],GroDB[[#This Row],[Sales_Volume]]/GroDB[[#This Row],[LeadTime]])</f>
        <v>9.2050209205020925E-2</v>
      </c>
      <c r="W619" s="51">
        <f>_xlfn.STDEV.S(GroDB[Daily Sales])</f>
        <v>5.1999899792654221</v>
      </c>
      <c r="X619" s="3">
        <v>25</v>
      </c>
      <c r="Y619" s="7">
        <v>-0.7</v>
      </c>
      <c r="Z619" s="4">
        <f>GroDB[[#This Row],[Unit_Price]]*GroDB[[#This Row],[Sales_Volume]]</f>
        <v>55</v>
      </c>
      <c r="AA619" s="22">
        <f>GroDB[[#This Row],[ADU]]/GroDB[[#Totals],[ADU]]</f>
        <v>1.597586354916182E-4</v>
      </c>
      <c r="AB619" s="1">
        <f>GroDB[[#This Row],[Sales_Volume]]*GroDB[[#This Row],[Ordering Cost]]</f>
        <v>44</v>
      </c>
    </row>
    <row r="620" spans="1:28" x14ac:dyDescent="0.35">
      <c r="A620" s="5" t="s">
        <v>984</v>
      </c>
      <c r="B620" s="3" t="s">
        <v>18</v>
      </c>
      <c r="C620" s="3" t="s">
        <v>2001</v>
      </c>
      <c r="D620" s="3" t="s">
        <v>2291</v>
      </c>
      <c r="E620" s="3" t="s">
        <v>56</v>
      </c>
      <c r="F620" s="3" t="s">
        <v>2292</v>
      </c>
      <c r="G620" s="3" t="s">
        <v>2293</v>
      </c>
      <c r="H620" s="43">
        <v>45708</v>
      </c>
      <c r="I620" s="43">
        <v>45634</v>
      </c>
      <c r="J620" s="47" t="str">
        <f>IF(GroDB[[#This Row],[Last_Order_Date]]&lt;=GroDB[[#This Row],[Date_Received]], "Yes", "No")</f>
        <v>Yes</v>
      </c>
      <c r="K620" s="43">
        <f>IF(GroDB[[#This Row],[Column1]]="No",GroDB[[#This Row],[Last_Order_Date]],GroDB[[#This Row],[Date_Received]])</f>
        <v>45708</v>
      </c>
      <c r="L620" s="43">
        <f>IF(GroDB[[#This Row],[Column1]]="No",GroDB[[#This Row],[Date_Received]],GroDB[[#This Row],[Last_Order_Date]])</f>
        <v>45634</v>
      </c>
      <c r="M620" s="45">
        <f>GroDB[[#This Row],[Date_Received1]]-GroDB[[#This Row],[Procurement_Date]]</f>
        <v>74</v>
      </c>
      <c r="N620" s="43">
        <v>45639</v>
      </c>
      <c r="O620" s="91">
        <f>GroDB[[#This Row],[Expiration_Date]]-GroDB[[#This Row],[Date_Received1]]</f>
        <v>-69</v>
      </c>
      <c r="P620" s="4">
        <v>3.2</v>
      </c>
      <c r="Q620" s="3">
        <v>31</v>
      </c>
      <c r="R620" s="3">
        <v>54</v>
      </c>
      <c r="S620" s="3">
        <v>52</v>
      </c>
      <c r="T620" s="4">
        <v>4</v>
      </c>
      <c r="U620" s="3">
        <v>69</v>
      </c>
      <c r="V620" s="51">
        <f>IF(GroDB[[#This Row],[LeadTime]]=0,GroDB[[#This Row],[Sales_Volume]],GroDB[[#This Row],[Sales_Volume]]/GroDB[[#This Row],[LeadTime]])</f>
        <v>0.93243243243243246</v>
      </c>
      <c r="W620" s="51">
        <f>_xlfn.STDEV.S(GroDB[Daily Sales])</f>
        <v>5.1999899792654221</v>
      </c>
      <c r="X620" s="3">
        <v>77</v>
      </c>
      <c r="Y620" s="7">
        <v>-0.14000000000000001</v>
      </c>
      <c r="Z620" s="4">
        <f>GroDB[[#This Row],[Unit_Price]]*GroDB[[#This Row],[Sales_Volume]]</f>
        <v>276</v>
      </c>
      <c r="AA620" s="22">
        <f>GroDB[[#This Row],[ADU]]/GroDB[[#Totals],[ADU]]</f>
        <v>8.0169787992157503E-4</v>
      </c>
      <c r="AB620" s="1">
        <f>GroDB[[#This Row],[Sales_Volume]]*GroDB[[#This Row],[Ordering Cost]]</f>
        <v>220.8</v>
      </c>
    </row>
    <row r="621" spans="1:28" x14ac:dyDescent="0.35">
      <c r="A621" s="5" t="s">
        <v>180</v>
      </c>
      <c r="B621" s="3" t="s">
        <v>18</v>
      </c>
      <c r="C621" s="3" t="s">
        <v>81</v>
      </c>
      <c r="D621" s="3" t="s">
        <v>2294</v>
      </c>
      <c r="E621" s="3" t="s">
        <v>28</v>
      </c>
      <c r="F621" s="3" t="s">
        <v>2295</v>
      </c>
      <c r="G621" s="3" t="s">
        <v>2296</v>
      </c>
      <c r="H621" s="43">
        <v>45708</v>
      </c>
      <c r="I621" s="43">
        <v>45632</v>
      </c>
      <c r="J621" s="47" t="str">
        <f>IF(GroDB[[#This Row],[Last_Order_Date]]&lt;=GroDB[[#This Row],[Date_Received]], "Yes", "No")</f>
        <v>Yes</v>
      </c>
      <c r="K621" s="43">
        <f>IF(GroDB[[#This Row],[Column1]]="No",GroDB[[#This Row],[Last_Order_Date]],GroDB[[#This Row],[Date_Received]])</f>
        <v>45708</v>
      </c>
      <c r="L621" s="43">
        <f>IF(GroDB[[#This Row],[Column1]]="No",GroDB[[#This Row],[Date_Received]],GroDB[[#This Row],[Last_Order_Date]])</f>
        <v>45632</v>
      </c>
      <c r="M621" s="45">
        <f>GroDB[[#This Row],[Date_Received1]]-GroDB[[#This Row],[Procurement_Date]]</f>
        <v>76</v>
      </c>
      <c r="N621" s="43">
        <v>45519</v>
      </c>
      <c r="O621" s="91">
        <f>GroDB[[#This Row],[Expiration_Date]]-GroDB[[#This Row],[Date_Received1]]</f>
        <v>-189</v>
      </c>
      <c r="P621" s="4">
        <v>1.4000000000000001</v>
      </c>
      <c r="Q621" s="3">
        <v>12</v>
      </c>
      <c r="R621" s="3">
        <v>93</v>
      </c>
      <c r="S621" s="3">
        <v>29</v>
      </c>
      <c r="T621" s="4">
        <v>1.75</v>
      </c>
      <c r="U621" s="3">
        <v>45</v>
      </c>
      <c r="V621" s="51">
        <f>IF(GroDB[[#This Row],[LeadTime]]=0,GroDB[[#This Row],[Sales_Volume]],GroDB[[#This Row],[Sales_Volume]]/GroDB[[#This Row],[LeadTime]])</f>
        <v>0.59210526315789469</v>
      </c>
      <c r="W621" s="51">
        <f>_xlfn.STDEV.S(GroDB[Daily Sales])</f>
        <v>5.1999899792654221</v>
      </c>
      <c r="X621" s="3">
        <v>12</v>
      </c>
      <c r="Y621" s="7">
        <v>-0.12</v>
      </c>
      <c r="Z621" s="4">
        <f>GroDB[[#This Row],[Unit_Price]]*GroDB[[#This Row],[Sales_Volume]]</f>
        <v>78.75</v>
      </c>
      <c r="AA621" s="22">
        <f>GroDB[[#This Row],[ADU]]/GroDB[[#Totals],[ADU]]</f>
        <v>2.2874531899936244E-4</v>
      </c>
      <c r="AB621" s="1">
        <f>GroDB[[#This Row],[Sales_Volume]]*GroDB[[#This Row],[Ordering Cost]]</f>
        <v>63.000000000000007</v>
      </c>
    </row>
    <row r="622" spans="1:28" x14ac:dyDescent="0.35">
      <c r="A622" s="5" t="s">
        <v>470</v>
      </c>
      <c r="B622" s="3" t="s">
        <v>18</v>
      </c>
      <c r="C622" s="3" t="s">
        <v>429</v>
      </c>
      <c r="D622" s="3" t="s">
        <v>2297</v>
      </c>
      <c r="E622" s="3" t="s">
        <v>28</v>
      </c>
      <c r="F622" s="3" t="s">
        <v>2298</v>
      </c>
      <c r="G622" s="3" t="s">
        <v>2299</v>
      </c>
      <c r="H622" s="43">
        <v>45709</v>
      </c>
      <c r="I622" s="43">
        <v>45357</v>
      </c>
      <c r="J622" s="47" t="str">
        <f>IF(GroDB[[#This Row],[Last_Order_Date]]&lt;=GroDB[[#This Row],[Date_Received]], "Yes", "No")</f>
        <v>Yes</v>
      </c>
      <c r="K622" s="43">
        <f>IF(GroDB[[#This Row],[Column1]]="No",GroDB[[#This Row],[Last_Order_Date]],GroDB[[#This Row],[Date_Received]])</f>
        <v>45709</v>
      </c>
      <c r="L622" s="43">
        <f>IF(GroDB[[#This Row],[Column1]]="No",GroDB[[#This Row],[Date_Received]],GroDB[[#This Row],[Last_Order_Date]])</f>
        <v>45357</v>
      </c>
      <c r="M622" s="45">
        <f>GroDB[[#This Row],[Date_Received1]]-GroDB[[#This Row],[Procurement_Date]]</f>
        <v>352</v>
      </c>
      <c r="N622" s="43">
        <v>45464</v>
      </c>
      <c r="O622" s="91">
        <f>GroDB[[#This Row],[Expiration_Date]]-GroDB[[#This Row],[Date_Received1]]</f>
        <v>-245</v>
      </c>
      <c r="P622" s="4">
        <v>3.2</v>
      </c>
      <c r="Q622" s="3">
        <v>40</v>
      </c>
      <c r="R622" s="3">
        <v>53</v>
      </c>
      <c r="S622" s="3">
        <v>7</v>
      </c>
      <c r="T622" s="4">
        <v>4</v>
      </c>
      <c r="U622" s="3">
        <v>70</v>
      </c>
      <c r="V622" s="51">
        <f>IF(GroDB[[#This Row],[LeadTime]]=0,GroDB[[#This Row],[Sales_Volume]],GroDB[[#This Row],[Sales_Volume]]/GroDB[[#This Row],[LeadTime]])</f>
        <v>0.19886363636363635</v>
      </c>
      <c r="W622" s="51">
        <f>_xlfn.STDEV.S(GroDB[Daily Sales])</f>
        <v>5.1999899792654221</v>
      </c>
      <c r="X622" s="3">
        <v>20</v>
      </c>
      <c r="Y622" s="7">
        <v>0.73</v>
      </c>
      <c r="Z622" s="4">
        <f>GroDB[[#This Row],[Unit_Price]]*GroDB[[#This Row],[Sales_Volume]]</f>
        <v>280</v>
      </c>
      <c r="AA622" s="22">
        <f>GroDB[[#This Row],[ADU]]/GroDB[[#Totals],[ADU]]</f>
        <v>8.1331668977551092E-4</v>
      </c>
      <c r="AB622" s="1">
        <f>GroDB[[#This Row],[Sales_Volume]]*GroDB[[#This Row],[Ordering Cost]]</f>
        <v>224</v>
      </c>
    </row>
    <row r="623" spans="1:28" x14ac:dyDescent="0.35">
      <c r="A623" s="5" t="s">
        <v>1369</v>
      </c>
      <c r="B623" s="3" t="s">
        <v>32</v>
      </c>
      <c r="C623" s="3" t="s">
        <v>48</v>
      </c>
      <c r="D623" s="3" t="s">
        <v>2300</v>
      </c>
      <c r="E623" s="3" t="s">
        <v>28</v>
      </c>
      <c r="F623" s="3" t="s">
        <v>2301</v>
      </c>
      <c r="G623" s="3" t="s">
        <v>2302</v>
      </c>
      <c r="H623" s="43">
        <v>45709</v>
      </c>
      <c r="I623" s="43">
        <v>45560</v>
      </c>
      <c r="J623" s="47" t="str">
        <f>IF(GroDB[[#This Row],[Last_Order_Date]]&lt;=GroDB[[#This Row],[Date_Received]], "Yes", "No")</f>
        <v>Yes</v>
      </c>
      <c r="K623" s="43">
        <f>IF(GroDB[[#This Row],[Column1]]="No",GroDB[[#This Row],[Last_Order_Date]],GroDB[[#This Row],[Date_Received]])</f>
        <v>45709</v>
      </c>
      <c r="L623" s="43">
        <f>IF(GroDB[[#This Row],[Column1]]="No",GroDB[[#This Row],[Date_Received]],GroDB[[#This Row],[Last_Order_Date]])</f>
        <v>45560</v>
      </c>
      <c r="M623" s="45">
        <f>GroDB[[#This Row],[Date_Received1]]-GroDB[[#This Row],[Procurement_Date]]</f>
        <v>149</v>
      </c>
      <c r="N623" s="43">
        <v>45514</v>
      </c>
      <c r="O623" s="91">
        <f>GroDB[[#This Row],[Expiration_Date]]-GroDB[[#This Row],[Date_Received1]]</f>
        <v>-195</v>
      </c>
      <c r="P623" s="4">
        <v>3.2</v>
      </c>
      <c r="Q623" s="3">
        <v>57</v>
      </c>
      <c r="R623" s="3">
        <v>62</v>
      </c>
      <c r="S623" s="3">
        <v>72</v>
      </c>
      <c r="T623" s="4">
        <v>4</v>
      </c>
      <c r="U623" s="3">
        <v>23</v>
      </c>
      <c r="V623" s="51">
        <f>IF(GroDB[[#This Row],[LeadTime]]=0,GroDB[[#This Row],[Sales_Volume]],GroDB[[#This Row],[Sales_Volume]]/GroDB[[#This Row],[LeadTime]])</f>
        <v>0.15436241610738255</v>
      </c>
      <c r="W623" s="51">
        <f>_xlfn.STDEV.S(GroDB[Daily Sales])</f>
        <v>5.1999899792654221</v>
      </c>
      <c r="X623" s="3">
        <v>4</v>
      </c>
      <c r="Y623" s="7">
        <v>0.71</v>
      </c>
      <c r="Z623" s="4">
        <f>GroDB[[#This Row],[Unit_Price]]*GroDB[[#This Row],[Sales_Volume]]</f>
        <v>92</v>
      </c>
      <c r="AA623" s="22">
        <f>GroDB[[#This Row],[ADU]]/GroDB[[#Totals],[ADU]]</f>
        <v>2.6723262664052501E-4</v>
      </c>
      <c r="AB623" s="1">
        <f>GroDB[[#This Row],[Sales_Volume]]*GroDB[[#This Row],[Ordering Cost]]</f>
        <v>73.600000000000009</v>
      </c>
    </row>
    <row r="624" spans="1:28" x14ac:dyDescent="0.35">
      <c r="A624" s="5" t="s">
        <v>146</v>
      </c>
      <c r="B624" s="3" t="s">
        <v>53</v>
      </c>
      <c r="C624" s="3" t="s">
        <v>2303</v>
      </c>
      <c r="D624" s="3" t="s">
        <v>2304</v>
      </c>
      <c r="E624" s="3" t="s">
        <v>21</v>
      </c>
      <c r="F624" s="3" t="s">
        <v>2305</v>
      </c>
      <c r="G624" s="3" t="s">
        <v>2306</v>
      </c>
      <c r="H624" s="43">
        <v>45710</v>
      </c>
      <c r="I624" s="43">
        <v>45459</v>
      </c>
      <c r="J624" s="47" t="str">
        <f>IF(GroDB[[#This Row],[Last_Order_Date]]&lt;=GroDB[[#This Row],[Date_Received]], "Yes", "No")</f>
        <v>Yes</v>
      </c>
      <c r="K624" s="43">
        <f>IF(GroDB[[#This Row],[Column1]]="No",GroDB[[#This Row],[Last_Order_Date]],GroDB[[#This Row],[Date_Received]])</f>
        <v>45710</v>
      </c>
      <c r="L624" s="43">
        <f>IF(GroDB[[#This Row],[Column1]]="No",GroDB[[#This Row],[Date_Received]],GroDB[[#This Row],[Last_Order_Date]])</f>
        <v>45459</v>
      </c>
      <c r="M624" s="45">
        <f>GroDB[[#This Row],[Date_Received1]]-GroDB[[#This Row],[Procurement_Date]]</f>
        <v>251</v>
      </c>
      <c r="N624" s="43">
        <v>45419</v>
      </c>
      <c r="O624" s="91">
        <f>GroDB[[#This Row],[Expiration_Date]]-GroDB[[#This Row],[Date_Received1]]</f>
        <v>-291</v>
      </c>
      <c r="P624" s="4">
        <v>3.8000000000000003</v>
      </c>
      <c r="Q624" s="3">
        <v>24</v>
      </c>
      <c r="R624" s="3">
        <v>15</v>
      </c>
      <c r="S624" s="3">
        <v>6</v>
      </c>
      <c r="T624" s="4">
        <v>4.75</v>
      </c>
      <c r="U624" s="3">
        <v>35</v>
      </c>
      <c r="V624" s="51">
        <f>IF(GroDB[[#This Row],[LeadTime]]=0,GroDB[[#This Row],[Sales_Volume]],GroDB[[#This Row],[Sales_Volume]]/GroDB[[#This Row],[LeadTime]])</f>
        <v>0.1394422310756972</v>
      </c>
      <c r="W624" s="51">
        <f>_xlfn.STDEV.S(GroDB[Daily Sales])</f>
        <v>5.1999899792654221</v>
      </c>
      <c r="X624" s="3">
        <v>4</v>
      </c>
      <c r="Y624" s="7">
        <v>0.83</v>
      </c>
      <c r="Z624" s="4">
        <f>GroDB[[#This Row],[Unit_Price]]*GroDB[[#This Row],[Sales_Volume]]</f>
        <v>166.25</v>
      </c>
      <c r="AA624" s="22">
        <f>GroDB[[#This Row],[ADU]]/GroDB[[#Totals],[ADU]]</f>
        <v>4.8290678455420959E-4</v>
      </c>
      <c r="AB624" s="1">
        <f>GroDB[[#This Row],[Sales_Volume]]*GroDB[[#This Row],[Ordering Cost]]</f>
        <v>133</v>
      </c>
    </row>
    <row r="625" spans="1:28" x14ac:dyDescent="0.35">
      <c r="A625" s="5" t="s">
        <v>24</v>
      </c>
      <c r="B625" s="3" t="s">
        <v>25</v>
      </c>
      <c r="C625" s="3" t="s">
        <v>1870</v>
      </c>
      <c r="D625" s="3" t="s">
        <v>2307</v>
      </c>
      <c r="E625" s="3" t="s">
        <v>28</v>
      </c>
      <c r="F625" s="3" t="s">
        <v>2308</v>
      </c>
      <c r="G625" s="3" t="s">
        <v>2309</v>
      </c>
      <c r="H625" s="43">
        <v>45711</v>
      </c>
      <c r="I625" s="43">
        <v>45686</v>
      </c>
      <c r="J625" s="47" t="str">
        <f>IF(GroDB[[#This Row],[Last_Order_Date]]&lt;=GroDB[[#This Row],[Date_Received]], "Yes", "No")</f>
        <v>Yes</v>
      </c>
      <c r="K625" s="43">
        <f>IF(GroDB[[#This Row],[Column1]]="No",GroDB[[#This Row],[Last_Order_Date]],GroDB[[#This Row],[Date_Received]])</f>
        <v>45711</v>
      </c>
      <c r="L625" s="43">
        <f>IF(GroDB[[#This Row],[Column1]]="No",GroDB[[#This Row],[Date_Received]],GroDB[[#This Row],[Last_Order_Date]])</f>
        <v>45686</v>
      </c>
      <c r="M625" s="45">
        <f>GroDB[[#This Row],[Date_Received1]]-GroDB[[#This Row],[Procurement_Date]]</f>
        <v>25</v>
      </c>
      <c r="N625" s="43">
        <v>45567</v>
      </c>
      <c r="O625" s="91">
        <f>GroDB[[#This Row],[Expiration_Date]]-GroDB[[#This Row],[Date_Received1]]</f>
        <v>-144</v>
      </c>
      <c r="P625" s="4">
        <v>1.6</v>
      </c>
      <c r="Q625" s="3">
        <v>75</v>
      </c>
      <c r="R625" s="3">
        <v>61</v>
      </c>
      <c r="S625" s="3">
        <v>19</v>
      </c>
      <c r="T625" s="4">
        <v>2</v>
      </c>
      <c r="U625" s="3">
        <v>79</v>
      </c>
      <c r="V625" s="51">
        <f>IF(GroDB[[#This Row],[LeadTime]]=0,GroDB[[#This Row],[Sales_Volume]],GroDB[[#This Row],[Sales_Volume]]/GroDB[[#This Row],[LeadTime]])</f>
        <v>3.16</v>
      </c>
      <c r="W625" s="51">
        <f>_xlfn.STDEV.S(GroDB[Daily Sales])</f>
        <v>5.1999899792654221</v>
      </c>
      <c r="X625" s="3">
        <v>69</v>
      </c>
      <c r="Y625" s="7">
        <v>0.89</v>
      </c>
      <c r="Z625" s="4">
        <f>GroDB[[#This Row],[Unit_Price]]*GroDB[[#This Row],[Sales_Volume]]</f>
        <v>158</v>
      </c>
      <c r="AA625" s="22">
        <f>GroDB[[#This Row],[ADU]]/GroDB[[#Totals],[ADU]]</f>
        <v>4.5894298923046685E-4</v>
      </c>
      <c r="AB625" s="1">
        <f>GroDB[[#This Row],[Sales_Volume]]*GroDB[[#This Row],[Ordering Cost]]</f>
        <v>126.4</v>
      </c>
    </row>
    <row r="626" spans="1:28" x14ac:dyDescent="0.35">
      <c r="A626" s="5" t="s">
        <v>121</v>
      </c>
      <c r="B626" s="3" t="s">
        <v>53</v>
      </c>
      <c r="C626" s="3" t="s">
        <v>199</v>
      </c>
      <c r="D626" s="3" t="s">
        <v>2310</v>
      </c>
      <c r="E626" s="3" t="s">
        <v>56</v>
      </c>
      <c r="F626" s="3" t="s">
        <v>2311</v>
      </c>
      <c r="G626" s="3" t="s">
        <v>2312</v>
      </c>
      <c r="H626" s="43">
        <v>45711</v>
      </c>
      <c r="I626" s="43">
        <v>45360</v>
      </c>
      <c r="J626" s="47" t="str">
        <f>IF(GroDB[[#This Row],[Last_Order_Date]]&lt;=GroDB[[#This Row],[Date_Received]], "Yes", "No")</f>
        <v>Yes</v>
      </c>
      <c r="K626" s="43">
        <f>IF(GroDB[[#This Row],[Column1]]="No",GroDB[[#This Row],[Last_Order_Date]],GroDB[[#This Row],[Date_Received]])</f>
        <v>45711</v>
      </c>
      <c r="L626" s="43">
        <f>IF(GroDB[[#This Row],[Column1]]="No",GroDB[[#This Row],[Date_Received]],GroDB[[#This Row],[Last_Order_Date]])</f>
        <v>45360</v>
      </c>
      <c r="M626" s="45">
        <f>GroDB[[#This Row],[Date_Received1]]-GroDB[[#This Row],[Procurement_Date]]</f>
        <v>351</v>
      </c>
      <c r="N626" s="43">
        <v>45659</v>
      </c>
      <c r="O626" s="91">
        <f>GroDB[[#This Row],[Expiration_Date]]-GroDB[[#This Row],[Date_Received1]]</f>
        <v>-52</v>
      </c>
      <c r="P626" s="4">
        <v>2.2000000000000002</v>
      </c>
      <c r="Q626" s="3">
        <v>60</v>
      </c>
      <c r="R626" s="3">
        <v>69</v>
      </c>
      <c r="S626" s="3">
        <v>64</v>
      </c>
      <c r="T626" s="4">
        <v>2.75</v>
      </c>
      <c r="U626" s="3">
        <v>51</v>
      </c>
      <c r="V626" s="51">
        <f>IF(GroDB[[#This Row],[LeadTime]]=0,GroDB[[#This Row],[Sales_Volume]],GroDB[[#This Row],[Sales_Volume]]/GroDB[[#This Row],[LeadTime]])</f>
        <v>0.14529914529914531</v>
      </c>
      <c r="W626" s="51">
        <f>_xlfn.STDEV.S(GroDB[Daily Sales])</f>
        <v>5.1999899792654221</v>
      </c>
      <c r="X626" s="3">
        <v>6</v>
      </c>
      <c r="Y626" s="7">
        <v>0.13</v>
      </c>
      <c r="Z626" s="4">
        <f>GroDB[[#This Row],[Unit_Price]]*GroDB[[#This Row],[Sales_Volume]]</f>
        <v>140.25</v>
      </c>
      <c r="AA626" s="22">
        <f>GroDB[[#This Row],[ADU]]/GroDB[[#Totals],[ADU]]</f>
        <v>4.0738452050362642E-4</v>
      </c>
      <c r="AB626" s="1">
        <f>GroDB[[#This Row],[Sales_Volume]]*GroDB[[#This Row],[Ordering Cost]]</f>
        <v>112.2</v>
      </c>
    </row>
    <row r="627" spans="1:28" x14ac:dyDescent="0.35">
      <c r="A627" s="5" t="s">
        <v>632</v>
      </c>
      <c r="B627" s="3" t="s">
        <v>60</v>
      </c>
      <c r="C627" s="3" t="s">
        <v>1261</v>
      </c>
      <c r="D627" s="3" t="s">
        <v>2313</v>
      </c>
      <c r="E627" s="3" t="s">
        <v>21</v>
      </c>
      <c r="F627" s="3" t="s">
        <v>2314</v>
      </c>
      <c r="G627" s="3" t="s">
        <v>2315</v>
      </c>
      <c r="H627" s="43">
        <v>45712</v>
      </c>
      <c r="I627" s="43">
        <v>45363</v>
      </c>
      <c r="J627" s="47" t="str">
        <f>IF(GroDB[[#This Row],[Last_Order_Date]]&lt;=GroDB[[#This Row],[Date_Received]], "Yes", "No")</f>
        <v>Yes</v>
      </c>
      <c r="K627" s="43">
        <f>IF(GroDB[[#This Row],[Column1]]="No",GroDB[[#This Row],[Last_Order_Date]],GroDB[[#This Row],[Date_Received]])</f>
        <v>45712</v>
      </c>
      <c r="L627" s="43">
        <f>IF(GroDB[[#This Row],[Column1]]="No",GroDB[[#This Row],[Date_Received]],GroDB[[#This Row],[Last_Order_Date]])</f>
        <v>45363</v>
      </c>
      <c r="M627" s="45">
        <f>GroDB[[#This Row],[Date_Received1]]-GroDB[[#This Row],[Procurement_Date]]</f>
        <v>349</v>
      </c>
      <c r="N627" s="43">
        <v>45587</v>
      </c>
      <c r="O627" s="91">
        <f>GroDB[[#This Row],[Expiration_Date]]-GroDB[[#This Row],[Date_Received1]]</f>
        <v>-125</v>
      </c>
      <c r="P627" s="4">
        <v>6.4</v>
      </c>
      <c r="Q627" s="3">
        <v>56</v>
      </c>
      <c r="R627" s="3">
        <v>50</v>
      </c>
      <c r="S627" s="3">
        <v>80</v>
      </c>
      <c r="T627" s="4">
        <v>8</v>
      </c>
      <c r="U627" s="3">
        <v>99</v>
      </c>
      <c r="V627" s="51">
        <f>IF(GroDB[[#This Row],[LeadTime]]=0,GroDB[[#This Row],[Sales_Volume]],GroDB[[#This Row],[Sales_Volume]]/GroDB[[#This Row],[LeadTime]])</f>
        <v>0.28366762177650429</v>
      </c>
      <c r="W627" s="51">
        <f>_xlfn.STDEV.S(GroDB[Daily Sales])</f>
        <v>5.1999899792654221</v>
      </c>
      <c r="X627" s="3">
        <v>5</v>
      </c>
      <c r="Y627" s="7">
        <v>0.88</v>
      </c>
      <c r="Z627" s="4">
        <f>GroDB[[#This Row],[Unit_Price]]*GroDB[[#This Row],[Sales_Volume]]</f>
        <v>792</v>
      </c>
      <c r="AA627" s="22">
        <f>GroDB[[#This Row],[ADU]]/GroDB[[#Totals],[ADU]]</f>
        <v>2.3005243510793023E-3</v>
      </c>
      <c r="AB627" s="1">
        <f>GroDB[[#This Row],[Sales_Volume]]*GroDB[[#This Row],[Ordering Cost]]</f>
        <v>633.6</v>
      </c>
    </row>
    <row r="628" spans="1:28" x14ac:dyDescent="0.35">
      <c r="A628" s="5" t="s">
        <v>980</v>
      </c>
      <c r="B628" s="3" t="s">
        <v>60</v>
      </c>
      <c r="C628" s="3" t="s">
        <v>1870</v>
      </c>
      <c r="D628" s="3" t="s">
        <v>2316</v>
      </c>
      <c r="E628" s="3" t="s">
        <v>21</v>
      </c>
      <c r="F628" s="3" t="s">
        <v>2317</v>
      </c>
      <c r="G628" s="3" t="s">
        <v>2318</v>
      </c>
      <c r="H628" s="43">
        <v>45712</v>
      </c>
      <c r="I628" s="43">
        <v>45467</v>
      </c>
      <c r="J628" s="47" t="str">
        <f>IF(GroDB[[#This Row],[Last_Order_Date]]&lt;=GroDB[[#This Row],[Date_Received]], "Yes", "No")</f>
        <v>Yes</v>
      </c>
      <c r="K628" s="43">
        <f>IF(GroDB[[#This Row],[Column1]]="No",GroDB[[#This Row],[Last_Order_Date]],GroDB[[#This Row],[Date_Received]])</f>
        <v>45712</v>
      </c>
      <c r="L628" s="43">
        <f>IF(GroDB[[#This Row],[Column1]]="No",GroDB[[#This Row],[Date_Received]],GroDB[[#This Row],[Last_Order_Date]])</f>
        <v>45467</v>
      </c>
      <c r="M628" s="45">
        <f>GroDB[[#This Row],[Date_Received1]]-GroDB[[#This Row],[Procurement_Date]]</f>
        <v>245</v>
      </c>
      <c r="N628" s="43">
        <v>45347</v>
      </c>
      <c r="O628" s="91">
        <f>GroDB[[#This Row],[Expiration_Date]]-GroDB[[#This Row],[Date_Received1]]</f>
        <v>-365</v>
      </c>
      <c r="P628" s="4">
        <v>12</v>
      </c>
      <c r="Q628" s="3">
        <v>88</v>
      </c>
      <c r="R628" s="3">
        <v>40</v>
      </c>
      <c r="S628" s="3">
        <v>29</v>
      </c>
      <c r="T628" s="4">
        <v>15</v>
      </c>
      <c r="U628" s="3">
        <v>96</v>
      </c>
      <c r="V628" s="51">
        <f>IF(GroDB[[#This Row],[LeadTime]]=0,GroDB[[#This Row],[Sales_Volume]],GroDB[[#This Row],[Sales_Volume]]/GroDB[[#This Row],[LeadTime]])</f>
        <v>0.39183673469387753</v>
      </c>
      <c r="W628" s="51">
        <f>_xlfn.STDEV.S(GroDB[Daily Sales])</f>
        <v>5.1999899792654221</v>
      </c>
      <c r="X628" s="3">
        <v>87</v>
      </c>
      <c r="Y628" s="7">
        <v>0.95</v>
      </c>
      <c r="Z628" s="4">
        <f>GroDB[[#This Row],[Unit_Price]]*GroDB[[#This Row],[Sales_Volume]]</f>
        <v>1440</v>
      </c>
      <c r="AA628" s="22">
        <f>GroDB[[#This Row],[ADU]]/GroDB[[#Totals],[ADU]]</f>
        <v>4.1827715474169131E-3</v>
      </c>
      <c r="AB628" s="1">
        <f>GroDB[[#This Row],[Sales_Volume]]*GroDB[[#This Row],[Ordering Cost]]</f>
        <v>1152</v>
      </c>
    </row>
    <row r="629" spans="1:28" x14ac:dyDescent="0.35">
      <c r="A629" s="5" t="s">
        <v>137</v>
      </c>
      <c r="B629" s="3" t="s">
        <v>18</v>
      </c>
      <c r="C629" s="3" t="s">
        <v>221</v>
      </c>
      <c r="D629" s="3" t="s">
        <v>2319</v>
      </c>
      <c r="E629" s="3" t="s">
        <v>28</v>
      </c>
      <c r="F629" s="3" t="s">
        <v>2320</v>
      </c>
      <c r="G629" s="3" t="s">
        <v>2321</v>
      </c>
      <c r="H629" s="43">
        <v>45712</v>
      </c>
      <c r="I629" s="43">
        <v>45477</v>
      </c>
      <c r="J629" s="47" t="str">
        <f>IF(GroDB[[#This Row],[Last_Order_Date]]&lt;=GroDB[[#This Row],[Date_Received]], "Yes", "No")</f>
        <v>Yes</v>
      </c>
      <c r="K629" s="43">
        <f>IF(GroDB[[#This Row],[Column1]]="No",GroDB[[#This Row],[Last_Order_Date]],GroDB[[#This Row],[Date_Received]])</f>
        <v>45712</v>
      </c>
      <c r="L629" s="43">
        <f>IF(GroDB[[#This Row],[Column1]]="No",GroDB[[#This Row],[Date_Received]],GroDB[[#This Row],[Last_Order_Date]])</f>
        <v>45477</v>
      </c>
      <c r="M629" s="45">
        <f>GroDB[[#This Row],[Date_Received1]]-GroDB[[#This Row],[Procurement_Date]]</f>
        <v>235</v>
      </c>
      <c r="N629" s="43">
        <v>45564</v>
      </c>
      <c r="O629" s="91">
        <f>GroDB[[#This Row],[Expiration_Date]]-GroDB[[#This Row],[Date_Received1]]</f>
        <v>-148</v>
      </c>
      <c r="P629" s="4">
        <v>4</v>
      </c>
      <c r="Q629" s="3">
        <v>53</v>
      </c>
      <c r="R629" s="3">
        <v>98</v>
      </c>
      <c r="S629" s="3">
        <v>23</v>
      </c>
      <c r="T629" s="4">
        <v>5</v>
      </c>
      <c r="U629" s="3">
        <v>41</v>
      </c>
      <c r="V629" s="51">
        <f>IF(GroDB[[#This Row],[LeadTime]]=0,GroDB[[#This Row],[Sales_Volume]],GroDB[[#This Row],[Sales_Volume]]/GroDB[[#This Row],[LeadTime]])</f>
        <v>0.17446808510638298</v>
      </c>
      <c r="W629" s="51">
        <f>_xlfn.STDEV.S(GroDB[Daily Sales])</f>
        <v>5.1999899792654221</v>
      </c>
      <c r="X629" s="3">
        <v>84</v>
      </c>
      <c r="Y629" s="7">
        <v>0.09</v>
      </c>
      <c r="Z629" s="4">
        <f>GroDB[[#This Row],[Unit_Price]]*GroDB[[#This Row],[Sales_Volume]]</f>
        <v>205</v>
      </c>
      <c r="AA629" s="22">
        <f>GroDB[[#This Row],[ADU]]/GroDB[[#Totals],[ADU]]</f>
        <v>5.954640050142133E-4</v>
      </c>
      <c r="AB629" s="1">
        <f>GroDB[[#This Row],[Sales_Volume]]*GroDB[[#This Row],[Ordering Cost]]</f>
        <v>164</v>
      </c>
    </row>
    <row r="630" spans="1:28" x14ac:dyDescent="0.35">
      <c r="A630" s="5" t="s">
        <v>126</v>
      </c>
      <c r="B630" s="3" t="s">
        <v>127</v>
      </c>
      <c r="C630" s="3" t="s">
        <v>908</v>
      </c>
      <c r="D630" s="3" t="s">
        <v>2322</v>
      </c>
      <c r="E630" s="3" t="s">
        <v>21</v>
      </c>
      <c r="F630" s="3" t="s">
        <v>2323</v>
      </c>
      <c r="G630" s="3" t="s">
        <v>2324</v>
      </c>
      <c r="H630" s="43">
        <v>45347</v>
      </c>
      <c r="I630" s="43">
        <v>45623</v>
      </c>
      <c r="J630" s="47" t="str">
        <f>IF(GroDB[[#This Row],[Last_Order_Date]]&lt;=GroDB[[#This Row],[Date_Received]], "Yes", "No")</f>
        <v>No</v>
      </c>
      <c r="K630" s="43">
        <f>IF(GroDB[[#This Row],[Column1]]="No",GroDB[[#This Row],[Last_Order_Date]],GroDB[[#This Row],[Date_Received]])</f>
        <v>45623</v>
      </c>
      <c r="L630" s="43">
        <f>IF(GroDB[[#This Row],[Column1]]="No",GroDB[[#This Row],[Date_Received]],GroDB[[#This Row],[Last_Order_Date]])</f>
        <v>45347</v>
      </c>
      <c r="M630" s="45">
        <f>GroDB[[#This Row],[Date_Received1]]-GroDB[[#This Row],[Procurement_Date]]</f>
        <v>276</v>
      </c>
      <c r="N630" s="43">
        <v>45493</v>
      </c>
      <c r="O630" s="91">
        <f>GroDB[[#This Row],[Expiration_Date]]-GroDB[[#This Row],[Date_Received1]]</f>
        <v>-130</v>
      </c>
      <c r="P630" s="4">
        <v>16.8</v>
      </c>
      <c r="Q630" s="3">
        <v>22</v>
      </c>
      <c r="R630" s="3">
        <v>89</v>
      </c>
      <c r="S630" s="3">
        <v>25</v>
      </c>
      <c r="T630" s="4">
        <v>21</v>
      </c>
      <c r="U630" s="3">
        <v>30</v>
      </c>
      <c r="V630" s="51">
        <f>IF(GroDB[[#This Row],[LeadTime]]=0,GroDB[[#This Row],[Sales_Volume]],GroDB[[#This Row],[Sales_Volume]]/GroDB[[#This Row],[LeadTime]])</f>
        <v>0.10869565217391304</v>
      </c>
      <c r="W630" s="51">
        <f>_xlfn.STDEV.S(GroDB[Daily Sales])</f>
        <v>5.1999899792654221</v>
      </c>
      <c r="X630" s="3">
        <v>62</v>
      </c>
      <c r="Y630" s="7">
        <v>-1.05</v>
      </c>
      <c r="Z630" s="4">
        <f>GroDB[[#This Row],[Unit_Price]]*GroDB[[#This Row],[Sales_Volume]]</f>
        <v>630</v>
      </c>
      <c r="AA630" s="22">
        <f>GroDB[[#This Row],[ADU]]/GroDB[[#Totals],[ADU]]</f>
        <v>1.8299625519948995E-3</v>
      </c>
      <c r="AB630" s="1">
        <f>GroDB[[#This Row],[Sales_Volume]]*GroDB[[#This Row],[Ordering Cost]]</f>
        <v>504</v>
      </c>
    </row>
    <row r="631" spans="1:28" x14ac:dyDescent="0.35">
      <c r="A631" s="5" t="s">
        <v>700</v>
      </c>
      <c r="B631" s="3" t="s">
        <v>18</v>
      </c>
      <c r="C631" s="3" t="s">
        <v>985</v>
      </c>
      <c r="D631" s="3" t="s">
        <v>2325</v>
      </c>
      <c r="E631" s="3" t="s">
        <v>21</v>
      </c>
      <c r="F631" s="3" t="s">
        <v>2326</v>
      </c>
      <c r="G631" s="3" t="s">
        <v>2327</v>
      </c>
      <c r="H631" s="43">
        <v>45348</v>
      </c>
      <c r="I631" s="43">
        <v>45548</v>
      </c>
      <c r="J631" s="47" t="str">
        <f>IF(GroDB[[#This Row],[Last_Order_Date]]&lt;=GroDB[[#This Row],[Date_Received]], "Yes", "No")</f>
        <v>No</v>
      </c>
      <c r="K631" s="43">
        <f>IF(GroDB[[#This Row],[Column1]]="No",GroDB[[#This Row],[Last_Order_Date]],GroDB[[#This Row],[Date_Received]])</f>
        <v>45548</v>
      </c>
      <c r="L631" s="43">
        <f>IF(GroDB[[#This Row],[Column1]]="No",GroDB[[#This Row],[Date_Received]],GroDB[[#This Row],[Last_Order_Date]])</f>
        <v>45348</v>
      </c>
      <c r="M631" s="45">
        <f>GroDB[[#This Row],[Date_Received1]]-GroDB[[#This Row],[Procurement_Date]]</f>
        <v>200</v>
      </c>
      <c r="N631" s="43">
        <v>45566</v>
      </c>
      <c r="O631" s="91">
        <f>GroDB[[#This Row],[Expiration_Date]]-GroDB[[#This Row],[Date_Received1]]</f>
        <v>18</v>
      </c>
      <c r="P631" s="4">
        <v>1.92</v>
      </c>
      <c r="Q631" s="3">
        <v>41</v>
      </c>
      <c r="R631" s="3">
        <v>29</v>
      </c>
      <c r="S631" s="3">
        <v>76</v>
      </c>
      <c r="T631" s="4">
        <v>2.4</v>
      </c>
      <c r="U631" s="3">
        <v>59</v>
      </c>
      <c r="V631" s="51">
        <f>IF(GroDB[[#This Row],[LeadTime]]=0,GroDB[[#This Row],[Sales_Volume]],GroDB[[#This Row],[Sales_Volume]]/GroDB[[#This Row],[LeadTime]])</f>
        <v>0.29499999999999998</v>
      </c>
      <c r="W631" s="51">
        <f>_xlfn.STDEV.S(GroDB[Daily Sales])</f>
        <v>5.1999899792654221</v>
      </c>
      <c r="X631" s="3">
        <v>4</v>
      </c>
      <c r="Y631" s="7">
        <v>-1.07</v>
      </c>
      <c r="Z631" s="4">
        <f>GroDB[[#This Row],[Unit_Price]]*GroDB[[#This Row],[Sales_Volume]]</f>
        <v>141.6</v>
      </c>
      <c r="AA631" s="22">
        <f>GroDB[[#This Row],[ADU]]/GroDB[[#Totals],[ADU]]</f>
        <v>4.1130586882932976E-4</v>
      </c>
      <c r="AB631" s="1">
        <f>GroDB[[#This Row],[Sales_Volume]]*GroDB[[#This Row],[Ordering Cost]]</f>
        <v>113.28</v>
      </c>
    </row>
    <row r="632" spans="1:28" x14ac:dyDescent="0.35">
      <c r="A632" s="5" t="s">
        <v>1016</v>
      </c>
      <c r="B632" s="3" t="s">
        <v>25</v>
      </c>
      <c r="C632" s="3" t="s">
        <v>2328</v>
      </c>
      <c r="D632" s="3" t="s">
        <v>2329</v>
      </c>
      <c r="E632" s="3" t="s">
        <v>56</v>
      </c>
      <c r="F632" s="3" t="s">
        <v>2330</v>
      </c>
      <c r="G632" s="3" t="s">
        <v>2331</v>
      </c>
      <c r="H632" s="43">
        <v>45348</v>
      </c>
      <c r="I632" s="43">
        <v>45538</v>
      </c>
      <c r="J632" s="47" t="str">
        <f>IF(GroDB[[#This Row],[Last_Order_Date]]&lt;=GroDB[[#This Row],[Date_Received]], "Yes", "No")</f>
        <v>No</v>
      </c>
      <c r="K632" s="43">
        <f>IF(GroDB[[#This Row],[Column1]]="No",GroDB[[#This Row],[Last_Order_Date]],GroDB[[#This Row],[Date_Received]])</f>
        <v>45538</v>
      </c>
      <c r="L632" s="43">
        <f>IF(GroDB[[#This Row],[Column1]]="No",GroDB[[#This Row],[Date_Received]],GroDB[[#This Row],[Last_Order_Date]])</f>
        <v>45348</v>
      </c>
      <c r="M632" s="45">
        <f>GroDB[[#This Row],[Date_Received1]]-GroDB[[#This Row],[Procurement_Date]]</f>
        <v>190</v>
      </c>
      <c r="N632" s="43">
        <v>45592</v>
      </c>
      <c r="O632" s="91">
        <f>GroDB[[#This Row],[Expiration_Date]]-GroDB[[#This Row],[Date_Received1]]</f>
        <v>54</v>
      </c>
      <c r="P632" s="4">
        <v>2</v>
      </c>
      <c r="Q632" s="3">
        <v>70</v>
      </c>
      <c r="R632" s="3">
        <v>96</v>
      </c>
      <c r="S632" s="3">
        <v>85</v>
      </c>
      <c r="T632" s="4">
        <v>2.5</v>
      </c>
      <c r="U632" s="3">
        <v>34</v>
      </c>
      <c r="V632" s="51">
        <f>IF(GroDB[[#This Row],[LeadTime]]=0,GroDB[[#This Row],[Sales_Volume]],GroDB[[#This Row],[Sales_Volume]]/GroDB[[#This Row],[LeadTime]])</f>
        <v>0.17894736842105263</v>
      </c>
      <c r="W632" s="51">
        <f>_xlfn.STDEV.S(GroDB[Daily Sales])</f>
        <v>5.1999899792654221</v>
      </c>
      <c r="X632" s="3">
        <v>3</v>
      </c>
      <c r="Y632" s="7">
        <v>0.93</v>
      </c>
      <c r="Z632" s="4">
        <f>GroDB[[#This Row],[Unit_Price]]*GroDB[[#This Row],[Sales_Volume]]</f>
        <v>85</v>
      </c>
      <c r="AA632" s="22">
        <f>GroDB[[#This Row],[ADU]]/GroDB[[#Totals],[ADU]]</f>
        <v>2.4689970939613723E-4</v>
      </c>
      <c r="AB632" s="1">
        <f>GroDB[[#This Row],[Sales_Volume]]*GroDB[[#This Row],[Ordering Cost]]</f>
        <v>68</v>
      </c>
    </row>
    <row r="633" spans="1:28" x14ac:dyDescent="0.35">
      <c r="A633" s="5" t="s">
        <v>470</v>
      </c>
      <c r="B633" s="3" t="s">
        <v>18</v>
      </c>
      <c r="C633" s="3" t="s">
        <v>2332</v>
      </c>
      <c r="D633" s="3" t="s">
        <v>2333</v>
      </c>
      <c r="E633" s="3" t="s">
        <v>28</v>
      </c>
      <c r="F633" s="3" t="s">
        <v>2334</v>
      </c>
      <c r="G633" s="3" t="s">
        <v>2335</v>
      </c>
      <c r="H633" s="43">
        <v>45348</v>
      </c>
      <c r="I633" s="43">
        <v>45519</v>
      </c>
      <c r="J633" s="47" t="str">
        <f>IF(GroDB[[#This Row],[Last_Order_Date]]&lt;=GroDB[[#This Row],[Date_Received]], "Yes", "No")</f>
        <v>No</v>
      </c>
      <c r="K633" s="43">
        <f>IF(GroDB[[#This Row],[Column1]]="No",GroDB[[#This Row],[Last_Order_Date]],GroDB[[#This Row],[Date_Received]])</f>
        <v>45519</v>
      </c>
      <c r="L633" s="43">
        <f>IF(GroDB[[#This Row],[Column1]]="No",GroDB[[#This Row],[Date_Received]],GroDB[[#This Row],[Last_Order_Date]])</f>
        <v>45348</v>
      </c>
      <c r="M633" s="45">
        <f>GroDB[[#This Row],[Date_Received1]]-GroDB[[#This Row],[Procurement_Date]]</f>
        <v>171</v>
      </c>
      <c r="N633" s="43">
        <v>45357</v>
      </c>
      <c r="O633" s="91">
        <f>GroDB[[#This Row],[Expiration_Date]]-GroDB[[#This Row],[Date_Received1]]</f>
        <v>-162</v>
      </c>
      <c r="P633" s="4">
        <v>3.2</v>
      </c>
      <c r="Q633" s="3">
        <v>73</v>
      </c>
      <c r="R633" s="3">
        <v>90</v>
      </c>
      <c r="S633" s="3">
        <v>77</v>
      </c>
      <c r="T633" s="4">
        <v>4</v>
      </c>
      <c r="U633" s="3">
        <v>75</v>
      </c>
      <c r="V633" s="51">
        <f>IF(GroDB[[#This Row],[LeadTime]]=0,GroDB[[#This Row],[Sales_Volume]],GroDB[[#This Row],[Sales_Volume]]/GroDB[[#This Row],[LeadTime]])</f>
        <v>0.43859649122807015</v>
      </c>
      <c r="W633" s="51">
        <f>_xlfn.STDEV.S(GroDB[Daily Sales])</f>
        <v>5.1999899792654221</v>
      </c>
      <c r="X633" s="3">
        <v>19</v>
      </c>
      <c r="Y633" s="7">
        <v>0.91</v>
      </c>
      <c r="Z633" s="4">
        <f>GroDB[[#This Row],[Unit_Price]]*GroDB[[#This Row],[Sales_Volume]]</f>
        <v>300</v>
      </c>
      <c r="AA633" s="22">
        <f>GroDB[[#This Row],[ADU]]/GroDB[[#Totals],[ADU]]</f>
        <v>8.7141073904519026E-4</v>
      </c>
      <c r="AB633" s="1">
        <f>GroDB[[#This Row],[Sales_Volume]]*GroDB[[#This Row],[Ordering Cost]]</f>
        <v>240</v>
      </c>
    </row>
    <row r="634" spans="1:28" x14ac:dyDescent="0.35">
      <c r="A634" s="5" t="s">
        <v>248</v>
      </c>
      <c r="B634" s="3" t="s">
        <v>32</v>
      </c>
      <c r="C634" s="3" t="s">
        <v>434</v>
      </c>
      <c r="D634" s="3" t="s">
        <v>2336</v>
      </c>
      <c r="E634" s="3" t="s">
        <v>28</v>
      </c>
      <c r="F634" s="3" t="s">
        <v>2337</v>
      </c>
      <c r="G634" s="3" t="s">
        <v>2338</v>
      </c>
      <c r="H634" s="43">
        <v>45349</v>
      </c>
      <c r="I634" s="43">
        <v>45384</v>
      </c>
      <c r="J634" s="47" t="str">
        <f>IF(GroDB[[#This Row],[Last_Order_Date]]&lt;=GroDB[[#This Row],[Date_Received]], "Yes", "No")</f>
        <v>No</v>
      </c>
      <c r="K634" s="43">
        <f>IF(GroDB[[#This Row],[Column1]]="No",GroDB[[#This Row],[Last_Order_Date]],GroDB[[#This Row],[Date_Received]])</f>
        <v>45384</v>
      </c>
      <c r="L634" s="43">
        <f>IF(GroDB[[#This Row],[Column1]]="No",GroDB[[#This Row],[Date_Received]],GroDB[[#This Row],[Last_Order_Date]])</f>
        <v>45349</v>
      </c>
      <c r="M634" s="45">
        <f>GroDB[[#This Row],[Date_Received1]]-GroDB[[#This Row],[Procurement_Date]]</f>
        <v>35</v>
      </c>
      <c r="N634" s="43">
        <v>45570</v>
      </c>
      <c r="O634" s="91">
        <f>GroDB[[#This Row],[Expiration_Date]]-GroDB[[#This Row],[Date_Received1]]</f>
        <v>186</v>
      </c>
      <c r="P634" s="4">
        <v>5.6000000000000005</v>
      </c>
      <c r="Q634" s="3">
        <v>94</v>
      </c>
      <c r="R634" s="3">
        <v>13</v>
      </c>
      <c r="S634" s="3">
        <v>15</v>
      </c>
      <c r="T634" s="4">
        <v>7</v>
      </c>
      <c r="U634" s="3">
        <v>20</v>
      </c>
      <c r="V634" s="51">
        <f>IF(GroDB[[#This Row],[LeadTime]]=0,GroDB[[#This Row],[Sales_Volume]],GroDB[[#This Row],[Sales_Volume]]/GroDB[[#This Row],[LeadTime]])</f>
        <v>0.5714285714285714</v>
      </c>
      <c r="W634" s="51">
        <f>_xlfn.STDEV.S(GroDB[Daily Sales])</f>
        <v>5.1999899792654221</v>
      </c>
      <c r="X634" s="3">
        <v>24</v>
      </c>
      <c r="Y634" s="7">
        <v>0.75</v>
      </c>
      <c r="Z634" s="4">
        <f>GroDB[[#This Row],[Unit_Price]]*GroDB[[#This Row],[Sales_Volume]]</f>
        <v>140</v>
      </c>
      <c r="AA634" s="22">
        <f>GroDB[[#This Row],[ADU]]/GroDB[[#Totals],[ADU]]</f>
        <v>4.0665834488775546E-4</v>
      </c>
      <c r="AB634" s="1">
        <f>GroDB[[#This Row],[Sales_Volume]]*GroDB[[#This Row],[Ordering Cost]]</f>
        <v>112.00000000000001</v>
      </c>
    </row>
    <row r="635" spans="1:28" x14ac:dyDescent="0.35">
      <c r="A635" s="5" t="s">
        <v>75</v>
      </c>
      <c r="B635" s="3" t="s">
        <v>32</v>
      </c>
      <c r="C635" s="3" t="s">
        <v>813</v>
      </c>
      <c r="D635" s="3" t="s">
        <v>2339</v>
      </c>
      <c r="E635" s="3" t="s">
        <v>56</v>
      </c>
      <c r="F635" s="3" t="s">
        <v>2340</v>
      </c>
      <c r="G635" s="3" t="s">
        <v>2341</v>
      </c>
      <c r="H635" s="43">
        <v>45349</v>
      </c>
      <c r="I635" s="43">
        <v>45567</v>
      </c>
      <c r="J635" s="47" t="str">
        <f>IF(GroDB[[#This Row],[Last_Order_Date]]&lt;=GroDB[[#This Row],[Date_Received]], "Yes", "No")</f>
        <v>No</v>
      </c>
      <c r="K635" s="43">
        <f>IF(GroDB[[#This Row],[Column1]]="No",GroDB[[#This Row],[Last_Order_Date]],GroDB[[#This Row],[Date_Received]])</f>
        <v>45567</v>
      </c>
      <c r="L635" s="43">
        <f>IF(GroDB[[#This Row],[Column1]]="No",GroDB[[#This Row],[Date_Received]],GroDB[[#This Row],[Last_Order_Date]])</f>
        <v>45349</v>
      </c>
      <c r="M635" s="45">
        <f>GroDB[[#This Row],[Date_Received1]]-GroDB[[#This Row],[Procurement_Date]]</f>
        <v>218</v>
      </c>
      <c r="N635" s="43">
        <v>45411</v>
      </c>
      <c r="O635" s="91">
        <f>GroDB[[#This Row],[Expiration_Date]]-GroDB[[#This Row],[Date_Received1]]</f>
        <v>-156</v>
      </c>
      <c r="P635" s="4">
        <v>7.120000000000001</v>
      </c>
      <c r="Q635" s="3">
        <v>68</v>
      </c>
      <c r="R635" s="3">
        <v>60</v>
      </c>
      <c r="S635" s="3">
        <v>21</v>
      </c>
      <c r="T635" s="4">
        <v>8.9</v>
      </c>
      <c r="U635" s="3">
        <v>79</v>
      </c>
      <c r="V635" s="51">
        <f>IF(GroDB[[#This Row],[LeadTime]]=0,GroDB[[#This Row],[Sales_Volume]],GroDB[[#This Row],[Sales_Volume]]/GroDB[[#This Row],[LeadTime]])</f>
        <v>0.36238532110091742</v>
      </c>
      <c r="W635" s="51">
        <f>_xlfn.STDEV.S(GroDB[Daily Sales])</f>
        <v>5.1999899792654221</v>
      </c>
      <c r="X635" s="3">
        <v>46</v>
      </c>
      <c r="Y635" s="7">
        <v>-0.2</v>
      </c>
      <c r="Z635" s="4">
        <f>GroDB[[#This Row],[Unit_Price]]*GroDB[[#This Row],[Sales_Volume]]</f>
        <v>703.1</v>
      </c>
      <c r="AA635" s="22">
        <f>GroDB[[#This Row],[ADU]]/GroDB[[#Totals],[ADU]]</f>
        <v>2.0422963020755775E-3</v>
      </c>
      <c r="AB635" s="1">
        <f>GroDB[[#This Row],[Sales_Volume]]*GroDB[[#This Row],[Ordering Cost]]</f>
        <v>562.48000000000013</v>
      </c>
    </row>
    <row r="636" spans="1:28" x14ac:dyDescent="0.35">
      <c r="A636" s="5" t="s">
        <v>1445</v>
      </c>
      <c r="B636" s="3" t="s">
        <v>18</v>
      </c>
      <c r="C636" s="3" t="s">
        <v>1253</v>
      </c>
      <c r="D636" s="3" t="s">
        <v>2342</v>
      </c>
      <c r="E636" s="3" t="s">
        <v>56</v>
      </c>
      <c r="F636" s="3" t="s">
        <v>2343</v>
      </c>
      <c r="G636" s="3" t="s">
        <v>2344</v>
      </c>
      <c r="H636" s="43">
        <v>45350</v>
      </c>
      <c r="I636" s="43">
        <v>45465</v>
      </c>
      <c r="J636" s="47" t="str">
        <f>IF(GroDB[[#This Row],[Last_Order_Date]]&lt;=GroDB[[#This Row],[Date_Received]], "Yes", "No")</f>
        <v>No</v>
      </c>
      <c r="K636" s="43">
        <f>IF(GroDB[[#This Row],[Column1]]="No",GroDB[[#This Row],[Last_Order_Date]],GroDB[[#This Row],[Date_Received]])</f>
        <v>45465</v>
      </c>
      <c r="L636" s="43">
        <f>IF(GroDB[[#This Row],[Column1]]="No",GroDB[[#This Row],[Date_Received]],GroDB[[#This Row],[Last_Order_Date]])</f>
        <v>45350</v>
      </c>
      <c r="M636" s="45">
        <f>GroDB[[#This Row],[Date_Received1]]-GroDB[[#This Row],[Procurement_Date]]</f>
        <v>115</v>
      </c>
      <c r="N636" s="43">
        <v>45694</v>
      </c>
      <c r="O636" s="91">
        <f>GroDB[[#This Row],[Expiration_Date]]-GroDB[[#This Row],[Date_Received1]]</f>
        <v>229</v>
      </c>
      <c r="P636" s="4">
        <v>8</v>
      </c>
      <c r="Q636" s="3">
        <v>66</v>
      </c>
      <c r="R636" s="3">
        <v>40</v>
      </c>
      <c r="S636" s="3">
        <v>96</v>
      </c>
      <c r="T636" s="4">
        <v>10</v>
      </c>
      <c r="U636" s="3">
        <v>24</v>
      </c>
      <c r="V636" s="51">
        <f>IF(GroDB[[#This Row],[LeadTime]]=0,GroDB[[#This Row],[Sales_Volume]],GroDB[[#This Row],[Sales_Volume]]/GroDB[[#This Row],[LeadTime]])</f>
        <v>0.20869565217391303</v>
      </c>
      <c r="W636" s="51">
        <f>_xlfn.STDEV.S(GroDB[Daily Sales])</f>
        <v>5.1999899792654221</v>
      </c>
      <c r="X636" s="3">
        <v>61</v>
      </c>
      <c r="Y636" s="7">
        <v>0.42</v>
      </c>
      <c r="Z636" s="4">
        <f>GroDB[[#This Row],[Unit_Price]]*GroDB[[#This Row],[Sales_Volume]]</f>
        <v>240</v>
      </c>
      <c r="AA636" s="22">
        <f>GroDB[[#This Row],[ADU]]/GroDB[[#Totals],[ADU]]</f>
        <v>6.9712859123615225E-4</v>
      </c>
      <c r="AB636" s="1">
        <f>GroDB[[#This Row],[Sales_Volume]]*GroDB[[#This Row],[Ordering Cost]]</f>
        <v>192</v>
      </c>
    </row>
    <row r="637" spans="1:28" x14ac:dyDescent="0.35">
      <c r="A637" s="5" t="s">
        <v>1085</v>
      </c>
      <c r="B637" s="3" t="s">
        <v>32</v>
      </c>
      <c r="C637" s="3" t="s">
        <v>128</v>
      </c>
      <c r="D637" s="3" t="s">
        <v>2345</v>
      </c>
      <c r="E637" s="3" t="s">
        <v>28</v>
      </c>
      <c r="F637" s="3" t="s">
        <v>2346</v>
      </c>
      <c r="G637" s="3" t="s">
        <v>2347</v>
      </c>
      <c r="H637" s="43">
        <v>45350</v>
      </c>
      <c r="I637" s="43">
        <v>45427</v>
      </c>
      <c r="J637" s="47" t="str">
        <f>IF(GroDB[[#This Row],[Last_Order_Date]]&lt;=GroDB[[#This Row],[Date_Received]], "Yes", "No")</f>
        <v>No</v>
      </c>
      <c r="K637" s="43">
        <f>IF(GroDB[[#This Row],[Column1]]="No",GroDB[[#This Row],[Last_Order_Date]],GroDB[[#This Row],[Date_Received]])</f>
        <v>45427</v>
      </c>
      <c r="L637" s="43">
        <f>IF(GroDB[[#This Row],[Column1]]="No",GroDB[[#This Row],[Date_Received]],GroDB[[#This Row],[Last_Order_Date]])</f>
        <v>45350</v>
      </c>
      <c r="M637" s="45">
        <f>GroDB[[#This Row],[Date_Received1]]-GroDB[[#This Row],[Procurement_Date]]</f>
        <v>77</v>
      </c>
      <c r="N637" s="43">
        <v>45692</v>
      </c>
      <c r="O637" s="91">
        <f>GroDB[[#This Row],[Expiration_Date]]-GroDB[[#This Row],[Date_Received1]]</f>
        <v>265</v>
      </c>
      <c r="P637" s="4">
        <v>6.4</v>
      </c>
      <c r="Q637" s="3">
        <v>93</v>
      </c>
      <c r="R637" s="3">
        <v>8</v>
      </c>
      <c r="S637" s="3">
        <v>51</v>
      </c>
      <c r="T637" s="4">
        <v>8</v>
      </c>
      <c r="U637" s="3">
        <v>93</v>
      </c>
      <c r="V637" s="51">
        <f>IF(GroDB[[#This Row],[LeadTime]]=0,GroDB[[#This Row],[Sales_Volume]],GroDB[[#This Row],[Sales_Volume]]/GroDB[[#This Row],[LeadTime]])</f>
        <v>1.2077922077922079</v>
      </c>
      <c r="W637" s="51">
        <f>_xlfn.STDEV.S(GroDB[Daily Sales])</f>
        <v>5.1999899792654221</v>
      </c>
      <c r="X637" s="3">
        <v>85</v>
      </c>
      <c r="Y637" s="7">
        <v>-1.54</v>
      </c>
      <c r="Z637" s="4">
        <f>GroDB[[#This Row],[Unit_Price]]*GroDB[[#This Row],[Sales_Volume]]</f>
        <v>744</v>
      </c>
      <c r="AA637" s="22">
        <f>GroDB[[#This Row],[ADU]]/GroDB[[#Totals],[ADU]]</f>
        <v>2.1610986328320717E-3</v>
      </c>
      <c r="AB637" s="1">
        <f>GroDB[[#This Row],[Sales_Volume]]*GroDB[[#This Row],[Ordering Cost]]</f>
        <v>595.20000000000005</v>
      </c>
    </row>
    <row r="638" spans="1:28" x14ac:dyDescent="0.35">
      <c r="A638" s="5" t="s">
        <v>106</v>
      </c>
      <c r="B638" s="3" t="s">
        <v>32</v>
      </c>
      <c r="C638" s="3" t="s">
        <v>1568</v>
      </c>
      <c r="D638" s="3" t="s">
        <v>2348</v>
      </c>
      <c r="E638" s="3" t="s">
        <v>28</v>
      </c>
      <c r="F638" s="3" t="s">
        <v>2349</v>
      </c>
      <c r="G638" s="3" t="s">
        <v>2350</v>
      </c>
      <c r="H638" s="43">
        <v>45350</v>
      </c>
      <c r="I638" s="43">
        <v>45490</v>
      </c>
      <c r="J638" s="47" t="str">
        <f>IF(GroDB[[#This Row],[Last_Order_Date]]&lt;=GroDB[[#This Row],[Date_Received]], "Yes", "No")</f>
        <v>No</v>
      </c>
      <c r="K638" s="43">
        <f>IF(GroDB[[#This Row],[Column1]]="No",GroDB[[#This Row],[Last_Order_Date]],GroDB[[#This Row],[Date_Received]])</f>
        <v>45490</v>
      </c>
      <c r="L638" s="43">
        <f>IF(GroDB[[#This Row],[Column1]]="No",GroDB[[#This Row],[Date_Received]],GroDB[[#This Row],[Last_Order_Date]])</f>
        <v>45350</v>
      </c>
      <c r="M638" s="45">
        <f>GroDB[[#This Row],[Date_Received1]]-GroDB[[#This Row],[Procurement_Date]]</f>
        <v>140</v>
      </c>
      <c r="N638" s="43">
        <v>45625</v>
      </c>
      <c r="O638" s="91">
        <f>GroDB[[#This Row],[Expiration_Date]]-GroDB[[#This Row],[Date_Received1]]</f>
        <v>135</v>
      </c>
      <c r="P638" s="4">
        <v>2</v>
      </c>
      <c r="Q638" s="3">
        <v>56</v>
      </c>
      <c r="R638" s="3">
        <v>97</v>
      </c>
      <c r="S638" s="3">
        <v>29</v>
      </c>
      <c r="T638" s="4">
        <v>2.5</v>
      </c>
      <c r="U638" s="3">
        <v>82</v>
      </c>
      <c r="V638" s="51">
        <f>IF(GroDB[[#This Row],[LeadTime]]=0,GroDB[[#This Row],[Sales_Volume]],GroDB[[#This Row],[Sales_Volume]]/GroDB[[#This Row],[LeadTime]])</f>
        <v>0.58571428571428574</v>
      </c>
      <c r="W638" s="51">
        <f>_xlfn.STDEV.S(GroDB[Daily Sales])</f>
        <v>5.1999899792654221</v>
      </c>
      <c r="X638" s="3">
        <v>100</v>
      </c>
      <c r="Y638" s="7">
        <v>0.09</v>
      </c>
      <c r="Z638" s="4">
        <f>GroDB[[#This Row],[Unit_Price]]*GroDB[[#This Row],[Sales_Volume]]</f>
        <v>205</v>
      </c>
      <c r="AA638" s="22">
        <f>GroDB[[#This Row],[ADU]]/GroDB[[#Totals],[ADU]]</f>
        <v>5.954640050142133E-4</v>
      </c>
      <c r="AB638" s="1">
        <f>GroDB[[#This Row],[Sales_Volume]]*GroDB[[#This Row],[Ordering Cost]]</f>
        <v>164</v>
      </c>
    </row>
    <row r="639" spans="1:28" x14ac:dyDescent="0.35">
      <c r="A639" s="5" t="s">
        <v>1369</v>
      </c>
      <c r="B639" s="3" t="s">
        <v>32</v>
      </c>
      <c r="C639" s="3" t="s">
        <v>818</v>
      </c>
      <c r="D639" s="3" t="s">
        <v>2351</v>
      </c>
      <c r="E639" s="3" t="s">
        <v>56</v>
      </c>
      <c r="F639" s="3" t="s">
        <v>2352</v>
      </c>
      <c r="G639" s="3" t="s">
        <v>2353</v>
      </c>
      <c r="H639" s="43">
        <v>45350</v>
      </c>
      <c r="I639" s="43">
        <v>45463</v>
      </c>
      <c r="J639" s="47" t="str">
        <f>IF(GroDB[[#This Row],[Last_Order_Date]]&lt;=GroDB[[#This Row],[Date_Received]], "Yes", "No")</f>
        <v>No</v>
      </c>
      <c r="K639" s="43">
        <f>IF(GroDB[[#This Row],[Column1]]="No",GroDB[[#This Row],[Last_Order_Date]],GroDB[[#This Row],[Date_Received]])</f>
        <v>45463</v>
      </c>
      <c r="L639" s="43">
        <f>IF(GroDB[[#This Row],[Column1]]="No",GroDB[[#This Row],[Date_Received]],GroDB[[#This Row],[Last_Order_Date]])</f>
        <v>45350</v>
      </c>
      <c r="M639" s="45">
        <f>GroDB[[#This Row],[Date_Received1]]-GroDB[[#This Row],[Procurement_Date]]</f>
        <v>113</v>
      </c>
      <c r="N639" s="43">
        <v>45678</v>
      </c>
      <c r="O639" s="91">
        <f>GroDB[[#This Row],[Expiration_Date]]-GroDB[[#This Row],[Date_Received1]]</f>
        <v>215</v>
      </c>
      <c r="P639" s="4">
        <v>3.28</v>
      </c>
      <c r="Q639" s="3">
        <v>82</v>
      </c>
      <c r="R639" s="3">
        <v>12</v>
      </c>
      <c r="S639" s="3">
        <v>94</v>
      </c>
      <c r="T639" s="4">
        <v>4.0999999999999996</v>
      </c>
      <c r="U639" s="3">
        <v>69</v>
      </c>
      <c r="V639" s="51">
        <f>IF(GroDB[[#This Row],[LeadTime]]=0,GroDB[[#This Row],[Sales_Volume]],GroDB[[#This Row],[Sales_Volume]]/GroDB[[#This Row],[LeadTime]])</f>
        <v>0.61061946902654862</v>
      </c>
      <c r="W639" s="51">
        <f>_xlfn.STDEV.S(GroDB[Daily Sales])</f>
        <v>5.1999899792654221</v>
      </c>
      <c r="X639" s="3">
        <v>93</v>
      </c>
      <c r="Y639" s="7">
        <v>-0.22</v>
      </c>
      <c r="Z639" s="4">
        <f>GroDB[[#This Row],[Unit_Price]]*GroDB[[#This Row],[Sales_Volume]]</f>
        <v>282.89999999999998</v>
      </c>
      <c r="AA639" s="22">
        <f>GroDB[[#This Row],[ADU]]/GroDB[[#Totals],[ADU]]</f>
        <v>8.2174032691961438E-4</v>
      </c>
      <c r="AB639" s="1">
        <f>GroDB[[#This Row],[Sales_Volume]]*GroDB[[#This Row],[Ordering Cost]]</f>
        <v>226.32</v>
      </c>
    </row>
    <row r="640" spans="1:28" x14ac:dyDescent="0.35">
      <c r="A640" s="5" t="s">
        <v>320</v>
      </c>
      <c r="B640" s="3" t="s">
        <v>18</v>
      </c>
      <c r="C640" s="3" t="s">
        <v>2206</v>
      </c>
      <c r="D640" s="3" t="s">
        <v>2354</v>
      </c>
      <c r="E640" s="3" t="s">
        <v>56</v>
      </c>
      <c r="F640" s="3" t="s">
        <v>2355</v>
      </c>
      <c r="G640" s="3" t="s">
        <v>2356</v>
      </c>
      <c r="H640" s="43">
        <v>45350</v>
      </c>
      <c r="I640" s="43">
        <v>45482</v>
      </c>
      <c r="J640" s="47" t="str">
        <f>IF(GroDB[[#This Row],[Last_Order_Date]]&lt;=GroDB[[#This Row],[Date_Received]], "Yes", "No")</f>
        <v>No</v>
      </c>
      <c r="K640" s="43">
        <f>IF(GroDB[[#This Row],[Column1]]="No",GroDB[[#This Row],[Last_Order_Date]],GroDB[[#This Row],[Date_Received]])</f>
        <v>45482</v>
      </c>
      <c r="L640" s="43">
        <f>IF(GroDB[[#This Row],[Column1]]="No",GroDB[[#This Row],[Date_Received]],GroDB[[#This Row],[Last_Order_Date]])</f>
        <v>45350</v>
      </c>
      <c r="M640" s="45">
        <f>GroDB[[#This Row],[Date_Received1]]-GroDB[[#This Row],[Procurement_Date]]</f>
        <v>132</v>
      </c>
      <c r="N640" s="43">
        <v>45620</v>
      </c>
      <c r="O640" s="91">
        <f>GroDB[[#This Row],[Expiration_Date]]-GroDB[[#This Row],[Date_Received1]]</f>
        <v>138</v>
      </c>
      <c r="P640" s="4">
        <v>3.2</v>
      </c>
      <c r="Q640" s="3">
        <v>11</v>
      </c>
      <c r="R640" s="3">
        <v>58</v>
      </c>
      <c r="S640" s="3">
        <v>32</v>
      </c>
      <c r="T640" s="4">
        <v>4</v>
      </c>
      <c r="U640" s="3">
        <v>99</v>
      </c>
      <c r="V640" s="51">
        <f>IF(GroDB[[#This Row],[LeadTime]]=0,GroDB[[#This Row],[Sales_Volume]],GroDB[[#This Row],[Sales_Volume]]/GroDB[[#This Row],[LeadTime]])</f>
        <v>0.75</v>
      </c>
      <c r="W640" s="51">
        <f>_xlfn.STDEV.S(GroDB[Daily Sales])</f>
        <v>5.1999899792654221</v>
      </c>
      <c r="X640" s="3">
        <v>94</v>
      </c>
      <c r="Y640" s="7">
        <v>-0.35</v>
      </c>
      <c r="Z640" s="4">
        <f>GroDB[[#This Row],[Unit_Price]]*GroDB[[#This Row],[Sales_Volume]]</f>
        <v>396</v>
      </c>
      <c r="AA640" s="22">
        <f>GroDB[[#This Row],[ADU]]/GroDB[[#Totals],[ADU]]</f>
        <v>1.1502621755396512E-3</v>
      </c>
      <c r="AB640" s="1">
        <f>GroDB[[#This Row],[Sales_Volume]]*GroDB[[#This Row],[Ordering Cost]]</f>
        <v>316.8</v>
      </c>
    </row>
    <row r="641" spans="1:28" x14ac:dyDescent="0.35">
      <c r="A641" s="5" t="s">
        <v>198</v>
      </c>
      <c r="B641" s="3" t="s">
        <v>53</v>
      </c>
      <c r="C641" s="3" t="s">
        <v>972</v>
      </c>
      <c r="D641" s="3" t="s">
        <v>2357</v>
      </c>
      <c r="E641" s="3" t="s">
        <v>56</v>
      </c>
      <c r="F641" s="3" t="s">
        <v>2358</v>
      </c>
      <c r="G641" s="3" t="s">
        <v>2359</v>
      </c>
      <c r="H641" s="43">
        <v>45351</v>
      </c>
      <c r="I641" s="43">
        <v>45447</v>
      </c>
      <c r="J641" s="47" t="str">
        <f>IF(GroDB[[#This Row],[Last_Order_Date]]&lt;=GroDB[[#This Row],[Date_Received]], "Yes", "No")</f>
        <v>No</v>
      </c>
      <c r="K641" s="43">
        <f>IF(GroDB[[#This Row],[Column1]]="No",GroDB[[#This Row],[Last_Order_Date]],GroDB[[#This Row],[Date_Received]])</f>
        <v>45447</v>
      </c>
      <c r="L641" s="43">
        <f>IF(GroDB[[#This Row],[Column1]]="No",GroDB[[#This Row],[Date_Received]],GroDB[[#This Row],[Last_Order_Date]])</f>
        <v>45351</v>
      </c>
      <c r="M641" s="45">
        <f>GroDB[[#This Row],[Date_Received1]]-GroDB[[#This Row],[Procurement_Date]]</f>
        <v>96</v>
      </c>
      <c r="N641" s="43">
        <v>45617</v>
      </c>
      <c r="O641" s="91">
        <f>GroDB[[#This Row],[Expiration_Date]]-GroDB[[#This Row],[Date_Received1]]</f>
        <v>170</v>
      </c>
      <c r="P641" s="4">
        <v>1.6</v>
      </c>
      <c r="Q641" s="3">
        <v>31</v>
      </c>
      <c r="R641" s="3">
        <v>32</v>
      </c>
      <c r="S641" s="3">
        <v>69</v>
      </c>
      <c r="T641" s="4">
        <v>2</v>
      </c>
      <c r="U641" s="3">
        <v>38</v>
      </c>
      <c r="V641" s="51">
        <f>IF(GroDB[[#This Row],[LeadTime]]=0,GroDB[[#This Row],[Sales_Volume]],GroDB[[#This Row],[Sales_Volume]]/GroDB[[#This Row],[LeadTime]])</f>
        <v>0.39583333333333331</v>
      </c>
      <c r="W641" s="51">
        <f>_xlfn.STDEV.S(GroDB[Daily Sales])</f>
        <v>5.1999899792654221</v>
      </c>
      <c r="X641" s="3">
        <v>23</v>
      </c>
      <c r="Y641" s="7">
        <v>0.05</v>
      </c>
      <c r="Z641" s="4">
        <f>GroDB[[#This Row],[Unit_Price]]*GroDB[[#This Row],[Sales_Volume]]</f>
        <v>76</v>
      </c>
      <c r="AA641" s="22">
        <f>GroDB[[#This Row],[ADU]]/GroDB[[#Totals],[ADU]]</f>
        <v>2.2075738722478154E-4</v>
      </c>
      <c r="AB641" s="1">
        <f>GroDB[[#This Row],[Sales_Volume]]*GroDB[[#This Row],[Ordering Cost]]</f>
        <v>60.800000000000004</v>
      </c>
    </row>
    <row r="642" spans="1:28" x14ac:dyDescent="0.35">
      <c r="A642" s="5" t="s">
        <v>116</v>
      </c>
      <c r="B642" s="3" t="s">
        <v>18</v>
      </c>
      <c r="C642" s="3" t="s">
        <v>1743</v>
      </c>
      <c r="D642" s="3" t="s">
        <v>2360</v>
      </c>
      <c r="E642" s="3" t="s">
        <v>28</v>
      </c>
      <c r="F642" s="3" t="s">
        <v>2361</v>
      </c>
      <c r="G642" s="3" t="s">
        <v>2362</v>
      </c>
      <c r="H642" s="43">
        <v>45351</v>
      </c>
      <c r="I642" s="43">
        <v>45694</v>
      </c>
      <c r="J642" s="47" t="str">
        <f>IF(GroDB[[#This Row],[Last_Order_Date]]&lt;=GroDB[[#This Row],[Date_Received]], "Yes", "No")</f>
        <v>No</v>
      </c>
      <c r="K642" s="43">
        <f>IF(GroDB[[#This Row],[Column1]]="No",GroDB[[#This Row],[Last_Order_Date]],GroDB[[#This Row],[Date_Received]])</f>
        <v>45694</v>
      </c>
      <c r="L642" s="43">
        <f>IF(GroDB[[#This Row],[Column1]]="No",GroDB[[#This Row],[Date_Received]],GroDB[[#This Row],[Last_Order_Date]])</f>
        <v>45351</v>
      </c>
      <c r="M642" s="45">
        <f>GroDB[[#This Row],[Date_Received1]]-GroDB[[#This Row],[Procurement_Date]]</f>
        <v>343</v>
      </c>
      <c r="N642" s="43">
        <v>45636</v>
      </c>
      <c r="O642" s="91">
        <f>GroDB[[#This Row],[Expiration_Date]]-GroDB[[#This Row],[Date_Received1]]</f>
        <v>-58</v>
      </c>
      <c r="P642" s="4">
        <v>2.4000000000000004</v>
      </c>
      <c r="Q642" s="3">
        <v>97</v>
      </c>
      <c r="R642" s="3">
        <v>20</v>
      </c>
      <c r="S642" s="3">
        <v>72</v>
      </c>
      <c r="T642" s="4">
        <v>3</v>
      </c>
      <c r="U642" s="3">
        <v>29</v>
      </c>
      <c r="V642" s="51">
        <f>IF(GroDB[[#This Row],[LeadTime]]=0,GroDB[[#This Row],[Sales_Volume]],GroDB[[#This Row],[Sales_Volume]]/GroDB[[#This Row],[LeadTime]])</f>
        <v>8.4548104956268216E-2</v>
      </c>
      <c r="W642" s="51">
        <f>_xlfn.STDEV.S(GroDB[Daily Sales])</f>
        <v>5.1999899792654221</v>
      </c>
      <c r="X642" s="3">
        <v>59</v>
      </c>
      <c r="Y642" s="7">
        <v>0.39</v>
      </c>
      <c r="Z642" s="4">
        <f>GroDB[[#This Row],[Unit_Price]]*GroDB[[#This Row],[Sales_Volume]]</f>
        <v>87</v>
      </c>
      <c r="AA642" s="22">
        <f>GroDB[[#This Row],[ADU]]/GroDB[[#Totals],[ADU]]</f>
        <v>2.5270911432310518E-4</v>
      </c>
      <c r="AB642" s="1">
        <f>GroDB[[#This Row],[Sales_Volume]]*GroDB[[#This Row],[Ordering Cost]]</f>
        <v>69.600000000000009</v>
      </c>
    </row>
    <row r="643" spans="1:28" x14ac:dyDescent="0.35">
      <c r="A643" s="5" t="s">
        <v>220</v>
      </c>
      <c r="B643" s="3" t="s">
        <v>127</v>
      </c>
      <c r="C643" s="3" t="s">
        <v>2363</v>
      </c>
      <c r="D643" s="3" t="s">
        <v>2364</v>
      </c>
      <c r="E643" s="3" t="s">
        <v>56</v>
      </c>
      <c r="F643" s="3" t="s">
        <v>2365</v>
      </c>
      <c r="G643" s="3" t="s">
        <v>2366</v>
      </c>
      <c r="H643" s="43">
        <v>45351</v>
      </c>
      <c r="I643" s="43">
        <v>45691</v>
      </c>
      <c r="J643" s="47" t="str">
        <f>IF(GroDB[[#This Row],[Last_Order_Date]]&lt;=GroDB[[#This Row],[Date_Received]], "Yes", "No")</f>
        <v>No</v>
      </c>
      <c r="K643" s="43">
        <f>IF(GroDB[[#This Row],[Column1]]="No",GroDB[[#This Row],[Last_Order_Date]],GroDB[[#This Row],[Date_Received]])</f>
        <v>45691</v>
      </c>
      <c r="L643" s="43">
        <f>IF(GroDB[[#This Row],[Column1]]="No",GroDB[[#This Row],[Date_Received]],GroDB[[#This Row],[Last_Order_Date]])</f>
        <v>45351</v>
      </c>
      <c r="M643" s="45">
        <f>GroDB[[#This Row],[Date_Received1]]-GroDB[[#This Row],[Procurement_Date]]</f>
        <v>340</v>
      </c>
      <c r="N643" s="43">
        <v>45388</v>
      </c>
      <c r="O643" s="91">
        <f>GroDB[[#This Row],[Expiration_Date]]-GroDB[[#This Row],[Date_Received1]]</f>
        <v>-303</v>
      </c>
      <c r="P643" s="4">
        <v>8</v>
      </c>
      <c r="Q643" s="3">
        <v>74</v>
      </c>
      <c r="R643" s="3">
        <v>2</v>
      </c>
      <c r="S643" s="3">
        <v>45</v>
      </c>
      <c r="T643" s="4">
        <v>10</v>
      </c>
      <c r="U643" s="3">
        <v>37</v>
      </c>
      <c r="V643" s="51">
        <f>IF(GroDB[[#This Row],[LeadTime]]=0,GroDB[[#This Row],[Sales_Volume]],GroDB[[#This Row],[Sales_Volume]]/GroDB[[#This Row],[LeadTime]])</f>
        <v>0.10882352941176471</v>
      </c>
      <c r="W643" s="51">
        <f>_xlfn.STDEV.S(GroDB[Daily Sales])</f>
        <v>5.1999899792654221</v>
      </c>
      <c r="X643" s="3">
        <v>99</v>
      </c>
      <c r="Y643" s="7">
        <v>-1.03</v>
      </c>
      <c r="Z643" s="4">
        <f>GroDB[[#This Row],[Unit_Price]]*GroDB[[#This Row],[Sales_Volume]]</f>
        <v>370</v>
      </c>
      <c r="AA643" s="22">
        <f>GroDB[[#This Row],[ADU]]/GroDB[[#Totals],[ADU]]</f>
        <v>1.0747399114890679E-3</v>
      </c>
      <c r="AB643" s="1">
        <f>GroDB[[#This Row],[Sales_Volume]]*GroDB[[#This Row],[Ordering Cost]]</f>
        <v>296</v>
      </c>
    </row>
    <row r="644" spans="1:28" x14ac:dyDescent="0.35">
      <c r="A644" s="5" t="s">
        <v>686</v>
      </c>
      <c r="B644" s="3" t="s">
        <v>18</v>
      </c>
      <c r="C644" s="3" t="s">
        <v>207</v>
      </c>
      <c r="D644" s="3" t="s">
        <v>2367</v>
      </c>
      <c r="E644" s="3" t="s">
        <v>56</v>
      </c>
      <c r="F644" s="3" t="s">
        <v>2368</v>
      </c>
      <c r="G644" s="3" t="s">
        <v>2369</v>
      </c>
      <c r="H644" s="43">
        <v>45364</v>
      </c>
      <c r="I644" s="43">
        <v>45361</v>
      </c>
      <c r="J644" s="47" t="str">
        <f>IF(GroDB[[#This Row],[Last_Order_Date]]&lt;=GroDB[[#This Row],[Date_Received]], "Yes", "No")</f>
        <v>Yes</v>
      </c>
      <c r="K644" s="43">
        <f>IF(GroDB[[#This Row],[Column1]]="No",GroDB[[#This Row],[Last_Order_Date]],GroDB[[#This Row],[Date_Received]])</f>
        <v>45364</v>
      </c>
      <c r="L644" s="43">
        <f>IF(GroDB[[#This Row],[Column1]]="No",GroDB[[#This Row],[Date_Received]],GroDB[[#This Row],[Last_Order_Date]])</f>
        <v>45361</v>
      </c>
      <c r="M644" s="45">
        <f>GroDB[[#This Row],[Date_Received1]]-GroDB[[#This Row],[Procurement_Date]]</f>
        <v>3</v>
      </c>
      <c r="N644" s="43">
        <v>45374</v>
      </c>
      <c r="O644" s="91">
        <f>GroDB[[#This Row],[Expiration_Date]]-GroDB[[#This Row],[Date_Received1]]</f>
        <v>10</v>
      </c>
      <c r="P644" s="4">
        <v>2</v>
      </c>
      <c r="Q644" s="3">
        <v>44</v>
      </c>
      <c r="R644" s="3">
        <v>67</v>
      </c>
      <c r="S644" s="3">
        <v>15</v>
      </c>
      <c r="T644" s="4">
        <v>2.5</v>
      </c>
      <c r="U644" s="3">
        <v>82</v>
      </c>
      <c r="V644" s="51">
        <f>IF(GroDB[[#This Row],[LeadTime]]=0,GroDB[[#This Row],[Sales_Volume]],GroDB[[#This Row],[Sales_Volume]]/GroDB[[#This Row],[LeadTime]])</f>
        <v>27.333333333333332</v>
      </c>
      <c r="W644" s="51">
        <f>_xlfn.STDEV.S(GroDB[Daily Sales])</f>
        <v>5.1999899792654221</v>
      </c>
      <c r="X644" s="3">
        <v>51</v>
      </c>
      <c r="Y644" s="7">
        <v>-1.68</v>
      </c>
      <c r="Z644" s="4">
        <f>GroDB[[#This Row],[Unit_Price]]*GroDB[[#This Row],[Sales_Volume]]</f>
        <v>205</v>
      </c>
      <c r="AA644" s="22">
        <f>GroDB[[#This Row],[ADU]]/GroDB[[#Totals],[ADU]]</f>
        <v>5.954640050142133E-4</v>
      </c>
      <c r="AB644" s="1">
        <f>GroDB[[#This Row],[Sales_Volume]]*GroDB[[#This Row],[Ordering Cost]]</f>
        <v>164</v>
      </c>
    </row>
    <row r="645" spans="1:28" x14ac:dyDescent="0.35">
      <c r="A645" s="5" t="s">
        <v>42</v>
      </c>
      <c r="B645" s="3" t="s">
        <v>18</v>
      </c>
      <c r="C645" s="3" t="s">
        <v>1073</v>
      </c>
      <c r="D645" s="3" t="s">
        <v>2370</v>
      </c>
      <c r="E645" s="3" t="s">
        <v>56</v>
      </c>
      <c r="F645" s="3" t="s">
        <v>2371</v>
      </c>
      <c r="G645" s="3" t="s">
        <v>2372</v>
      </c>
      <c r="H645" s="43">
        <v>45364</v>
      </c>
      <c r="I645" s="43">
        <v>45669</v>
      </c>
      <c r="J645" s="47" t="str">
        <f>IF(GroDB[[#This Row],[Last_Order_Date]]&lt;=GroDB[[#This Row],[Date_Received]], "Yes", "No")</f>
        <v>No</v>
      </c>
      <c r="K645" s="43">
        <f>IF(GroDB[[#This Row],[Column1]]="No",GroDB[[#This Row],[Last_Order_Date]],GroDB[[#This Row],[Date_Received]])</f>
        <v>45669</v>
      </c>
      <c r="L645" s="43">
        <f>IF(GroDB[[#This Row],[Column1]]="No",GroDB[[#This Row],[Date_Received]],GroDB[[#This Row],[Last_Order_Date]])</f>
        <v>45364</v>
      </c>
      <c r="M645" s="45">
        <f>GroDB[[#This Row],[Date_Received1]]-GroDB[[#This Row],[Procurement_Date]]</f>
        <v>305</v>
      </c>
      <c r="N645" s="43">
        <v>45457</v>
      </c>
      <c r="O645" s="91">
        <f>GroDB[[#This Row],[Expiration_Date]]-GroDB[[#This Row],[Date_Received1]]</f>
        <v>-212</v>
      </c>
      <c r="P645" s="4">
        <v>5.6000000000000005</v>
      </c>
      <c r="Q645" s="3">
        <v>33</v>
      </c>
      <c r="R645" s="3">
        <v>4</v>
      </c>
      <c r="S645" s="3">
        <v>31</v>
      </c>
      <c r="T645" s="4">
        <v>7</v>
      </c>
      <c r="U645" s="3">
        <v>46</v>
      </c>
      <c r="V645" s="51">
        <f>IF(GroDB[[#This Row],[LeadTime]]=0,GroDB[[#This Row],[Sales_Volume]],GroDB[[#This Row],[Sales_Volume]]/GroDB[[#This Row],[LeadTime]])</f>
        <v>0.15081967213114755</v>
      </c>
      <c r="W645" s="51">
        <f>_xlfn.STDEV.S(GroDB[Daily Sales])</f>
        <v>5.1999899792654221</v>
      </c>
      <c r="X645" s="3">
        <v>92</v>
      </c>
      <c r="Y645" s="7">
        <v>0.38</v>
      </c>
      <c r="Z645" s="4">
        <f>GroDB[[#This Row],[Unit_Price]]*GroDB[[#This Row],[Sales_Volume]]</f>
        <v>322</v>
      </c>
      <c r="AA645" s="22">
        <f>GroDB[[#This Row],[ADU]]/GroDB[[#Totals],[ADU]]</f>
        <v>9.3531419324183749E-4</v>
      </c>
      <c r="AB645" s="1">
        <f>GroDB[[#This Row],[Sales_Volume]]*GroDB[[#This Row],[Ordering Cost]]</f>
        <v>257.60000000000002</v>
      </c>
    </row>
    <row r="646" spans="1:28" x14ac:dyDescent="0.35">
      <c r="A646" s="5" t="s">
        <v>420</v>
      </c>
      <c r="B646" s="3" t="s">
        <v>60</v>
      </c>
      <c r="C646" s="3" t="s">
        <v>189</v>
      </c>
      <c r="D646" s="3" t="s">
        <v>2373</v>
      </c>
      <c r="E646" s="3" t="s">
        <v>28</v>
      </c>
      <c r="F646" s="3" t="s">
        <v>2374</v>
      </c>
      <c r="G646" s="3" t="s">
        <v>2375</v>
      </c>
      <c r="H646" s="43">
        <v>45365</v>
      </c>
      <c r="I646" s="43">
        <v>45654</v>
      </c>
      <c r="J646" s="47" t="str">
        <f>IF(GroDB[[#This Row],[Last_Order_Date]]&lt;=GroDB[[#This Row],[Date_Received]], "Yes", "No")</f>
        <v>No</v>
      </c>
      <c r="K646" s="43">
        <f>IF(GroDB[[#This Row],[Column1]]="No",GroDB[[#This Row],[Last_Order_Date]],GroDB[[#This Row],[Date_Received]])</f>
        <v>45654</v>
      </c>
      <c r="L646" s="43">
        <f>IF(GroDB[[#This Row],[Column1]]="No",GroDB[[#This Row],[Date_Received]],GroDB[[#This Row],[Last_Order_Date]])</f>
        <v>45365</v>
      </c>
      <c r="M646" s="45">
        <f>GroDB[[#This Row],[Date_Received1]]-GroDB[[#This Row],[Procurement_Date]]</f>
        <v>289</v>
      </c>
      <c r="N646" s="43">
        <v>45367</v>
      </c>
      <c r="O646" s="91">
        <f>GroDB[[#This Row],[Expiration_Date]]-GroDB[[#This Row],[Date_Received1]]</f>
        <v>-287</v>
      </c>
      <c r="P646" s="4">
        <v>14.4</v>
      </c>
      <c r="Q646" s="3">
        <v>88</v>
      </c>
      <c r="R646" s="3">
        <v>71</v>
      </c>
      <c r="S646" s="3">
        <v>9</v>
      </c>
      <c r="T646" s="4">
        <v>18</v>
      </c>
      <c r="U646" s="3">
        <v>28</v>
      </c>
      <c r="V646" s="51">
        <f>IF(GroDB[[#This Row],[LeadTime]]=0,GroDB[[#This Row],[Sales_Volume]],GroDB[[#This Row],[Sales_Volume]]/GroDB[[#This Row],[LeadTime]])</f>
        <v>9.6885813148788927E-2</v>
      </c>
      <c r="W646" s="51">
        <f>_xlfn.STDEV.S(GroDB[Daily Sales])</f>
        <v>5.1999899792654221</v>
      </c>
      <c r="X646" s="3">
        <v>14</v>
      </c>
      <c r="Y646" s="7">
        <v>-1</v>
      </c>
      <c r="Z646" s="4">
        <f>GroDB[[#This Row],[Unit_Price]]*GroDB[[#This Row],[Sales_Volume]]</f>
        <v>504</v>
      </c>
      <c r="AA646" s="22">
        <f>GroDB[[#This Row],[ADU]]/GroDB[[#Totals],[ADU]]</f>
        <v>1.4639700415959196E-3</v>
      </c>
      <c r="AB646" s="1">
        <f>GroDB[[#This Row],[Sales_Volume]]*GroDB[[#This Row],[Ordering Cost]]</f>
        <v>403.2</v>
      </c>
    </row>
    <row r="647" spans="1:28" x14ac:dyDescent="0.35">
      <c r="A647" s="5" t="s">
        <v>976</v>
      </c>
      <c r="B647" s="3" t="s">
        <v>60</v>
      </c>
      <c r="C647" s="3" t="s">
        <v>429</v>
      </c>
      <c r="D647" s="3" t="s">
        <v>2376</v>
      </c>
      <c r="E647" s="3" t="s">
        <v>21</v>
      </c>
      <c r="F647" s="3" t="s">
        <v>2377</v>
      </c>
      <c r="G647" s="3" t="s">
        <v>2378</v>
      </c>
      <c r="H647" s="43">
        <v>45365</v>
      </c>
      <c r="I647" s="43">
        <v>45584</v>
      </c>
      <c r="J647" s="47" t="str">
        <f>IF(GroDB[[#This Row],[Last_Order_Date]]&lt;=GroDB[[#This Row],[Date_Received]], "Yes", "No")</f>
        <v>No</v>
      </c>
      <c r="K647" s="43">
        <f>IF(GroDB[[#This Row],[Column1]]="No",GroDB[[#This Row],[Last_Order_Date]],GroDB[[#This Row],[Date_Received]])</f>
        <v>45584</v>
      </c>
      <c r="L647" s="43">
        <f>IF(GroDB[[#This Row],[Column1]]="No",GroDB[[#This Row],[Date_Received]],GroDB[[#This Row],[Last_Order_Date]])</f>
        <v>45365</v>
      </c>
      <c r="M647" s="45">
        <f>GroDB[[#This Row],[Date_Received1]]-GroDB[[#This Row],[Procurement_Date]]</f>
        <v>219</v>
      </c>
      <c r="N647" s="43">
        <v>45584</v>
      </c>
      <c r="O647" s="91">
        <f>GroDB[[#This Row],[Expiration_Date]]-GroDB[[#This Row],[Date_Received1]]</f>
        <v>0</v>
      </c>
      <c r="P647" s="4">
        <v>16</v>
      </c>
      <c r="Q647" s="3">
        <v>14</v>
      </c>
      <c r="R647" s="3">
        <v>67</v>
      </c>
      <c r="S647" s="3">
        <v>65</v>
      </c>
      <c r="T647" s="4">
        <v>20</v>
      </c>
      <c r="U647" s="3">
        <v>71</v>
      </c>
      <c r="V647" s="51">
        <f>IF(GroDB[[#This Row],[LeadTime]]=0,GroDB[[#This Row],[Sales_Volume]],GroDB[[#This Row],[Sales_Volume]]/GroDB[[#This Row],[LeadTime]])</f>
        <v>0.32420091324200911</v>
      </c>
      <c r="W647" s="51">
        <f>_xlfn.STDEV.S(GroDB[Daily Sales])</f>
        <v>5.1999899792654221</v>
      </c>
      <c r="X647" s="3">
        <v>94</v>
      </c>
      <c r="Y647" s="7">
        <v>0.5</v>
      </c>
      <c r="Z647" s="4">
        <f>GroDB[[#This Row],[Unit_Price]]*GroDB[[#This Row],[Sales_Volume]]</f>
        <v>1420</v>
      </c>
      <c r="AA647" s="22">
        <f>GroDB[[#This Row],[ADU]]/GroDB[[#Totals],[ADU]]</f>
        <v>4.1246774981472337E-3</v>
      </c>
      <c r="AB647" s="1">
        <f>GroDB[[#This Row],[Sales_Volume]]*GroDB[[#This Row],[Ordering Cost]]</f>
        <v>1136</v>
      </c>
    </row>
    <row r="648" spans="1:28" x14ac:dyDescent="0.35">
      <c r="A648" s="5" t="s">
        <v>126</v>
      </c>
      <c r="B648" s="3" t="s">
        <v>127</v>
      </c>
      <c r="C648" s="3" t="s">
        <v>1000</v>
      </c>
      <c r="D648" s="3" t="s">
        <v>2379</v>
      </c>
      <c r="E648" s="3" t="s">
        <v>28</v>
      </c>
      <c r="F648" s="3" t="s">
        <v>2380</v>
      </c>
      <c r="G648" s="3" t="s">
        <v>2381</v>
      </c>
      <c r="H648" s="43">
        <v>45366</v>
      </c>
      <c r="I648" s="43">
        <v>45706</v>
      </c>
      <c r="J648" s="47" t="str">
        <f>IF(GroDB[[#This Row],[Last_Order_Date]]&lt;=GroDB[[#This Row],[Date_Received]], "Yes", "No")</f>
        <v>No</v>
      </c>
      <c r="K648" s="43">
        <f>IF(GroDB[[#This Row],[Column1]]="No",GroDB[[#This Row],[Last_Order_Date]],GroDB[[#This Row],[Date_Received]])</f>
        <v>45706</v>
      </c>
      <c r="L648" s="43">
        <f>IF(GroDB[[#This Row],[Column1]]="No",GroDB[[#This Row],[Date_Received]],GroDB[[#This Row],[Last_Order_Date]])</f>
        <v>45366</v>
      </c>
      <c r="M648" s="45">
        <f>GroDB[[#This Row],[Date_Received1]]-GroDB[[#This Row],[Procurement_Date]]</f>
        <v>340</v>
      </c>
      <c r="N648" s="43">
        <v>45381</v>
      </c>
      <c r="O648" s="91">
        <f>GroDB[[#This Row],[Expiration_Date]]-GroDB[[#This Row],[Date_Received1]]</f>
        <v>-325</v>
      </c>
      <c r="P648" s="4">
        <v>16</v>
      </c>
      <c r="Q648" s="3">
        <v>36</v>
      </c>
      <c r="R648" s="3">
        <v>64</v>
      </c>
      <c r="S648" s="3">
        <v>63</v>
      </c>
      <c r="T648" s="4">
        <v>20</v>
      </c>
      <c r="U648" s="3">
        <v>91</v>
      </c>
      <c r="V648" s="51">
        <f>IF(GroDB[[#This Row],[LeadTime]]=0,GroDB[[#This Row],[Sales_Volume]],GroDB[[#This Row],[Sales_Volume]]/GroDB[[#This Row],[LeadTime]])</f>
        <v>0.2676470588235294</v>
      </c>
      <c r="W648" s="51">
        <f>_xlfn.STDEV.S(GroDB[Daily Sales])</f>
        <v>5.1999899792654221</v>
      </c>
      <c r="X648" s="3">
        <v>35</v>
      </c>
      <c r="Y648" s="7">
        <v>-0.32</v>
      </c>
      <c r="Z648" s="4">
        <f>GroDB[[#This Row],[Unit_Price]]*GroDB[[#This Row],[Sales_Volume]]</f>
        <v>1820</v>
      </c>
      <c r="AA648" s="22">
        <f>GroDB[[#This Row],[ADU]]/GroDB[[#Totals],[ADU]]</f>
        <v>5.2865584835408205E-3</v>
      </c>
      <c r="AB648" s="1">
        <f>GroDB[[#This Row],[Sales_Volume]]*GroDB[[#This Row],[Ordering Cost]]</f>
        <v>1456</v>
      </c>
    </row>
    <row r="649" spans="1:28" x14ac:dyDescent="0.35">
      <c r="A649" s="5" t="s">
        <v>170</v>
      </c>
      <c r="B649" s="3" t="s">
        <v>53</v>
      </c>
      <c r="C649" s="3" t="s">
        <v>81</v>
      </c>
      <c r="D649" s="3" t="s">
        <v>2382</v>
      </c>
      <c r="E649" s="3" t="s">
        <v>56</v>
      </c>
      <c r="F649" s="3" t="s">
        <v>2383</v>
      </c>
      <c r="G649" s="3" t="s">
        <v>2384</v>
      </c>
      <c r="H649" s="43">
        <v>45366</v>
      </c>
      <c r="I649" s="43">
        <v>45477</v>
      </c>
      <c r="J649" s="47" t="str">
        <f>IF(GroDB[[#This Row],[Last_Order_Date]]&lt;=GroDB[[#This Row],[Date_Received]], "Yes", "No")</f>
        <v>No</v>
      </c>
      <c r="K649" s="43">
        <f>IF(GroDB[[#This Row],[Column1]]="No",GroDB[[#This Row],[Last_Order_Date]],GroDB[[#This Row],[Date_Received]])</f>
        <v>45477</v>
      </c>
      <c r="L649" s="43">
        <f>IF(GroDB[[#This Row],[Column1]]="No",GroDB[[#This Row],[Date_Received]],GroDB[[#This Row],[Last_Order_Date]])</f>
        <v>45366</v>
      </c>
      <c r="M649" s="45">
        <f>GroDB[[#This Row],[Date_Received1]]-GroDB[[#This Row],[Procurement_Date]]</f>
        <v>111</v>
      </c>
      <c r="N649" s="43">
        <v>45557</v>
      </c>
      <c r="O649" s="91">
        <f>GroDB[[#This Row],[Expiration_Date]]-GroDB[[#This Row],[Date_Received1]]</f>
        <v>80</v>
      </c>
      <c r="P649" s="4">
        <v>3.6</v>
      </c>
      <c r="Q649" s="3">
        <v>56</v>
      </c>
      <c r="R649" s="3">
        <v>4</v>
      </c>
      <c r="S649" s="3">
        <v>74</v>
      </c>
      <c r="T649" s="4">
        <v>4.5</v>
      </c>
      <c r="U649" s="3">
        <v>61</v>
      </c>
      <c r="V649" s="51">
        <f>IF(GroDB[[#This Row],[LeadTime]]=0,GroDB[[#This Row],[Sales_Volume]],GroDB[[#This Row],[Sales_Volume]]/GroDB[[#This Row],[LeadTime]])</f>
        <v>0.5495495495495496</v>
      </c>
      <c r="W649" s="51">
        <f>_xlfn.STDEV.S(GroDB[Daily Sales])</f>
        <v>5.1999899792654221</v>
      </c>
      <c r="X649" s="3">
        <v>73</v>
      </c>
      <c r="Y649" s="7">
        <v>0.62</v>
      </c>
      <c r="Z649" s="4">
        <f>GroDB[[#This Row],[Unit_Price]]*GroDB[[#This Row],[Sales_Volume]]</f>
        <v>274.5</v>
      </c>
      <c r="AA649" s="22">
        <f>GroDB[[#This Row],[ADU]]/GroDB[[#Totals],[ADU]]</f>
        <v>7.9734082622634906E-4</v>
      </c>
      <c r="AB649" s="1">
        <f>GroDB[[#This Row],[Sales_Volume]]*GroDB[[#This Row],[Ordering Cost]]</f>
        <v>219.6</v>
      </c>
    </row>
    <row r="650" spans="1:28" x14ac:dyDescent="0.35">
      <c r="A650" s="5" t="s">
        <v>146</v>
      </c>
      <c r="B650" s="3" t="s">
        <v>53</v>
      </c>
      <c r="C650" s="3" t="s">
        <v>1712</v>
      </c>
      <c r="D650" s="3" t="s">
        <v>2385</v>
      </c>
      <c r="E650" s="3" t="s">
        <v>21</v>
      </c>
      <c r="F650" s="3" t="s">
        <v>2386</v>
      </c>
      <c r="G650" s="3" t="s">
        <v>2387</v>
      </c>
      <c r="H650" s="43">
        <v>45366</v>
      </c>
      <c r="I650" s="43">
        <v>45527</v>
      </c>
      <c r="J650" s="47" t="str">
        <f>IF(GroDB[[#This Row],[Last_Order_Date]]&lt;=GroDB[[#This Row],[Date_Received]], "Yes", "No")</f>
        <v>No</v>
      </c>
      <c r="K650" s="43">
        <f>IF(GroDB[[#This Row],[Column1]]="No",GroDB[[#This Row],[Last_Order_Date]],GroDB[[#This Row],[Date_Received]])</f>
        <v>45527</v>
      </c>
      <c r="L650" s="43">
        <f>IF(GroDB[[#This Row],[Column1]]="No",GroDB[[#This Row],[Date_Received]],GroDB[[#This Row],[Last_Order_Date]])</f>
        <v>45366</v>
      </c>
      <c r="M650" s="45">
        <f>GroDB[[#This Row],[Date_Received1]]-GroDB[[#This Row],[Procurement_Date]]</f>
        <v>161</v>
      </c>
      <c r="N650" s="43">
        <v>45509</v>
      </c>
      <c r="O650" s="91">
        <f>GroDB[[#This Row],[Expiration_Date]]-GroDB[[#This Row],[Date_Received1]]</f>
        <v>-18</v>
      </c>
      <c r="P650" s="4">
        <v>3.8000000000000003</v>
      </c>
      <c r="Q650" s="3">
        <v>44</v>
      </c>
      <c r="R650" s="3">
        <v>26</v>
      </c>
      <c r="S650" s="3">
        <v>60</v>
      </c>
      <c r="T650" s="4">
        <v>4.75</v>
      </c>
      <c r="U650" s="3">
        <v>63</v>
      </c>
      <c r="V650" s="51">
        <f>IF(GroDB[[#This Row],[LeadTime]]=0,GroDB[[#This Row],[Sales_Volume]],GroDB[[#This Row],[Sales_Volume]]/GroDB[[#This Row],[LeadTime]])</f>
        <v>0.39130434782608697</v>
      </c>
      <c r="W650" s="51">
        <f>_xlfn.STDEV.S(GroDB[Daily Sales])</f>
        <v>5.1999899792654221</v>
      </c>
      <c r="X650" s="3">
        <v>59</v>
      </c>
      <c r="Y650" s="7">
        <v>-0.2</v>
      </c>
      <c r="Z650" s="4">
        <f>GroDB[[#This Row],[Unit_Price]]*GroDB[[#This Row],[Sales_Volume]]</f>
        <v>299.25</v>
      </c>
      <c r="AA650" s="22">
        <f>GroDB[[#This Row],[ADU]]/GroDB[[#Totals],[ADU]]</f>
        <v>8.6923221219757727E-4</v>
      </c>
      <c r="AB650" s="1">
        <f>GroDB[[#This Row],[Sales_Volume]]*GroDB[[#This Row],[Ordering Cost]]</f>
        <v>239.4</v>
      </c>
    </row>
    <row r="651" spans="1:28" x14ac:dyDescent="0.35">
      <c r="A651" s="5" t="s">
        <v>146</v>
      </c>
      <c r="B651" s="3" t="s">
        <v>53</v>
      </c>
      <c r="C651" s="3" t="s">
        <v>550</v>
      </c>
      <c r="D651" s="3" t="s">
        <v>2388</v>
      </c>
      <c r="E651" s="3" t="s">
        <v>21</v>
      </c>
      <c r="F651" s="3" t="s">
        <v>2389</v>
      </c>
      <c r="G651" s="3" t="s">
        <v>2390</v>
      </c>
      <c r="H651" s="43">
        <v>45366</v>
      </c>
      <c r="I651" s="43">
        <v>45540</v>
      </c>
      <c r="J651" s="47" t="str">
        <f>IF(GroDB[[#This Row],[Last_Order_Date]]&lt;=GroDB[[#This Row],[Date_Received]], "Yes", "No")</f>
        <v>No</v>
      </c>
      <c r="K651" s="43">
        <f>IF(GroDB[[#This Row],[Column1]]="No",GroDB[[#This Row],[Last_Order_Date]],GroDB[[#This Row],[Date_Received]])</f>
        <v>45540</v>
      </c>
      <c r="L651" s="43">
        <f>IF(GroDB[[#This Row],[Column1]]="No",GroDB[[#This Row],[Date_Received]],GroDB[[#This Row],[Last_Order_Date]])</f>
        <v>45366</v>
      </c>
      <c r="M651" s="45">
        <f>GroDB[[#This Row],[Date_Received1]]-GroDB[[#This Row],[Procurement_Date]]</f>
        <v>174</v>
      </c>
      <c r="N651" s="43">
        <v>45399</v>
      </c>
      <c r="O651" s="91">
        <f>GroDB[[#This Row],[Expiration_Date]]-GroDB[[#This Row],[Date_Received1]]</f>
        <v>-141</v>
      </c>
      <c r="P651" s="4">
        <v>3.8000000000000003</v>
      </c>
      <c r="Q651" s="3">
        <v>33</v>
      </c>
      <c r="R651" s="3">
        <v>44</v>
      </c>
      <c r="S651" s="3">
        <v>89</v>
      </c>
      <c r="T651" s="4">
        <v>4.75</v>
      </c>
      <c r="U651" s="3">
        <v>93</v>
      </c>
      <c r="V651" s="51">
        <f>IF(GroDB[[#This Row],[LeadTime]]=0,GroDB[[#This Row],[Sales_Volume]],GroDB[[#This Row],[Sales_Volume]]/GroDB[[#This Row],[LeadTime]])</f>
        <v>0.53448275862068961</v>
      </c>
      <c r="W651" s="51">
        <f>_xlfn.STDEV.S(GroDB[Daily Sales])</f>
        <v>5.1999899792654221</v>
      </c>
      <c r="X651" s="3">
        <v>19</v>
      </c>
      <c r="Y651" s="7">
        <v>0.06</v>
      </c>
      <c r="Z651" s="4">
        <f>GroDB[[#This Row],[Unit_Price]]*GroDB[[#This Row],[Sales_Volume]]</f>
        <v>441.75</v>
      </c>
      <c r="AA651" s="22">
        <f>GroDB[[#This Row],[ADU]]/GroDB[[#Totals],[ADU]]</f>
        <v>1.2831523132440425E-3</v>
      </c>
      <c r="AB651" s="1">
        <f>GroDB[[#This Row],[Sales_Volume]]*GroDB[[#This Row],[Ordering Cost]]</f>
        <v>353.40000000000003</v>
      </c>
    </row>
    <row r="652" spans="1:28" x14ac:dyDescent="0.35">
      <c r="A652" s="5" t="s">
        <v>1202</v>
      </c>
      <c r="B652" s="3" t="s">
        <v>18</v>
      </c>
      <c r="C652" s="3" t="s">
        <v>996</v>
      </c>
      <c r="D652" s="3" t="s">
        <v>2391</v>
      </c>
      <c r="E652" s="3" t="s">
        <v>21</v>
      </c>
      <c r="F652" s="3" t="s">
        <v>2392</v>
      </c>
      <c r="G652" s="3" t="s">
        <v>2393</v>
      </c>
      <c r="H652" s="43">
        <v>45367</v>
      </c>
      <c r="I652" s="43">
        <v>45670</v>
      </c>
      <c r="J652" s="47" t="str">
        <f>IF(GroDB[[#This Row],[Last_Order_Date]]&lt;=GroDB[[#This Row],[Date_Received]], "Yes", "No")</f>
        <v>No</v>
      </c>
      <c r="K652" s="43">
        <f>IF(GroDB[[#This Row],[Column1]]="No",GroDB[[#This Row],[Last_Order_Date]],GroDB[[#This Row],[Date_Received]])</f>
        <v>45670</v>
      </c>
      <c r="L652" s="43">
        <f>IF(GroDB[[#This Row],[Column1]]="No",GroDB[[#This Row],[Date_Received]],GroDB[[#This Row],[Last_Order_Date]])</f>
        <v>45367</v>
      </c>
      <c r="M652" s="45">
        <f>GroDB[[#This Row],[Date_Received1]]-GroDB[[#This Row],[Procurement_Date]]</f>
        <v>303</v>
      </c>
      <c r="N652" s="43">
        <v>45554</v>
      </c>
      <c r="O652" s="91">
        <f>GroDB[[#This Row],[Expiration_Date]]-GroDB[[#This Row],[Date_Received1]]</f>
        <v>-116</v>
      </c>
      <c r="P652" s="4">
        <v>2.4000000000000004</v>
      </c>
      <c r="Q652" s="3">
        <v>53</v>
      </c>
      <c r="R652" s="3">
        <v>41</v>
      </c>
      <c r="S652" s="3">
        <v>30</v>
      </c>
      <c r="T652" s="4">
        <v>3</v>
      </c>
      <c r="U652" s="3">
        <v>24</v>
      </c>
      <c r="V652" s="51">
        <f>IF(GroDB[[#This Row],[LeadTime]]=0,GroDB[[#This Row],[Sales_Volume]],GroDB[[#This Row],[Sales_Volume]]/GroDB[[#This Row],[LeadTime]])</f>
        <v>7.9207920792079209E-2</v>
      </c>
      <c r="W652" s="51">
        <f>_xlfn.STDEV.S(GroDB[Daily Sales])</f>
        <v>5.1999899792654221</v>
      </c>
      <c r="X652" s="3">
        <v>77</v>
      </c>
      <c r="Y652" s="7">
        <v>0.8</v>
      </c>
      <c r="Z652" s="4">
        <f>GroDB[[#This Row],[Unit_Price]]*GroDB[[#This Row],[Sales_Volume]]</f>
        <v>72</v>
      </c>
      <c r="AA652" s="22">
        <f>GroDB[[#This Row],[ADU]]/GroDB[[#Totals],[ADU]]</f>
        <v>2.0913857737084565E-4</v>
      </c>
      <c r="AB652" s="1">
        <f>GroDB[[#This Row],[Sales_Volume]]*GroDB[[#This Row],[Ordering Cost]]</f>
        <v>57.600000000000009</v>
      </c>
    </row>
    <row r="653" spans="1:28" x14ac:dyDescent="0.35">
      <c r="A653" s="5" t="s">
        <v>707</v>
      </c>
      <c r="B653" s="3" t="s">
        <v>25</v>
      </c>
      <c r="C653" s="3" t="s">
        <v>1328</v>
      </c>
      <c r="D653" s="3" t="s">
        <v>2394</v>
      </c>
      <c r="E653" s="3" t="s">
        <v>21</v>
      </c>
      <c r="F653" s="3" t="s">
        <v>2395</v>
      </c>
      <c r="G653" s="3" t="s">
        <v>2396</v>
      </c>
      <c r="H653" s="43">
        <v>45367</v>
      </c>
      <c r="I653" s="43">
        <v>45416</v>
      </c>
      <c r="J653" s="47" t="str">
        <f>IF(GroDB[[#This Row],[Last_Order_Date]]&lt;=GroDB[[#This Row],[Date_Received]], "Yes", "No")</f>
        <v>No</v>
      </c>
      <c r="K653" s="43">
        <f>IF(GroDB[[#This Row],[Column1]]="No",GroDB[[#This Row],[Last_Order_Date]],GroDB[[#This Row],[Date_Received]])</f>
        <v>45416</v>
      </c>
      <c r="L653" s="43">
        <f>IF(GroDB[[#This Row],[Column1]]="No",GroDB[[#This Row],[Date_Received]],GroDB[[#This Row],[Last_Order_Date]])</f>
        <v>45367</v>
      </c>
      <c r="M653" s="45">
        <f>GroDB[[#This Row],[Date_Received1]]-GroDB[[#This Row],[Procurement_Date]]</f>
        <v>49</v>
      </c>
      <c r="N653" s="43">
        <v>45622</v>
      </c>
      <c r="O653" s="91">
        <f>GroDB[[#This Row],[Expiration_Date]]-GroDB[[#This Row],[Date_Received1]]</f>
        <v>206</v>
      </c>
      <c r="P653" s="4">
        <v>1.8399999999999999</v>
      </c>
      <c r="Q653" s="3">
        <v>96</v>
      </c>
      <c r="R653" s="3">
        <v>51</v>
      </c>
      <c r="S653" s="3">
        <v>40</v>
      </c>
      <c r="T653" s="4">
        <v>2.2999999999999998</v>
      </c>
      <c r="U653" s="3">
        <v>61</v>
      </c>
      <c r="V653" s="51">
        <f>IF(GroDB[[#This Row],[LeadTime]]=0,GroDB[[#This Row],[Sales_Volume]],GroDB[[#This Row],[Sales_Volume]]/GroDB[[#This Row],[LeadTime]])</f>
        <v>1.2448979591836735</v>
      </c>
      <c r="W653" s="51">
        <f>_xlfn.STDEV.S(GroDB[Daily Sales])</f>
        <v>5.1999899792654221</v>
      </c>
      <c r="X653" s="3">
        <v>4</v>
      </c>
      <c r="Y653" s="7">
        <v>-2.21</v>
      </c>
      <c r="Z653" s="4">
        <f>GroDB[[#This Row],[Unit_Price]]*GroDB[[#This Row],[Sales_Volume]]</f>
        <v>140.29999999999998</v>
      </c>
      <c r="AA653" s="22">
        <f>GroDB[[#This Row],[ADU]]/GroDB[[#Totals],[ADU]]</f>
        <v>4.0752975562680061E-4</v>
      </c>
      <c r="AB653" s="1">
        <f>GroDB[[#This Row],[Sales_Volume]]*GroDB[[#This Row],[Ordering Cost]]</f>
        <v>112.24</v>
      </c>
    </row>
    <row r="654" spans="1:28" x14ac:dyDescent="0.35">
      <c r="A654" s="5" t="s">
        <v>276</v>
      </c>
      <c r="B654" s="3" t="s">
        <v>18</v>
      </c>
      <c r="C654" s="3" t="s">
        <v>1365</v>
      </c>
      <c r="D654" s="3" t="s">
        <v>2397</v>
      </c>
      <c r="E654" s="3" t="s">
        <v>21</v>
      </c>
      <c r="F654" s="3" t="s">
        <v>2398</v>
      </c>
      <c r="G654" s="3" t="s">
        <v>2399</v>
      </c>
      <c r="H654" s="43">
        <v>45368</v>
      </c>
      <c r="I654" s="43">
        <v>45682</v>
      </c>
      <c r="J654" s="47" t="str">
        <f>IF(GroDB[[#This Row],[Last_Order_Date]]&lt;=GroDB[[#This Row],[Date_Received]], "Yes", "No")</f>
        <v>No</v>
      </c>
      <c r="K654" s="43">
        <f>IF(GroDB[[#This Row],[Column1]]="No",GroDB[[#This Row],[Last_Order_Date]],GroDB[[#This Row],[Date_Received]])</f>
        <v>45682</v>
      </c>
      <c r="L654" s="43">
        <f>IF(GroDB[[#This Row],[Column1]]="No",GroDB[[#This Row],[Date_Received]],GroDB[[#This Row],[Last_Order_Date]])</f>
        <v>45368</v>
      </c>
      <c r="M654" s="45">
        <f>GroDB[[#This Row],[Date_Received1]]-GroDB[[#This Row],[Procurement_Date]]</f>
        <v>314</v>
      </c>
      <c r="N654" s="43">
        <v>45595</v>
      </c>
      <c r="O654" s="91">
        <f>GroDB[[#This Row],[Expiration_Date]]-GroDB[[#This Row],[Date_Received1]]</f>
        <v>-87</v>
      </c>
      <c r="P654" s="4">
        <v>2.7600000000000002</v>
      </c>
      <c r="Q654" s="3">
        <v>48</v>
      </c>
      <c r="R654" s="3">
        <v>48</v>
      </c>
      <c r="S654" s="3">
        <v>39</v>
      </c>
      <c r="T654" s="4">
        <v>3.45</v>
      </c>
      <c r="U654" s="3">
        <v>51</v>
      </c>
      <c r="V654" s="51">
        <f>IF(GroDB[[#This Row],[LeadTime]]=0,GroDB[[#This Row],[Sales_Volume]],GroDB[[#This Row],[Sales_Volume]]/GroDB[[#This Row],[LeadTime]])</f>
        <v>0.16242038216560509</v>
      </c>
      <c r="W654" s="51">
        <f>_xlfn.STDEV.S(GroDB[Daily Sales])</f>
        <v>5.1999899792654221</v>
      </c>
      <c r="X654" s="3">
        <v>50</v>
      </c>
      <c r="Y654" s="7">
        <v>0.93</v>
      </c>
      <c r="Z654" s="4">
        <f>GroDB[[#This Row],[Unit_Price]]*GroDB[[#This Row],[Sales_Volume]]</f>
        <v>175.95000000000002</v>
      </c>
      <c r="AA654" s="22">
        <f>GroDB[[#This Row],[ADU]]/GroDB[[#Totals],[ADU]]</f>
        <v>5.1108239845000416E-4</v>
      </c>
      <c r="AB654" s="1">
        <f>GroDB[[#This Row],[Sales_Volume]]*GroDB[[#This Row],[Ordering Cost]]</f>
        <v>140.76000000000002</v>
      </c>
    </row>
    <row r="655" spans="1:28" x14ac:dyDescent="0.35">
      <c r="A655" s="5" t="s">
        <v>1016</v>
      </c>
      <c r="B655" s="3" t="s">
        <v>25</v>
      </c>
      <c r="C655" s="3" t="s">
        <v>1180</v>
      </c>
      <c r="D655" s="3" t="s">
        <v>2400</v>
      </c>
      <c r="E655" s="3" t="s">
        <v>56</v>
      </c>
      <c r="F655" s="3" t="s">
        <v>2401</v>
      </c>
      <c r="G655" s="3" t="s">
        <v>2402</v>
      </c>
      <c r="H655" s="43">
        <v>45369</v>
      </c>
      <c r="I655" s="43">
        <v>45419</v>
      </c>
      <c r="J655" s="47" t="str">
        <f>IF(GroDB[[#This Row],[Last_Order_Date]]&lt;=GroDB[[#This Row],[Date_Received]], "Yes", "No")</f>
        <v>No</v>
      </c>
      <c r="K655" s="43">
        <f>IF(GroDB[[#This Row],[Column1]]="No",GroDB[[#This Row],[Last_Order_Date]],GroDB[[#This Row],[Date_Received]])</f>
        <v>45419</v>
      </c>
      <c r="L655" s="43">
        <f>IF(GroDB[[#This Row],[Column1]]="No",GroDB[[#This Row],[Date_Received]],GroDB[[#This Row],[Last_Order_Date]])</f>
        <v>45369</v>
      </c>
      <c r="M655" s="45">
        <f>GroDB[[#This Row],[Date_Received1]]-GroDB[[#This Row],[Procurement_Date]]</f>
        <v>50</v>
      </c>
      <c r="N655" s="43">
        <v>45463</v>
      </c>
      <c r="O655" s="91">
        <f>GroDB[[#This Row],[Expiration_Date]]-GroDB[[#This Row],[Date_Received1]]</f>
        <v>44</v>
      </c>
      <c r="P655" s="4">
        <v>2</v>
      </c>
      <c r="Q655" s="3">
        <v>96</v>
      </c>
      <c r="R655" s="3">
        <v>52</v>
      </c>
      <c r="S655" s="3">
        <v>16</v>
      </c>
      <c r="T655" s="4">
        <v>2.5</v>
      </c>
      <c r="U655" s="3">
        <v>67</v>
      </c>
      <c r="V655" s="51">
        <f>IF(GroDB[[#This Row],[LeadTime]]=0,GroDB[[#This Row],[Sales_Volume]],GroDB[[#This Row],[Sales_Volume]]/GroDB[[#This Row],[LeadTime]])</f>
        <v>1.34</v>
      </c>
      <c r="W655" s="51">
        <f>_xlfn.STDEV.S(GroDB[Daily Sales])</f>
        <v>5.1999899792654221</v>
      </c>
      <c r="X655" s="3">
        <v>13</v>
      </c>
      <c r="Y655" s="7">
        <v>0.02</v>
      </c>
      <c r="Z655" s="4">
        <f>GroDB[[#This Row],[Unit_Price]]*GroDB[[#This Row],[Sales_Volume]]</f>
        <v>167.5</v>
      </c>
      <c r="AA655" s="22">
        <f>GroDB[[#This Row],[ADU]]/GroDB[[#Totals],[ADU]]</f>
        <v>4.8653766263356455E-4</v>
      </c>
      <c r="AB655" s="1">
        <f>GroDB[[#This Row],[Sales_Volume]]*GroDB[[#This Row],[Ordering Cost]]</f>
        <v>134</v>
      </c>
    </row>
    <row r="656" spans="1:28" x14ac:dyDescent="0.35">
      <c r="A656" s="5" t="s">
        <v>137</v>
      </c>
      <c r="B656" s="3" t="s">
        <v>18</v>
      </c>
      <c r="C656" s="3" t="s">
        <v>2403</v>
      </c>
      <c r="D656" s="3" t="s">
        <v>2404</v>
      </c>
      <c r="E656" s="3" t="s">
        <v>56</v>
      </c>
      <c r="F656" s="3" t="s">
        <v>2405</v>
      </c>
      <c r="G656" s="3" t="s">
        <v>2406</v>
      </c>
      <c r="H656" s="43">
        <v>45369</v>
      </c>
      <c r="I656" s="43">
        <v>45509</v>
      </c>
      <c r="J656" s="47" t="str">
        <f>IF(GroDB[[#This Row],[Last_Order_Date]]&lt;=GroDB[[#This Row],[Date_Received]], "Yes", "No")</f>
        <v>No</v>
      </c>
      <c r="K656" s="43">
        <f>IF(GroDB[[#This Row],[Column1]]="No",GroDB[[#This Row],[Last_Order_Date]],GroDB[[#This Row],[Date_Received]])</f>
        <v>45509</v>
      </c>
      <c r="L656" s="43">
        <f>IF(GroDB[[#This Row],[Column1]]="No",GroDB[[#This Row],[Date_Received]],GroDB[[#This Row],[Last_Order_Date]])</f>
        <v>45369</v>
      </c>
      <c r="M656" s="45">
        <f>GroDB[[#This Row],[Date_Received1]]-GroDB[[#This Row],[Procurement_Date]]</f>
        <v>140</v>
      </c>
      <c r="N656" s="43">
        <v>45686</v>
      </c>
      <c r="O656" s="91">
        <f>GroDB[[#This Row],[Expiration_Date]]-GroDB[[#This Row],[Date_Received1]]</f>
        <v>177</v>
      </c>
      <c r="P656" s="4">
        <v>3.7600000000000002</v>
      </c>
      <c r="Q656" s="3">
        <v>58</v>
      </c>
      <c r="R656" s="3">
        <v>58</v>
      </c>
      <c r="S656" s="3">
        <v>28</v>
      </c>
      <c r="T656" s="4">
        <v>4.7</v>
      </c>
      <c r="U656" s="3">
        <v>85</v>
      </c>
      <c r="V656" s="51">
        <f>IF(GroDB[[#This Row],[LeadTime]]=0,GroDB[[#This Row],[Sales_Volume]],GroDB[[#This Row],[Sales_Volume]]/GroDB[[#This Row],[LeadTime]])</f>
        <v>0.6071428571428571</v>
      </c>
      <c r="W656" s="51">
        <f>_xlfn.STDEV.S(GroDB[Daily Sales])</f>
        <v>5.1999899792654221</v>
      </c>
      <c r="X656" s="3">
        <v>63</v>
      </c>
      <c r="Y656" s="7">
        <v>0.81</v>
      </c>
      <c r="Z656" s="4">
        <f>GroDB[[#This Row],[Unit_Price]]*GroDB[[#This Row],[Sales_Volume]]</f>
        <v>399.5</v>
      </c>
      <c r="AA656" s="22">
        <f>GroDB[[#This Row],[ADU]]/GroDB[[#Totals],[ADU]]</f>
        <v>1.160428634161845E-3</v>
      </c>
      <c r="AB656" s="1">
        <f>GroDB[[#This Row],[Sales_Volume]]*GroDB[[#This Row],[Ordering Cost]]</f>
        <v>319.60000000000002</v>
      </c>
    </row>
    <row r="657" spans="1:28" x14ac:dyDescent="0.35">
      <c r="A657" s="5" t="s">
        <v>1278</v>
      </c>
      <c r="B657" s="3" t="s">
        <v>18</v>
      </c>
      <c r="C657" s="3" t="s">
        <v>38</v>
      </c>
      <c r="D657" s="3" t="s">
        <v>2407</v>
      </c>
      <c r="E657" s="3" t="s">
        <v>21</v>
      </c>
      <c r="F657" s="3" t="s">
        <v>2408</v>
      </c>
      <c r="G657" s="3" t="s">
        <v>2409</v>
      </c>
      <c r="H657" s="43">
        <v>45369</v>
      </c>
      <c r="I657" s="43">
        <v>45680</v>
      </c>
      <c r="J657" s="47" t="str">
        <f>IF(GroDB[[#This Row],[Last_Order_Date]]&lt;=GroDB[[#This Row],[Date_Received]], "Yes", "No")</f>
        <v>No</v>
      </c>
      <c r="K657" s="43">
        <f>IF(GroDB[[#This Row],[Column1]]="No",GroDB[[#This Row],[Last_Order_Date]],GroDB[[#This Row],[Date_Received]])</f>
        <v>45680</v>
      </c>
      <c r="L657" s="43">
        <f>IF(GroDB[[#This Row],[Column1]]="No",GroDB[[#This Row],[Date_Received]],GroDB[[#This Row],[Last_Order_Date]])</f>
        <v>45369</v>
      </c>
      <c r="M657" s="45">
        <f>GroDB[[#This Row],[Date_Received1]]-GroDB[[#This Row],[Procurement_Date]]</f>
        <v>311</v>
      </c>
      <c r="N657" s="43">
        <v>45526</v>
      </c>
      <c r="O657" s="91">
        <f>GroDB[[#This Row],[Expiration_Date]]-GroDB[[#This Row],[Date_Received1]]</f>
        <v>-154</v>
      </c>
      <c r="P657" s="4">
        <v>3.6</v>
      </c>
      <c r="Q657" s="3">
        <v>45</v>
      </c>
      <c r="R657" s="3">
        <v>28</v>
      </c>
      <c r="S657" s="3">
        <v>6</v>
      </c>
      <c r="T657" s="4">
        <v>4.5</v>
      </c>
      <c r="U657" s="3">
        <v>35</v>
      </c>
      <c r="V657" s="51">
        <f>IF(GroDB[[#This Row],[LeadTime]]=0,GroDB[[#This Row],[Sales_Volume]],GroDB[[#This Row],[Sales_Volume]]/GroDB[[#This Row],[LeadTime]])</f>
        <v>0.11254019292604502</v>
      </c>
      <c r="W657" s="51">
        <f>_xlfn.STDEV.S(GroDB[Daily Sales])</f>
        <v>5.1999899792654221</v>
      </c>
      <c r="X657" s="3">
        <v>16</v>
      </c>
      <c r="Y657" s="7">
        <v>0.26</v>
      </c>
      <c r="Z657" s="4">
        <f>GroDB[[#This Row],[Unit_Price]]*GroDB[[#This Row],[Sales_Volume]]</f>
        <v>157.5</v>
      </c>
      <c r="AA657" s="22">
        <f>GroDB[[#This Row],[ADU]]/GroDB[[#Totals],[ADU]]</f>
        <v>4.5749063799872488E-4</v>
      </c>
      <c r="AB657" s="1">
        <f>GroDB[[#This Row],[Sales_Volume]]*GroDB[[#This Row],[Ordering Cost]]</f>
        <v>126</v>
      </c>
    </row>
    <row r="658" spans="1:28" x14ac:dyDescent="0.35">
      <c r="A658" s="5" t="s">
        <v>566</v>
      </c>
      <c r="B658" s="3" t="s">
        <v>127</v>
      </c>
      <c r="C658" s="3" t="s">
        <v>1311</v>
      </c>
      <c r="D658" s="3" t="s">
        <v>2410</v>
      </c>
      <c r="E658" s="3" t="s">
        <v>21</v>
      </c>
      <c r="F658" s="3" t="s">
        <v>2411</v>
      </c>
      <c r="G658" s="3" t="s">
        <v>2412</v>
      </c>
      <c r="H658" s="43">
        <v>45369</v>
      </c>
      <c r="I658" s="43">
        <v>45453</v>
      </c>
      <c r="J658" s="47" t="str">
        <f>IF(GroDB[[#This Row],[Last_Order_Date]]&lt;=GroDB[[#This Row],[Date_Received]], "Yes", "No")</f>
        <v>No</v>
      </c>
      <c r="K658" s="43">
        <f>IF(GroDB[[#This Row],[Column1]]="No",GroDB[[#This Row],[Last_Order_Date]],GroDB[[#This Row],[Date_Received]])</f>
        <v>45453</v>
      </c>
      <c r="L658" s="43">
        <f>IF(GroDB[[#This Row],[Column1]]="No",GroDB[[#This Row],[Date_Received]],GroDB[[#This Row],[Last_Order_Date]])</f>
        <v>45369</v>
      </c>
      <c r="M658" s="45">
        <f>GroDB[[#This Row],[Date_Received1]]-GroDB[[#This Row],[Procurement_Date]]</f>
        <v>84</v>
      </c>
      <c r="N658" s="43">
        <v>45355</v>
      </c>
      <c r="O658" s="91">
        <f>GroDB[[#This Row],[Expiration_Date]]-GroDB[[#This Row],[Date_Received1]]</f>
        <v>-98</v>
      </c>
      <c r="P658" s="4">
        <v>12.4</v>
      </c>
      <c r="Q658" s="3">
        <v>24</v>
      </c>
      <c r="R658" s="3">
        <v>77</v>
      </c>
      <c r="S658" s="3">
        <v>32</v>
      </c>
      <c r="T658" s="4">
        <v>15.5</v>
      </c>
      <c r="U658" s="3">
        <v>80</v>
      </c>
      <c r="V658" s="51">
        <f>IF(GroDB[[#This Row],[LeadTime]]=0,GroDB[[#This Row],[Sales_Volume]],GroDB[[#This Row],[Sales_Volume]]/GroDB[[#This Row],[LeadTime]])</f>
        <v>0.95238095238095233</v>
      </c>
      <c r="W658" s="51">
        <f>_xlfn.STDEV.S(GroDB[Daily Sales])</f>
        <v>5.1999899792654221</v>
      </c>
      <c r="X658" s="3">
        <v>42</v>
      </c>
      <c r="Y658" s="7">
        <v>0.54</v>
      </c>
      <c r="Z658" s="4">
        <f>GroDB[[#This Row],[Unit_Price]]*GroDB[[#This Row],[Sales_Volume]]</f>
        <v>1240</v>
      </c>
      <c r="AA658" s="22">
        <f>GroDB[[#This Row],[ADU]]/GroDB[[#Totals],[ADU]]</f>
        <v>3.6018310547201197E-3</v>
      </c>
      <c r="AB658" s="1">
        <f>GroDB[[#This Row],[Sales_Volume]]*GroDB[[#This Row],[Ordering Cost]]</f>
        <v>992</v>
      </c>
    </row>
    <row r="659" spans="1:28" x14ac:dyDescent="0.35">
      <c r="A659" s="5" t="s">
        <v>1257</v>
      </c>
      <c r="B659" s="3" t="s">
        <v>91</v>
      </c>
      <c r="C659" s="3" t="s">
        <v>2413</v>
      </c>
      <c r="D659" s="3" t="s">
        <v>2414</v>
      </c>
      <c r="E659" s="3" t="s">
        <v>28</v>
      </c>
      <c r="F659" s="3" t="s">
        <v>2415</v>
      </c>
      <c r="G659" s="3" t="s">
        <v>2416</v>
      </c>
      <c r="H659" s="43">
        <v>45369</v>
      </c>
      <c r="I659" s="43">
        <v>45371</v>
      </c>
      <c r="J659" s="47" t="str">
        <f>IF(GroDB[[#This Row],[Last_Order_Date]]&lt;=GroDB[[#This Row],[Date_Received]], "Yes", "No")</f>
        <v>No</v>
      </c>
      <c r="K659" s="43">
        <f>IF(GroDB[[#This Row],[Column1]]="No",GroDB[[#This Row],[Last_Order_Date]],GroDB[[#This Row],[Date_Received]])</f>
        <v>45371</v>
      </c>
      <c r="L659" s="43">
        <f>IF(GroDB[[#This Row],[Column1]]="No",GroDB[[#This Row],[Date_Received]],GroDB[[#This Row],[Last_Order_Date]])</f>
        <v>45369</v>
      </c>
      <c r="M659" s="45">
        <f>GroDB[[#This Row],[Date_Received1]]-GroDB[[#This Row],[Procurement_Date]]</f>
        <v>2</v>
      </c>
      <c r="N659" s="43">
        <v>45597</v>
      </c>
      <c r="O659" s="91">
        <f>GroDB[[#This Row],[Expiration_Date]]-GroDB[[#This Row],[Date_Received1]]</f>
        <v>226</v>
      </c>
      <c r="P659" s="4">
        <v>4.4000000000000004</v>
      </c>
      <c r="Q659" s="3">
        <v>94</v>
      </c>
      <c r="R659" s="3">
        <v>34</v>
      </c>
      <c r="S659" s="3">
        <v>21</v>
      </c>
      <c r="T659" s="4">
        <v>5.5</v>
      </c>
      <c r="U659" s="3">
        <v>74</v>
      </c>
      <c r="V659" s="51">
        <f>IF(GroDB[[#This Row],[LeadTime]]=0,GroDB[[#This Row],[Sales_Volume]],GroDB[[#This Row],[Sales_Volume]]/GroDB[[#This Row],[LeadTime]])</f>
        <v>37</v>
      </c>
      <c r="W659" s="51">
        <f>_xlfn.STDEV.S(GroDB[Daily Sales])</f>
        <v>5.1999899792654221</v>
      </c>
      <c r="X659" s="3">
        <v>70</v>
      </c>
      <c r="Y659" s="7">
        <v>0.48</v>
      </c>
      <c r="Z659" s="4">
        <f>GroDB[[#This Row],[Unit_Price]]*GroDB[[#This Row],[Sales_Volume]]</f>
        <v>407</v>
      </c>
      <c r="AA659" s="22">
        <f>GroDB[[#This Row],[ADU]]/GroDB[[#Totals],[ADU]]</f>
        <v>1.1822139026379747E-3</v>
      </c>
      <c r="AB659" s="1">
        <f>GroDB[[#This Row],[Sales_Volume]]*GroDB[[#This Row],[Ordering Cost]]</f>
        <v>325.60000000000002</v>
      </c>
    </row>
    <row r="660" spans="1:28" x14ac:dyDescent="0.35">
      <c r="A660" s="5" t="s">
        <v>170</v>
      </c>
      <c r="B660" s="3" t="s">
        <v>53</v>
      </c>
      <c r="C660" s="3" t="s">
        <v>774</v>
      </c>
      <c r="D660" s="3" t="s">
        <v>2417</v>
      </c>
      <c r="E660" s="3" t="s">
        <v>21</v>
      </c>
      <c r="F660" s="3" t="s">
        <v>2418</v>
      </c>
      <c r="G660" s="3" t="s">
        <v>2419</v>
      </c>
      <c r="H660" s="43">
        <v>45369</v>
      </c>
      <c r="I660" s="43">
        <v>45425</v>
      </c>
      <c r="J660" s="47" t="str">
        <f>IF(GroDB[[#This Row],[Last_Order_Date]]&lt;=GroDB[[#This Row],[Date_Received]], "Yes", "No")</f>
        <v>No</v>
      </c>
      <c r="K660" s="43">
        <f>IF(GroDB[[#This Row],[Column1]]="No",GroDB[[#This Row],[Last_Order_Date]],GroDB[[#This Row],[Date_Received]])</f>
        <v>45425</v>
      </c>
      <c r="L660" s="43">
        <f>IF(GroDB[[#This Row],[Column1]]="No",GroDB[[#This Row],[Date_Received]],GroDB[[#This Row],[Last_Order_Date]])</f>
        <v>45369</v>
      </c>
      <c r="M660" s="45">
        <f>GroDB[[#This Row],[Date_Received1]]-GroDB[[#This Row],[Procurement_Date]]</f>
        <v>56</v>
      </c>
      <c r="N660" s="43">
        <v>45432</v>
      </c>
      <c r="O660" s="91">
        <f>GroDB[[#This Row],[Expiration_Date]]-GroDB[[#This Row],[Date_Received1]]</f>
        <v>7</v>
      </c>
      <c r="P660" s="4">
        <v>3.6</v>
      </c>
      <c r="Q660" s="3">
        <v>86</v>
      </c>
      <c r="R660" s="3">
        <v>80</v>
      </c>
      <c r="S660" s="3">
        <v>80</v>
      </c>
      <c r="T660" s="4">
        <v>4.5</v>
      </c>
      <c r="U660" s="3">
        <v>22</v>
      </c>
      <c r="V660" s="51">
        <f>IF(GroDB[[#This Row],[LeadTime]]=0,GroDB[[#This Row],[Sales_Volume]],GroDB[[#This Row],[Sales_Volume]]/GroDB[[#This Row],[LeadTime]])</f>
        <v>0.39285714285714285</v>
      </c>
      <c r="W660" s="51">
        <f>_xlfn.STDEV.S(GroDB[Daily Sales])</f>
        <v>5.1999899792654221</v>
      </c>
      <c r="X660" s="3">
        <v>67</v>
      </c>
      <c r="Y660" s="7">
        <v>0.05</v>
      </c>
      <c r="Z660" s="4">
        <f>GroDB[[#This Row],[Unit_Price]]*GroDB[[#This Row],[Sales_Volume]]</f>
        <v>99</v>
      </c>
      <c r="AA660" s="22">
        <f>GroDB[[#This Row],[ADU]]/GroDB[[#Totals],[ADU]]</f>
        <v>2.8756554388491279E-4</v>
      </c>
      <c r="AB660" s="1">
        <f>GroDB[[#This Row],[Sales_Volume]]*GroDB[[#This Row],[Ordering Cost]]</f>
        <v>79.2</v>
      </c>
    </row>
    <row r="661" spans="1:28" x14ac:dyDescent="0.35">
      <c r="A661" s="5" t="s">
        <v>52</v>
      </c>
      <c r="B661" s="3" t="s">
        <v>53</v>
      </c>
      <c r="C661" s="3" t="s">
        <v>500</v>
      </c>
      <c r="D661" s="3" t="s">
        <v>2420</v>
      </c>
      <c r="E661" s="3" t="s">
        <v>28</v>
      </c>
      <c r="F661" s="3" t="s">
        <v>2421</v>
      </c>
      <c r="G661" s="3" t="s">
        <v>2422</v>
      </c>
      <c r="H661" s="43">
        <v>45370</v>
      </c>
      <c r="I661" s="43">
        <v>45501</v>
      </c>
      <c r="J661" s="47" t="str">
        <f>IF(GroDB[[#This Row],[Last_Order_Date]]&lt;=GroDB[[#This Row],[Date_Received]], "Yes", "No")</f>
        <v>No</v>
      </c>
      <c r="K661" s="43">
        <f>IF(GroDB[[#This Row],[Column1]]="No",GroDB[[#This Row],[Last_Order_Date]],GroDB[[#This Row],[Date_Received]])</f>
        <v>45501</v>
      </c>
      <c r="L661" s="43">
        <f>IF(GroDB[[#This Row],[Column1]]="No",GroDB[[#This Row],[Date_Received]],GroDB[[#This Row],[Last_Order_Date]])</f>
        <v>45370</v>
      </c>
      <c r="M661" s="45">
        <f>GroDB[[#This Row],[Date_Received1]]-GroDB[[#This Row],[Procurement_Date]]</f>
        <v>131</v>
      </c>
      <c r="N661" s="43">
        <v>45461</v>
      </c>
      <c r="O661" s="91">
        <f>GroDB[[#This Row],[Expiration_Date]]-GroDB[[#This Row],[Date_Received1]]</f>
        <v>-40</v>
      </c>
      <c r="P661" s="4">
        <v>4</v>
      </c>
      <c r="Q661" s="3">
        <v>20</v>
      </c>
      <c r="R661" s="3">
        <v>51</v>
      </c>
      <c r="S661" s="3">
        <v>21</v>
      </c>
      <c r="T661" s="4">
        <v>5</v>
      </c>
      <c r="U661" s="3">
        <v>71</v>
      </c>
      <c r="V661" s="51">
        <f>IF(GroDB[[#This Row],[LeadTime]]=0,GroDB[[#This Row],[Sales_Volume]],GroDB[[#This Row],[Sales_Volume]]/GroDB[[#This Row],[LeadTime]])</f>
        <v>0.5419847328244275</v>
      </c>
      <c r="W661" s="51">
        <f>_xlfn.STDEV.S(GroDB[Daily Sales])</f>
        <v>5.1999899792654221</v>
      </c>
      <c r="X661" s="3">
        <v>26</v>
      </c>
      <c r="Y661" s="7">
        <v>-2.0499999999999998</v>
      </c>
      <c r="Z661" s="4">
        <f>GroDB[[#This Row],[Unit_Price]]*GroDB[[#This Row],[Sales_Volume]]</f>
        <v>355</v>
      </c>
      <c r="AA661" s="22">
        <f>GroDB[[#This Row],[ADU]]/GroDB[[#Totals],[ADU]]</f>
        <v>1.0311693745368084E-3</v>
      </c>
      <c r="AB661" s="1">
        <f>GroDB[[#This Row],[Sales_Volume]]*GroDB[[#This Row],[Ordering Cost]]</f>
        <v>284</v>
      </c>
    </row>
    <row r="662" spans="1:28" x14ac:dyDescent="0.35">
      <c r="A662" s="5" t="s">
        <v>85</v>
      </c>
      <c r="B662" s="3" t="s">
        <v>18</v>
      </c>
      <c r="C662" s="3" t="s">
        <v>92</v>
      </c>
      <c r="D662" s="3" t="s">
        <v>2423</v>
      </c>
      <c r="E662" s="3" t="s">
        <v>21</v>
      </c>
      <c r="F662" s="3" t="s">
        <v>2424</v>
      </c>
      <c r="G662" s="3" t="s">
        <v>2425</v>
      </c>
      <c r="H662" s="43">
        <v>45371</v>
      </c>
      <c r="I662" s="43">
        <v>45654</v>
      </c>
      <c r="J662" s="47" t="str">
        <f>IF(GroDB[[#This Row],[Last_Order_Date]]&lt;=GroDB[[#This Row],[Date_Received]], "Yes", "No")</f>
        <v>No</v>
      </c>
      <c r="K662" s="43">
        <f>IF(GroDB[[#This Row],[Column1]]="No",GroDB[[#This Row],[Last_Order_Date]],GroDB[[#This Row],[Date_Received]])</f>
        <v>45654</v>
      </c>
      <c r="L662" s="43">
        <f>IF(GroDB[[#This Row],[Column1]]="No",GroDB[[#This Row],[Date_Received]],GroDB[[#This Row],[Last_Order_Date]])</f>
        <v>45371</v>
      </c>
      <c r="M662" s="45">
        <f>GroDB[[#This Row],[Date_Received1]]-GroDB[[#This Row],[Procurement_Date]]</f>
        <v>283</v>
      </c>
      <c r="N662" s="43">
        <v>45690</v>
      </c>
      <c r="O662" s="91">
        <f>GroDB[[#This Row],[Expiration_Date]]-GroDB[[#This Row],[Date_Received1]]</f>
        <v>36</v>
      </c>
      <c r="P662" s="4">
        <v>2.4000000000000004</v>
      </c>
      <c r="Q662" s="3">
        <v>85</v>
      </c>
      <c r="R662" s="3">
        <v>45</v>
      </c>
      <c r="S662" s="3">
        <v>71</v>
      </c>
      <c r="T662" s="4">
        <v>3</v>
      </c>
      <c r="U662" s="3">
        <v>95</v>
      </c>
      <c r="V662" s="51">
        <f>IF(GroDB[[#This Row],[LeadTime]]=0,GroDB[[#This Row],[Sales_Volume]],GroDB[[#This Row],[Sales_Volume]]/GroDB[[#This Row],[LeadTime]])</f>
        <v>0.33568904593639576</v>
      </c>
      <c r="W662" s="51">
        <f>_xlfn.STDEV.S(GroDB[Daily Sales])</f>
        <v>5.1999899792654221</v>
      </c>
      <c r="X662" s="3">
        <v>72</v>
      </c>
      <c r="Y662" s="7">
        <v>0.63</v>
      </c>
      <c r="Z662" s="4">
        <f>GroDB[[#This Row],[Unit_Price]]*GroDB[[#This Row],[Sales_Volume]]</f>
        <v>285</v>
      </c>
      <c r="AA662" s="22">
        <f>GroDB[[#This Row],[ADU]]/GroDB[[#Totals],[ADU]]</f>
        <v>8.2784020209293076E-4</v>
      </c>
      <c r="AB662" s="1">
        <f>GroDB[[#This Row],[Sales_Volume]]*GroDB[[#This Row],[Ordering Cost]]</f>
        <v>228.00000000000003</v>
      </c>
    </row>
    <row r="663" spans="1:28" x14ac:dyDescent="0.35">
      <c r="A663" s="5" t="s">
        <v>984</v>
      </c>
      <c r="B663" s="3" t="s">
        <v>18</v>
      </c>
      <c r="C663" s="3" t="s">
        <v>1194</v>
      </c>
      <c r="D663" s="3" t="s">
        <v>2426</v>
      </c>
      <c r="E663" s="3" t="s">
        <v>21</v>
      </c>
      <c r="F663" s="3" t="s">
        <v>2427</v>
      </c>
      <c r="G663" s="3" t="s">
        <v>2428</v>
      </c>
      <c r="H663" s="43">
        <v>45371</v>
      </c>
      <c r="I663" s="43">
        <v>45671</v>
      </c>
      <c r="J663" s="47" t="str">
        <f>IF(GroDB[[#This Row],[Last_Order_Date]]&lt;=GroDB[[#This Row],[Date_Received]], "Yes", "No")</f>
        <v>No</v>
      </c>
      <c r="K663" s="43">
        <f>IF(GroDB[[#This Row],[Column1]]="No",GroDB[[#This Row],[Last_Order_Date]],GroDB[[#This Row],[Date_Received]])</f>
        <v>45671</v>
      </c>
      <c r="L663" s="43">
        <f>IF(GroDB[[#This Row],[Column1]]="No",GroDB[[#This Row],[Date_Received]],GroDB[[#This Row],[Last_Order_Date]])</f>
        <v>45371</v>
      </c>
      <c r="M663" s="45">
        <f>GroDB[[#This Row],[Date_Received1]]-GroDB[[#This Row],[Procurement_Date]]</f>
        <v>300</v>
      </c>
      <c r="N663" s="43">
        <v>45393</v>
      </c>
      <c r="O663" s="91">
        <f>GroDB[[#This Row],[Expiration_Date]]-GroDB[[#This Row],[Date_Received1]]</f>
        <v>-278</v>
      </c>
      <c r="P663" s="4">
        <v>3.2</v>
      </c>
      <c r="Q663" s="3">
        <v>30</v>
      </c>
      <c r="R663" s="3">
        <v>59</v>
      </c>
      <c r="S663" s="3">
        <v>76</v>
      </c>
      <c r="T663" s="4">
        <v>4</v>
      </c>
      <c r="U663" s="3">
        <v>61</v>
      </c>
      <c r="V663" s="51">
        <f>IF(GroDB[[#This Row],[LeadTime]]=0,GroDB[[#This Row],[Sales_Volume]],GroDB[[#This Row],[Sales_Volume]]/GroDB[[#This Row],[LeadTime]])</f>
        <v>0.20333333333333334</v>
      </c>
      <c r="W663" s="51">
        <f>_xlfn.STDEV.S(GroDB[Daily Sales])</f>
        <v>5.1999899792654221</v>
      </c>
      <c r="X663" s="3">
        <v>3</v>
      </c>
      <c r="Y663" s="7">
        <v>0.24</v>
      </c>
      <c r="Z663" s="4">
        <f>GroDB[[#This Row],[Unit_Price]]*GroDB[[#This Row],[Sales_Volume]]</f>
        <v>244</v>
      </c>
      <c r="AA663" s="22">
        <f>GroDB[[#This Row],[ADU]]/GroDB[[#Totals],[ADU]]</f>
        <v>7.0874740109008803E-4</v>
      </c>
      <c r="AB663" s="1">
        <f>GroDB[[#This Row],[Sales_Volume]]*GroDB[[#This Row],[Ordering Cost]]</f>
        <v>195.20000000000002</v>
      </c>
    </row>
    <row r="664" spans="1:28" x14ac:dyDescent="0.35">
      <c r="A664" s="5" t="s">
        <v>700</v>
      </c>
      <c r="B664" s="3" t="s">
        <v>18</v>
      </c>
      <c r="C664" s="3" t="s">
        <v>1557</v>
      </c>
      <c r="D664" s="3" t="s">
        <v>2429</v>
      </c>
      <c r="E664" s="3" t="s">
        <v>28</v>
      </c>
      <c r="F664" s="3" t="s">
        <v>2430</v>
      </c>
      <c r="G664" s="3" t="s">
        <v>2431</v>
      </c>
      <c r="H664" s="43">
        <v>45371</v>
      </c>
      <c r="I664" s="43">
        <v>45645</v>
      </c>
      <c r="J664" s="47" t="str">
        <f>IF(GroDB[[#This Row],[Last_Order_Date]]&lt;=GroDB[[#This Row],[Date_Received]], "Yes", "No")</f>
        <v>No</v>
      </c>
      <c r="K664" s="43">
        <f>IF(GroDB[[#This Row],[Column1]]="No",GroDB[[#This Row],[Last_Order_Date]],GroDB[[#This Row],[Date_Received]])</f>
        <v>45645</v>
      </c>
      <c r="L664" s="43">
        <f>IF(GroDB[[#This Row],[Column1]]="No",GroDB[[#This Row],[Date_Received]],GroDB[[#This Row],[Last_Order_Date]])</f>
        <v>45371</v>
      </c>
      <c r="M664" s="45">
        <f>GroDB[[#This Row],[Date_Received1]]-GroDB[[#This Row],[Procurement_Date]]</f>
        <v>274</v>
      </c>
      <c r="N664" s="43">
        <v>45462</v>
      </c>
      <c r="O664" s="91">
        <f>GroDB[[#This Row],[Expiration_Date]]-GroDB[[#This Row],[Date_Received1]]</f>
        <v>-183</v>
      </c>
      <c r="P664" s="4">
        <v>2</v>
      </c>
      <c r="Q664" s="3">
        <v>23</v>
      </c>
      <c r="R664" s="3">
        <v>6</v>
      </c>
      <c r="S664" s="3">
        <v>40</v>
      </c>
      <c r="T664" s="4">
        <v>2.5</v>
      </c>
      <c r="U664" s="3">
        <v>95</v>
      </c>
      <c r="V664" s="51">
        <f>IF(GroDB[[#This Row],[LeadTime]]=0,GroDB[[#This Row],[Sales_Volume]],GroDB[[#This Row],[Sales_Volume]]/GroDB[[#This Row],[LeadTime]])</f>
        <v>0.34671532846715331</v>
      </c>
      <c r="W664" s="51">
        <f>_xlfn.STDEV.S(GroDB[Daily Sales])</f>
        <v>5.1999899792654221</v>
      </c>
      <c r="X664" s="3">
        <v>24</v>
      </c>
      <c r="Y664" s="7">
        <v>0.95</v>
      </c>
      <c r="Z664" s="4">
        <f>GroDB[[#This Row],[Unit_Price]]*GroDB[[#This Row],[Sales_Volume]]</f>
        <v>237.5</v>
      </c>
      <c r="AA664" s="22">
        <f>GroDB[[#This Row],[ADU]]/GroDB[[#Totals],[ADU]]</f>
        <v>6.8986683507744223E-4</v>
      </c>
      <c r="AB664" s="1">
        <f>GroDB[[#This Row],[Sales_Volume]]*GroDB[[#This Row],[Ordering Cost]]</f>
        <v>190</v>
      </c>
    </row>
    <row r="665" spans="1:28" x14ac:dyDescent="0.35">
      <c r="A665" s="5" t="s">
        <v>116</v>
      </c>
      <c r="B665" s="3" t="s">
        <v>18</v>
      </c>
      <c r="C665" s="3" t="s">
        <v>2332</v>
      </c>
      <c r="D665" s="3" t="s">
        <v>2432</v>
      </c>
      <c r="E665" s="3" t="s">
        <v>28</v>
      </c>
      <c r="F665" s="3" t="s">
        <v>2433</v>
      </c>
      <c r="G665" s="3" t="s">
        <v>2434</v>
      </c>
      <c r="H665" s="43">
        <v>45372</v>
      </c>
      <c r="I665" s="43">
        <v>45549</v>
      </c>
      <c r="J665" s="47" t="str">
        <f>IF(GroDB[[#This Row],[Last_Order_Date]]&lt;=GroDB[[#This Row],[Date_Received]], "Yes", "No")</f>
        <v>No</v>
      </c>
      <c r="K665" s="43">
        <f>IF(GroDB[[#This Row],[Column1]]="No",GroDB[[#This Row],[Last_Order_Date]],GroDB[[#This Row],[Date_Received]])</f>
        <v>45549</v>
      </c>
      <c r="L665" s="43">
        <f>IF(GroDB[[#This Row],[Column1]]="No",GroDB[[#This Row],[Date_Received]],GroDB[[#This Row],[Last_Order_Date]])</f>
        <v>45372</v>
      </c>
      <c r="M665" s="45">
        <f>GroDB[[#This Row],[Date_Received1]]-GroDB[[#This Row],[Procurement_Date]]</f>
        <v>177</v>
      </c>
      <c r="N665" s="43">
        <v>45443</v>
      </c>
      <c r="O665" s="91">
        <f>GroDB[[#This Row],[Expiration_Date]]-GroDB[[#This Row],[Date_Received1]]</f>
        <v>-106</v>
      </c>
      <c r="P665" s="4">
        <v>2.4000000000000004</v>
      </c>
      <c r="Q665" s="3">
        <v>17</v>
      </c>
      <c r="R665" s="3">
        <v>3</v>
      </c>
      <c r="S665" s="3">
        <v>33</v>
      </c>
      <c r="T665" s="4">
        <v>3</v>
      </c>
      <c r="U665" s="3">
        <v>49</v>
      </c>
      <c r="V665" s="51">
        <f>IF(GroDB[[#This Row],[LeadTime]]=0,GroDB[[#This Row],[Sales_Volume]],GroDB[[#This Row],[Sales_Volume]]/GroDB[[#This Row],[LeadTime]])</f>
        <v>0.2768361581920904</v>
      </c>
      <c r="W665" s="51">
        <f>_xlfn.STDEV.S(GroDB[Daily Sales])</f>
        <v>5.1999899792654221</v>
      </c>
      <c r="X665" s="3">
        <v>17</v>
      </c>
      <c r="Y665" s="7">
        <v>0.75</v>
      </c>
      <c r="Z665" s="4">
        <f>GroDB[[#This Row],[Unit_Price]]*GroDB[[#This Row],[Sales_Volume]]</f>
        <v>147</v>
      </c>
      <c r="AA665" s="22">
        <f>GroDB[[#This Row],[ADU]]/GroDB[[#Totals],[ADU]]</f>
        <v>4.2699126213214324E-4</v>
      </c>
      <c r="AB665" s="1">
        <f>GroDB[[#This Row],[Sales_Volume]]*GroDB[[#This Row],[Ordering Cost]]</f>
        <v>117.60000000000002</v>
      </c>
    </row>
    <row r="666" spans="1:28" x14ac:dyDescent="0.35">
      <c r="A666" s="5" t="s">
        <v>1179</v>
      </c>
      <c r="B666" s="3" t="s">
        <v>91</v>
      </c>
      <c r="C666" s="3" t="s">
        <v>138</v>
      </c>
      <c r="D666" s="3" t="s">
        <v>2435</v>
      </c>
      <c r="E666" s="3" t="s">
        <v>28</v>
      </c>
      <c r="F666" s="3" t="s">
        <v>2436</v>
      </c>
      <c r="G666" s="3" t="s">
        <v>2437</v>
      </c>
      <c r="H666" s="43">
        <v>45372</v>
      </c>
      <c r="I666" s="43">
        <v>45351</v>
      </c>
      <c r="J666" s="47" t="str">
        <f>IF(GroDB[[#This Row],[Last_Order_Date]]&lt;=GroDB[[#This Row],[Date_Received]], "Yes", "No")</f>
        <v>Yes</v>
      </c>
      <c r="K666" s="43">
        <f>IF(GroDB[[#This Row],[Column1]]="No",GroDB[[#This Row],[Last_Order_Date]],GroDB[[#This Row],[Date_Received]])</f>
        <v>45372</v>
      </c>
      <c r="L666" s="43">
        <f>IF(GroDB[[#This Row],[Column1]]="No",GroDB[[#This Row],[Date_Received]],GroDB[[#This Row],[Last_Order_Date]])</f>
        <v>45351</v>
      </c>
      <c r="M666" s="45">
        <f>GroDB[[#This Row],[Date_Received1]]-GroDB[[#This Row],[Procurement_Date]]</f>
        <v>21</v>
      </c>
      <c r="N666" s="43">
        <v>45465</v>
      </c>
      <c r="O666" s="91">
        <f>GroDB[[#This Row],[Expiration_Date]]-GroDB[[#This Row],[Date_Received1]]</f>
        <v>93</v>
      </c>
      <c r="P666" s="4">
        <v>2</v>
      </c>
      <c r="Q666" s="3">
        <v>61</v>
      </c>
      <c r="R666" s="3">
        <v>77</v>
      </c>
      <c r="S666" s="3">
        <v>45</v>
      </c>
      <c r="T666" s="4">
        <v>2.5</v>
      </c>
      <c r="U666" s="3">
        <v>51</v>
      </c>
      <c r="V666" s="51">
        <f>IF(GroDB[[#This Row],[LeadTime]]=0,GroDB[[#This Row],[Sales_Volume]],GroDB[[#This Row],[Sales_Volume]]/GroDB[[#This Row],[LeadTime]])</f>
        <v>2.4285714285714284</v>
      </c>
      <c r="W666" s="51">
        <f>_xlfn.STDEV.S(GroDB[Daily Sales])</f>
        <v>5.1999899792654221</v>
      </c>
      <c r="X666" s="3">
        <v>48</v>
      </c>
      <c r="Y666" s="7">
        <v>0.65</v>
      </c>
      <c r="Z666" s="4">
        <f>GroDB[[#This Row],[Unit_Price]]*GroDB[[#This Row],[Sales_Volume]]</f>
        <v>127.5</v>
      </c>
      <c r="AA666" s="22">
        <f>GroDB[[#This Row],[ADU]]/GroDB[[#Totals],[ADU]]</f>
        <v>3.7034956409420588E-4</v>
      </c>
      <c r="AB666" s="1">
        <f>GroDB[[#This Row],[Sales_Volume]]*GroDB[[#This Row],[Ordering Cost]]</f>
        <v>102</v>
      </c>
    </row>
    <row r="667" spans="1:28" x14ac:dyDescent="0.35">
      <c r="A667" s="5" t="s">
        <v>90</v>
      </c>
      <c r="B667" s="3" t="s">
        <v>91</v>
      </c>
      <c r="C667" s="3" t="s">
        <v>61</v>
      </c>
      <c r="D667" s="3" t="s">
        <v>2438</v>
      </c>
      <c r="E667" s="3" t="s">
        <v>28</v>
      </c>
      <c r="F667" s="3" t="s">
        <v>2439</v>
      </c>
      <c r="G667" s="3" t="s">
        <v>2440</v>
      </c>
      <c r="H667" s="43">
        <v>45372</v>
      </c>
      <c r="I667" s="43">
        <v>45401</v>
      </c>
      <c r="J667" s="47" t="str">
        <f>IF(GroDB[[#This Row],[Last_Order_Date]]&lt;=GroDB[[#This Row],[Date_Received]], "Yes", "No")</f>
        <v>No</v>
      </c>
      <c r="K667" s="43">
        <f>IF(GroDB[[#This Row],[Column1]]="No",GroDB[[#This Row],[Last_Order_Date]],GroDB[[#This Row],[Date_Received]])</f>
        <v>45401</v>
      </c>
      <c r="L667" s="43">
        <f>IF(GroDB[[#This Row],[Column1]]="No",GroDB[[#This Row],[Date_Received]],GroDB[[#This Row],[Last_Order_Date]])</f>
        <v>45372</v>
      </c>
      <c r="M667" s="45">
        <f>GroDB[[#This Row],[Date_Received1]]-GroDB[[#This Row],[Procurement_Date]]</f>
        <v>29</v>
      </c>
      <c r="N667" s="43">
        <v>45560</v>
      </c>
      <c r="O667" s="91">
        <f>GroDB[[#This Row],[Expiration_Date]]-GroDB[[#This Row],[Date_Received1]]</f>
        <v>159</v>
      </c>
      <c r="P667" s="4">
        <v>3.2</v>
      </c>
      <c r="Q667" s="3">
        <v>29</v>
      </c>
      <c r="R667" s="3">
        <v>2</v>
      </c>
      <c r="S667" s="3">
        <v>84</v>
      </c>
      <c r="T667" s="4">
        <v>4</v>
      </c>
      <c r="U667" s="3">
        <v>80</v>
      </c>
      <c r="V667" s="51">
        <f>IF(GroDB[[#This Row],[LeadTime]]=0,GroDB[[#This Row],[Sales_Volume]],GroDB[[#This Row],[Sales_Volume]]/GroDB[[#This Row],[LeadTime]])</f>
        <v>2.7586206896551726</v>
      </c>
      <c r="W667" s="51">
        <f>_xlfn.STDEV.S(GroDB[Daily Sales])</f>
        <v>5.1999899792654221</v>
      </c>
      <c r="X667" s="3">
        <v>85</v>
      </c>
      <c r="Y667" s="7">
        <v>0.06</v>
      </c>
      <c r="Z667" s="4">
        <f>GroDB[[#This Row],[Unit_Price]]*GroDB[[#This Row],[Sales_Volume]]</f>
        <v>320</v>
      </c>
      <c r="AA667" s="22">
        <f>GroDB[[#This Row],[ADU]]/GroDB[[#Totals],[ADU]]</f>
        <v>9.295047883148696E-4</v>
      </c>
      <c r="AB667" s="1">
        <f>GroDB[[#This Row],[Sales_Volume]]*GroDB[[#This Row],[Ordering Cost]]</f>
        <v>256</v>
      </c>
    </row>
    <row r="668" spans="1:28" x14ac:dyDescent="0.35">
      <c r="A668" s="5" t="s">
        <v>549</v>
      </c>
      <c r="B668" s="3" t="s">
        <v>32</v>
      </c>
      <c r="C668" s="3" t="s">
        <v>1127</v>
      </c>
      <c r="D668" s="3" t="s">
        <v>2441</v>
      </c>
      <c r="E668" s="3" t="s">
        <v>28</v>
      </c>
      <c r="F668" s="3" t="s">
        <v>2442</v>
      </c>
      <c r="G668" s="3" t="s">
        <v>2443</v>
      </c>
      <c r="H668" s="43">
        <v>45373</v>
      </c>
      <c r="I668" s="43">
        <v>45558</v>
      </c>
      <c r="J668" s="47" t="str">
        <f>IF(GroDB[[#This Row],[Last_Order_Date]]&lt;=GroDB[[#This Row],[Date_Received]], "Yes", "No")</f>
        <v>No</v>
      </c>
      <c r="K668" s="43">
        <f>IF(GroDB[[#This Row],[Column1]]="No",GroDB[[#This Row],[Last_Order_Date]],GroDB[[#This Row],[Date_Received]])</f>
        <v>45558</v>
      </c>
      <c r="L668" s="43">
        <f>IF(GroDB[[#This Row],[Column1]]="No",GroDB[[#This Row],[Date_Received]],GroDB[[#This Row],[Last_Order_Date]])</f>
        <v>45373</v>
      </c>
      <c r="M668" s="45">
        <f>GroDB[[#This Row],[Date_Received1]]-GroDB[[#This Row],[Procurement_Date]]</f>
        <v>185</v>
      </c>
      <c r="N668" s="43">
        <v>45367</v>
      </c>
      <c r="O668" s="91">
        <f>GroDB[[#This Row],[Expiration_Date]]-GroDB[[#This Row],[Date_Received1]]</f>
        <v>-191</v>
      </c>
      <c r="P668" s="4">
        <v>1.9600000000000002</v>
      </c>
      <c r="Q668" s="3">
        <v>40</v>
      </c>
      <c r="R668" s="3">
        <v>22</v>
      </c>
      <c r="S668" s="3">
        <v>74</v>
      </c>
      <c r="T668" s="4">
        <v>2.4500000000000002</v>
      </c>
      <c r="U668" s="3">
        <v>76</v>
      </c>
      <c r="V668" s="51">
        <f>IF(GroDB[[#This Row],[LeadTime]]=0,GroDB[[#This Row],[Sales_Volume]],GroDB[[#This Row],[Sales_Volume]]/GroDB[[#This Row],[LeadTime]])</f>
        <v>0.41081081081081083</v>
      </c>
      <c r="W668" s="51">
        <f>_xlfn.STDEV.S(GroDB[Daily Sales])</f>
        <v>5.1999899792654221</v>
      </c>
      <c r="X668" s="3">
        <v>70</v>
      </c>
      <c r="Y668" s="7">
        <v>-0.06</v>
      </c>
      <c r="Z668" s="4">
        <f>GroDB[[#This Row],[Unit_Price]]*GroDB[[#This Row],[Sales_Volume]]</f>
        <v>186.20000000000002</v>
      </c>
      <c r="AA668" s="22">
        <f>GroDB[[#This Row],[ADU]]/GroDB[[#Totals],[ADU]]</f>
        <v>5.4085559870071479E-4</v>
      </c>
      <c r="AB668" s="1">
        <f>GroDB[[#This Row],[Sales_Volume]]*GroDB[[#This Row],[Ordering Cost]]</f>
        <v>148.96</v>
      </c>
    </row>
    <row r="669" spans="1:28" x14ac:dyDescent="0.35">
      <c r="A669" s="5" t="s">
        <v>220</v>
      </c>
      <c r="B669" s="3" t="s">
        <v>127</v>
      </c>
      <c r="C669" s="3" t="s">
        <v>2444</v>
      </c>
      <c r="D669" s="3" t="s">
        <v>2445</v>
      </c>
      <c r="E669" s="3" t="s">
        <v>21</v>
      </c>
      <c r="F669" s="3" t="s">
        <v>2446</v>
      </c>
      <c r="G669" s="3" t="s">
        <v>2447</v>
      </c>
      <c r="H669" s="43">
        <v>45373</v>
      </c>
      <c r="I669" s="43">
        <v>45468</v>
      </c>
      <c r="J669" s="47" t="str">
        <f>IF(GroDB[[#This Row],[Last_Order_Date]]&lt;=GroDB[[#This Row],[Date_Received]], "Yes", "No")</f>
        <v>No</v>
      </c>
      <c r="K669" s="43">
        <f>IF(GroDB[[#This Row],[Column1]]="No",GroDB[[#This Row],[Last_Order_Date]],GroDB[[#This Row],[Date_Received]])</f>
        <v>45468</v>
      </c>
      <c r="L669" s="43">
        <f>IF(GroDB[[#This Row],[Column1]]="No",GroDB[[#This Row],[Date_Received]],GroDB[[#This Row],[Last_Order_Date]])</f>
        <v>45373</v>
      </c>
      <c r="M669" s="45">
        <f>GroDB[[#This Row],[Date_Received1]]-GroDB[[#This Row],[Procurement_Date]]</f>
        <v>95</v>
      </c>
      <c r="N669" s="43">
        <v>45557</v>
      </c>
      <c r="O669" s="91">
        <f>GroDB[[#This Row],[Expiration_Date]]-GroDB[[#This Row],[Date_Received1]]</f>
        <v>89</v>
      </c>
      <c r="P669" s="4">
        <v>8</v>
      </c>
      <c r="Q669" s="3">
        <v>20</v>
      </c>
      <c r="R669" s="3">
        <v>42</v>
      </c>
      <c r="S669" s="3">
        <v>45</v>
      </c>
      <c r="T669" s="4">
        <v>10</v>
      </c>
      <c r="U669" s="3">
        <v>72</v>
      </c>
      <c r="V669" s="51">
        <f>IF(GroDB[[#This Row],[LeadTime]]=0,GroDB[[#This Row],[Sales_Volume]],GroDB[[#This Row],[Sales_Volume]]/GroDB[[#This Row],[LeadTime]])</f>
        <v>0.75789473684210529</v>
      </c>
      <c r="W669" s="51">
        <f>_xlfn.STDEV.S(GroDB[Daily Sales])</f>
        <v>5.1999899792654221</v>
      </c>
      <c r="X669" s="3">
        <v>28</v>
      </c>
      <c r="Y669" s="7">
        <v>0.08</v>
      </c>
      <c r="Z669" s="4">
        <f>GroDB[[#This Row],[Unit_Price]]*GroDB[[#This Row],[Sales_Volume]]</f>
        <v>720</v>
      </c>
      <c r="AA669" s="22">
        <f>GroDB[[#This Row],[ADU]]/GroDB[[#Totals],[ADU]]</f>
        <v>2.0913857737084565E-3</v>
      </c>
      <c r="AB669" s="1">
        <f>GroDB[[#This Row],[Sales_Volume]]*GroDB[[#This Row],[Ordering Cost]]</f>
        <v>576</v>
      </c>
    </row>
    <row r="670" spans="1:28" x14ac:dyDescent="0.35">
      <c r="A670" s="5" t="s">
        <v>1202</v>
      </c>
      <c r="B670" s="3" t="s">
        <v>18</v>
      </c>
      <c r="C670" s="3" t="s">
        <v>2448</v>
      </c>
      <c r="D670" s="3" t="s">
        <v>2449</v>
      </c>
      <c r="E670" s="3" t="s">
        <v>56</v>
      </c>
      <c r="F670" s="3" t="s">
        <v>2450</v>
      </c>
      <c r="G670" s="3" t="s">
        <v>2451</v>
      </c>
      <c r="H670" s="43">
        <v>45374</v>
      </c>
      <c r="I670" s="43">
        <v>45396</v>
      </c>
      <c r="J670" s="47" t="str">
        <f>IF(GroDB[[#This Row],[Last_Order_Date]]&lt;=GroDB[[#This Row],[Date_Received]], "Yes", "No")</f>
        <v>No</v>
      </c>
      <c r="K670" s="43">
        <f>IF(GroDB[[#This Row],[Column1]]="No",GroDB[[#This Row],[Last_Order_Date]],GroDB[[#This Row],[Date_Received]])</f>
        <v>45396</v>
      </c>
      <c r="L670" s="43">
        <f>IF(GroDB[[#This Row],[Column1]]="No",GroDB[[#This Row],[Date_Received]],GroDB[[#This Row],[Last_Order_Date]])</f>
        <v>45374</v>
      </c>
      <c r="M670" s="45">
        <f>GroDB[[#This Row],[Date_Received1]]-GroDB[[#This Row],[Procurement_Date]]</f>
        <v>22</v>
      </c>
      <c r="N670" s="43">
        <v>45588</v>
      </c>
      <c r="O670" s="91">
        <f>GroDB[[#This Row],[Expiration_Date]]-GroDB[[#This Row],[Date_Received1]]</f>
        <v>192</v>
      </c>
      <c r="P670" s="4">
        <v>2.4000000000000004</v>
      </c>
      <c r="Q670" s="3">
        <v>51</v>
      </c>
      <c r="R670" s="3">
        <v>72</v>
      </c>
      <c r="S670" s="3">
        <v>85</v>
      </c>
      <c r="T670" s="4">
        <v>3</v>
      </c>
      <c r="U670" s="3">
        <v>23</v>
      </c>
      <c r="V670" s="51">
        <f>IF(GroDB[[#This Row],[LeadTime]]=0,GroDB[[#This Row],[Sales_Volume]],GroDB[[#This Row],[Sales_Volume]]/GroDB[[#This Row],[LeadTime]])</f>
        <v>1.0454545454545454</v>
      </c>
      <c r="W670" s="51">
        <f>_xlfn.STDEV.S(GroDB[Daily Sales])</f>
        <v>5.1999899792654221</v>
      </c>
      <c r="X670" s="3">
        <v>17</v>
      </c>
      <c r="Y670" s="7">
        <v>0.61</v>
      </c>
      <c r="Z670" s="4">
        <f>GroDB[[#This Row],[Unit_Price]]*GroDB[[#This Row],[Sales_Volume]]</f>
        <v>69</v>
      </c>
      <c r="AA670" s="22">
        <f>GroDB[[#This Row],[ADU]]/GroDB[[#Totals],[ADU]]</f>
        <v>2.0042446998039376E-4</v>
      </c>
      <c r="AB670" s="1">
        <f>GroDB[[#This Row],[Sales_Volume]]*GroDB[[#This Row],[Ordering Cost]]</f>
        <v>55.20000000000001</v>
      </c>
    </row>
    <row r="671" spans="1:28" x14ac:dyDescent="0.35">
      <c r="A671" s="5" t="s">
        <v>37</v>
      </c>
      <c r="B671" s="3" t="s">
        <v>18</v>
      </c>
      <c r="C671" s="3" t="s">
        <v>2413</v>
      </c>
      <c r="D671" s="3" t="s">
        <v>2452</v>
      </c>
      <c r="E671" s="3" t="s">
        <v>56</v>
      </c>
      <c r="F671" s="3" t="s">
        <v>2453</v>
      </c>
      <c r="G671" s="3" t="s">
        <v>2454</v>
      </c>
      <c r="H671" s="43">
        <v>45375</v>
      </c>
      <c r="I671" s="43">
        <v>45481</v>
      </c>
      <c r="J671" s="47" t="str">
        <f>IF(GroDB[[#This Row],[Last_Order_Date]]&lt;=GroDB[[#This Row],[Date_Received]], "Yes", "No")</f>
        <v>No</v>
      </c>
      <c r="K671" s="43">
        <f>IF(GroDB[[#This Row],[Column1]]="No",GroDB[[#This Row],[Last_Order_Date]],GroDB[[#This Row],[Date_Received]])</f>
        <v>45481</v>
      </c>
      <c r="L671" s="43">
        <f>IF(GroDB[[#This Row],[Column1]]="No",GroDB[[#This Row],[Date_Received]],GroDB[[#This Row],[Last_Order_Date]])</f>
        <v>45375</v>
      </c>
      <c r="M671" s="45">
        <f>GroDB[[#This Row],[Date_Received1]]-GroDB[[#This Row],[Procurement_Date]]</f>
        <v>106</v>
      </c>
      <c r="N671" s="43">
        <v>45591</v>
      </c>
      <c r="O671" s="91">
        <f>GroDB[[#This Row],[Expiration_Date]]-GroDB[[#This Row],[Date_Received1]]</f>
        <v>110</v>
      </c>
      <c r="P671" s="4">
        <v>1.2000000000000002</v>
      </c>
      <c r="Q671" s="3">
        <v>80</v>
      </c>
      <c r="R671" s="3">
        <v>91</v>
      </c>
      <c r="S671" s="3">
        <v>36</v>
      </c>
      <c r="T671" s="4">
        <v>1.5</v>
      </c>
      <c r="U671" s="3">
        <v>81</v>
      </c>
      <c r="V671" s="51">
        <f>IF(GroDB[[#This Row],[LeadTime]]=0,GroDB[[#This Row],[Sales_Volume]],GroDB[[#This Row],[Sales_Volume]]/GroDB[[#This Row],[LeadTime]])</f>
        <v>0.76415094339622647</v>
      </c>
      <c r="W671" s="51">
        <f>_xlfn.STDEV.S(GroDB[Daily Sales])</f>
        <v>5.1999899792654221</v>
      </c>
      <c r="X671" s="3">
        <v>74</v>
      </c>
      <c r="Y671" s="7">
        <v>0.26</v>
      </c>
      <c r="Z671" s="4">
        <f>GroDB[[#This Row],[Unit_Price]]*GroDB[[#This Row],[Sales_Volume]]</f>
        <v>121.5</v>
      </c>
      <c r="AA671" s="22">
        <f>GroDB[[#This Row],[ADU]]/GroDB[[#Totals],[ADU]]</f>
        <v>3.5292134931330204E-4</v>
      </c>
      <c r="AB671" s="1">
        <f>GroDB[[#This Row],[Sales_Volume]]*GroDB[[#This Row],[Ordering Cost]]</f>
        <v>97.200000000000017</v>
      </c>
    </row>
    <row r="672" spans="1:28" x14ac:dyDescent="0.35">
      <c r="A672" s="5" t="s">
        <v>446</v>
      </c>
      <c r="B672" s="3" t="s">
        <v>53</v>
      </c>
      <c r="C672" s="3" t="s">
        <v>2455</v>
      </c>
      <c r="D672" s="3" t="s">
        <v>2456</v>
      </c>
      <c r="E672" s="3" t="s">
        <v>21</v>
      </c>
      <c r="F672" s="3" t="s">
        <v>2457</v>
      </c>
      <c r="G672" s="3" t="s">
        <v>2458</v>
      </c>
      <c r="H672" s="43">
        <v>45375</v>
      </c>
      <c r="I672" s="43">
        <v>45590</v>
      </c>
      <c r="J672" s="47" t="str">
        <f>IF(GroDB[[#This Row],[Last_Order_Date]]&lt;=GroDB[[#This Row],[Date_Received]], "Yes", "No")</f>
        <v>No</v>
      </c>
      <c r="K672" s="43">
        <f>IF(GroDB[[#This Row],[Column1]]="No",GroDB[[#This Row],[Last_Order_Date]],GroDB[[#This Row],[Date_Received]])</f>
        <v>45590</v>
      </c>
      <c r="L672" s="43">
        <f>IF(GroDB[[#This Row],[Column1]]="No",GroDB[[#This Row],[Date_Received]],GroDB[[#This Row],[Last_Order_Date]])</f>
        <v>45375</v>
      </c>
      <c r="M672" s="45">
        <f>GroDB[[#This Row],[Date_Received1]]-GroDB[[#This Row],[Procurement_Date]]</f>
        <v>215</v>
      </c>
      <c r="N672" s="43">
        <v>45365</v>
      </c>
      <c r="O672" s="91">
        <f>GroDB[[#This Row],[Expiration_Date]]-GroDB[[#This Row],[Date_Received1]]</f>
        <v>-225</v>
      </c>
      <c r="P672" s="4">
        <v>7.6000000000000005</v>
      </c>
      <c r="Q672" s="3">
        <v>85</v>
      </c>
      <c r="R672" s="3">
        <v>12</v>
      </c>
      <c r="S672" s="3">
        <v>94</v>
      </c>
      <c r="T672" s="4">
        <v>9.5</v>
      </c>
      <c r="U672" s="3">
        <v>26</v>
      </c>
      <c r="V672" s="51">
        <f>IF(GroDB[[#This Row],[LeadTime]]=0,GroDB[[#This Row],[Sales_Volume]],GroDB[[#This Row],[Sales_Volume]]/GroDB[[#This Row],[LeadTime]])</f>
        <v>0.12093023255813953</v>
      </c>
      <c r="W672" s="51">
        <f>_xlfn.STDEV.S(GroDB[Daily Sales])</f>
        <v>5.1999899792654221</v>
      </c>
      <c r="X672" s="3">
        <v>32</v>
      </c>
      <c r="Y672" s="7">
        <v>0.09</v>
      </c>
      <c r="Z672" s="4">
        <f>GroDB[[#This Row],[Unit_Price]]*GroDB[[#This Row],[Sales_Volume]]</f>
        <v>247</v>
      </c>
      <c r="AA672" s="22">
        <f>GroDB[[#This Row],[ADU]]/GroDB[[#Totals],[ADU]]</f>
        <v>7.1746150848053998E-4</v>
      </c>
      <c r="AB672" s="1">
        <f>GroDB[[#This Row],[Sales_Volume]]*GroDB[[#This Row],[Ordering Cost]]</f>
        <v>197.60000000000002</v>
      </c>
    </row>
    <row r="673" spans="1:28" x14ac:dyDescent="0.35">
      <c r="A673" s="5" t="s">
        <v>812</v>
      </c>
      <c r="B673" s="3" t="s">
        <v>18</v>
      </c>
      <c r="C673" s="3" t="s">
        <v>740</v>
      </c>
      <c r="D673" s="3" t="s">
        <v>2459</v>
      </c>
      <c r="E673" s="3" t="s">
        <v>21</v>
      </c>
      <c r="F673" s="3" t="s">
        <v>2460</v>
      </c>
      <c r="G673" s="3" t="s">
        <v>2461</v>
      </c>
      <c r="H673" s="43">
        <v>45375</v>
      </c>
      <c r="I673" s="43">
        <v>45570</v>
      </c>
      <c r="J673" s="47" t="str">
        <f>IF(GroDB[[#This Row],[Last_Order_Date]]&lt;=GroDB[[#This Row],[Date_Received]], "Yes", "No")</f>
        <v>No</v>
      </c>
      <c r="K673" s="43">
        <f>IF(GroDB[[#This Row],[Column1]]="No",GroDB[[#This Row],[Last_Order_Date]],GroDB[[#This Row],[Date_Received]])</f>
        <v>45570</v>
      </c>
      <c r="L673" s="43">
        <f>IF(GroDB[[#This Row],[Column1]]="No",GroDB[[#This Row],[Date_Received]],GroDB[[#This Row],[Last_Order_Date]])</f>
        <v>45375</v>
      </c>
      <c r="M673" s="45">
        <f>GroDB[[#This Row],[Date_Received1]]-GroDB[[#This Row],[Procurement_Date]]</f>
        <v>195</v>
      </c>
      <c r="N673" s="43">
        <v>45396</v>
      </c>
      <c r="O673" s="91">
        <f>GroDB[[#This Row],[Expiration_Date]]-GroDB[[#This Row],[Date_Received1]]</f>
        <v>-174</v>
      </c>
      <c r="P673" s="4">
        <v>2.8000000000000003</v>
      </c>
      <c r="Q673" s="3">
        <v>17</v>
      </c>
      <c r="R673" s="3">
        <v>14</v>
      </c>
      <c r="S673" s="3">
        <v>17</v>
      </c>
      <c r="T673" s="4">
        <v>3.5</v>
      </c>
      <c r="U673" s="3">
        <v>36</v>
      </c>
      <c r="V673" s="51">
        <f>IF(GroDB[[#This Row],[LeadTime]]=0,GroDB[[#This Row],[Sales_Volume]],GroDB[[#This Row],[Sales_Volume]]/GroDB[[#This Row],[LeadTime]])</f>
        <v>0.18461538461538463</v>
      </c>
      <c r="W673" s="51">
        <f>_xlfn.STDEV.S(GroDB[Daily Sales])</f>
        <v>5.1999899792654221</v>
      </c>
      <c r="X673" s="3">
        <v>64</v>
      </c>
      <c r="Y673" s="7">
        <v>-0.23</v>
      </c>
      <c r="Z673" s="4">
        <f>GroDB[[#This Row],[Unit_Price]]*GroDB[[#This Row],[Sales_Volume]]</f>
        <v>126</v>
      </c>
      <c r="AA673" s="22">
        <f>GroDB[[#This Row],[ADU]]/GroDB[[#Totals],[ADU]]</f>
        <v>3.659925103989799E-4</v>
      </c>
      <c r="AB673" s="1">
        <f>GroDB[[#This Row],[Sales_Volume]]*GroDB[[#This Row],[Ordering Cost]]</f>
        <v>100.80000000000001</v>
      </c>
    </row>
    <row r="674" spans="1:28" x14ac:dyDescent="0.35">
      <c r="A674" s="5" t="s">
        <v>329</v>
      </c>
      <c r="B674" s="3" t="s">
        <v>53</v>
      </c>
      <c r="C674" s="3" t="s">
        <v>2462</v>
      </c>
      <c r="D674" s="3" t="s">
        <v>2463</v>
      </c>
      <c r="E674" s="3" t="s">
        <v>56</v>
      </c>
      <c r="F674" s="3" t="s">
        <v>2464</v>
      </c>
      <c r="G674" s="3" t="s">
        <v>2465</v>
      </c>
      <c r="H674" s="43">
        <v>45376</v>
      </c>
      <c r="I674" s="43">
        <v>45674</v>
      </c>
      <c r="J674" s="47" t="str">
        <f>IF(GroDB[[#This Row],[Last_Order_Date]]&lt;=GroDB[[#This Row],[Date_Received]], "Yes", "No")</f>
        <v>No</v>
      </c>
      <c r="K674" s="43">
        <f>IF(GroDB[[#This Row],[Column1]]="No",GroDB[[#This Row],[Last_Order_Date]],GroDB[[#This Row],[Date_Received]])</f>
        <v>45674</v>
      </c>
      <c r="L674" s="43">
        <f>IF(GroDB[[#This Row],[Column1]]="No",GroDB[[#This Row],[Date_Received]],GroDB[[#This Row],[Last_Order_Date]])</f>
        <v>45376</v>
      </c>
      <c r="M674" s="45">
        <f>GroDB[[#This Row],[Date_Received1]]-GroDB[[#This Row],[Procurement_Date]]</f>
        <v>298</v>
      </c>
      <c r="N674" s="43">
        <v>45442</v>
      </c>
      <c r="O674" s="91">
        <f>GroDB[[#This Row],[Expiration_Date]]-GroDB[[#This Row],[Date_Received1]]</f>
        <v>-232</v>
      </c>
      <c r="P674" s="4">
        <v>4.88</v>
      </c>
      <c r="Q674" s="3">
        <v>86</v>
      </c>
      <c r="R674" s="3">
        <v>100</v>
      </c>
      <c r="S674" s="3">
        <v>74</v>
      </c>
      <c r="T674" s="4">
        <v>6.1</v>
      </c>
      <c r="U674" s="3">
        <v>80</v>
      </c>
      <c r="V674" s="51">
        <f>IF(GroDB[[#This Row],[LeadTime]]=0,GroDB[[#This Row],[Sales_Volume]],GroDB[[#This Row],[Sales_Volume]]/GroDB[[#This Row],[LeadTime]])</f>
        <v>0.26845637583892618</v>
      </c>
      <c r="W674" s="51">
        <f>_xlfn.STDEV.S(GroDB[Daily Sales])</f>
        <v>5.1999899792654221</v>
      </c>
      <c r="X674" s="3">
        <v>94</v>
      </c>
      <c r="Y674" s="7">
        <v>-0.78</v>
      </c>
      <c r="Z674" s="4">
        <f>GroDB[[#This Row],[Unit_Price]]*GroDB[[#This Row],[Sales_Volume]]</f>
        <v>488</v>
      </c>
      <c r="AA674" s="22">
        <f>GroDB[[#This Row],[ADU]]/GroDB[[#Totals],[ADU]]</f>
        <v>1.4174948021801761E-3</v>
      </c>
      <c r="AB674" s="1">
        <f>GroDB[[#This Row],[Sales_Volume]]*GroDB[[#This Row],[Ordering Cost]]</f>
        <v>390.4</v>
      </c>
    </row>
    <row r="675" spans="1:28" x14ac:dyDescent="0.35">
      <c r="A675" s="5" t="s">
        <v>121</v>
      </c>
      <c r="B675" s="3" t="s">
        <v>53</v>
      </c>
      <c r="C675" s="3" t="s">
        <v>900</v>
      </c>
      <c r="D675" s="3" t="s">
        <v>2466</v>
      </c>
      <c r="E675" s="3" t="s">
        <v>28</v>
      </c>
      <c r="F675" s="3" t="s">
        <v>2467</v>
      </c>
      <c r="G675" s="3" t="s">
        <v>2468</v>
      </c>
      <c r="H675" s="43">
        <v>45376</v>
      </c>
      <c r="I675" s="43">
        <v>45480</v>
      </c>
      <c r="J675" s="47" t="str">
        <f>IF(GroDB[[#This Row],[Last_Order_Date]]&lt;=GroDB[[#This Row],[Date_Received]], "Yes", "No")</f>
        <v>No</v>
      </c>
      <c r="K675" s="43">
        <f>IF(GroDB[[#This Row],[Column1]]="No",GroDB[[#This Row],[Last_Order_Date]],GroDB[[#This Row],[Date_Received]])</f>
        <v>45480</v>
      </c>
      <c r="L675" s="43">
        <f>IF(GroDB[[#This Row],[Column1]]="No",GroDB[[#This Row],[Date_Received]],GroDB[[#This Row],[Last_Order_Date]])</f>
        <v>45376</v>
      </c>
      <c r="M675" s="45">
        <f>GroDB[[#This Row],[Date_Received1]]-GroDB[[#This Row],[Procurement_Date]]</f>
        <v>104</v>
      </c>
      <c r="N675" s="43">
        <v>45584</v>
      </c>
      <c r="O675" s="91">
        <f>GroDB[[#This Row],[Expiration_Date]]-GroDB[[#This Row],[Date_Received1]]</f>
        <v>104</v>
      </c>
      <c r="P675" s="4">
        <v>2.2000000000000002</v>
      </c>
      <c r="Q675" s="3">
        <v>82</v>
      </c>
      <c r="R675" s="3">
        <v>67</v>
      </c>
      <c r="S675" s="3">
        <v>67</v>
      </c>
      <c r="T675" s="4">
        <v>2.75</v>
      </c>
      <c r="U675" s="3">
        <v>26</v>
      </c>
      <c r="V675" s="51">
        <f>IF(GroDB[[#This Row],[LeadTime]]=0,GroDB[[#This Row],[Sales_Volume]],GroDB[[#This Row],[Sales_Volume]]/GroDB[[#This Row],[LeadTime]])</f>
        <v>0.25</v>
      </c>
      <c r="W675" s="51">
        <f>_xlfn.STDEV.S(GroDB[Daily Sales])</f>
        <v>5.1999899792654221</v>
      </c>
      <c r="X675" s="3">
        <v>1</v>
      </c>
      <c r="Y675" s="7">
        <v>-0.18</v>
      </c>
      <c r="Z675" s="4">
        <f>GroDB[[#This Row],[Unit_Price]]*GroDB[[#This Row],[Sales_Volume]]</f>
        <v>71.5</v>
      </c>
      <c r="AA675" s="22">
        <f>GroDB[[#This Row],[ADU]]/GroDB[[#Totals],[ADU]]</f>
        <v>2.0768622613910368E-4</v>
      </c>
      <c r="AB675" s="1">
        <f>GroDB[[#This Row],[Sales_Volume]]*GroDB[[#This Row],[Ordering Cost]]</f>
        <v>57.2</v>
      </c>
    </row>
    <row r="676" spans="1:28" x14ac:dyDescent="0.35">
      <c r="A676" s="5" t="s">
        <v>980</v>
      </c>
      <c r="B676" s="3" t="s">
        <v>60</v>
      </c>
      <c r="C676" s="3" t="s">
        <v>2163</v>
      </c>
      <c r="D676" s="3" t="s">
        <v>2469</v>
      </c>
      <c r="E676" s="3" t="s">
        <v>21</v>
      </c>
      <c r="F676" s="3" t="s">
        <v>2470</v>
      </c>
      <c r="G676" s="3" t="s">
        <v>2471</v>
      </c>
      <c r="H676" s="43">
        <v>45376</v>
      </c>
      <c r="I676" s="43">
        <v>45371</v>
      </c>
      <c r="J676" s="47" t="str">
        <f>IF(GroDB[[#This Row],[Last_Order_Date]]&lt;=GroDB[[#This Row],[Date_Received]], "Yes", "No")</f>
        <v>Yes</v>
      </c>
      <c r="K676" s="43">
        <f>IF(GroDB[[#This Row],[Column1]]="No",GroDB[[#This Row],[Last_Order_Date]],GroDB[[#This Row],[Date_Received]])</f>
        <v>45376</v>
      </c>
      <c r="L676" s="43">
        <f>IF(GroDB[[#This Row],[Column1]]="No",GroDB[[#This Row],[Date_Received]],GroDB[[#This Row],[Last_Order_Date]])</f>
        <v>45371</v>
      </c>
      <c r="M676" s="45">
        <f>GroDB[[#This Row],[Date_Received1]]-GroDB[[#This Row],[Procurement_Date]]</f>
        <v>5</v>
      </c>
      <c r="N676" s="43">
        <v>45654</v>
      </c>
      <c r="O676" s="91">
        <f>GroDB[[#This Row],[Expiration_Date]]-GroDB[[#This Row],[Date_Received1]]</f>
        <v>278</v>
      </c>
      <c r="P676" s="4">
        <v>12</v>
      </c>
      <c r="Q676" s="3">
        <v>78</v>
      </c>
      <c r="R676" s="3">
        <v>68</v>
      </c>
      <c r="S676" s="3">
        <v>86</v>
      </c>
      <c r="T676" s="4">
        <v>15</v>
      </c>
      <c r="U676" s="3">
        <v>47</v>
      </c>
      <c r="V676" s="51">
        <f>IF(GroDB[[#This Row],[LeadTime]]=0,GroDB[[#This Row],[Sales_Volume]],GroDB[[#This Row],[Sales_Volume]]/GroDB[[#This Row],[LeadTime]])</f>
        <v>9.4</v>
      </c>
      <c r="W676" s="51">
        <f>_xlfn.STDEV.S(GroDB[Daily Sales])</f>
        <v>5.1999899792654221</v>
      </c>
      <c r="X676" s="3">
        <v>95</v>
      </c>
      <c r="Y676" s="7">
        <v>0.96</v>
      </c>
      <c r="Z676" s="4">
        <f>GroDB[[#This Row],[Unit_Price]]*GroDB[[#This Row],[Sales_Volume]]</f>
        <v>705</v>
      </c>
      <c r="AA676" s="22">
        <f>GroDB[[#This Row],[ADU]]/GroDB[[#Totals],[ADU]]</f>
        <v>2.0478152367561973E-3</v>
      </c>
      <c r="AB676" s="1">
        <f>GroDB[[#This Row],[Sales_Volume]]*GroDB[[#This Row],[Ordering Cost]]</f>
        <v>564</v>
      </c>
    </row>
    <row r="677" spans="1:28" x14ac:dyDescent="0.35">
      <c r="A677" s="5" t="s">
        <v>230</v>
      </c>
      <c r="B677" s="3" t="s">
        <v>25</v>
      </c>
      <c r="C677" s="3" t="s">
        <v>570</v>
      </c>
      <c r="D677" s="3" t="s">
        <v>2472</v>
      </c>
      <c r="E677" s="3" t="s">
        <v>28</v>
      </c>
      <c r="F677" s="3" t="s">
        <v>2473</v>
      </c>
      <c r="G677" s="3" t="s">
        <v>2474</v>
      </c>
      <c r="H677" s="43">
        <v>45377</v>
      </c>
      <c r="I677" s="43">
        <v>45395</v>
      </c>
      <c r="J677" s="47" t="str">
        <f>IF(GroDB[[#This Row],[Last_Order_Date]]&lt;=GroDB[[#This Row],[Date_Received]], "Yes", "No")</f>
        <v>No</v>
      </c>
      <c r="K677" s="43">
        <f>IF(GroDB[[#This Row],[Column1]]="No",GroDB[[#This Row],[Last_Order_Date]],GroDB[[#This Row],[Date_Received]])</f>
        <v>45395</v>
      </c>
      <c r="L677" s="43">
        <f>IF(GroDB[[#This Row],[Column1]]="No",GroDB[[#This Row],[Date_Received]],GroDB[[#This Row],[Last_Order_Date]])</f>
        <v>45377</v>
      </c>
      <c r="M677" s="45">
        <f>GroDB[[#This Row],[Date_Received1]]-GroDB[[#This Row],[Procurement_Date]]</f>
        <v>18</v>
      </c>
      <c r="N677" s="43">
        <v>45436</v>
      </c>
      <c r="O677" s="91">
        <f>GroDB[[#This Row],[Expiration_Date]]-GroDB[[#This Row],[Date_Received1]]</f>
        <v>41</v>
      </c>
      <c r="P677" s="4">
        <v>1.4400000000000002</v>
      </c>
      <c r="Q677" s="3">
        <v>74</v>
      </c>
      <c r="R677" s="3">
        <v>4</v>
      </c>
      <c r="S677" s="3">
        <v>67</v>
      </c>
      <c r="T677" s="4">
        <v>1.8</v>
      </c>
      <c r="U677" s="3">
        <v>31</v>
      </c>
      <c r="V677" s="51">
        <f>IF(GroDB[[#This Row],[LeadTime]]=0,GroDB[[#This Row],[Sales_Volume]],GroDB[[#This Row],[Sales_Volume]]/GroDB[[#This Row],[LeadTime]])</f>
        <v>1.7222222222222223</v>
      </c>
      <c r="W677" s="51">
        <f>_xlfn.STDEV.S(GroDB[Daily Sales])</f>
        <v>5.1999899792654221</v>
      </c>
      <c r="X677" s="3">
        <v>34</v>
      </c>
      <c r="Y677" s="7">
        <v>-1.02</v>
      </c>
      <c r="Z677" s="4">
        <f>GroDB[[#This Row],[Unit_Price]]*GroDB[[#This Row],[Sales_Volume]]</f>
        <v>55.800000000000004</v>
      </c>
      <c r="AA677" s="22">
        <f>GroDB[[#This Row],[ADU]]/GroDB[[#Totals],[ADU]]</f>
        <v>1.6208239746240541E-4</v>
      </c>
      <c r="AB677" s="1">
        <f>GroDB[[#This Row],[Sales_Volume]]*GroDB[[#This Row],[Ordering Cost]]</f>
        <v>44.640000000000008</v>
      </c>
    </row>
    <row r="678" spans="1:28" x14ac:dyDescent="0.35">
      <c r="A678" s="5" t="s">
        <v>416</v>
      </c>
      <c r="B678" s="3" t="s">
        <v>53</v>
      </c>
      <c r="C678" s="3" t="s">
        <v>578</v>
      </c>
      <c r="D678" s="3" t="s">
        <v>2475</v>
      </c>
      <c r="E678" s="3" t="s">
        <v>21</v>
      </c>
      <c r="F678" s="3" t="s">
        <v>2476</v>
      </c>
      <c r="G678" s="3" t="s">
        <v>2477</v>
      </c>
      <c r="H678" s="43">
        <v>45377</v>
      </c>
      <c r="I678" s="43">
        <v>45410</v>
      </c>
      <c r="J678" s="47" t="str">
        <f>IF(GroDB[[#This Row],[Last_Order_Date]]&lt;=GroDB[[#This Row],[Date_Received]], "Yes", "No")</f>
        <v>No</v>
      </c>
      <c r="K678" s="43">
        <f>IF(GroDB[[#This Row],[Column1]]="No",GroDB[[#This Row],[Last_Order_Date]],GroDB[[#This Row],[Date_Received]])</f>
        <v>45410</v>
      </c>
      <c r="L678" s="43">
        <f>IF(GroDB[[#This Row],[Column1]]="No",GroDB[[#This Row],[Date_Received]],GroDB[[#This Row],[Last_Order_Date]])</f>
        <v>45377</v>
      </c>
      <c r="M678" s="45">
        <f>GroDB[[#This Row],[Date_Received1]]-GroDB[[#This Row],[Procurement_Date]]</f>
        <v>33</v>
      </c>
      <c r="N678" s="43">
        <v>45541</v>
      </c>
      <c r="O678" s="91">
        <f>GroDB[[#This Row],[Expiration_Date]]-GroDB[[#This Row],[Date_Received1]]</f>
        <v>131</v>
      </c>
      <c r="P678" s="4">
        <v>2.4000000000000004</v>
      </c>
      <c r="Q678" s="3">
        <v>18</v>
      </c>
      <c r="R678" s="3">
        <v>62</v>
      </c>
      <c r="S678" s="3">
        <v>2</v>
      </c>
      <c r="T678" s="4">
        <v>3</v>
      </c>
      <c r="U678" s="3">
        <v>61</v>
      </c>
      <c r="V678" s="51">
        <f>IF(GroDB[[#This Row],[LeadTime]]=0,GroDB[[#This Row],[Sales_Volume]],GroDB[[#This Row],[Sales_Volume]]/GroDB[[#This Row],[LeadTime]])</f>
        <v>1.8484848484848484</v>
      </c>
      <c r="W678" s="51">
        <f>_xlfn.STDEV.S(GroDB[Daily Sales])</f>
        <v>5.1999899792654221</v>
      </c>
      <c r="X678" s="3">
        <v>78</v>
      </c>
      <c r="Y678" s="7">
        <v>-0.1</v>
      </c>
      <c r="Z678" s="4">
        <f>GroDB[[#This Row],[Unit_Price]]*GroDB[[#This Row],[Sales_Volume]]</f>
        <v>183</v>
      </c>
      <c r="AA678" s="22">
        <f>GroDB[[#This Row],[ADU]]/GroDB[[#Totals],[ADU]]</f>
        <v>5.3156055081756608E-4</v>
      </c>
      <c r="AB678" s="1">
        <f>GroDB[[#This Row],[Sales_Volume]]*GroDB[[#This Row],[Ordering Cost]]</f>
        <v>146.40000000000003</v>
      </c>
    </row>
    <row r="679" spans="1:28" x14ac:dyDescent="0.35">
      <c r="A679" s="5" t="s">
        <v>1278</v>
      </c>
      <c r="B679" s="3" t="s">
        <v>18</v>
      </c>
      <c r="C679" s="3" t="s">
        <v>616</v>
      </c>
      <c r="D679" s="3" t="s">
        <v>2478</v>
      </c>
      <c r="E679" s="3" t="s">
        <v>56</v>
      </c>
      <c r="F679" s="3" t="s">
        <v>2479</v>
      </c>
      <c r="G679" s="3" t="s">
        <v>2480</v>
      </c>
      <c r="H679" s="43">
        <v>45377</v>
      </c>
      <c r="I679" s="43">
        <v>45550</v>
      </c>
      <c r="J679" s="47" t="str">
        <f>IF(GroDB[[#This Row],[Last_Order_Date]]&lt;=GroDB[[#This Row],[Date_Received]], "Yes", "No")</f>
        <v>No</v>
      </c>
      <c r="K679" s="43">
        <f>IF(GroDB[[#This Row],[Column1]]="No",GroDB[[#This Row],[Last_Order_Date]],GroDB[[#This Row],[Date_Received]])</f>
        <v>45550</v>
      </c>
      <c r="L679" s="43">
        <f>IF(GroDB[[#This Row],[Column1]]="No",GroDB[[#This Row],[Date_Received]],GroDB[[#This Row],[Last_Order_Date]])</f>
        <v>45377</v>
      </c>
      <c r="M679" s="45">
        <f>GroDB[[#This Row],[Date_Received1]]-GroDB[[#This Row],[Procurement_Date]]</f>
        <v>173</v>
      </c>
      <c r="N679" s="43">
        <v>45608</v>
      </c>
      <c r="O679" s="91">
        <f>GroDB[[#This Row],[Expiration_Date]]-GroDB[[#This Row],[Date_Received1]]</f>
        <v>58</v>
      </c>
      <c r="P679" s="4">
        <v>3.6</v>
      </c>
      <c r="Q679" s="3">
        <v>59</v>
      </c>
      <c r="R679" s="3">
        <v>74</v>
      </c>
      <c r="S679" s="3">
        <v>100</v>
      </c>
      <c r="T679" s="4">
        <v>4.5</v>
      </c>
      <c r="U679" s="3">
        <v>63</v>
      </c>
      <c r="V679" s="51">
        <f>IF(GroDB[[#This Row],[LeadTime]]=0,GroDB[[#This Row],[Sales_Volume]],GroDB[[#This Row],[Sales_Volume]]/GroDB[[#This Row],[LeadTime]])</f>
        <v>0.36416184971098264</v>
      </c>
      <c r="W679" s="51">
        <f>_xlfn.STDEV.S(GroDB[Daily Sales])</f>
        <v>5.1999899792654221</v>
      </c>
      <c r="X679" s="3">
        <v>69</v>
      </c>
      <c r="Y679" s="7">
        <v>-0.28000000000000003</v>
      </c>
      <c r="Z679" s="4">
        <f>GroDB[[#This Row],[Unit_Price]]*GroDB[[#This Row],[Sales_Volume]]</f>
        <v>283.5</v>
      </c>
      <c r="AA679" s="22">
        <f>GroDB[[#This Row],[ADU]]/GroDB[[#Totals],[ADU]]</f>
        <v>8.2348314839770479E-4</v>
      </c>
      <c r="AB679" s="1">
        <f>GroDB[[#This Row],[Sales_Volume]]*GroDB[[#This Row],[Ordering Cost]]</f>
        <v>226.8</v>
      </c>
    </row>
    <row r="680" spans="1:28" x14ac:dyDescent="0.35">
      <c r="A680" s="5" t="s">
        <v>544</v>
      </c>
      <c r="B680" s="3" t="s">
        <v>91</v>
      </c>
      <c r="C680" s="3" t="s">
        <v>1465</v>
      </c>
      <c r="D680" s="3" t="s">
        <v>2481</v>
      </c>
      <c r="E680" s="3" t="s">
        <v>21</v>
      </c>
      <c r="F680" s="3" t="s">
        <v>2482</v>
      </c>
      <c r="G680" s="3" t="s">
        <v>2483</v>
      </c>
      <c r="H680" s="43">
        <v>45377</v>
      </c>
      <c r="I680" s="43">
        <v>45620</v>
      </c>
      <c r="J680" s="47" t="str">
        <f>IF(GroDB[[#This Row],[Last_Order_Date]]&lt;=GroDB[[#This Row],[Date_Received]], "Yes", "No")</f>
        <v>No</v>
      </c>
      <c r="K680" s="43">
        <f>IF(GroDB[[#This Row],[Column1]]="No",GroDB[[#This Row],[Last_Order_Date]],GroDB[[#This Row],[Date_Received]])</f>
        <v>45620</v>
      </c>
      <c r="L680" s="43">
        <f>IF(GroDB[[#This Row],[Column1]]="No",GroDB[[#This Row],[Date_Received]],GroDB[[#This Row],[Last_Order_Date]])</f>
        <v>45377</v>
      </c>
      <c r="M680" s="45">
        <f>GroDB[[#This Row],[Date_Received1]]-GroDB[[#This Row],[Procurement_Date]]</f>
        <v>243</v>
      </c>
      <c r="N680" s="43">
        <v>45451</v>
      </c>
      <c r="O680" s="91">
        <f>GroDB[[#This Row],[Expiration_Date]]-GroDB[[#This Row],[Date_Received1]]</f>
        <v>-169</v>
      </c>
      <c r="P680" s="4">
        <v>2.2399999999999998</v>
      </c>
      <c r="Q680" s="3">
        <v>48</v>
      </c>
      <c r="R680" s="3">
        <v>2</v>
      </c>
      <c r="S680" s="3">
        <v>16</v>
      </c>
      <c r="T680" s="4">
        <v>2.8</v>
      </c>
      <c r="U680" s="3">
        <v>27</v>
      </c>
      <c r="V680" s="51">
        <f>IF(GroDB[[#This Row],[LeadTime]]=0,GroDB[[#This Row],[Sales_Volume]],GroDB[[#This Row],[Sales_Volume]]/GroDB[[#This Row],[LeadTime]])</f>
        <v>0.1111111111111111</v>
      </c>
      <c r="W680" s="51">
        <f>_xlfn.STDEV.S(GroDB[Daily Sales])</f>
        <v>5.1999899792654221</v>
      </c>
      <c r="X680" s="3">
        <v>1</v>
      </c>
      <c r="Y680" s="7">
        <v>-0.1</v>
      </c>
      <c r="Z680" s="4">
        <f>GroDB[[#This Row],[Unit_Price]]*GroDB[[#This Row],[Sales_Volume]]</f>
        <v>75.599999999999994</v>
      </c>
      <c r="AA680" s="22">
        <f>GroDB[[#This Row],[ADU]]/GroDB[[#Totals],[ADU]]</f>
        <v>2.1959550623938792E-4</v>
      </c>
      <c r="AB680" s="1">
        <f>GroDB[[#This Row],[Sales_Volume]]*GroDB[[#This Row],[Ordering Cost]]</f>
        <v>60.48</v>
      </c>
    </row>
    <row r="681" spans="1:28" x14ac:dyDescent="0.35">
      <c r="A681" s="5" t="s">
        <v>42</v>
      </c>
      <c r="B681" s="3" t="s">
        <v>18</v>
      </c>
      <c r="C681" s="3" t="s">
        <v>2041</v>
      </c>
      <c r="D681" s="3" t="s">
        <v>2484</v>
      </c>
      <c r="E681" s="3" t="s">
        <v>21</v>
      </c>
      <c r="F681" s="3" t="s">
        <v>2485</v>
      </c>
      <c r="G681" s="3" t="s">
        <v>2486</v>
      </c>
      <c r="H681" s="43">
        <v>45378</v>
      </c>
      <c r="I681" s="43">
        <v>45528</v>
      </c>
      <c r="J681" s="47" t="str">
        <f>IF(GroDB[[#This Row],[Last_Order_Date]]&lt;=GroDB[[#This Row],[Date_Received]], "Yes", "No")</f>
        <v>No</v>
      </c>
      <c r="K681" s="43">
        <f>IF(GroDB[[#This Row],[Column1]]="No",GroDB[[#This Row],[Last_Order_Date]],GroDB[[#This Row],[Date_Received]])</f>
        <v>45528</v>
      </c>
      <c r="L681" s="43">
        <f>IF(GroDB[[#This Row],[Column1]]="No",GroDB[[#This Row],[Date_Received]],GroDB[[#This Row],[Last_Order_Date]])</f>
        <v>45378</v>
      </c>
      <c r="M681" s="45">
        <f>GroDB[[#This Row],[Date_Received1]]-GroDB[[#This Row],[Procurement_Date]]</f>
        <v>150</v>
      </c>
      <c r="N681" s="43">
        <v>45423</v>
      </c>
      <c r="O681" s="91">
        <f>GroDB[[#This Row],[Expiration_Date]]-GroDB[[#This Row],[Date_Received1]]</f>
        <v>-105</v>
      </c>
      <c r="P681" s="4">
        <v>5.6000000000000005</v>
      </c>
      <c r="Q681" s="3">
        <v>76</v>
      </c>
      <c r="R681" s="3">
        <v>97</v>
      </c>
      <c r="S681" s="3">
        <v>20</v>
      </c>
      <c r="T681" s="4">
        <v>7</v>
      </c>
      <c r="U681" s="3">
        <v>52</v>
      </c>
      <c r="V681" s="51">
        <f>IF(GroDB[[#This Row],[LeadTime]]=0,GroDB[[#This Row],[Sales_Volume]],GroDB[[#This Row],[Sales_Volume]]/GroDB[[#This Row],[LeadTime]])</f>
        <v>0.34666666666666668</v>
      </c>
      <c r="W681" s="51">
        <f>_xlfn.STDEV.S(GroDB[Daily Sales])</f>
        <v>5.1999899792654221</v>
      </c>
      <c r="X681" s="3">
        <v>82</v>
      </c>
      <c r="Y681" s="7">
        <v>0.96</v>
      </c>
      <c r="Z681" s="4">
        <f>GroDB[[#This Row],[Unit_Price]]*GroDB[[#This Row],[Sales_Volume]]</f>
        <v>364</v>
      </c>
      <c r="AA681" s="22">
        <f>GroDB[[#This Row],[ADU]]/GroDB[[#Totals],[ADU]]</f>
        <v>1.0573116967081643E-3</v>
      </c>
      <c r="AB681" s="1">
        <f>GroDB[[#This Row],[Sales_Volume]]*GroDB[[#This Row],[Ordering Cost]]</f>
        <v>291.20000000000005</v>
      </c>
    </row>
    <row r="682" spans="1:28" x14ac:dyDescent="0.35">
      <c r="A682" s="5" t="s">
        <v>544</v>
      </c>
      <c r="B682" s="3" t="s">
        <v>91</v>
      </c>
      <c r="C682" s="3" t="s">
        <v>1712</v>
      </c>
      <c r="D682" s="3" t="s">
        <v>2487</v>
      </c>
      <c r="E682" s="3" t="s">
        <v>21</v>
      </c>
      <c r="F682" s="3" t="s">
        <v>2488</v>
      </c>
      <c r="G682" s="3" t="s">
        <v>2489</v>
      </c>
      <c r="H682" s="43">
        <v>45378</v>
      </c>
      <c r="I682" s="43">
        <v>45428</v>
      </c>
      <c r="J682" s="47" t="str">
        <f>IF(GroDB[[#This Row],[Last_Order_Date]]&lt;=GroDB[[#This Row],[Date_Received]], "Yes", "No")</f>
        <v>No</v>
      </c>
      <c r="K682" s="43">
        <f>IF(GroDB[[#This Row],[Column1]]="No",GroDB[[#This Row],[Last_Order_Date]],GroDB[[#This Row],[Date_Received]])</f>
        <v>45428</v>
      </c>
      <c r="L682" s="43">
        <f>IF(GroDB[[#This Row],[Column1]]="No",GroDB[[#This Row],[Date_Received]],GroDB[[#This Row],[Last_Order_Date]])</f>
        <v>45378</v>
      </c>
      <c r="M682" s="45">
        <f>GroDB[[#This Row],[Date_Received1]]-GroDB[[#This Row],[Procurement_Date]]</f>
        <v>50</v>
      </c>
      <c r="N682" s="43">
        <v>45552</v>
      </c>
      <c r="O682" s="91">
        <f>GroDB[[#This Row],[Expiration_Date]]-GroDB[[#This Row],[Date_Received1]]</f>
        <v>124</v>
      </c>
      <c r="P682" s="4">
        <v>2.4000000000000004</v>
      </c>
      <c r="Q682" s="3">
        <v>50</v>
      </c>
      <c r="R682" s="3">
        <v>56</v>
      </c>
      <c r="S682" s="3">
        <v>63</v>
      </c>
      <c r="T682" s="4">
        <v>3</v>
      </c>
      <c r="U682" s="3">
        <v>70</v>
      </c>
      <c r="V682" s="51">
        <f>IF(GroDB[[#This Row],[LeadTime]]=0,GroDB[[#This Row],[Sales_Volume]],GroDB[[#This Row],[Sales_Volume]]/GroDB[[#This Row],[LeadTime]])</f>
        <v>1.4</v>
      </c>
      <c r="W682" s="51">
        <f>_xlfn.STDEV.S(GroDB[Daily Sales])</f>
        <v>5.1999899792654221</v>
      </c>
      <c r="X682" s="3">
        <v>100</v>
      </c>
      <c r="Y682" s="7">
        <v>-0.57999999999999996</v>
      </c>
      <c r="Z682" s="4">
        <f>GroDB[[#This Row],[Unit_Price]]*GroDB[[#This Row],[Sales_Volume]]</f>
        <v>210</v>
      </c>
      <c r="AA682" s="22">
        <f>GroDB[[#This Row],[ADU]]/GroDB[[#Totals],[ADU]]</f>
        <v>6.0998751733163314E-4</v>
      </c>
      <c r="AB682" s="1">
        <f>GroDB[[#This Row],[Sales_Volume]]*GroDB[[#This Row],[Ordering Cost]]</f>
        <v>168.00000000000003</v>
      </c>
    </row>
    <row r="683" spans="1:28" x14ac:dyDescent="0.35">
      <c r="A683" s="5" t="s">
        <v>126</v>
      </c>
      <c r="B683" s="3" t="s">
        <v>127</v>
      </c>
      <c r="C683" s="3" t="s">
        <v>637</v>
      </c>
      <c r="D683" s="3" t="s">
        <v>2490</v>
      </c>
      <c r="E683" s="3" t="s">
        <v>28</v>
      </c>
      <c r="F683" s="3" t="s">
        <v>2491</v>
      </c>
      <c r="G683" s="3" t="s">
        <v>2492</v>
      </c>
      <c r="H683" s="43">
        <v>45378</v>
      </c>
      <c r="I683" s="43">
        <v>45433</v>
      </c>
      <c r="J683" s="47" t="str">
        <f>IF(GroDB[[#This Row],[Last_Order_Date]]&lt;=GroDB[[#This Row],[Date_Received]], "Yes", "No")</f>
        <v>No</v>
      </c>
      <c r="K683" s="43">
        <f>IF(GroDB[[#This Row],[Column1]]="No",GroDB[[#This Row],[Last_Order_Date]],GroDB[[#This Row],[Date_Received]])</f>
        <v>45433</v>
      </c>
      <c r="L683" s="43">
        <f>IF(GroDB[[#This Row],[Column1]]="No",GroDB[[#This Row],[Date_Received]],GroDB[[#This Row],[Last_Order_Date]])</f>
        <v>45378</v>
      </c>
      <c r="M683" s="45">
        <f>GroDB[[#This Row],[Date_Received1]]-GroDB[[#This Row],[Procurement_Date]]</f>
        <v>55</v>
      </c>
      <c r="N683" s="43">
        <v>45617</v>
      </c>
      <c r="O683" s="91">
        <f>GroDB[[#This Row],[Expiration_Date]]-GroDB[[#This Row],[Date_Received1]]</f>
        <v>184</v>
      </c>
      <c r="P683" s="4">
        <v>16</v>
      </c>
      <c r="Q683" s="3">
        <v>23</v>
      </c>
      <c r="R683" s="3">
        <v>13</v>
      </c>
      <c r="S683" s="3">
        <v>15</v>
      </c>
      <c r="T683" s="4">
        <v>20</v>
      </c>
      <c r="U683" s="3">
        <v>31</v>
      </c>
      <c r="V683" s="51">
        <f>IF(GroDB[[#This Row],[LeadTime]]=0,GroDB[[#This Row],[Sales_Volume]],GroDB[[#This Row],[Sales_Volume]]/GroDB[[#This Row],[LeadTime]])</f>
        <v>0.5636363636363636</v>
      </c>
      <c r="W683" s="51">
        <f>_xlfn.STDEV.S(GroDB[Daily Sales])</f>
        <v>5.1999899792654221</v>
      </c>
      <c r="X683" s="3">
        <v>28</v>
      </c>
      <c r="Y683" s="7">
        <v>-0.43</v>
      </c>
      <c r="Z683" s="4">
        <f>GroDB[[#This Row],[Unit_Price]]*GroDB[[#This Row],[Sales_Volume]]</f>
        <v>620</v>
      </c>
      <c r="AA683" s="22">
        <f>GroDB[[#This Row],[ADU]]/GroDB[[#Totals],[ADU]]</f>
        <v>1.8009155273600599E-3</v>
      </c>
      <c r="AB683" s="1">
        <f>GroDB[[#This Row],[Sales_Volume]]*GroDB[[#This Row],[Ordering Cost]]</f>
        <v>496</v>
      </c>
    </row>
    <row r="684" spans="1:28" x14ac:dyDescent="0.35">
      <c r="A684" s="5" t="s">
        <v>106</v>
      </c>
      <c r="B684" s="3" t="s">
        <v>32</v>
      </c>
      <c r="C684" s="3" t="s">
        <v>2223</v>
      </c>
      <c r="D684" s="3" t="s">
        <v>2493</v>
      </c>
      <c r="E684" s="3" t="s">
        <v>56</v>
      </c>
      <c r="F684" s="3" t="s">
        <v>2494</v>
      </c>
      <c r="G684" s="3" t="s">
        <v>2495</v>
      </c>
      <c r="H684" s="43">
        <v>45378</v>
      </c>
      <c r="I684" s="43">
        <v>45421</v>
      </c>
      <c r="J684" s="47" t="str">
        <f>IF(GroDB[[#This Row],[Last_Order_Date]]&lt;=GroDB[[#This Row],[Date_Received]], "Yes", "No")</f>
        <v>No</v>
      </c>
      <c r="K684" s="43">
        <f>IF(GroDB[[#This Row],[Column1]]="No",GroDB[[#This Row],[Last_Order_Date]],GroDB[[#This Row],[Date_Received]])</f>
        <v>45421</v>
      </c>
      <c r="L684" s="43">
        <f>IF(GroDB[[#This Row],[Column1]]="No",GroDB[[#This Row],[Date_Received]],GroDB[[#This Row],[Last_Order_Date]])</f>
        <v>45378</v>
      </c>
      <c r="M684" s="45">
        <f>GroDB[[#This Row],[Date_Received1]]-GroDB[[#This Row],[Procurement_Date]]</f>
        <v>43</v>
      </c>
      <c r="N684" s="43">
        <v>45646</v>
      </c>
      <c r="O684" s="91">
        <f>GroDB[[#This Row],[Expiration_Date]]-GroDB[[#This Row],[Date_Received1]]</f>
        <v>225</v>
      </c>
      <c r="P684" s="4">
        <v>2</v>
      </c>
      <c r="Q684" s="3">
        <v>86</v>
      </c>
      <c r="R684" s="3">
        <v>16</v>
      </c>
      <c r="S684" s="3">
        <v>37</v>
      </c>
      <c r="T684" s="4">
        <v>2.5</v>
      </c>
      <c r="U684" s="3">
        <v>34</v>
      </c>
      <c r="V684" s="51">
        <f>IF(GroDB[[#This Row],[LeadTime]]=0,GroDB[[#This Row],[Sales_Volume]],GroDB[[#This Row],[Sales_Volume]]/GroDB[[#This Row],[LeadTime]])</f>
        <v>0.79069767441860461</v>
      </c>
      <c r="W684" s="51">
        <f>_xlfn.STDEV.S(GroDB[Daily Sales])</f>
        <v>5.1999899792654221</v>
      </c>
      <c r="X684" s="3">
        <v>66</v>
      </c>
      <c r="Y684" s="7">
        <v>0.1</v>
      </c>
      <c r="Z684" s="4">
        <f>GroDB[[#This Row],[Unit_Price]]*GroDB[[#This Row],[Sales_Volume]]</f>
        <v>85</v>
      </c>
      <c r="AA684" s="22">
        <f>GroDB[[#This Row],[ADU]]/GroDB[[#Totals],[ADU]]</f>
        <v>2.4689970939613723E-4</v>
      </c>
      <c r="AB684" s="1">
        <f>GroDB[[#This Row],[Sales_Volume]]*GroDB[[#This Row],[Ordering Cost]]</f>
        <v>68</v>
      </c>
    </row>
    <row r="685" spans="1:28" x14ac:dyDescent="0.35">
      <c r="A685" s="5" t="s">
        <v>736</v>
      </c>
      <c r="B685" s="3" t="s">
        <v>91</v>
      </c>
      <c r="C685" s="3" t="s">
        <v>2496</v>
      </c>
      <c r="D685" s="3" t="s">
        <v>2497</v>
      </c>
      <c r="E685" s="3" t="s">
        <v>21</v>
      </c>
      <c r="F685" s="3" t="s">
        <v>2498</v>
      </c>
      <c r="G685" s="3" t="s">
        <v>2499</v>
      </c>
      <c r="H685" s="43">
        <v>45378</v>
      </c>
      <c r="I685" s="43">
        <v>45468</v>
      </c>
      <c r="J685" s="47" t="str">
        <f>IF(GroDB[[#This Row],[Last_Order_Date]]&lt;=GroDB[[#This Row],[Date_Received]], "Yes", "No")</f>
        <v>No</v>
      </c>
      <c r="K685" s="43">
        <f>IF(GroDB[[#This Row],[Column1]]="No",GroDB[[#This Row],[Last_Order_Date]],GroDB[[#This Row],[Date_Received]])</f>
        <v>45468</v>
      </c>
      <c r="L685" s="43">
        <f>IF(GroDB[[#This Row],[Column1]]="No",GroDB[[#This Row],[Date_Received]],GroDB[[#This Row],[Last_Order_Date]])</f>
        <v>45378</v>
      </c>
      <c r="M685" s="45">
        <f>GroDB[[#This Row],[Date_Received1]]-GroDB[[#This Row],[Procurement_Date]]</f>
        <v>90</v>
      </c>
      <c r="N685" s="43">
        <v>45572</v>
      </c>
      <c r="O685" s="91">
        <f>GroDB[[#This Row],[Expiration_Date]]-GroDB[[#This Row],[Date_Received1]]</f>
        <v>104</v>
      </c>
      <c r="P685" s="4">
        <v>4</v>
      </c>
      <c r="Q685" s="3">
        <v>28</v>
      </c>
      <c r="R685" s="3">
        <v>62</v>
      </c>
      <c r="S685" s="3">
        <v>81</v>
      </c>
      <c r="T685" s="4">
        <v>5</v>
      </c>
      <c r="U685" s="3">
        <v>28</v>
      </c>
      <c r="V685" s="51">
        <f>IF(GroDB[[#This Row],[LeadTime]]=0,GroDB[[#This Row],[Sales_Volume]],GroDB[[#This Row],[Sales_Volume]]/GroDB[[#This Row],[LeadTime]])</f>
        <v>0.31111111111111112</v>
      </c>
      <c r="W685" s="51">
        <f>_xlfn.STDEV.S(GroDB[Daily Sales])</f>
        <v>5.1999899792654221</v>
      </c>
      <c r="X685" s="3">
        <v>30</v>
      </c>
      <c r="Y685" s="7">
        <v>-0.94</v>
      </c>
      <c r="Z685" s="4">
        <f>GroDB[[#This Row],[Unit_Price]]*GroDB[[#This Row],[Sales_Volume]]</f>
        <v>140</v>
      </c>
      <c r="AA685" s="22">
        <f>GroDB[[#This Row],[ADU]]/GroDB[[#Totals],[ADU]]</f>
        <v>4.0665834488775546E-4</v>
      </c>
      <c r="AB685" s="1">
        <f>GroDB[[#This Row],[Sales_Volume]]*GroDB[[#This Row],[Ordering Cost]]</f>
        <v>112</v>
      </c>
    </row>
    <row r="686" spans="1:28" x14ac:dyDescent="0.35">
      <c r="A686" s="5" t="s">
        <v>165</v>
      </c>
      <c r="B686" s="3" t="s">
        <v>60</v>
      </c>
      <c r="C686" s="3" t="s">
        <v>2500</v>
      </c>
      <c r="D686" s="3" t="s">
        <v>2501</v>
      </c>
      <c r="E686" s="3" t="s">
        <v>28</v>
      </c>
      <c r="F686" s="3" t="s">
        <v>2502</v>
      </c>
      <c r="G686" s="3" t="s">
        <v>2503</v>
      </c>
      <c r="H686" s="43">
        <v>45379</v>
      </c>
      <c r="I686" s="43">
        <v>45658</v>
      </c>
      <c r="J686" s="47" t="str">
        <f>IF(GroDB[[#This Row],[Last_Order_Date]]&lt;=GroDB[[#This Row],[Date_Received]], "Yes", "No")</f>
        <v>No</v>
      </c>
      <c r="K686" s="43">
        <f>IF(GroDB[[#This Row],[Column1]]="No",GroDB[[#This Row],[Last_Order_Date]],GroDB[[#This Row],[Date_Received]])</f>
        <v>45658</v>
      </c>
      <c r="L686" s="43">
        <f>IF(GroDB[[#This Row],[Column1]]="No",GroDB[[#This Row],[Date_Received]],GroDB[[#This Row],[Last_Order_Date]])</f>
        <v>45379</v>
      </c>
      <c r="M686" s="45">
        <f>GroDB[[#This Row],[Date_Received1]]-GroDB[[#This Row],[Procurement_Date]]</f>
        <v>279</v>
      </c>
      <c r="N686" s="43">
        <v>45415</v>
      </c>
      <c r="O686" s="91">
        <f>GroDB[[#This Row],[Expiration_Date]]-GroDB[[#This Row],[Date_Received1]]</f>
        <v>-243</v>
      </c>
      <c r="P686" s="4">
        <v>5.36</v>
      </c>
      <c r="Q686" s="3">
        <v>85</v>
      </c>
      <c r="R686" s="3">
        <v>92</v>
      </c>
      <c r="S686" s="3">
        <v>66</v>
      </c>
      <c r="T686" s="4">
        <v>6.7</v>
      </c>
      <c r="U686" s="3">
        <v>54</v>
      </c>
      <c r="V686" s="51">
        <f>IF(GroDB[[#This Row],[LeadTime]]=0,GroDB[[#This Row],[Sales_Volume]],GroDB[[#This Row],[Sales_Volume]]/GroDB[[#This Row],[LeadTime]])</f>
        <v>0.19354838709677419</v>
      </c>
      <c r="W686" s="51">
        <f>_xlfn.STDEV.S(GroDB[Daily Sales])</f>
        <v>5.1999899792654221</v>
      </c>
      <c r="X686" s="3">
        <v>85</v>
      </c>
      <c r="Y686" s="7">
        <v>-7.0000000000000007E-2</v>
      </c>
      <c r="Z686" s="4">
        <f>GroDB[[#This Row],[Unit_Price]]*GroDB[[#This Row],[Sales_Volume]]</f>
        <v>361.8</v>
      </c>
      <c r="AA686" s="22">
        <f>GroDB[[#This Row],[ADU]]/GroDB[[#Totals],[ADU]]</f>
        <v>1.0509213512884994E-3</v>
      </c>
      <c r="AB686" s="1">
        <f>GroDB[[#This Row],[Sales_Volume]]*GroDB[[#This Row],[Ordering Cost]]</f>
        <v>289.44</v>
      </c>
    </row>
    <row r="687" spans="1:28" x14ac:dyDescent="0.35">
      <c r="A687" s="5" t="s">
        <v>1179</v>
      </c>
      <c r="B687" s="3" t="s">
        <v>91</v>
      </c>
      <c r="C687" s="3" t="s">
        <v>2504</v>
      </c>
      <c r="D687" s="3" t="s">
        <v>2505</v>
      </c>
      <c r="E687" s="3" t="s">
        <v>28</v>
      </c>
      <c r="F687" s="3" t="s">
        <v>2506</v>
      </c>
      <c r="G687" s="3" t="s">
        <v>2507</v>
      </c>
      <c r="H687" s="43">
        <v>45379</v>
      </c>
      <c r="I687" s="43">
        <v>45685</v>
      </c>
      <c r="J687" s="47" t="str">
        <f>IF(GroDB[[#This Row],[Last_Order_Date]]&lt;=GroDB[[#This Row],[Date_Received]], "Yes", "No")</f>
        <v>No</v>
      </c>
      <c r="K687" s="43">
        <f>IF(GroDB[[#This Row],[Column1]]="No",GroDB[[#This Row],[Last_Order_Date]],GroDB[[#This Row],[Date_Received]])</f>
        <v>45685</v>
      </c>
      <c r="L687" s="43">
        <f>IF(GroDB[[#This Row],[Column1]]="No",GroDB[[#This Row],[Date_Received]],GroDB[[#This Row],[Last_Order_Date]])</f>
        <v>45379</v>
      </c>
      <c r="M687" s="45">
        <f>GroDB[[#This Row],[Date_Received1]]-GroDB[[#This Row],[Procurement_Date]]</f>
        <v>306</v>
      </c>
      <c r="N687" s="43">
        <v>45406</v>
      </c>
      <c r="O687" s="91">
        <f>GroDB[[#This Row],[Expiration_Date]]-GroDB[[#This Row],[Date_Received1]]</f>
        <v>-279</v>
      </c>
      <c r="P687" s="4">
        <v>2</v>
      </c>
      <c r="Q687" s="3">
        <v>42</v>
      </c>
      <c r="R687" s="3">
        <v>88</v>
      </c>
      <c r="S687" s="3">
        <v>95</v>
      </c>
      <c r="T687" s="4">
        <v>2.5</v>
      </c>
      <c r="U687" s="3">
        <v>67</v>
      </c>
      <c r="V687" s="51">
        <f>IF(GroDB[[#This Row],[LeadTime]]=0,GroDB[[#This Row],[Sales_Volume]],GroDB[[#This Row],[Sales_Volume]]/GroDB[[#This Row],[LeadTime]])</f>
        <v>0.21895424836601307</v>
      </c>
      <c r="W687" s="51">
        <f>_xlfn.STDEV.S(GroDB[Daily Sales])</f>
        <v>5.1999899792654221</v>
      </c>
      <c r="X687" s="3">
        <v>94</v>
      </c>
      <c r="Y687" s="7">
        <v>-0.56999999999999995</v>
      </c>
      <c r="Z687" s="4">
        <f>GroDB[[#This Row],[Unit_Price]]*GroDB[[#This Row],[Sales_Volume]]</f>
        <v>167.5</v>
      </c>
      <c r="AA687" s="22">
        <f>GroDB[[#This Row],[ADU]]/GroDB[[#Totals],[ADU]]</f>
        <v>4.8653766263356455E-4</v>
      </c>
      <c r="AB687" s="1">
        <f>GroDB[[#This Row],[Sales_Volume]]*GroDB[[#This Row],[Ordering Cost]]</f>
        <v>134</v>
      </c>
    </row>
    <row r="688" spans="1:28" x14ac:dyDescent="0.35">
      <c r="A688" s="5" t="s">
        <v>1081</v>
      </c>
      <c r="B688" s="3" t="s">
        <v>127</v>
      </c>
      <c r="C688" s="3" t="s">
        <v>540</v>
      </c>
      <c r="D688" s="3" t="s">
        <v>2508</v>
      </c>
      <c r="E688" s="3" t="s">
        <v>56</v>
      </c>
      <c r="F688" s="3" t="s">
        <v>2509</v>
      </c>
      <c r="G688" s="3" t="s">
        <v>2510</v>
      </c>
      <c r="H688" s="43">
        <v>45380</v>
      </c>
      <c r="I688" s="43">
        <v>45461</v>
      </c>
      <c r="J688" s="47" t="str">
        <f>IF(GroDB[[#This Row],[Last_Order_Date]]&lt;=GroDB[[#This Row],[Date_Received]], "Yes", "No")</f>
        <v>No</v>
      </c>
      <c r="K688" s="43">
        <f>IF(GroDB[[#This Row],[Column1]]="No",GroDB[[#This Row],[Last_Order_Date]],GroDB[[#This Row],[Date_Received]])</f>
        <v>45461</v>
      </c>
      <c r="L688" s="43">
        <f>IF(GroDB[[#This Row],[Column1]]="No",GroDB[[#This Row],[Date_Received]],GroDB[[#This Row],[Last_Order_Date]])</f>
        <v>45380</v>
      </c>
      <c r="M688" s="45">
        <f>GroDB[[#This Row],[Date_Received1]]-GroDB[[#This Row],[Procurement_Date]]</f>
        <v>81</v>
      </c>
      <c r="N688" s="43">
        <v>45613</v>
      </c>
      <c r="O688" s="91">
        <f>GroDB[[#This Row],[Expiration_Date]]-GroDB[[#This Row],[Date_Received1]]</f>
        <v>152</v>
      </c>
      <c r="P688" s="4">
        <v>6.08</v>
      </c>
      <c r="Q688" s="3">
        <v>51</v>
      </c>
      <c r="R688" s="3">
        <v>1</v>
      </c>
      <c r="S688" s="3">
        <v>61</v>
      </c>
      <c r="T688" s="4">
        <v>7.6</v>
      </c>
      <c r="U688" s="3">
        <v>96</v>
      </c>
      <c r="V688" s="51">
        <f>IF(GroDB[[#This Row],[LeadTime]]=0,GroDB[[#This Row],[Sales_Volume]],GroDB[[#This Row],[Sales_Volume]]/GroDB[[#This Row],[LeadTime]])</f>
        <v>1.1851851851851851</v>
      </c>
      <c r="W688" s="51">
        <f>_xlfn.STDEV.S(GroDB[Daily Sales])</f>
        <v>5.1999899792654221</v>
      </c>
      <c r="X688" s="3">
        <v>26</v>
      </c>
      <c r="Y688" s="7">
        <v>-0.4</v>
      </c>
      <c r="Z688" s="4">
        <f>GroDB[[#This Row],[Unit_Price]]*GroDB[[#This Row],[Sales_Volume]]</f>
        <v>729.59999999999991</v>
      </c>
      <c r="AA688" s="22">
        <f>GroDB[[#This Row],[ADU]]/GroDB[[#Totals],[ADU]]</f>
        <v>2.1192709173579022E-3</v>
      </c>
      <c r="AB688" s="1">
        <f>GroDB[[#This Row],[Sales_Volume]]*GroDB[[#This Row],[Ordering Cost]]</f>
        <v>583.68000000000006</v>
      </c>
    </row>
    <row r="689" spans="1:28" x14ac:dyDescent="0.35">
      <c r="A689" s="5" t="s">
        <v>253</v>
      </c>
      <c r="B689" s="3" t="s">
        <v>18</v>
      </c>
      <c r="C689" s="3" t="s">
        <v>2511</v>
      </c>
      <c r="D689" s="3" t="s">
        <v>2512</v>
      </c>
      <c r="E689" s="3" t="s">
        <v>21</v>
      </c>
      <c r="F689" s="3" t="s">
        <v>2513</v>
      </c>
      <c r="G689" s="3" t="s">
        <v>2514</v>
      </c>
      <c r="H689" s="43">
        <v>45380</v>
      </c>
      <c r="I689" s="43">
        <v>45693</v>
      </c>
      <c r="J689" s="47" t="str">
        <f>IF(GroDB[[#This Row],[Last_Order_Date]]&lt;=GroDB[[#This Row],[Date_Received]], "Yes", "No")</f>
        <v>No</v>
      </c>
      <c r="K689" s="43">
        <f>IF(GroDB[[#This Row],[Column1]]="No",GroDB[[#This Row],[Last_Order_Date]],GroDB[[#This Row],[Date_Received]])</f>
        <v>45693</v>
      </c>
      <c r="L689" s="43">
        <f>IF(GroDB[[#This Row],[Column1]]="No",GroDB[[#This Row],[Date_Received]],GroDB[[#This Row],[Last_Order_Date]])</f>
        <v>45380</v>
      </c>
      <c r="M689" s="45">
        <f>GroDB[[#This Row],[Date_Received1]]-GroDB[[#This Row],[Procurement_Date]]</f>
        <v>313</v>
      </c>
      <c r="N689" s="43">
        <v>45495</v>
      </c>
      <c r="O689" s="91">
        <f>GroDB[[#This Row],[Expiration_Date]]-GroDB[[#This Row],[Date_Received1]]</f>
        <v>-198</v>
      </c>
      <c r="P689" s="4">
        <v>4</v>
      </c>
      <c r="Q689" s="3">
        <v>73</v>
      </c>
      <c r="R689" s="3">
        <v>83</v>
      </c>
      <c r="S689" s="3">
        <v>74</v>
      </c>
      <c r="T689" s="4">
        <v>5</v>
      </c>
      <c r="U689" s="3">
        <v>87</v>
      </c>
      <c r="V689" s="51">
        <f>IF(GroDB[[#This Row],[LeadTime]]=0,GroDB[[#This Row],[Sales_Volume]],GroDB[[#This Row],[Sales_Volume]]/GroDB[[#This Row],[LeadTime]])</f>
        <v>0.27795527156549521</v>
      </c>
      <c r="W689" s="51">
        <f>_xlfn.STDEV.S(GroDB[Daily Sales])</f>
        <v>5.1999899792654221</v>
      </c>
      <c r="X689" s="3">
        <v>10</v>
      </c>
      <c r="Y689" s="7">
        <v>0.73</v>
      </c>
      <c r="Z689" s="4">
        <f>GroDB[[#This Row],[Unit_Price]]*GroDB[[#This Row],[Sales_Volume]]</f>
        <v>435</v>
      </c>
      <c r="AA689" s="22">
        <f>GroDB[[#This Row],[ADU]]/GroDB[[#Totals],[ADU]]</f>
        <v>1.2635455716155258E-3</v>
      </c>
      <c r="AB689" s="1">
        <f>GroDB[[#This Row],[Sales_Volume]]*GroDB[[#This Row],[Ordering Cost]]</f>
        <v>348</v>
      </c>
    </row>
    <row r="690" spans="1:28" x14ac:dyDescent="0.35">
      <c r="A690" s="5" t="s">
        <v>225</v>
      </c>
      <c r="B690" s="3" t="s">
        <v>91</v>
      </c>
      <c r="C690" s="3" t="s">
        <v>2515</v>
      </c>
      <c r="D690" s="3" t="s">
        <v>2516</v>
      </c>
      <c r="E690" s="3" t="s">
        <v>21</v>
      </c>
      <c r="F690" s="3" t="s">
        <v>2517</v>
      </c>
      <c r="G690" s="3" t="s">
        <v>2518</v>
      </c>
      <c r="H690" s="43">
        <v>45380</v>
      </c>
      <c r="I690" s="43">
        <v>45608</v>
      </c>
      <c r="J690" s="47" t="str">
        <f>IF(GroDB[[#This Row],[Last_Order_Date]]&lt;=GroDB[[#This Row],[Date_Received]], "Yes", "No")</f>
        <v>No</v>
      </c>
      <c r="K690" s="43">
        <f>IF(GroDB[[#This Row],[Column1]]="No",GroDB[[#This Row],[Last_Order_Date]],GroDB[[#This Row],[Date_Received]])</f>
        <v>45608</v>
      </c>
      <c r="L690" s="43">
        <f>IF(GroDB[[#This Row],[Column1]]="No",GroDB[[#This Row],[Date_Received]],GroDB[[#This Row],[Last_Order_Date]])</f>
        <v>45380</v>
      </c>
      <c r="M690" s="45">
        <f>GroDB[[#This Row],[Date_Received1]]-GroDB[[#This Row],[Procurement_Date]]</f>
        <v>228</v>
      </c>
      <c r="N690" s="43">
        <v>45583</v>
      </c>
      <c r="O690" s="91">
        <f>GroDB[[#This Row],[Expiration_Date]]-GroDB[[#This Row],[Date_Received1]]</f>
        <v>-25</v>
      </c>
      <c r="P690" s="4">
        <v>4</v>
      </c>
      <c r="Q690" s="3">
        <v>53</v>
      </c>
      <c r="R690" s="3">
        <v>19</v>
      </c>
      <c r="S690" s="3">
        <v>94</v>
      </c>
      <c r="T690" s="4">
        <v>5</v>
      </c>
      <c r="U690" s="3">
        <v>82</v>
      </c>
      <c r="V690" s="51">
        <f>IF(GroDB[[#This Row],[LeadTime]]=0,GroDB[[#This Row],[Sales_Volume]],GroDB[[#This Row],[Sales_Volume]]/GroDB[[#This Row],[LeadTime]])</f>
        <v>0.35964912280701755</v>
      </c>
      <c r="W690" s="51">
        <f>_xlfn.STDEV.S(GroDB[Daily Sales])</f>
        <v>5.1999899792654221</v>
      </c>
      <c r="X690" s="3">
        <v>56</v>
      </c>
      <c r="Y690" s="7">
        <v>0.89</v>
      </c>
      <c r="Z690" s="4">
        <f>GroDB[[#This Row],[Unit_Price]]*GroDB[[#This Row],[Sales_Volume]]</f>
        <v>410</v>
      </c>
      <c r="AA690" s="22">
        <f>GroDB[[#This Row],[ADU]]/GroDB[[#Totals],[ADU]]</f>
        <v>1.1909280100284266E-3</v>
      </c>
      <c r="AB690" s="1">
        <f>GroDB[[#This Row],[Sales_Volume]]*GroDB[[#This Row],[Ordering Cost]]</f>
        <v>328</v>
      </c>
    </row>
    <row r="691" spans="1:28" x14ac:dyDescent="0.35">
      <c r="A691" s="5" t="s">
        <v>1624</v>
      </c>
      <c r="B691" s="3" t="s">
        <v>60</v>
      </c>
      <c r="C691" s="3" t="s">
        <v>770</v>
      </c>
      <c r="D691" s="3" t="s">
        <v>2519</v>
      </c>
      <c r="E691" s="3" t="s">
        <v>28</v>
      </c>
      <c r="F691" s="3" t="s">
        <v>2520</v>
      </c>
      <c r="G691" s="3" t="s">
        <v>2521</v>
      </c>
      <c r="H691" s="43">
        <v>45381</v>
      </c>
      <c r="I691" s="43">
        <v>45367</v>
      </c>
      <c r="J691" s="47" t="str">
        <f>IF(GroDB[[#This Row],[Last_Order_Date]]&lt;=GroDB[[#This Row],[Date_Received]], "Yes", "No")</f>
        <v>Yes</v>
      </c>
      <c r="K691" s="43">
        <f>IF(GroDB[[#This Row],[Column1]]="No",GroDB[[#This Row],[Last_Order_Date]],GroDB[[#This Row],[Date_Received]])</f>
        <v>45381</v>
      </c>
      <c r="L691" s="43">
        <f>IF(GroDB[[#This Row],[Column1]]="No",GroDB[[#This Row],[Date_Received]],GroDB[[#This Row],[Last_Order_Date]])</f>
        <v>45367</v>
      </c>
      <c r="M691" s="45">
        <f>GroDB[[#This Row],[Date_Received1]]-GroDB[[#This Row],[Procurement_Date]]</f>
        <v>14</v>
      </c>
      <c r="N691" s="43">
        <v>45703</v>
      </c>
      <c r="O691" s="91">
        <f>GroDB[[#This Row],[Expiration_Date]]-GroDB[[#This Row],[Date_Received1]]</f>
        <v>322</v>
      </c>
      <c r="P691" s="4">
        <v>6</v>
      </c>
      <c r="Q691" s="3">
        <v>82</v>
      </c>
      <c r="R691" s="3">
        <v>25</v>
      </c>
      <c r="S691" s="3">
        <v>94</v>
      </c>
      <c r="T691" s="4">
        <v>7.5</v>
      </c>
      <c r="U691" s="3">
        <v>66</v>
      </c>
      <c r="V691" s="51">
        <f>IF(GroDB[[#This Row],[LeadTime]]=0,GroDB[[#This Row],[Sales_Volume]],GroDB[[#This Row],[Sales_Volume]]/GroDB[[#This Row],[LeadTime]])</f>
        <v>4.7142857142857144</v>
      </c>
      <c r="W691" s="51">
        <f>_xlfn.STDEV.S(GroDB[Daily Sales])</f>
        <v>5.1999899792654221</v>
      </c>
      <c r="X691" s="3">
        <v>14</v>
      </c>
      <c r="Y691" s="7">
        <v>0.32</v>
      </c>
      <c r="Z691" s="4">
        <f>GroDB[[#This Row],[Unit_Price]]*GroDB[[#This Row],[Sales_Volume]]</f>
        <v>495</v>
      </c>
      <c r="AA691" s="22">
        <f>GroDB[[#This Row],[ADU]]/GroDB[[#Totals],[ADU]]</f>
        <v>1.437827719424564E-3</v>
      </c>
      <c r="AB691" s="1">
        <f>GroDB[[#This Row],[Sales_Volume]]*GroDB[[#This Row],[Ordering Cost]]</f>
        <v>396</v>
      </c>
    </row>
    <row r="692" spans="1:28" x14ac:dyDescent="0.35">
      <c r="A692" s="5" t="s">
        <v>392</v>
      </c>
      <c r="B692" s="3" t="s">
        <v>18</v>
      </c>
      <c r="C692" s="3" t="s">
        <v>2233</v>
      </c>
      <c r="D692" s="3" t="s">
        <v>2522</v>
      </c>
      <c r="E692" s="3" t="s">
        <v>56</v>
      </c>
      <c r="F692" s="3" t="s">
        <v>2523</v>
      </c>
      <c r="G692" s="3" t="s">
        <v>2524</v>
      </c>
      <c r="H692" s="43">
        <v>45381</v>
      </c>
      <c r="I692" s="43">
        <v>45529</v>
      </c>
      <c r="J692" s="47" t="str">
        <f>IF(GroDB[[#This Row],[Last_Order_Date]]&lt;=GroDB[[#This Row],[Date_Received]], "Yes", "No")</f>
        <v>No</v>
      </c>
      <c r="K692" s="43">
        <f>IF(GroDB[[#This Row],[Column1]]="No",GroDB[[#This Row],[Last_Order_Date]],GroDB[[#This Row],[Date_Received]])</f>
        <v>45529</v>
      </c>
      <c r="L692" s="43">
        <f>IF(GroDB[[#This Row],[Column1]]="No",GroDB[[#This Row],[Date_Received]],GroDB[[#This Row],[Last_Order_Date]])</f>
        <v>45381</v>
      </c>
      <c r="M692" s="45">
        <f>GroDB[[#This Row],[Date_Received1]]-GroDB[[#This Row],[Procurement_Date]]</f>
        <v>148</v>
      </c>
      <c r="N692" s="43">
        <v>45697</v>
      </c>
      <c r="O692" s="91">
        <f>GroDB[[#This Row],[Expiration_Date]]-GroDB[[#This Row],[Date_Received1]]</f>
        <v>168</v>
      </c>
      <c r="P692" s="4">
        <v>4.4000000000000004</v>
      </c>
      <c r="Q692" s="3">
        <v>98</v>
      </c>
      <c r="R692" s="3">
        <v>62</v>
      </c>
      <c r="S692" s="3">
        <v>97</v>
      </c>
      <c r="T692" s="4">
        <v>5.5</v>
      </c>
      <c r="U692" s="3">
        <v>59</v>
      </c>
      <c r="V692" s="51">
        <f>IF(GroDB[[#This Row],[LeadTime]]=0,GroDB[[#This Row],[Sales_Volume]],GroDB[[#This Row],[Sales_Volume]]/GroDB[[#This Row],[LeadTime]])</f>
        <v>0.39864864864864863</v>
      </c>
      <c r="W692" s="51">
        <f>_xlfn.STDEV.S(GroDB[Daily Sales])</f>
        <v>5.1999899792654221</v>
      </c>
      <c r="X692" s="3">
        <v>19</v>
      </c>
      <c r="Y692" s="7">
        <v>0.79</v>
      </c>
      <c r="Z692" s="4">
        <f>GroDB[[#This Row],[Unit_Price]]*GroDB[[#This Row],[Sales_Volume]]</f>
        <v>324.5</v>
      </c>
      <c r="AA692" s="22">
        <f>GroDB[[#This Row],[ADU]]/GroDB[[#Totals],[ADU]]</f>
        <v>9.425759494005474E-4</v>
      </c>
      <c r="AB692" s="1">
        <f>GroDB[[#This Row],[Sales_Volume]]*GroDB[[#This Row],[Ordering Cost]]</f>
        <v>259.60000000000002</v>
      </c>
    </row>
    <row r="693" spans="1:28" x14ac:dyDescent="0.35">
      <c r="A693" s="5" t="s">
        <v>433</v>
      </c>
      <c r="B693" s="3" t="s">
        <v>18</v>
      </c>
      <c r="C693" s="3" t="s">
        <v>2525</v>
      </c>
      <c r="D693" s="3" t="s">
        <v>2526</v>
      </c>
      <c r="E693" s="3" t="s">
        <v>56</v>
      </c>
      <c r="F693" s="3" t="s">
        <v>2527</v>
      </c>
      <c r="G693" s="3" t="s">
        <v>2528</v>
      </c>
      <c r="H693" s="43">
        <v>45381</v>
      </c>
      <c r="I693" s="43">
        <v>45491</v>
      </c>
      <c r="J693" s="47" t="str">
        <f>IF(GroDB[[#This Row],[Last_Order_Date]]&lt;=GroDB[[#This Row],[Date_Received]], "Yes", "No")</f>
        <v>No</v>
      </c>
      <c r="K693" s="43">
        <f>IF(GroDB[[#This Row],[Column1]]="No",GroDB[[#This Row],[Last_Order_Date]],GroDB[[#This Row],[Date_Received]])</f>
        <v>45491</v>
      </c>
      <c r="L693" s="43">
        <f>IF(GroDB[[#This Row],[Column1]]="No",GroDB[[#This Row],[Date_Received]],GroDB[[#This Row],[Last_Order_Date]])</f>
        <v>45381</v>
      </c>
      <c r="M693" s="45">
        <f>GroDB[[#This Row],[Date_Received1]]-GroDB[[#This Row],[Procurement_Date]]</f>
        <v>110</v>
      </c>
      <c r="N693" s="43">
        <v>45677</v>
      </c>
      <c r="O693" s="91">
        <f>GroDB[[#This Row],[Expiration_Date]]-GroDB[[#This Row],[Date_Received1]]</f>
        <v>186</v>
      </c>
      <c r="P693" s="4">
        <v>11.192</v>
      </c>
      <c r="Q693" s="3">
        <v>39</v>
      </c>
      <c r="R693" s="3">
        <v>19</v>
      </c>
      <c r="S693" s="3">
        <v>18</v>
      </c>
      <c r="T693" s="4">
        <v>13.99</v>
      </c>
      <c r="U693" s="3">
        <v>58</v>
      </c>
      <c r="V693" s="51">
        <f>IF(GroDB[[#This Row],[LeadTime]]=0,GroDB[[#This Row],[Sales_Volume]],GroDB[[#This Row],[Sales_Volume]]/GroDB[[#This Row],[LeadTime]])</f>
        <v>0.52727272727272723</v>
      </c>
      <c r="W693" s="51">
        <f>_xlfn.STDEV.S(GroDB[Daily Sales])</f>
        <v>5.1999899792654221</v>
      </c>
      <c r="X693" s="3">
        <v>90</v>
      </c>
      <c r="Y693" s="7">
        <v>0.68</v>
      </c>
      <c r="Z693" s="4">
        <f>GroDB[[#This Row],[Unit_Price]]*GroDB[[#This Row],[Sales_Volume]]</f>
        <v>811.42</v>
      </c>
      <c r="AA693" s="22">
        <f>GroDB[[#This Row],[ADU]]/GroDB[[#Totals],[ADU]]</f>
        <v>2.3569336729201609E-3</v>
      </c>
      <c r="AB693" s="1">
        <f>GroDB[[#This Row],[Sales_Volume]]*GroDB[[#This Row],[Ordering Cost]]</f>
        <v>649.13599999999997</v>
      </c>
    </row>
    <row r="694" spans="1:28" x14ac:dyDescent="0.35">
      <c r="A694" s="5" t="s">
        <v>156</v>
      </c>
      <c r="B694" s="3" t="s">
        <v>127</v>
      </c>
      <c r="C694" s="3" t="s">
        <v>66</v>
      </c>
      <c r="D694" s="3" t="s">
        <v>2529</v>
      </c>
      <c r="E694" s="3" t="s">
        <v>28</v>
      </c>
      <c r="F694" s="3" t="s">
        <v>2530</v>
      </c>
      <c r="G694" s="3" t="s">
        <v>2531</v>
      </c>
      <c r="H694" s="43">
        <v>45382</v>
      </c>
      <c r="I694" s="43">
        <v>45690</v>
      </c>
      <c r="J694" s="47" t="str">
        <f>IF(GroDB[[#This Row],[Last_Order_Date]]&lt;=GroDB[[#This Row],[Date_Received]], "Yes", "No")</f>
        <v>No</v>
      </c>
      <c r="K694" s="43">
        <f>IF(GroDB[[#This Row],[Column1]]="No",GroDB[[#This Row],[Last_Order_Date]],GroDB[[#This Row],[Date_Received]])</f>
        <v>45690</v>
      </c>
      <c r="L694" s="43">
        <f>IF(GroDB[[#This Row],[Column1]]="No",GroDB[[#This Row],[Date_Received]],GroDB[[#This Row],[Last_Order_Date]])</f>
        <v>45382</v>
      </c>
      <c r="M694" s="45">
        <f>GroDB[[#This Row],[Date_Received1]]-GroDB[[#This Row],[Procurement_Date]]</f>
        <v>308</v>
      </c>
      <c r="N694" s="43">
        <v>45391</v>
      </c>
      <c r="O694" s="91">
        <f>GroDB[[#This Row],[Expiration_Date]]-GroDB[[#This Row],[Date_Received1]]</f>
        <v>-299</v>
      </c>
      <c r="P694" s="4">
        <v>9.6000000000000014</v>
      </c>
      <c r="Q694" s="3">
        <v>43</v>
      </c>
      <c r="R694" s="3">
        <v>38</v>
      </c>
      <c r="S694" s="3">
        <v>63</v>
      </c>
      <c r="T694" s="4">
        <v>12</v>
      </c>
      <c r="U694" s="3">
        <v>88</v>
      </c>
      <c r="V694" s="51">
        <f>IF(GroDB[[#This Row],[LeadTime]]=0,GroDB[[#This Row],[Sales_Volume]],GroDB[[#This Row],[Sales_Volume]]/GroDB[[#This Row],[LeadTime]])</f>
        <v>0.2857142857142857</v>
      </c>
      <c r="W694" s="51">
        <f>_xlfn.STDEV.S(GroDB[Daily Sales])</f>
        <v>5.1999899792654221</v>
      </c>
      <c r="X694" s="3">
        <v>65</v>
      </c>
      <c r="Y694" s="7">
        <v>-0.55000000000000004</v>
      </c>
      <c r="Z694" s="4">
        <f>GroDB[[#This Row],[Unit_Price]]*GroDB[[#This Row],[Sales_Volume]]</f>
        <v>1056</v>
      </c>
      <c r="AA694" s="22">
        <f>GroDB[[#This Row],[ADU]]/GroDB[[#Totals],[ADU]]</f>
        <v>3.0673658014390695E-3</v>
      </c>
      <c r="AB694" s="1">
        <f>GroDB[[#This Row],[Sales_Volume]]*GroDB[[#This Row],[Ordering Cost]]</f>
        <v>844.80000000000018</v>
      </c>
    </row>
    <row r="695" spans="1:28" x14ac:dyDescent="0.35">
      <c r="A695" s="5" t="s">
        <v>1202</v>
      </c>
      <c r="B695" s="3" t="s">
        <v>18</v>
      </c>
      <c r="C695" s="3" t="s">
        <v>133</v>
      </c>
      <c r="D695" s="3" t="s">
        <v>2532</v>
      </c>
      <c r="E695" s="3" t="s">
        <v>28</v>
      </c>
      <c r="F695" s="3" t="s">
        <v>2533</v>
      </c>
      <c r="G695" s="3" t="s">
        <v>2534</v>
      </c>
      <c r="H695" s="43">
        <v>45382</v>
      </c>
      <c r="I695" s="43">
        <v>45538</v>
      </c>
      <c r="J695" s="47" t="str">
        <f>IF(GroDB[[#This Row],[Last_Order_Date]]&lt;=GroDB[[#This Row],[Date_Received]], "Yes", "No")</f>
        <v>No</v>
      </c>
      <c r="K695" s="43">
        <f>IF(GroDB[[#This Row],[Column1]]="No",GroDB[[#This Row],[Last_Order_Date]],GroDB[[#This Row],[Date_Received]])</f>
        <v>45538</v>
      </c>
      <c r="L695" s="43">
        <f>IF(GroDB[[#This Row],[Column1]]="No",GroDB[[#This Row],[Date_Received]],GroDB[[#This Row],[Last_Order_Date]])</f>
        <v>45382</v>
      </c>
      <c r="M695" s="45">
        <f>GroDB[[#This Row],[Date_Received1]]-GroDB[[#This Row],[Procurement_Date]]</f>
        <v>156</v>
      </c>
      <c r="N695" s="43">
        <v>45361</v>
      </c>
      <c r="O695" s="91">
        <f>GroDB[[#This Row],[Expiration_Date]]-GroDB[[#This Row],[Date_Received1]]</f>
        <v>-177</v>
      </c>
      <c r="P695" s="4">
        <v>2.4000000000000004</v>
      </c>
      <c r="Q695" s="3">
        <v>90</v>
      </c>
      <c r="R695" s="3">
        <v>17</v>
      </c>
      <c r="S695" s="3">
        <v>17</v>
      </c>
      <c r="T695" s="4">
        <v>3</v>
      </c>
      <c r="U695" s="3">
        <v>82</v>
      </c>
      <c r="V695" s="51">
        <f>IF(GroDB[[#This Row],[LeadTime]]=0,GroDB[[#This Row],[Sales_Volume]],GroDB[[#This Row],[Sales_Volume]]/GroDB[[#This Row],[LeadTime]])</f>
        <v>0.52564102564102566</v>
      </c>
      <c r="W695" s="51">
        <f>_xlfn.STDEV.S(GroDB[Daily Sales])</f>
        <v>5.1999899792654221</v>
      </c>
      <c r="X695" s="3">
        <v>84</v>
      </c>
      <c r="Y695" s="7">
        <v>0.26</v>
      </c>
      <c r="Z695" s="4">
        <f>GroDB[[#This Row],[Unit_Price]]*GroDB[[#This Row],[Sales_Volume]]</f>
        <v>246</v>
      </c>
      <c r="AA695" s="22">
        <f>GroDB[[#This Row],[ADU]]/GroDB[[#Totals],[ADU]]</f>
        <v>7.1455680601705603E-4</v>
      </c>
      <c r="AB695" s="1">
        <f>GroDB[[#This Row],[Sales_Volume]]*GroDB[[#This Row],[Ordering Cost]]</f>
        <v>196.80000000000004</v>
      </c>
    </row>
    <row r="696" spans="1:28" x14ac:dyDescent="0.35">
      <c r="A696" s="5" t="s">
        <v>1138</v>
      </c>
      <c r="B696" s="3" t="s">
        <v>32</v>
      </c>
      <c r="C696" s="3" t="s">
        <v>2535</v>
      </c>
      <c r="D696" s="3" t="s">
        <v>2536</v>
      </c>
      <c r="E696" s="3" t="s">
        <v>28</v>
      </c>
      <c r="F696" s="3" t="s">
        <v>2537</v>
      </c>
      <c r="G696" s="3" t="s">
        <v>2538</v>
      </c>
      <c r="H696" s="43">
        <v>45382</v>
      </c>
      <c r="I696" s="43">
        <v>45591</v>
      </c>
      <c r="J696" s="47" t="str">
        <f>IF(GroDB[[#This Row],[Last_Order_Date]]&lt;=GroDB[[#This Row],[Date_Received]], "Yes", "No")</f>
        <v>No</v>
      </c>
      <c r="K696" s="43">
        <f>IF(GroDB[[#This Row],[Column1]]="No",GroDB[[#This Row],[Last_Order_Date]],GroDB[[#This Row],[Date_Received]])</f>
        <v>45591</v>
      </c>
      <c r="L696" s="43">
        <f>IF(GroDB[[#This Row],[Column1]]="No",GroDB[[#This Row],[Date_Received]],GroDB[[#This Row],[Last_Order_Date]])</f>
        <v>45382</v>
      </c>
      <c r="M696" s="45">
        <f>GroDB[[#This Row],[Date_Received1]]-GroDB[[#This Row],[Procurement_Date]]</f>
        <v>209</v>
      </c>
      <c r="N696" s="43">
        <v>45552</v>
      </c>
      <c r="O696" s="91">
        <f>GroDB[[#This Row],[Expiration_Date]]-GroDB[[#This Row],[Date_Received1]]</f>
        <v>-39</v>
      </c>
      <c r="P696" s="4">
        <v>0.16000000000000003</v>
      </c>
      <c r="Q696" s="3">
        <v>70</v>
      </c>
      <c r="R696" s="3">
        <v>29</v>
      </c>
      <c r="S696" s="3">
        <v>24</v>
      </c>
      <c r="T696" s="4">
        <v>0.2</v>
      </c>
      <c r="U696" s="3">
        <v>62</v>
      </c>
      <c r="V696" s="51">
        <f>IF(GroDB[[#This Row],[LeadTime]]=0,GroDB[[#This Row],[Sales_Volume]],GroDB[[#This Row],[Sales_Volume]]/GroDB[[#This Row],[LeadTime]])</f>
        <v>0.29665071770334928</v>
      </c>
      <c r="W696" s="51">
        <f>_xlfn.STDEV.S(GroDB[Daily Sales])</f>
        <v>5.1999899792654221</v>
      </c>
      <c r="X696" s="3">
        <v>55</v>
      </c>
      <c r="Y696" s="7">
        <v>-0.02</v>
      </c>
      <c r="Z696" s="4">
        <f>GroDB[[#This Row],[Unit_Price]]*GroDB[[#This Row],[Sales_Volume]]</f>
        <v>12.4</v>
      </c>
      <c r="AA696" s="22">
        <f>GroDB[[#This Row],[ADU]]/GroDB[[#Totals],[ADU]]</f>
        <v>3.6018310547201195E-5</v>
      </c>
      <c r="AB696" s="1">
        <f>GroDB[[#This Row],[Sales_Volume]]*GroDB[[#This Row],[Ordering Cost]]</f>
        <v>9.9200000000000017</v>
      </c>
    </row>
    <row r="697" spans="1:28" x14ac:dyDescent="0.35">
      <c r="A697" s="5" t="s">
        <v>52</v>
      </c>
      <c r="B697" s="3" t="s">
        <v>53</v>
      </c>
      <c r="C697" s="3" t="s">
        <v>678</v>
      </c>
      <c r="D697" s="3" t="s">
        <v>2539</v>
      </c>
      <c r="E697" s="3" t="s">
        <v>56</v>
      </c>
      <c r="F697" s="3" t="s">
        <v>2540</v>
      </c>
      <c r="G697" s="3" t="s">
        <v>2541</v>
      </c>
      <c r="H697" s="43">
        <v>45382</v>
      </c>
      <c r="I697" s="43">
        <v>45647</v>
      </c>
      <c r="J697" s="47" t="str">
        <f>IF(GroDB[[#This Row],[Last_Order_Date]]&lt;=GroDB[[#This Row],[Date_Received]], "Yes", "No")</f>
        <v>No</v>
      </c>
      <c r="K697" s="43">
        <f>IF(GroDB[[#This Row],[Column1]]="No",GroDB[[#This Row],[Last_Order_Date]],GroDB[[#This Row],[Date_Received]])</f>
        <v>45647</v>
      </c>
      <c r="L697" s="43">
        <f>IF(GroDB[[#This Row],[Column1]]="No",GroDB[[#This Row],[Date_Received]],GroDB[[#This Row],[Last_Order_Date]])</f>
        <v>45382</v>
      </c>
      <c r="M697" s="45">
        <f>GroDB[[#This Row],[Date_Received1]]-GroDB[[#This Row],[Procurement_Date]]</f>
        <v>265</v>
      </c>
      <c r="N697" s="43">
        <v>45612</v>
      </c>
      <c r="O697" s="91">
        <f>GroDB[[#This Row],[Expiration_Date]]-GroDB[[#This Row],[Date_Received1]]</f>
        <v>-35</v>
      </c>
      <c r="P697" s="4">
        <v>4</v>
      </c>
      <c r="Q697" s="3">
        <v>91</v>
      </c>
      <c r="R697" s="3">
        <v>39</v>
      </c>
      <c r="S697" s="3">
        <v>48</v>
      </c>
      <c r="T697" s="4">
        <v>5</v>
      </c>
      <c r="U697" s="3">
        <v>48</v>
      </c>
      <c r="V697" s="51">
        <f>IF(GroDB[[#This Row],[LeadTime]]=0,GroDB[[#This Row],[Sales_Volume]],GroDB[[#This Row],[Sales_Volume]]/GroDB[[#This Row],[LeadTime]])</f>
        <v>0.1811320754716981</v>
      </c>
      <c r="W697" s="51">
        <f>_xlfn.STDEV.S(GroDB[Daily Sales])</f>
        <v>5.1999899792654221</v>
      </c>
      <c r="X697" s="3">
        <v>18</v>
      </c>
      <c r="Y697" s="7">
        <v>0.11</v>
      </c>
      <c r="Z697" s="4">
        <f>GroDB[[#This Row],[Unit_Price]]*GroDB[[#This Row],[Sales_Volume]]</f>
        <v>240</v>
      </c>
      <c r="AA697" s="22">
        <f>GroDB[[#This Row],[ADU]]/GroDB[[#Totals],[ADU]]</f>
        <v>6.9712859123615225E-4</v>
      </c>
      <c r="AB697" s="1">
        <f>GroDB[[#This Row],[Sales_Volume]]*GroDB[[#This Row],[Ordering Cost]]</f>
        <v>192</v>
      </c>
    </row>
    <row r="698" spans="1:28" x14ac:dyDescent="0.35">
      <c r="A698" s="5" t="s">
        <v>1350</v>
      </c>
      <c r="B698" s="3" t="s">
        <v>32</v>
      </c>
      <c r="C698" s="3" t="s">
        <v>2542</v>
      </c>
      <c r="D698" s="3" t="s">
        <v>2543</v>
      </c>
      <c r="E698" s="3" t="s">
        <v>21</v>
      </c>
      <c r="F698" s="3" t="s">
        <v>2544</v>
      </c>
      <c r="G698" s="3" t="s">
        <v>2545</v>
      </c>
      <c r="H698" s="43">
        <v>45395</v>
      </c>
      <c r="I698" s="43">
        <v>45460</v>
      </c>
      <c r="J698" s="47" t="str">
        <f>IF(GroDB[[#This Row],[Last_Order_Date]]&lt;=GroDB[[#This Row],[Date_Received]], "Yes", "No")</f>
        <v>No</v>
      </c>
      <c r="K698" s="43">
        <f>IF(GroDB[[#This Row],[Column1]]="No",GroDB[[#This Row],[Last_Order_Date]],GroDB[[#This Row],[Date_Received]])</f>
        <v>45460</v>
      </c>
      <c r="L698" s="43">
        <f>IF(GroDB[[#This Row],[Column1]]="No",GroDB[[#This Row],[Date_Received]],GroDB[[#This Row],[Last_Order_Date]])</f>
        <v>45395</v>
      </c>
      <c r="M698" s="45">
        <f>GroDB[[#This Row],[Date_Received1]]-GroDB[[#This Row],[Procurement_Date]]</f>
        <v>65</v>
      </c>
      <c r="N698" s="43">
        <v>45619</v>
      </c>
      <c r="O698" s="91">
        <f>GroDB[[#This Row],[Expiration_Date]]-GroDB[[#This Row],[Date_Received1]]</f>
        <v>159</v>
      </c>
      <c r="P698" s="4">
        <v>2.3199999999999998</v>
      </c>
      <c r="Q698" s="3">
        <v>36</v>
      </c>
      <c r="R698" s="3">
        <v>75</v>
      </c>
      <c r="S698" s="3">
        <v>35</v>
      </c>
      <c r="T698" s="4">
        <v>2.9</v>
      </c>
      <c r="U698" s="3">
        <v>26</v>
      </c>
      <c r="V698" s="51">
        <f>IF(GroDB[[#This Row],[LeadTime]]=0,GroDB[[#This Row],[Sales_Volume]],GroDB[[#This Row],[Sales_Volume]]/GroDB[[#This Row],[LeadTime]])</f>
        <v>0.4</v>
      </c>
      <c r="W698" s="51">
        <f>_xlfn.STDEV.S(GroDB[Daily Sales])</f>
        <v>5.1999899792654221</v>
      </c>
      <c r="X698" s="3">
        <v>41</v>
      </c>
      <c r="Y698" s="7">
        <v>0.63</v>
      </c>
      <c r="Z698" s="4">
        <f>GroDB[[#This Row],[Unit_Price]]*GroDB[[#This Row],[Sales_Volume]]</f>
        <v>75.399999999999991</v>
      </c>
      <c r="AA698" s="22">
        <f>GroDB[[#This Row],[ADU]]/GroDB[[#Totals],[ADU]]</f>
        <v>2.1901456574669113E-4</v>
      </c>
      <c r="AB698" s="1">
        <f>GroDB[[#This Row],[Sales_Volume]]*GroDB[[#This Row],[Ordering Cost]]</f>
        <v>60.319999999999993</v>
      </c>
    </row>
    <row r="699" spans="1:28" x14ac:dyDescent="0.35">
      <c r="A699" s="5" t="s">
        <v>320</v>
      </c>
      <c r="B699" s="3" t="s">
        <v>18</v>
      </c>
      <c r="C699" s="3" t="s">
        <v>2496</v>
      </c>
      <c r="D699" s="3" t="s">
        <v>2546</v>
      </c>
      <c r="E699" s="3" t="s">
        <v>28</v>
      </c>
      <c r="F699" s="3" t="s">
        <v>2547</v>
      </c>
      <c r="G699" s="3" t="s">
        <v>2548</v>
      </c>
      <c r="H699" s="43">
        <v>45396</v>
      </c>
      <c r="I699" s="43">
        <v>45667</v>
      </c>
      <c r="J699" s="47" t="str">
        <f>IF(GroDB[[#This Row],[Last_Order_Date]]&lt;=GroDB[[#This Row],[Date_Received]], "Yes", "No")</f>
        <v>No</v>
      </c>
      <c r="K699" s="43">
        <f>IF(GroDB[[#This Row],[Column1]]="No",GroDB[[#This Row],[Last_Order_Date]],GroDB[[#This Row],[Date_Received]])</f>
        <v>45667</v>
      </c>
      <c r="L699" s="43">
        <f>IF(GroDB[[#This Row],[Column1]]="No",GroDB[[#This Row],[Date_Received]],GroDB[[#This Row],[Last_Order_Date]])</f>
        <v>45396</v>
      </c>
      <c r="M699" s="45">
        <f>GroDB[[#This Row],[Date_Received1]]-GroDB[[#This Row],[Procurement_Date]]</f>
        <v>271</v>
      </c>
      <c r="N699" s="43">
        <v>45575</v>
      </c>
      <c r="O699" s="91">
        <f>GroDB[[#This Row],[Expiration_Date]]-GroDB[[#This Row],[Date_Received1]]</f>
        <v>-92</v>
      </c>
      <c r="P699" s="4">
        <v>3.12</v>
      </c>
      <c r="Q699" s="3">
        <v>11</v>
      </c>
      <c r="R699" s="3">
        <v>56</v>
      </c>
      <c r="S699" s="3">
        <v>62</v>
      </c>
      <c r="T699" s="4">
        <v>3.9</v>
      </c>
      <c r="U699" s="3">
        <v>40</v>
      </c>
      <c r="V699" s="51">
        <f>IF(GroDB[[#This Row],[LeadTime]]=0,GroDB[[#This Row],[Sales_Volume]],GroDB[[#This Row],[Sales_Volume]]/GroDB[[#This Row],[LeadTime]])</f>
        <v>0.14760147601476015</v>
      </c>
      <c r="W699" s="51">
        <f>_xlfn.STDEV.S(GroDB[Daily Sales])</f>
        <v>5.1999899792654221</v>
      </c>
      <c r="X699" s="3">
        <v>5</v>
      </c>
      <c r="Y699" s="7">
        <v>-0.57999999999999996</v>
      </c>
      <c r="Z699" s="4">
        <f>GroDB[[#This Row],[Unit_Price]]*GroDB[[#This Row],[Sales_Volume]]</f>
        <v>156</v>
      </c>
      <c r="AA699" s="22">
        <f>GroDB[[#This Row],[ADU]]/GroDB[[#Totals],[ADU]]</f>
        <v>4.5313358430349891E-4</v>
      </c>
      <c r="AB699" s="1">
        <f>GroDB[[#This Row],[Sales_Volume]]*GroDB[[#This Row],[Ordering Cost]]</f>
        <v>124.80000000000001</v>
      </c>
    </row>
    <row r="700" spans="1:28" x14ac:dyDescent="0.35">
      <c r="A700" s="5" t="s">
        <v>392</v>
      </c>
      <c r="B700" s="3" t="s">
        <v>18</v>
      </c>
      <c r="C700" s="3" t="s">
        <v>2253</v>
      </c>
      <c r="D700" s="3" t="s">
        <v>2549</v>
      </c>
      <c r="E700" s="3" t="s">
        <v>28</v>
      </c>
      <c r="F700" s="3" t="s">
        <v>2550</v>
      </c>
      <c r="G700" s="3" t="s">
        <v>2551</v>
      </c>
      <c r="H700" s="43">
        <v>45396</v>
      </c>
      <c r="I700" s="43">
        <v>45370</v>
      </c>
      <c r="J700" s="47" t="str">
        <f>IF(GroDB[[#This Row],[Last_Order_Date]]&lt;=GroDB[[#This Row],[Date_Received]], "Yes", "No")</f>
        <v>Yes</v>
      </c>
      <c r="K700" s="43">
        <f>IF(GroDB[[#This Row],[Column1]]="No",GroDB[[#This Row],[Last_Order_Date]],GroDB[[#This Row],[Date_Received]])</f>
        <v>45396</v>
      </c>
      <c r="L700" s="43">
        <f>IF(GroDB[[#This Row],[Column1]]="No",GroDB[[#This Row],[Date_Received]],GroDB[[#This Row],[Last_Order_Date]])</f>
        <v>45370</v>
      </c>
      <c r="M700" s="45">
        <f>GroDB[[#This Row],[Date_Received1]]-GroDB[[#This Row],[Procurement_Date]]</f>
        <v>26</v>
      </c>
      <c r="N700" s="43">
        <v>45481</v>
      </c>
      <c r="O700" s="91">
        <f>GroDB[[#This Row],[Expiration_Date]]-GroDB[[#This Row],[Date_Received1]]</f>
        <v>85</v>
      </c>
      <c r="P700" s="4">
        <v>4.4000000000000004</v>
      </c>
      <c r="Q700" s="3">
        <v>82</v>
      </c>
      <c r="R700" s="3">
        <v>21</v>
      </c>
      <c r="S700" s="3">
        <v>85</v>
      </c>
      <c r="T700" s="4">
        <v>5.5</v>
      </c>
      <c r="U700" s="3">
        <v>39</v>
      </c>
      <c r="V700" s="51">
        <f>IF(GroDB[[#This Row],[LeadTime]]=0,GroDB[[#This Row],[Sales_Volume]],GroDB[[#This Row],[Sales_Volume]]/GroDB[[#This Row],[LeadTime]])</f>
        <v>1.5</v>
      </c>
      <c r="W700" s="51">
        <f>_xlfn.STDEV.S(GroDB[Daily Sales])</f>
        <v>5.1999899792654221</v>
      </c>
      <c r="X700" s="3">
        <v>18</v>
      </c>
      <c r="Y700" s="7">
        <v>0.88</v>
      </c>
      <c r="Z700" s="4">
        <f>GroDB[[#This Row],[Unit_Price]]*GroDB[[#This Row],[Sales_Volume]]</f>
        <v>214.5</v>
      </c>
      <c r="AA700" s="22">
        <f>GroDB[[#This Row],[ADU]]/GroDB[[#Totals],[ADU]]</f>
        <v>6.2305867841731105E-4</v>
      </c>
      <c r="AB700" s="1">
        <f>GroDB[[#This Row],[Sales_Volume]]*GroDB[[#This Row],[Ordering Cost]]</f>
        <v>171.60000000000002</v>
      </c>
    </row>
    <row r="701" spans="1:28" x14ac:dyDescent="0.35">
      <c r="A701" s="5" t="s">
        <v>24</v>
      </c>
      <c r="B701" s="3" t="s">
        <v>25</v>
      </c>
      <c r="C701" s="3" t="s">
        <v>2008</v>
      </c>
      <c r="D701" s="3" t="s">
        <v>2552</v>
      </c>
      <c r="E701" s="3" t="s">
        <v>21</v>
      </c>
      <c r="F701" s="3" t="s">
        <v>2553</v>
      </c>
      <c r="G701" s="3" t="s">
        <v>2554</v>
      </c>
      <c r="H701" s="43">
        <v>45396</v>
      </c>
      <c r="I701" s="43">
        <v>45673</v>
      </c>
      <c r="J701" s="47" t="str">
        <f>IF(GroDB[[#This Row],[Last_Order_Date]]&lt;=GroDB[[#This Row],[Date_Received]], "Yes", "No")</f>
        <v>No</v>
      </c>
      <c r="K701" s="43">
        <f>IF(GroDB[[#This Row],[Column1]]="No",GroDB[[#This Row],[Last_Order_Date]],GroDB[[#This Row],[Date_Received]])</f>
        <v>45673</v>
      </c>
      <c r="L701" s="43">
        <f>IF(GroDB[[#This Row],[Column1]]="No",GroDB[[#This Row],[Date_Received]],GroDB[[#This Row],[Last_Order_Date]])</f>
        <v>45396</v>
      </c>
      <c r="M701" s="45">
        <f>GroDB[[#This Row],[Date_Received1]]-GroDB[[#This Row],[Procurement_Date]]</f>
        <v>277</v>
      </c>
      <c r="N701" s="43">
        <v>45522</v>
      </c>
      <c r="O701" s="91">
        <f>GroDB[[#This Row],[Expiration_Date]]-GroDB[[#This Row],[Date_Received1]]</f>
        <v>-151</v>
      </c>
      <c r="P701" s="4">
        <v>1.6</v>
      </c>
      <c r="Q701" s="3">
        <v>23</v>
      </c>
      <c r="R701" s="3">
        <v>71</v>
      </c>
      <c r="S701" s="3">
        <v>32</v>
      </c>
      <c r="T701" s="4">
        <v>2</v>
      </c>
      <c r="U701" s="3">
        <v>63</v>
      </c>
      <c r="V701" s="51">
        <f>IF(GroDB[[#This Row],[LeadTime]]=0,GroDB[[#This Row],[Sales_Volume]],GroDB[[#This Row],[Sales_Volume]]/GroDB[[#This Row],[LeadTime]])</f>
        <v>0.22743682310469315</v>
      </c>
      <c r="W701" s="51">
        <f>_xlfn.STDEV.S(GroDB[Daily Sales])</f>
        <v>5.1999899792654221</v>
      </c>
      <c r="X701" s="3">
        <v>23</v>
      </c>
      <c r="Y701" s="7">
        <v>0.54</v>
      </c>
      <c r="Z701" s="4">
        <f>GroDB[[#This Row],[Unit_Price]]*GroDB[[#This Row],[Sales_Volume]]</f>
        <v>126</v>
      </c>
      <c r="AA701" s="22">
        <f>GroDB[[#This Row],[ADU]]/GroDB[[#Totals],[ADU]]</f>
        <v>3.659925103989799E-4</v>
      </c>
      <c r="AB701" s="1">
        <f>GroDB[[#This Row],[Sales_Volume]]*GroDB[[#This Row],[Ordering Cost]]</f>
        <v>100.80000000000001</v>
      </c>
    </row>
    <row r="702" spans="1:28" x14ac:dyDescent="0.35">
      <c r="A702" s="5" t="s">
        <v>836</v>
      </c>
      <c r="B702" s="3" t="s">
        <v>91</v>
      </c>
      <c r="C702" s="3" t="s">
        <v>601</v>
      </c>
      <c r="D702" s="3" t="s">
        <v>2555</v>
      </c>
      <c r="E702" s="3" t="s">
        <v>28</v>
      </c>
      <c r="F702" s="3" t="s">
        <v>2556</v>
      </c>
      <c r="G702" s="3" t="s">
        <v>2557</v>
      </c>
      <c r="H702" s="43">
        <v>45397</v>
      </c>
      <c r="I702" s="43">
        <v>45411</v>
      </c>
      <c r="J702" s="47" t="str">
        <f>IF(GroDB[[#This Row],[Last_Order_Date]]&lt;=GroDB[[#This Row],[Date_Received]], "Yes", "No")</f>
        <v>No</v>
      </c>
      <c r="K702" s="43">
        <f>IF(GroDB[[#This Row],[Column1]]="No",GroDB[[#This Row],[Last_Order_Date]],GroDB[[#This Row],[Date_Received]])</f>
        <v>45411</v>
      </c>
      <c r="L702" s="43">
        <f>IF(GroDB[[#This Row],[Column1]]="No",GroDB[[#This Row],[Date_Received]],GroDB[[#This Row],[Last_Order_Date]])</f>
        <v>45397</v>
      </c>
      <c r="M702" s="45">
        <f>GroDB[[#This Row],[Date_Received1]]-GroDB[[#This Row],[Procurement_Date]]</f>
        <v>14</v>
      </c>
      <c r="N702" s="43">
        <v>45391</v>
      </c>
      <c r="O702" s="91">
        <f>GroDB[[#This Row],[Expiration_Date]]-GroDB[[#This Row],[Date_Received1]]</f>
        <v>-20</v>
      </c>
      <c r="P702" s="4">
        <v>2.5600000000000005</v>
      </c>
      <c r="Q702" s="3">
        <v>56</v>
      </c>
      <c r="R702" s="3">
        <v>86</v>
      </c>
      <c r="S702" s="3">
        <v>23</v>
      </c>
      <c r="T702" s="4">
        <v>3.2</v>
      </c>
      <c r="U702" s="3">
        <v>67</v>
      </c>
      <c r="V702" s="51">
        <f>IF(GroDB[[#This Row],[LeadTime]]=0,GroDB[[#This Row],[Sales_Volume]],GroDB[[#This Row],[Sales_Volume]]/GroDB[[#This Row],[LeadTime]])</f>
        <v>4.7857142857142856</v>
      </c>
      <c r="W702" s="51">
        <f>_xlfn.STDEV.S(GroDB[Daily Sales])</f>
        <v>5.1999899792654221</v>
      </c>
      <c r="X702" s="3">
        <v>56</v>
      </c>
      <c r="Y702" s="7">
        <v>0.63</v>
      </c>
      <c r="Z702" s="4">
        <f>GroDB[[#This Row],[Unit_Price]]*GroDB[[#This Row],[Sales_Volume]]</f>
        <v>214.4</v>
      </c>
      <c r="AA702" s="22">
        <f>GroDB[[#This Row],[ADU]]/GroDB[[#Totals],[ADU]]</f>
        <v>6.2276820817096267E-4</v>
      </c>
      <c r="AB702" s="1">
        <f>GroDB[[#This Row],[Sales_Volume]]*GroDB[[#This Row],[Ordering Cost]]</f>
        <v>171.52000000000004</v>
      </c>
    </row>
    <row r="703" spans="1:28" x14ac:dyDescent="0.35">
      <c r="A703" s="5" t="s">
        <v>116</v>
      </c>
      <c r="B703" s="3" t="s">
        <v>18</v>
      </c>
      <c r="C703" s="3" t="s">
        <v>1249</v>
      </c>
      <c r="D703" s="3" t="s">
        <v>2558</v>
      </c>
      <c r="E703" s="3" t="s">
        <v>56</v>
      </c>
      <c r="F703" s="3" t="s">
        <v>2559</v>
      </c>
      <c r="G703" s="3" t="s">
        <v>2560</v>
      </c>
      <c r="H703" s="43">
        <v>45397</v>
      </c>
      <c r="I703" s="43">
        <v>45444</v>
      </c>
      <c r="J703" s="47" t="str">
        <f>IF(GroDB[[#This Row],[Last_Order_Date]]&lt;=GroDB[[#This Row],[Date_Received]], "Yes", "No")</f>
        <v>No</v>
      </c>
      <c r="K703" s="43">
        <f>IF(GroDB[[#This Row],[Column1]]="No",GroDB[[#This Row],[Last_Order_Date]],GroDB[[#This Row],[Date_Received]])</f>
        <v>45444</v>
      </c>
      <c r="L703" s="43">
        <f>IF(GroDB[[#This Row],[Column1]]="No",GroDB[[#This Row],[Date_Received]],GroDB[[#This Row],[Last_Order_Date]])</f>
        <v>45397</v>
      </c>
      <c r="M703" s="45">
        <f>GroDB[[#This Row],[Date_Received1]]-GroDB[[#This Row],[Procurement_Date]]</f>
        <v>47</v>
      </c>
      <c r="N703" s="43">
        <v>45666</v>
      </c>
      <c r="O703" s="91">
        <f>GroDB[[#This Row],[Expiration_Date]]-GroDB[[#This Row],[Date_Received1]]</f>
        <v>222</v>
      </c>
      <c r="P703" s="4">
        <v>2.4000000000000004</v>
      </c>
      <c r="Q703" s="3">
        <v>47</v>
      </c>
      <c r="R703" s="3">
        <v>41</v>
      </c>
      <c r="S703" s="3">
        <v>63</v>
      </c>
      <c r="T703" s="4">
        <v>3</v>
      </c>
      <c r="U703" s="3">
        <v>39</v>
      </c>
      <c r="V703" s="51">
        <f>IF(GroDB[[#This Row],[LeadTime]]=0,GroDB[[#This Row],[Sales_Volume]],GroDB[[#This Row],[Sales_Volume]]/GroDB[[#This Row],[LeadTime]])</f>
        <v>0.82978723404255317</v>
      </c>
      <c r="W703" s="51">
        <f>_xlfn.STDEV.S(GroDB[Daily Sales])</f>
        <v>5.1999899792654221</v>
      </c>
      <c r="X703" s="3">
        <v>54</v>
      </c>
      <c r="Y703" s="7">
        <v>0.16</v>
      </c>
      <c r="Z703" s="4">
        <f>GroDB[[#This Row],[Unit_Price]]*GroDB[[#This Row],[Sales_Volume]]</f>
        <v>117</v>
      </c>
      <c r="AA703" s="22">
        <f>GroDB[[#This Row],[ADU]]/GroDB[[#Totals],[ADU]]</f>
        <v>3.3985018822762418E-4</v>
      </c>
      <c r="AB703" s="1">
        <f>GroDB[[#This Row],[Sales_Volume]]*GroDB[[#This Row],[Ordering Cost]]</f>
        <v>93.600000000000009</v>
      </c>
    </row>
    <row r="704" spans="1:28" x14ac:dyDescent="0.35">
      <c r="A704" s="5" t="s">
        <v>17</v>
      </c>
      <c r="B704" s="3" t="s">
        <v>18</v>
      </c>
      <c r="C704" s="3" t="s">
        <v>536</v>
      </c>
      <c r="D704" s="3" t="s">
        <v>2561</v>
      </c>
      <c r="E704" s="3" t="s">
        <v>28</v>
      </c>
      <c r="F704" s="3" t="s">
        <v>2562</v>
      </c>
      <c r="G704" s="3" t="s">
        <v>2563</v>
      </c>
      <c r="H704" s="43">
        <v>45397</v>
      </c>
      <c r="I704" s="43">
        <v>45349</v>
      </c>
      <c r="J704" s="47" t="str">
        <f>IF(GroDB[[#This Row],[Last_Order_Date]]&lt;=GroDB[[#This Row],[Date_Received]], "Yes", "No")</f>
        <v>Yes</v>
      </c>
      <c r="K704" s="43">
        <f>IF(GroDB[[#This Row],[Column1]]="No",GroDB[[#This Row],[Last_Order_Date]],GroDB[[#This Row],[Date_Received]])</f>
        <v>45397</v>
      </c>
      <c r="L704" s="43">
        <f>IF(GroDB[[#This Row],[Column1]]="No",GroDB[[#This Row],[Date_Received]],GroDB[[#This Row],[Last_Order_Date]])</f>
        <v>45349</v>
      </c>
      <c r="M704" s="45">
        <f>GroDB[[#This Row],[Date_Received1]]-GroDB[[#This Row],[Procurement_Date]]</f>
        <v>48</v>
      </c>
      <c r="N704" s="43">
        <v>45681</v>
      </c>
      <c r="O704" s="91">
        <f>GroDB[[#This Row],[Expiration_Date]]-GroDB[[#This Row],[Date_Received1]]</f>
        <v>284</v>
      </c>
      <c r="P704" s="4">
        <v>3.6</v>
      </c>
      <c r="Q704" s="3">
        <v>84</v>
      </c>
      <c r="R704" s="3">
        <v>26</v>
      </c>
      <c r="S704" s="3">
        <v>37</v>
      </c>
      <c r="T704" s="4">
        <v>4.5</v>
      </c>
      <c r="U704" s="3">
        <v>46</v>
      </c>
      <c r="V704" s="51">
        <f>IF(GroDB[[#This Row],[LeadTime]]=0,GroDB[[#This Row],[Sales_Volume]],GroDB[[#This Row],[Sales_Volume]]/GroDB[[#This Row],[LeadTime]])</f>
        <v>0.95833333333333337</v>
      </c>
      <c r="W704" s="51">
        <f>_xlfn.STDEV.S(GroDB[Daily Sales])</f>
        <v>5.1999899792654221</v>
      </c>
      <c r="X704" s="3">
        <v>67</v>
      </c>
      <c r="Y704" s="7">
        <v>-0.38</v>
      </c>
      <c r="Z704" s="4">
        <f>GroDB[[#This Row],[Unit_Price]]*GroDB[[#This Row],[Sales_Volume]]</f>
        <v>207</v>
      </c>
      <c r="AA704" s="22">
        <f>GroDB[[#This Row],[ADU]]/GroDB[[#Totals],[ADU]]</f>
        <v>6.012734099411813E-4</v>
      </c>
      <c r="AB704" s="1">
        <f>GroDB[[#This Row],[Sales_Volume]]*GroDB[[#This Row],[Ordering Cost]]</f>
        <v>165.6</v>
      </c>
    </row>
    <row r="705" spans="1:28" x14ac:dyDescent="0.35">
      <c r="A705" s="5" t="s">
        <v>1369</v>
      </c>
      <c r="B705" s="3" t="s">
        <v>32</v>
      </c>
      <c r="C705" s="3" t="s">
        <v>2564</v>
      </c>
      <c r="D705" s="3" t="s">
        <v>2565</v>
      </c>
      <c r="E705" s="3" t="s">
        <v>56</v>
      </c>
      <c r="F705" s="3" t="s">
        <v>2566</v>
      </c>
      <c r="G705" s="3" t="s">
        <v>2567</v>
      </c>
      <c r="H705" s="43">
        <v>45398</v>
      </c>
      <c r="I705" s="43">
        <v>45590</v>
      </c>
      <c r="J705" s="47" t="str">
        <f>IF(GroDB[[#This Row],[Last_Order_Date]]&lt;=GroDB[[#This Row],[Date_Received]], "Yes", "No")</f>
        <v>No</v>
      </c>
      <c r="K705" s="43">
        <f>IF(GroDB[[#This Row],[Column1]]="No",GroDB[[#This Row],[Last_Order_Date]],GroDB[[#This Row],[Date_Received]])</f>
        <v>45590</v>
      </c>
      <c r="L705" s="43">
        <f>IF(GroDB[[#This Row],[Column1]]="No",GroDB[[#This Row],[Date_Received]],GroDB[[#This Row],[Last_Order_Date]])</f>
        <v>45398</v>
      </c>
      <c r="M705" s="45">
        <f>GroDB[[#This Row],[Date_Received1]]-GroDB[[#This Row],[Procurement_Date]]</f>
        <v>192</v>
      </c>
      <c r="N705" s="43">
        <v>45632</v>
      </c>
      <c r="O705" s="91">
        <f>GroDB[[#This Row],[Expiration_Date]]-GroDB[[#This Row],[Date_Received1]]</f>
        <v>42</v>
      </c>
      <c r="P705" s="4">
        <v>3.2</v>
      </c>
      <c r="Q705" s="3">
        <v>85</v>
      </c>
      <c r="R705" s="3">
        <v>15</v>
      </c>
      <c r="S705" s="3">
        <v>30</v>
      </c>
      <c r="T705" s="4">
        <v>4</v>
      </c>
      <c r="U705" s="3">
        <v>95</v>
      </c>
      <c r="V705" s="51">
        <f>IF(GroDB[[#This Row],[LeadTime]]=0,GroDB[[#This Row],[Sales_Volume]],GroDB[[#This Row],[Sales_Volume]]/GroDB[[#This Row],[LeadTime]])</f>
        <v>0.49479166666666669</v>
      </c>
      <c r="W705" s="51">
        <f>_xlfn.STDEV.S(GroDB[Daily Sales])</f>
        <v>5.1999899792654221</v>
      </c>
      <c r="X705" s="3">
        <v>63</v>
      </c>
      <c r="Y705" s="7">
        <v>-0.46</v>
      </c>
      <c r="Z705" s="4">
        <f>GroDB[[#This Row],[Unit_Price]]*GroDB[[#This Row],[Sales_Volume]]</f>
        <v>380</v>
      </c>
      <c r="AA705" s="22">
        <f>GroDB[[#This Row],[ADU]]/GroDB[[#Totals],[ADU]]</f>
        <v>1.1037869361239076E-3</v>
      </c>
      <c r="AB705" s="1">
        <f>GroDB[[#This Row],[Sales_Volume]]*GroDB[[#This Row],[Ordering Cost]]</f>
        <v>304</v>
      </c>
    </row>
    <row r="706" spans="1:28" x14ac:dyDescent="0.35">
      <c r="A706" s="5" t="s">
        <v>587</v>
      </c>
      <c r="B706" s="3" t="s">
        <v>127</v>
      </c>
      <c r="C706" s="3" t="s">
        <v>2568</v>
      </c>
      <c r="D706" s="3" t="s">
        <v>2569</v>
      </c>
      <c r="E706" s="3" t="s">
        <v>28</v>
      </c>
      <c r="F706" s="3" t="s">
        <v>2570</v>
      </c>
      <c r="G706" s="3" t="s">
        <v>2571</v>
      </c>
      <c r="H706" s="43">
        <v>45398</v>
      </c>
      <c r="I706" s="43">
        <v>45513</v>
      </c>
      <c r="J706" s="47" t="str">
        <f>IF(GroDB[[#This Row],[Last_Order_Date]]&lt;=GroDB[[#This Row],[Date_Received]], "Yes", "No")</f>
        <v>No</v>
      </c>
      <c r="K706" s="43">
        <f>IF(GroDB[[#This Row],[Column1]]="No",GroDB[[#This Row],[Last_Order_Date]],GroDB[[#This Row],[Date_Received]])</f>
        <v>45513</v>
      </c>
      <c r="L706" s="43">
        <f>IF(GroDB[[#This Row],[Column1]]="No",GroDB[[#This Row],[Date_Received]],GroDB[[#This Row],[Last_Order_Date]])</f>
        <v>45398</v>
      </c>
      <c r="M706" s="45">
        <f>GroDB[[#This Row],[Date_Received1]]-GroDB[[#This Row],[Procurement_Date]]</f>
        <v>115</v>
      </c>
      <c r="N706" s="43">
        <v>45624</v>
      </c>
      <c r="O706" s="91">
        <f>GroDB[[#This Row],[Expiration_Date]]-GroDB[[#This Row],[Date_Received1]]</f>
        <v>111</v>
      </c>
      <c r="P706" s="4">
        <v>24</v>
      </c>
      <c r="Q706" s="3">
        <v>27</v>
      </c>
      <c r="R706" s="3">
        <v>1</v>
      </c>
      <c r="S706" s="3">
        <v>3</v>
      </c>
      <c r="T706" s="4">
        <v>30</v>
      </c>
      <c r="U706" s="3">
        <v>34</v>
      </c>
      <c r="V706" s="51">
        <f>IF(GroDB[[#This Row],[LeadTime]]=0,GroDB[[#This Row],[Sales_Volume]],GroDB[[#This Row],[Sales_Volume]]/GroDB[[#This Row],[LeadTime]])</f>
        <v>0.29565217391304349</v>
      </c>
      <c r="W706" s="51">
        <f>_xlfn.STDEV.S(GroDB[Daily Sales])</f>
        <v>5.1999899792654221</v>
      </c>
      <c r="X706" s="3">
        <v>63</v>
      </c>
      <c r="Y706" s="7">
        <v>0.34</v>
      </c>
      <c r="Z706" s="4">
        <f>GroDB[[#This Row],[Unit_Price]]*GroDB[[#This Row],[Sales_Volume]]</f>
        <v>1020</v>
      </c>
      <c r="AA706" s="22">
        <f>GroDB[[#This Row],[ADU]]/GroDB[[#Totals],[ADU]]</f>
        <v>2.962796512753647E-3</v>
      </c>
      <c r="AB706" s="1">
        <f>GroDB[[#This Row],[Sales_Volume]]*GroDB[[#This Row],[Ordering Cost]]</f>
        <v>816</v>
      </c>
    </row>
    <row r="707" spans="1:28" x14ac:dyDescent="0.35">
      <c r="A707" s="5" t="s">
        <v>239</v>
      </c>
      <c r="B707" s="3" t="s">
        <v>25</v>
      </c>
      <c r="C707" s="3" t="s">
        <v>943</v>
      </c>
      <c r="D707" s="3" t="s">
        <v>2572</v>
      </c>
      <c r="E707" s="3" t="s">
        <v>28</v>
      </c>
      <c r="F707" s="3" t="s">
        <v>2573</v>
      </c>
      <c r="G707" s="3" t="s">
        <v>2574</v>
      </c>
      <c r="H707" s="43">
        <v>45399</v>
      </c>
      <c r="I707" s="43">
        <v>45584</v>
      </c>
      <c r="J707" s="47" t="str">
        <f>IF(GroDB[[#This Row],[Last_Order_Date]]&lt;=GroDB[[#This Row],[Date_Received]], "Yes", "No")</f>
        <v>No</v>
      </c>
      <c r="K707" s="43">
        <f>IF(GroDB[[#This Row],[Column1]]="No",GroDB[[#This Row],[Last_Order_Date]],GroDB[[#This Row],[Date_Received]])</f>
        <v>45584</v>
      </c>
      <c r="L707" s="43">
        <f>IF(GroDB[[#This Row],[Column1]]="No",GroDB[[#This Row],[Date_Received]],GroDB[[#This Row],[Last_Order_Date]])</f>
        <v>45399</v>
      </c>
      <c r="M707" s="45">
        <f>GroDB[[#This Row],[Date_Received1]]-GroDB[[#This Row],[Procurement_Date]]</f>
        <v>185</v>
      </c>
      <c r="N707" s="43">
        <v>45491</v>
      </c>
      <c r="O707" s="91">
        <f>GroDB[[#This Row],[Expiration_Date]]-GroDB[[#This Row],[Date_Received1]]</f>
        <v>-93</v>
      </c>
      <c r="P707" s="4">
        <v>5.2</v>
      </c>
      <c r="Q707" s="3">
        <v>77</v>
      </c>
      <c r="R707" s="3">
        <v>95</v>
      </c>
      <c r="S707" s="3">
        <v>82</v>
      </c>
      <c r="T707" s="4">
        <v>6.5</v>
      </c>
      <c r="U707" s="3">
        <v>29</v>
      </c>
      <c r="V707" s="51">
        <f>IF(GroDB[[#This Row],[LeadTime]]=0,GroDB[[#This Row],[Sales_Volume]],GroDB[[#This Row],[Sales_Volume]]/GroDB[[#This Row],[LeadTime]])</f>
        <v>0.15675675675675677</v>
      </c>
      <c r="W707" s="51">
        <f>_xlfn.STDEV.S(GroDB[Daily Sales])</f>
        <v>5.1999899792654221</v>
      </c>
      <c r="X707" s="3">
        <v>46</v>
      </c>
      <c r="Y707" s="7">
        <v>-0.85</v>
      </c>
      <c r="Z707" s="4">
        <f>GroDB[[#This Row],[Unit_Price]]*GroDB[[#This Row],[Sales_Volume]]</f>
        <v>188.5</v>
      </c>
      <c r="AA707" s="22">
        <f>GroDB[[#This Row],[ADU]]/GroDB[[#Totals],[ADU]]</f>
        <v>5.4753641436672783E-4</v>
      </c>
      <c r="AB707" s="1">
        <f>GroDB[[#This Row],[Sales_Volume]]*GroDB[[#This Row],[Ordering Cost]]</f>
        <v>150.80000000000001</v>
      </c>
    </row>
    <row r="708" spans="1:28" x14ac:dyDescent="0.35">
      <c r="A708" s="5" t="s">
        <v>1117</v>
      </c>
      <c r="B708" s="3" t="s">
        <v>91</v>
      </c>
      <c r="C708" s="3" t="s">
        <v>682</v>
      </c>
      <c r="D708" s="3" t="s">
        <v>2575</v>
      </c>
      <c r="E708" s="3" t="s">
        <v>56</v>
      </c>
      <c r="F708" s="3" t="s">
        <v>2576</v>
      </c>
      <c r="G708" s="3" t="s">
        <v>2577</v>
      </c>
      <c r="H708" s="43">
        <v>45399</v>
      </c>
      <c r="I708" s="43">
        <v>45692</v>
      </c>
      <c r="J708" s="47" t="str">
        <f>IF(GroDB[[#This Row],[Last_Order_Date]]&lt;=GroDB[[#This Row],[Date_Received]], "Yes", "No")</f>
        <v>No</v>
      </c>
      <c r="K708" s="43">
        <f>IF(GroDB[[#This Row],[Column1]]="No",GroDB[[#This Row],[Last_Order_Date]],GroDB[[#This Row],[Date_Received]])</f>
        <v>45692</v>
      </c>
      <c r="L708" s="43">
        <f>IF(GroDB[[#This Row],[Column1]]="No",GroDB[[#This Row],[Date_Received]],GroDB[[#This Row],[Last_Order_Date]])</f>
        <v>45399</v>
      </c>
      <c r="M708" s="45">
        <f>GroDB[[#This Row],[Date_Received1]]-GroDB[[#This Row],[Procurement_Date]]</f>
        <v>293</v>
      </c>
      <c r="N708" s="43">
        <v>45437</v>
      </c>
      <c r="O708" s="91">
        <f>GroDB[[#This Row],[Expiration_Date]]-GroDB[[#This Row],[Date_Received1]]</f>
        <v>-255</v>
      </c>
      <c r="P708" s="4">
        <v>4.8000000000000007</v>
      </c>
      <c r="Q708" s="3">
        <v>84</v>
      </c>
      <c r="R708" s="3">
        <v>58</v>
      </c>
      <c r="S708" s="3">
        <v>28</v>
      </c>
      <c r="T708" s="4">
        <v>6</v>
      </c>
      <c r="U708" s="3">
        <v>51</v>
      </c>
      <c r="V708" s="51">
        <f>IF(GroDB[[#This Row],[LeadTime]]=0,GroDB[[#This Row],[Sales_Volume]],GroDB[[#This Row],[Sales_Volume]]/GroDB[[#This Row],[LeadTime]])</f>
        <v>0.17406143344709898</v>
      </c>
      <c r="W708" s="51">
        <f>_xlfn.STDEV.S(GroDB[Daily Sales])</f>
        <v>5.1999899792654221</v>
      </c>
      <c r="X708" s="3">
        <v>12</v>
      </c>
      <c r="Y708" s="7">
        <v>-0.59</v>
      </c>
      <c r="Z708" s="4">
        <f>GroDB[[#This Row],[Unit_Price]]*GroDB[[#This Row],[Sales_Volume]]</f>
        <v>306</v>
      </c>
      <c r="AA708" s="22">
        <f>GroDB[[#This Row],[ADU]]/GroDB[[#Totals],[ADU]]</f>
        <v>8.8883895382609404E-4</v>
      </c>
      <c r="AB708" s="1">
        <f>GroDB[[#This Row],[Sales_Volume]]*GroDB[[#This Row],[Ordering Cost]]</f>
        <v>244.80000000000004</v>
      </c>
    </row>
    <row r="709" spans="1:28" x14ac:dyDescent="0.35">
      <c r="A709" s="5" t="s">
        <v>976</v>
      </c>
      <c r="B709" s="3" t="s">
        <v>60</v>
      </c>
      <c r="C709" s="3" t="s">
        <v>2033</v>
      </c>
      <c r="D709" s="3" t="s">
        <v>2578</v>
      </c>
      <c r="E709" s="3" t="s">
        <v>28</v>
      </c>
      <c r="F709" s="3" t="s">
        <v>2579</v>
      </c>
      <c r="G709" s="3" t="s">
        <v>2580</v>
      </c>
      <c r="H709" s="43">
        <v>45399</v>
      </c>
      <c r="I709" s="43">
        <v>45386</v>
      </c>
      <c r="J709" s="47" t="str">
        <f>IF(GroDB[[#This Row],[Last_Order_Date]]&lt;=GroDB[[#This Row],[Date_Received]], "Yes", "No")</f>
        <v>Yes</v>
      </c>
      <c r="K709" s="43">
        <f>IF(GroDB[[#This Row],[Column1]]="No",GroDB[[#This Row],[Last_Order_Date]],GroDB[[#This Row],[Date_Received]])</f>
        <v>45399</v>
      </c>
      <c r="L709" s="43">
        <f>IF(GroDB[[#This Row],[Column1]]="No",GroDB[[#This Row],[Date_Received]],GroDB[[#This Row],[Last_Order_Date]])</f>
        <v>45386</v>
      </c>
      <c r="M709" s="45">
        <f>GroDB[[#This Row],[Date_Received1]]-GroDB[[#This Row],[Procurement_Date]]</f>
        <v>13</v>
      </c>
      <c r="N709" s="43">
        <v>45698</v>
      </c>
      <c r="O709" s="91">
        <f>GroDB[[#This Row],[Expiration_Date]]-GroDB[[#This Row],[Date_Received1]]</f>
        <v>299</v>
      </c>
      <c r="P709" s="4">
        <v>16</v>
      </c>
      <c r="Q709" s="3">
        <v>35</v>
      </c>
      <c r="R709" s="3">
        <v>72</v>
      </c>
      <c r="S709" s="3">
        <v>70</v>
      </c>
      <c r="T709" s="4">
        <v>20</v>
      </c>
      <c r="U709" s="3">
        <v>74</v>
      </c>
      <c r="V709" s="51">
        <f>IF(GroDB[[#This Row],[LeadTime]]=0,GroDB[[#This Row],[Sales_Volume]],GroDB[[#This Row],[Sales_Volume]]/GroDB[[#This Row],[LeadTime]])</f>
        <v>5.6923076923076925</v>
      </c>
      <c r="W709" s="51">
        <f>_xlfn.STDEV.S(GroDB[Daily Sales])</f>
        <v>5.1999899792654221</v>
      </c>
      <c r="X709" s="3">
        <v>15</v>
      </c>
      <c r="Y709" s="7">
        <v>0.76</v>
      </c>
      <c r="Z709" s="4">
        <f>GroDB[[#This Row],[Unit_Price]]*GroDB[[#This Row],[Sales_Volume]]</f>
        <v>1480</v>
      </c>
      <c r="AA709" s="22">
        <f>GroDB[[#This Row],[ADU]]/GroDB[[#Totals],[ADU]]</f>
        <v>4.2989596459562717E-3</v>
      </c>
      <c r="AB709" s="1">
        <f>GroDB[[#This Row],[Sales_Volume]]*GroDB[[#This Row],[Ordering Cost]]</f>
        <v>1184</v>
      </c>
    </row>
    <row r="710" spans="1:28" x14ac:dyDescent="0.35">
      <c r="A710" s="5" t="s">
        <v>1109</v>
      </c>
      <c r="B710" s="3" t="s">
        <v>18</v>
      </c>
      <c r="C710" s="3" t="s">
        <v>962</v>
      </c>
      <c r="D710" s="3" t="s">
        <v>2581</v>
      </c>
      <c r="E710" s="3" t="s">
        <v>21</v>
      </c>
      <c r="F710" s="3" t="s">
        <v>2582</v>
      </c>
      <c r="G710" s="3" t="s">
        <v>2583</v>
      </c>
      <c r="H710" s="43">
        <v>45399</v>
      </c>
      <c r="I710" s="43">
        <v>45627</v>
      </c>
      <c r="J710" s="47" t="str">
        <f>IF(GroDB[[#This Row],[Last_Order_Date]]&lt;=GroDB[[#This Row],[Date_Received]], "Yes", "No")</f>
        <v>No</v>
      </c>
      <c r="K710" s="43">
        <f>IF(GroDB[[#This Row],[Column1]]="No",GroDB[[#This Row],[Last_Order_Date]],GroDB[[#This Row],[Date_Received]])</f>
        <v>45627</v>
      </c>
      <c r="L710" s="43">
        <f>IF(GroDB[[#This Row],[Column1]]="No",GroDB[[#This Row],[Date_Received]],GroDB[[#This Row],[Last_Order_Date]])</f>
        <v>45399</v>
      </c>
      <c r="M710" s="45">
        <f>GroDB[[#This Row],[Date_Received1]]-GroDB[[#This Row],[Procurement_Date]]</f>
        <v>228</v>
      </c>
      <c r="N710" s="43">
        <v>45371</v>
      </c>
      <c r="O710" s="91">
        <f>GroDB[[#This Row],[Expiration_Date]]-GroDB[[#This Row],[Date_Received1]]</f>
        <v>-256</v>
      </c>
      <c r="P710" s="4">
        <v>2</v>
      </c>
      <c r="Q710" s="3">
        <v>98</v>
      </c>
      <c r="R710" s="3">
        <v>14</v>
      </c>
      <c r="S710" s="3">
        <v>11</v>
      </c>
      <c r="T710" s="4">
        <v>2.5</v>
      </c>
      <c r="U710" s="3">
        <v>48</v>
      </c>
      <c r="V710" s="51">
        <f>IF(GroDB[[#This Row],[LeadTime]]=0,GroDB[[#This Row],[Sales_Volume]],GroDB[[#This Row],[Sales_Volume]]/GroDB[[#This Row],[LeadTime]])</f>
        <v>0.21052631578947367</v>
      </c>
      <c r="W710" s="51">
        <f>_xlfn.STDEV.S(GroDB[Daily Sales])</f>
        <v>5.1999899792654221</v>
      </c>
      <c r="X710" s="3">
        <v>38</v>
      </c>
      <c r="Y710" s="7">
        <v>0.8</v>
      </c>
      <c r="Z710" s="4">
        <f>GroDB[[#This Row],[Unit_Price]]*GroDB[[#This Row],[Sales_Volume]]</f>
        <v>120</v>
      </c>
      <c r="AA710" s="22">
        <f>GroDB[[#This Row],[ADU]]/GroDB[[#Totals],[ADU]]</f>
        <v>3.4856429561807613E-4</v>
      </c>
      <c r="AB710" s="1">
        <f>GroDB[[#This Row],[Sales_Volume]]*GroDB[[#This Row],[Ordering Cost]]</f>
        <v>96</v>
      </c>
    </row>
    <row r="711" spans="1:28" x14ac:dyDescent="0.35">
      <c r="A711" s="5" t="s">
        <v>1138</v>
      </c>
      <c r="B711" s="3" t="s">
        <v>32</v>
      </c>
      <c r="C711" s="3" t="s">
        <v>1127</v>
      </c>
      <c r="D711" s="3" t="s">
        <v>2584</v>
      </c>
      <c r="E711" s="3" t="s">
        <v>56</v>
      </c>
      <c r="F711" s="3" t="s">
        <v>2585</v>
      </c>
      <c r="G711" s="3" t="s">
        <v>2586</v>
      </c>
      <c r="H711" s="43">
        <v>45399</v>
      </c>
      <c r="I711" s="43">
        <v>45384</v>
      </c>
      <c r="J711" s="47" t="str">
        <f>IF(GroDB[[#This Row],[Last_Order_Date]]&lt;=GroDB[[#This Row],[Date_Received]], "Yes", "No")</f>
        <v>Yes</v>
      </c>
      <c r="K711" s="43">
        <f>IF(GroDB[[#This Row],[Column1]]="No",GroDB[[#This Row],[Last_Order_Date]],GroDB[[#This Row],[Date_Received]])</f>
        <v>45399</v>
      </c>
      <c r="L711" s="43">
        <f>IF(GroDB[[#This Row],[Column1]]="No",GroDB[[#This Row],[Date_Received]],GroDB[[#This Row],[Last_Order_Date]])</f>
        <v>45384</v>
      </c>
      <c r="M711" s="45">
        <f>GroDB[[#This Row],[Date_Received1]]-GroDB[[#This Row],[Procurement_Date]]</f>
        <v>15</v>
      </c>
      <c r="N711" s="43">
        <v>45601</v>
      </c>
      <c r="O711" s="91">
        <f>GroDB[[#This Row],[Expiration_Date]]-GroDB[[#This Row],[Date_Received1]]</f>
        <v>202</v>
      </c>
      <c r="P711" s="4">
        <v>0.16000000000000003</v>
      </c>
      <c r="Q711" s="3">
        <v>63</v>
      </c>
      <c r="R711" s="3">
        <v>62</v>
      </c>
      <c r="S711" s="3">
        <v>18</v>
      </c>
      <c r="T711" s="4">
        <v>0.2</v>
      </c>
      <c r="U711" s="3">
        <v>67</v>
      </c>
      <c r="V711" s="51">
        <f>IF(GroDB[[#This Row],[LeadTime]]=0,GroDB[[#This Row],[Sales_Volume]],GroDB[[#This Row],[Sales_Volume]]/GroDB[[#This Row],[LeadTime]])</f>
        <v>4.4666666666666668</v>
      </c>
      <c r="W711" s="51">
        <f>_xlfn.STDEV.S(GroDB[Daily Sales])</f>
        <v>5.1999899792654221</v>
      </c>
      <c r="X711" s="3">
        <v>17</v>
      </c>
      <c r="Y711" s="7">
        <v>0.21</v>
      </c>
      <c r="Z711" s="4">
        <f>GroDB[[#This Row],[Unit_Price]]*GroDB[[#This Row],[Sales_Volume]]</f>
        <v>13.4</v>
      </c>
      <c r="AA711" s="22">
        <f>GroDB[[#This Row],[ADU]]/GroDB[[#Totals],[ADU]]</f>
        <v>3.8923013010685167E-5</v>
      </c>
      <c r="AB711" s="1">
        <f>GroDB[[#This Row],[Sales_Volume]]*GroDB[[#This Row],[Ordering Cost]]</f>
        <v>10.720000000000002</v>
      </c>
    </row>
    <row r="712" spans="1:28" x14ac:dyDescent="0.35">
      <c r="A712" s="5" t="s">
        <v>239</v>
      </c>
      <c r="B712" s="3" t="s">
        <v>25</v>
      </c>
      <c r="C712" s="3" t="s">
        <v>904</v>
      </c>
      <c r="D712" s="3" t="s">
        <v>2587</v>
      </c>
      <c r="E712" s="3" t="s">
        <v>21</v>
      </c>
      <c r="F712" s="3" t="s">
        <v>2588</v>
      </c>
      <c r="G712" s="3" t="s">
        <v>2589</v>
      </c>
      <c r="H712" s="43">
        <v>45400</v>
      </c>
      <c r="I712" s="43">
        <v>45584</v>
      </c>
      <c r="J712" s="47" t="str">
        <f>IF(GroDB[[#This Row],[Last_Order_Date]]&lt;=GroDB[[#This Row],[Date_Received]], "Yes", "No")</f>
        <v>No</v>
      </c>
      <c r="K712" s="43">
        <f>IF(GroDB[[#This Row],[Column1]]="No",GroDB[[#This Row],[Last_Order_Date]],GroDB[[#This Row],[Date_Received]])</f>
        <v>45584</v>
      </c>
      <c r="L712" s="43">
        <f>IF(GroDB[[#This Row],[Column1]]="No",GroDB[[#This Row],[Date_Received]],GroDB[[#This Row],[Last_Order_Date]])</f>
        <v>45400</v>
      </c>
      <c r="M712" s="45">
        <f>GroDB[[#This Row],[Date_Received1]]-GroDB[[#This Row],[Procurement_Date]]</f>
        <v>184</v>
      </c>
      <c r="N712" s="43">
        <v>45644</v>
      </c>
      <c r="O712" s="91">
        <f>GroDB[[#This Row],[Expiration_Date]]-GroDB[[#This Row],[Date_Received1]]</f>
        <v>60</v>
      </c>
      <c r="P712" s="4">
        <v>5.2</v>
      </c>
      <c r="Q712" s="3">
        <v>27</v>
      </c>
      <c r="R712" s="3">
        <v>92</v>
      </c>
      <c r="S712" s="3">
        <v>56</v>
      </c>
      <c r="T712" s="4">
        <v>6.5</v>
      </c>
      <c r="U712" s="3">
        <v>29</v>
      </c>
      <c r="V712" s="51">
        <f>IF(GroDB[[#This Row],[LeadTime]]=0,GroDB[[#This Row],[Sales_Volume]],GroDB[[#This Row],[Sales_Volume]]/GroDB[[#This Row],[LeadTime]])</f>
        <v>0.15760869565217392</v>
      </c>
      <c r="W712" s="51">
        <f>_xlfn.STDEV.S(GroDB[Daily Sales])</f>
        <v>5.1999899792654221</v>
      </c>
      <c r="X712" s="3">
        <v>32</v>
      </c>
      <c r="Y712" s="7">
        <v>0.75</v>
      </c>
      <c r="Z712" s="4">
        <f>GroDB[[#This Row],[Unit_Price]]*GroDB[[#This Row],[Sales_Volume]]</f>
        <v>188.5</v>
      </c>
      <c r="AA712" s="22">
        <f>GroDB[[#This Row],[ADU]]/GroDB[[#Totals],[ADU]]</f>
        <v>5.4753641436672783E-4</v>
      </c>
      <c r="AB712" s="1">
        <f>GroDB[[#This Row],[Sales_Volume]]*GroDB[[#This Row],[Ordering Cost]]</f>
        <v>150.80000000000001</v>
      </c>
    </row>
    <row r="713" spans="1:28" x14ac:dyDescent="0.35">
      <c r="A713" s="5" t="s">
        <v>175</v>
      </c>
      <c r="B713" s="3" t="s">
        <v>53</v>
      </c>
      <c r="C713" s="3" t="s">
        <v>1609</v>
      </c>
      <c r="D713" s="3" t="s">
        <v>2590</v>
      </c>
      <c r="E713" s="3" t="s">
        <v>28</v>
      </c>
      <c r="F713" s="3" t="s">
        <v>2591</v>
      </c>
      <c r="G713" s="3" t="s">
        <v>2592</v>
      </c>
      <c r="H713" s="43">
        <v>45400</v>
      </c>
      <c r="I713" s="43">
        <v>45590</v>
      </c>
      <c r="J713" s="47" t="str">
        <f>IF(GroDB[[#This Row],[Last_Order_Date]]&lt;=GroDB[[#This Row],[Date_Received]], "Yes", "No")</f>
        <v>No</v>
      </c>
      <c r="K713" s="43">
        <f>IF(GroDB[[#This Row],[Column1]]="No",GroDB[[#This Row],[Last_Order_Date]],GroDB[[#This Row],[Date_Received]])</f>
        <v>45590</v>
      </c>
      <c r="L713" s="43">
        <f>IF(GroDB[[#This Row],[Column1]]="No",GroDB[[#This Row],[Date_Received]],GroDB[[#This Row],[Last_Order_Date]])</f>
        <v>45400</v>
      </c>
      <c r="M713" s="45">
        <f>GroDB[[#This Row],[Date_Received1]]-GroDB[[#This Row],[Procurement_Date]]</f>
        <v>190</v>
      </c>
      <c r="N713" s="43">
        <v>45440</v>
      </c>
      <c r="O713" s="91">
        <f>GroDB[[#This Row],[Expiration_Date]]-GroDB[[#This Row],[Date_Received1]]</f>
        <v>-150</v>
      </c>
      <c r="P713" s="4">
        <v>1.2000000000000002</v>
      </c>
      <c r="Q713" s="3">
        <v>70</v>
      </c>
      <c r="R713" s="3">
        <v>96</v>
      </c>
      <c r="S713" s="3">
        <v>92</v>
      </c>
      <c r="T713" s="4">
        <v>1.5</v>
      </c>
      <c r="U713" s="3">
        <v>27</v>
      </c>
      <c r="V713" s="51">
        <f>IF(GroDB[[#This Row],[LeadTime]]=0,GroDB[[#This Row],[Sales_Volume]],GroDB[[#This Row],[Sales_Volume]]/GroDB[[#This Row],[LeadTime]])</f>
        <v>0.14210526315789473</v>
      </c>
      <c r="W713" s="51">
        <f>_xlfn.STDEV.S(GroDB[Daily Sales])</f>
        <v>5.1999899792654221</v>
      </c>
      <c r="X713" s="3">
        <v>58</v>
      </c>
      <c r="Y713" s="7">
        <v>-0.1</v>
      </c>
      <c r="Z713" s="4">
        <f>GroDB[[#This Row],[Unit_Price]]*GroDB[[#This Row],[Sales_Volume]]</f>
        <v>40.5</v>
      </c>
      <c r="AA713" s="22">
        <f>GroDB[[#This Row],[ADU]]/GroDB[[#Totals],[ADU]]</f>
        <v>1.1764044977110069E-4</v>
      </c>
      <c r="AB713" s="1">
        <f>GroDB[[#This Row],[Sales_Volume]]*GroDB[[#This Row],[Ordering Cost]]</f>
        <v>32.400000000000006</v>
      </c>
    </row>
    <row r="714" spans="1:28" x14ac:dyDescent="0.35">
      <c r="A714" s="5" t="s">
        <v>52</v>
      </c>
      <c r="B714" s="3" t="s">
        <v>53</v>
      </c>
      <c r="C714" s="3" t="s">
        <v>1455</v>
      </c>
      <c r="D714" s="3" t="s">
        <v>2593</v>
      </c>
      <c r="E714" s="3" t="s">
        <v>21</v>
      </c>
      <c r="F714" s="3" t="s">
        <v>2594</v>
      </c>
      <c r="G714" s="3" t="s">
        <v>2595</v>
      </c>
      <c r="H714" s="43">
        <v>45400</v>
      </c>
      <c r="I714" s="43">
        <v>45388</v>
      </c>
      <c r="J714" s="47" t="str">
        <f>IF(GroDB[[#This Row],[Last_Order_Date]]&lt;=GroDB[[#This Row],[Date_Received]], "Yes", "No")</f>
        <v>Yes</v>
      </c>
      <c r="K714" s="43">
        <f>IF(GroDB[[#This Row],[Column1]]="No",GroDB[[#This Row],[Last_Order_Date]],GroDB[[#This Row],[Date_Received]])</f>
        <v>45400</v>
      </c>
      <c r="L714" s="43">
        <f>IF(GroDB[[#This Row],[Column1]]="No",GroDB[[#This Row],[Date_Received]],GroDB[[#This Row],[Last_Order_Date]])</f>
        <v>45388</v>
      </c>
      <c r="M714" s="45">
        <f>GroDB[[#This Row],[Date_Received1]]-GroDB[[#This Row],[Procurement_Date]]</f>
        <v>12</v>
      </c>
      <c r="N714" s="43">
        <v>45438</v>
      </c>
      <c r="O714" s="91">
        <f>GroDB[[#This Row],[Expiration_Date]]-GroDB[[#This Row],[Date_Received1]]</f>
        <v>38</v>
      </c>
      <c r="P714" s="4">
        <v>4</v>
      </c>
      <c r="Q714" s="3">
        <v>49</v>
      </c>
      <c r="R714" s="3">
        <v>59</v>
      </c>
      <c r="S714" s="3">
        <v>73</v>
      </c>
      <c r="T714" s="4">
        <v>5</v>
      </c>
      <c r="U714" s="3">
        <v>93</v>
      </c>
      <c r="V714" s="51">
        <f>IF(GroDB[[#This Row],[LeadTime]]=0,GroDB[[#This Row],[Sales_Volume]],GroDB[[#This Row],[Sales_Volume]]/GroDB[[#This Row],[LeadTime]])</f>
        <v>7.75</v>
      </c>
      <c r="W714" s="51">
        <f>_xlfn.STDEV.S(GroDB[Daily Sales])</f>
        <v>5.1999899792654221</v>
      </c>
      <c r="X714" s="3">
        <v>45</v>
      </c>
      <c r="Y714" s="7">
        <v>-1.1499999999999999</v>
      </c>
      <c r="Z714" s="4">
        <f>GroDB[[#This Row],[Unit_Price]]*GroDB[[#This Row],[Sales_Volume]]</f>
        <v>465</v>
      </c>
      <c r="AA714" s="22">
        <f>GroDB[[#This Row],[ADU]]/GroDB[[#Totals],[ADU]]</f>
        <v>1.3506866455200448E-3</v>
      </c>
      <c r="AB714" s="1">
        <f>GroDB[[#This Row],[Sales_Volume]]*GroDB[[#This Row],[Ordering Cost]]</f>
        <v>372</v>
      </c>
    </row>
    <row r="715" spans="1:28" x14ac:dyDescent="0.35">
      <c r="A715" s="5" t="s">
        <v>1138</v>
      </c>
      <c r="B715" s="3" t="s">
        <v>32</v>
      </c>
      <c r="C715" s="3" t="s">
        <v>1351</v>
      </c>
      <c r="D715" s="3" t="s">
        <v>2596</v>
      </c>
      <c r="E715" s="3" t="s">
        <v>21</v>
      </c>
      <c r="F715" s="3" t="s">
        <v>2597</v>
      </c>
      <c r="G715" s="3" t="s">
        <v>2598</v>
      </c>
      <c r="H715" s="43">
        <v>45400</v>
      </c>
      <c r="I715" s="43">
        <v>45368</v>
      </c>
      <c r="J715" s="47" t="str">
        <f>IF(GroDB[[#This Row],[Last_Order_Date]]&lt;=GroDB[[#This Row],[Date_Received]], "Yes", "No")</f>
        <v>Yes</v>
      </c>
      <c r="K715" s="43">
        <f>IF(GroDB[[#This Row],[Column1]]="No",GroDB[[#This Row],[Last_Order_Date]],GroDB[[#This Row],[Date_Received]])</f>
        <v>45400</v>
      </c>
      <c r="L715" s="43">
        <f>IF(GroDB[[#This Row],[Column1]]="No",GroDB[[#This Row],[Date_Received]],GroDB[[#This Row],[Last_Order_Date]])</f>
        <v>45368</v>
      </c>
      <c r="M715" s="45">
        <f>GroDB[[#This Row],[Date_Received1]]-GroDB[[#This Row],[Procurement_Date]]</f>
        <v>32</v>
      </c>
      <c r="N715" s="43">
        <v>45552</v>
      </c>
      <c r="O715" s="91">
        <f>GroDB[[#This Row],[Expiration_Date]]-GroDB[[#This Row],[Date_Received1]]</f>
        <v>152</v>
      </c>
      <c r="P715" s="4">
        <v>0.16000000000000003</v>
      </c>
      <c r="Q715" s="3">
        <v>22</v>
      </c>
      <c r="R715" s="3">
        <v>19</v>
      </c>
      <c r="S715" s="3">
        <v>4</v>
      </c>
      <c r="T715" s="4">
        <v>0.2</v>
      </c>
      <c r="U715" s="3">
        <v>88</v>
      </c>
      <c r="V715" s="51">
        <f>IF(GroDB[[#This Row],[LeadTime]]=0,GroDB[[#This Row],[Sales_Volume]],GroDB[[#This Row],[Sales_Volume]]/GroDB[[#This Row],[LeadTime]])</f>
        <v>2.75</v>
      </c>
      <c r="W715" s="51">
        <f>_xlfn.STDEV.S(GroDB[Daily Sales])</f>
        <v>5.1999899792654221</v>
      </c>
      <c r="X715" s="3">
        <v>24</v>
      </c>
      <c r="Y715" s="7">
        <v>0.52</v>
      </c>
      <c r="Z715" s="4">
        <f>GroDB[[#This Row],[Unit_Price]]*GroDB[[#This Row],[Sales_Volume]]</f>
        <v>17.600000000000001</v>
      </c>
      <c r="AA715" s="22">
        <f>GroDB[[#This Row],[ADU]]/GroDB[[#Totals],[ADU]]</f>
        <v>5.112276335731783E-5</v>
      </c>
      <c r="AB715" s="1">
        <f>GroDB[[#This Row],[Sales_Volume]]*GroDB[[#This Row],[Ordering Cost]]</f>
        <v>14.080000000000002</v>
      </c>
    </row>
    <row r="716" spans="1:28" x14ac:dyDescent="0.35">
      <c r="A716" s="5" t="s">
        <v>1516</v>
      </c>
      <c r="B716" s="3" t="s">
        <v>32</v>
      </c>
      <c r="C716" s="3" t="s">
        <v>678</v>
      </c>
      <c r="D716" s="3" t="s">
        <v>2599</v>
      </c>
      <c r="E716" s="3" t="s">
        <v>56</v>
      </c>
      <c r="F716" s="3" t="s">
        <v>2600</v>
      </c>
      <c r="G716" s="3" t="s">
        <v>2601</v>
      </c>
      <c r="H716" s="43">
        <v>45401</v>
      </c>
      <c r="I716" s="43">
        <v>45566</v>
      </c>
      <c r="J716" s="47" t="str">
        <f>IF(GroDB[[#This Row],[Last_Order_Date]]&lt;=GroDB[[#This Row],[Date_Received]], "Yes", "No")</f>
        <v>No</v>
      </c>
      <c r="K716" s="43">
        <f>IF(GroDB[[#This Row],[Column1]]="No",GroDB[[#This Row],[Last_Order_Date]],GroDB[[#This Row],[Date_Received]])</f>
        <v>45566</v>
      </c>
      <c r="L716" s="43">
        <f>IF(GroDB[[#This Row],[Column1]]="No",GroDB[[#This Row],[Date_Received]],GroDB[[#This Row],[Last_Order_Date]])</f>
        <v>45401</v>
      </c>
      <c r="M716" s="45">
        <f>GroDB[[#This Row],[Date_Received1]]-GroDB[[#This Row],[Procurement_Date]]</f>
        <v>165</v>
      </c>
      <c r="N716" s="43">
        <v>45607</v>
      </c>
      <c r="O716" s="91">
        <f>GroDB[[#This Row],[Expiration_Date]]-GroDB[[#This Row],[Date_Received1]]</f>
        <v>41</v>
      </c>
      <c r="P716" s="4">
        <v>5.6000000000000005</v>
      </c>
      <c r="Q716" s="3">
        <v>96</v>
      </c>
      <c r="R716" s="3">
        <v>38</v>
      </c>
      <c r="S716" s="3">
        <v>17</v>
      </c>
      <c r="T716" s="4">
        <v>7</v>
      </c>
      <c r="U716" s="3">
        <v>72</v>
      </c>
      <c r="V716" s="51">
        <f>IF(GroDB[[#This Row],[LeadTime]]=0,GroDB[[#This Row],[Sales_Volume]],GroDB[[#This Row],[Sales_Volume]]/GroDB[[#This Row],[LeadTime]])</f>
        <v>0.43636363636363634</v>
      </c>
      <c r="W716" s="51">
        <f>_xlfn.STDEV.S(GroDB[Daily Sales])</f>
        <v>5.1999899792654221</v>
      </c>
      <c r="X716" s="3">
        <v>84</v>
      </c>
      <c r="Y716" s="7">
        <v>0.73</v>
      </c>
      <c r="Z716" s="4">
        <f>GroDB[[#This Row],[Unit_Price]]*GroDB[[#This Row],[Sales_Volume]]</f>
        <v>504</v>
      </c>
      <c r="AA716" s="22">
        <f>GroDB[[#This Row],[ADU]]/GroDB[[#Totals],[ADU]]</f>
        <v>1.4639700415959196E-3</v>
      </c>
      <c r="AB716" s="1">
        <f>GroDB[[#This Row],[Sales_Volume]]*GroDB[[#This Row],[Ordering Cost]]</f>
        <v>403.20000000000005</v>
      </c>
    </row>
    <row r="717" spans="1:28" x14ac:dyDescent="0.35">
      <c r="A717" s="5" t="s">
        <v>544</v>
      </c>
      <c r="B717" s="3" t="s">
        <v>91</v>
      </c>
      <c r="C717" s="3" t="s">
        <v>2112</v>
      </c>
      <c r="D717" s="3" t="s">
        <v>2602</v>
      </c>
      <c r="E717" s="3" t="s">
        <v>28</v>
      </c>
      <c r="F717" s="3" t="s">
        <v>2603</v>
      </c>
      <c r="G717" s="3" t="s">
        <v>2604</v>
      </c>
      <c r="H717" s="43">
        <v>45401</v>
      </c>
      <c r="I717" s="43">
        <v>45364</v>
      </c>
      <c r="J717" s="47" t="str">
        <f>IF(GroDB[[#This Row],[Last_Order_Date]]&lt;=GroDB[[#This Row],[Date_Received]], "Yes", "No")</f>
        <v>Yes</v>
      </c>
      <c r="K717" s="43">
        <f>IF(GroDB[[#This Row],[Column1]]="No",GroDB[[#This Row],[Last_Order_Date]],GroDB[[#This Row],[Date_Received]])</f>
        <v>45401</v>
      </c>
      <c r="L717" s="43">
        <f>IF(GroDB[[#This Row],[Column1]]="No",GroDB[[#This Row],[Date_Received]],GroDB[[#This Row],[Last_Order_Date]])</f>
        <v>45364</v>
      </c>
      <c r="M717" s="45">
        <f>GroDB[[#This Row],[Date_Received1]]-GroDB[[#This Row],[Procurement_Date]]</f>
        <v>37</v>
      </c>
      <c r="N717" s="43">
        <v>45547</v>
      </c>
      <c r="O717" s="91">
        <f>GroDB[[#This Row],[Expiration_Date]]-GroDB[[#This Row],[Date_Received1]]</f>
        <v>146</v>
      </c>
      <c r="P717" s="4">
        <v>2.4000000000000004</v>
      </c>
      <c r="Q717" s="3">
        <v>61</v>
      </c>
      <c r="R717" s="3">
        <v>20</v>
      </c>
      <c r="S717" s="3">
        <v>29</v>
      </c>
      <c r="T717" s="4">
        <v>3</v>
      </c>
      <c r="U717" s="3">
        <v>71</v>
      </c>
      <c r="V717" s="51">
        <f>IF(GroDB[[#This Row],[LeadTime]]=0,GroDB[[#This Row],[Sales_Volume]],GroDB[[#This Row],[Sales_Volume]]/GroDB[[#This Row],[LeadTime]])</f>
        <v>1.9189189189189189</v>
      </c>
      <c r="W717" s="51">
        <f>_xlfn.STDEV.S(GroDB[Daily Sales])</f>
        <v>5.1999899792654221</v>
      </c>
      <c r="X717" s="3">
        <v>97</v>
      </c>
      <c r="Y717" s="7">
        <v>-0.17</v>
      </c>
      <c r="Z717" s="4">
        <f>GroDB[[#This Row],[Unit_Price]]*GroDB[[#This Row],[Sales_Volume]]</f>
        <v>213</v>
      </c>
      <c r="AA717" s="22">
        <f>GroDB[[#This Row],[ADU]]/GroDB[[#Totals],[ADU]]</f>
        <v>6.1870162472208508E-4</v>
      </c>
      <c r="AB717" s="1">
        <f>GroDB[[#This Row],[Sales_Volume]]*GroDB[[#This Row],[Ordering Cost]]</f>
        <v>170.40000000000003</v>
      </c>
    </row>
    <row r="718" spans="1:28" x14ac:dyDescent="0.35">
      <c r="A718" s="5" t="s">
        <v>1109</v>
      </c>
      <c r="B718" s="3" t="s">
        <v>18</v>
      </c>
      <c r="C718" s="3" t="s">
        <v>1394</v>
      </c>
      <c r="D718" s="3" t="s">
        <v>2605</v>
      </c>
      <c r="E718" s="3" t="s">
        <v>21</v>
      </c>
      <c r="F718" s="3" t="s">
        <v>2606</v>
      </c>
      <c r="G718" s="3" t="s">
        <v>2607</v>
      </c>
      <c r="H718" s="43">
        <v>45402</v>
      </c>
      <c r="I718" s="43">
        <v>45549</v>
      </c>
      <c r="J718" s="47" t="str">
        <f>IF(GroDB[[#This Row],[Last_Order_Date]]&lt;=GroDB[[#This Row],[Date_Received]], "Yes", "No")</f>
        <v>No</v>
      </c>
      <c r="K718" s="43">
        <f>IF(GroDB[[#This Row],[Column1]]="No",GroDB[[#This Row],[Last_Order_Date]],GroDB[[#This Row],[Date_Received]])</f>
        <v>45549</v>
      </c>
      <c r="L718" s="43">
        <f>IF(GroDB[[#This Row],[Column1]]="No",GroDB[[#This Row],[Date_Received]],GroDB[[#This Row],[Last_Order_Date]])</f>
        <v>45402</v>
      </c>
      <c r="M718" s="45">
        <f>GroDB[[#This Row],[Date_Received1]]-GroDB[[#This Row],[Procurement_Date]]</f>
        <v>147</v>
      </c>
      <c r="N718" s="43">
        <v>45401</v>
      </c>
      <c r="O718" s="91">
        <f>GroDB[[#This Row],[Expiration_Date]]-GroDB[[#This Row],[Date_Received1]]</f>
        <v>-148</v>
      </c>
      <c r="P718" s="4">
        <v>2</v>
      </c>
      <c r="Q718" s="3">
        <v>43</v>
      </c>
      <c r="R718" s="3">
        <v>66</v>
      </c>
      <c r="S718" s="3">
        <v>85</v>
      </c>
      <c r="T718" s="4">
        <v>2.5</v>
      </c>
      <c r="U718" s="3">
        <v>66</v>
      </c>
      <c r="V718" s="51">
        <f>IF(GroDB[[#This Row],[LeadTime]]=0,GroDB[[#This Row],[Sales_Volume]],GroDB[[#This Row],[Sales_Volume]]/GroDB[[#This Row],[LeadTime]])</f>
        <v>0.44897959183673469</v>
      </c>
      <c r="W718" s="51">
        <f>_xlfn.STDEV.S(GroDB[Daily Sales])</f>
        <v>5.1999899792654221</v>
      </c>
      <c r="X718" s="3">
        <v>65</v>
      </c>
      <c r="Y718" s="7">
        <v>-0.37</v>
      </c>
      <c r="Z718" s="4">
        <f>GroDB[[#This Row],[Unit_Price]]*GroDB[[#This Row],[Sales_Volume]]</f>
        <v>165</v>
      </c>
      <c r="AA718" s="22">
        <f>GroDB[[#This Row],[ADU]]/GroDB[[#Totals],[ADU]]</f>
        <v>4.7927590647485463E-4</v>
      </c>
      <c r="AB718" s="1">
        <f>GroDB[[#This Row],[Sales_Volume]]*GroDB[[#This Row],[Ordering Cost]]</f>
        <v>132</v>
      </c>
    </row>
    <row r="719" spans="1:28" x14ac:dyDescent="0.35">
      <c r="A719" s="5" t="s">
        <v>90</v>
      </c>
      <c r="B719" s="3" t="s">
        <v>91</v>
      </c>
      <c r="C719" s="3" t="s">
        <v>181</v>
      </c>
      <c r="D719" s="3" t="s">
        <v>2608</v>
      </c>
      <c r="E719" s="3" t="s">
        <v>56</v>
      </c>
      <c r="F719" s="3" t="s">
        <v>2609</v>
      </c>
      <c r="G719" s="3" t="s">
        <v>2610</v>
      </c>
      <c r="H719" s="43">
        <v>45402</v>
      </c>
      <c r="I719" s="43">
        <v>45522</v>
      </c>
      <c r="J719" s="47" t="str">
        <f>IF(GroDB[[#This Row],[Last_Order_Date]]&lt;=GroDB[[#This Row],[Date_Received]], "Yes", "No")</f>
        <v>No</v>
      </c>
      <c r="K719" s="43">
        <f>IF(GroDB[[#This Row],[Column1]]="No",GroDB[[#This Row],[Last_Order_Date]],GroDB[[#This Row],[Date_Received]])</f>
        <v>45522</v>
      </c>
      <c r="L719" s="43">
        <f>IF(GroDB[[#This Row],[Column1]]="No",GroDB[[#This Row],[Date_Received]],GroDB[[#This Row],[Last_Order_Date]])</f>
        <v>45402</v>
      </c>
      <c r="M719" s="45">
        <f>GroDB[[#This Row],[Date_Received1]]-GroDB[[#This Row],[Procurement_Date]]</f>
        <v>120</v>
      </c>
      <c r="N719" s="43">
        <v>45706</v>
      </c>
      <c r="O719" s="91">
        <f>GroDB[[#This Row],[Expiration_Date]]-GroDB[[#This Row],[Date_Received1]]</f>
        <v>184</v>
      </c>
      <c r="P719" s="4">
        <v>3.2</v>
      </c>
      <c r="Q719" s="3">
        <v>38</v>
      </c>
      <c r="R719" s="3">
        <v>43</v>
      </c>
      <c r="S719" s="3">
        <v>91</v>
      </c>
      <c r="T719" s="4">
        <v>4</v>
      </c>
      <c r="U719" s="3">
        <v>72</v>
      </c>
      <c r="V719" s="51">
        <f>IF(GroDB[[#This Row],[LeadTime]]=0,GroDB[[#This Row],[Sales_Volume]],GroDB[[#This Row],[Sales_Volume]]/GroDB[[#This Row],[LeadTime]])</f>
        <v>0.6</v>
      </c>
      <c r="W719" s="51">
        <f>_xlfn.STDEV.S(GroDB[Daily Sales])</f>
        <v>5.1999899792654221</v>
      </c>
      <c r="X719" s="3">
        <v>64</v>
      </c>
      <c r="Y719" s="7">
        <v>0.02</v>
      </c>
      <c r="Z719" s="4">
        <f>GroDB[[#This Row],[Unit_Price]]*GroDB[[#This Row],[Sales_Volume]]</f>
        <v>288</v>
      </c>
      <c r="AA719" s="22">
        <f>GroDB[[#This Row],[ADU]]/GroDB[[#Totals],[ADU]]</f>
        <v>8.3655430948338259E-4</v>
      </c>
      <c r="AB719" s="1">
        <f>GroDB[[#This Row],[Sales_Volume]]*GroDB[[#This Row],[Ordering Cost]]</f>
        <v>230.4</v>
      </c>
    </row>
    <row r="720" spans="1:28" x14ac:dyDescent="0.35">
      <c r="A720" s="5" t="s">
        <v>836</v>
      </c>
      <c r="B720" s="3" t="s">
        <v>91</v>
      </c>
      <c r="C720" s="3" t="s">
        <v>1249</v>
      </c>
      <c r="D720" s="3" t="s">
        <v>2611</v>
      </c>
      <c r="E720" s="3" t="s">
        <v>28</v>
      </c>
      <c r="F720" s="3" t="s">
        <v>2612</v>
      </c>
      <c r="G720" s="3" t="s">
        <v>2613</v>
      </c>
      <c r="H720" s="43">
        <v>45403</v>
      </c>
      <c r="I720" s="43">
        <v>45455</v>
      </c>
      <c r="J720" s="47" t="str">
        <f>IF(GroDB[[#This Row],[Last_Order_Date]]&lt;=GroDB[[#This Row],[Date_Received]], "Yes", "No")</f>
        <v>No</v>
      </c>
      <c r="K720" s="43">
        <f>IF(GroDB[[#This Row],[Column1]]="No",GroDB[[#This Row],[Last_Order_Date]],GroDB[[#This Row],[Date_Received]])</f>
        <v>45455</v>
      </c>
      <c r="L720" s="43">
        <f>IF(GroDB[[#This Row],[Column1]]="No",GroDB[[#This Row],[Date_Received]],GroDB[[#This Row],[Last_Order_Date]])</f>
        <v>45403</v>
      </c>
      <c r="M720" s="45">
        <f>GroDB[[#This Row],[Date_Received1]]-GroDB[[#This Row],[Procurement_Date]]</f>
        <v>52</v>
      </c>
      <c r="N720" s="43">
        <v>45681</v>
      </c>
      <c r="O720" s="91">
        <f>GroDB[[#This Row],[Expiration_Date]]-GroDB[[#This Row],[Date_Received1]]</f>
        <v>226</v>
      </c>
      <c r="P720" s="4">
        <v>2.8000000000000003</v>
      </c>
      <c r="Q720" s="3">
        <v>65</v>
      </c>
      <c r="R720" s="3">
        <v>36</v>
      </c>
      <c r="S720" s="3">
        <v>37</v>
      </c>
      <c r="T720" s="4">
        <v>3.5</v>
      </c>
      <c r="U720" s="3">
        <v>32</v>
      </c>
      <c r="V720" s="51">
        <f>IF(GroDB[[#This Row],[LeadTime]]=0,GroDB[[#This Row],[Sales_Volume]],GroDB[[#This Row],[Sales_Volume]]/GroDB[[#This Row],[LeadTime]])</f>
        <v>0.61538461538461542</v>
      </c>
      <c r="W720" s="51">
        <f>_xlfn.STDEV.S(GroDB[Daily Sales])</f>
        <v>5.1999899792654221</v>
      </c>
      <c r="X720" s="3">
        <v>70</v>
      </c>
      <c r="Y720" s="7">
        <v>0.11</v>
      </c>
      <c r="Z720" s="4">
        <f>GroDB[[#This Row],[Unit_Price]]*GroDB[[#This Row],[Sales_Volume]]</f>
        <v>112</v>
      </c>
      <c r="AA720" s="22">
        <f>GroDB[[#This Row],[ADU]]/GroDB[[#Totals],[ADU]]</f>
        <v>3.2532667591020435E-4</v>
      </c>
      <c r="AB720" s="1">
        <f>GroDB[[#This Row],[Sales_Volume]]*GroDB[[#This Row],[Ordering Cost]]</f>
        <v>89.600000000000009</v>
      </c>
    </row>
    <row r="721" spans="1:28" x14ac:dyDescent="0.35">
      <c r="A721" s="5" t="s">
        <v>1369</v>
      </c>
      <c r="B721" s="3" t="s">
        <v>32</v>
      </c>
      <c r="C721" s="3" t="s">
        <v>1877</v>
      </c>
      <c r="D721" s="3" t="s">
        <v>2614</v>
      </c>
      <c r="E721" s="3" t="s">
        <v>21</v>
      </c>
      <c r="F721" s="3" t="s">
        <v>2615</v>
      </c>
      <c r="G721" s="3" t="s">
        <v>2616</v>
      </c>
      <c r="H721" s="43">
        <v>45403</v>
      </c>
      <c r="I721" s="43">
        <v>45663</v>
      </c>
      <c r="J721" s="47" t="str">
        <f>IF(GroDB[[#This Row],[Last_Order_Date]]&lt;=GroDB[[#This Row],[Date_Received]], "Yes", "No")</f>
        <v>No</v>
      </c>
      <c r="K721" s="43">
        <f>IF(GroDB[[#This Row],[Column1]]="No",GroDB[[#This Row],[Last_Order_Date]],GroDB[[#This Row],[Date_Received]])</f>
        <v>45663</v>
      </c>
      <c r="L721" s="43">
        <f>IF(GroDB[[#This Row],[Column1]]="No",GroDB[[#This Row],[Date_Received]],GroDB[[#This Row],[Last_Order_Date]])</f>
        <v>45403</v>
      </c>
      <c r="M721" s="45">
        <f>GroDB[[#This Row],[Date_Received1]]-GroDB[[#This Row],[Procurement_Date]]</f>
        <v>260</v>
      </c>
      <c r="N721" s="43">
        <v>45469</v>
      </c>
      <c r="O721" s="91">
        <f>GroDB[[#This Row],[Expiration_Date]]-GroDB[[#This Row],[Date_Received1]]</f>
        <v>-194</v>
      </c>
      <c r="P721" s="4">
        <v>3.3600000000000003</v>
      </c>
      <c r="Q721" s="3">
        <v>14</v>
      </c>
      <c r="R721" s="3">
        <v>99</v>
      </c>
      <c r="S721" s="3">
        <v>97</v>
      </c>
      <c r="T721" s="4">
        <v>4.2</v>
      </c>
      <c r="U721" s="3">
        <v>28</v>
      </c>
      <c r="V721" s="51">
        <f>IF(GroDB[[#This Row],[LeadTime]]=0,GroDB[[#This Row],[Sales_Volume]],GroDB[[#This Row],[Sales_Volume]]/GroDB[[#This Row],[LeadTime]])</f>
        <v>0.1076923076923077</v>
      </c>
      <c r="W721" s="51">
        <f>_xlfn.STDEV.S(GroDB[Daily Sales])</f>
        <v>5.1999899792654221</v>
      </c>
      <c r="X721" s="3">
        <v>45</v>
      </c>
      <c r="Y721" s="7">
        <v>-1.19</v>
      </c>
      <c r="Z721" s="4">
        <f>GroDB[[#This Row],[Unit_Price]]*GroDB[[#This Row],[Sales_Volume]]</f>
        <v>117.60000000000001</v>
      </c>
      <c r="AA721" s="22">
        <f>GroDB[[#This Row],[ADU]]/GroDB[[#Totals],[ADU]]</f>
        <v>3.4159300970571459E-4</v>
      </c>
      <c r="AB721" s="1">
        <f>GroDB[[#This Row],[Sales_Volume]]*GroDB[[#This Row],[Ordering Cost]]</f>
        <v>94.080000000000013</v>
      </c>
    </row>
    <row r="722" spans="1:28" x14ac:dyDescent="0.35">
      <c r="A722" s="5" t="s">
        <v>828</v>
      </c>
      <c r="B722" s="3" t="s">
        <v>32</v>
      </c>
      <c r="C722" s="3" t="s">
        <v>678</v>
      </c>
      <c r="D722" s="3" t="s">
        <v>2617</v>
      </c>
      <c r="E722" s="3" t="s">
        <v>28</v>
      </c>
      <c r="F722" s="3" t="s">
        <v>2618</v>
      </c>
      <c r="G722" s="3" t="s">
        <v>2619</v>
      </c>
      <c r="H722" s="43">
        <v>45404</v>
      </c>
      <c r="I722" s="43">
        <v>45535</v>
      </c>
      <c r="J722" s="47" t="str">
        <f>IF(GroDB[[#This Row],[Last_Order_Date]]&lt;=GroDB[[#This Row],[Date_Received]], "Yes", "No")</f>
        <v>No</v>
      </c>
      <c r="K722" s="43">
        <f>IF(GroDB[[#This Row],[Column1]]="No",GroDB[[#This Row],[Last_Order_Date]],GroDB[[#This Row],[Date_Received]])</f>
        <v>45535</v>
      </c>
      <c r="L722" s="43">
        <f>IF(GroDB[[#This Row],[Column1]]="No",GroDB[[#This Row],[Date_Received]],GroDB[[#This Row],[Last_Order_Date]])</f>
        <v>45404</v>
      </c>
      <c r="M722" s="45">
        <f>GroDB[[#This Row],[Date_Received1]]-GroDB[[#This Row],[Procurement_Date]]</f>
        <v>131</v>
      </c>
      <c r="N722" s="43">
        <v>45633</v>
      </c>
      <c r="O722" s="91">
        <f>GroDB[[#This Row],[Expiration_Date]]-GroDB[[#This Row],[Date_Received1]]</f>
        <v>98</v>
      </c>
      <c r="P722" s="4">
        <v>4</v>
      </c>
      <c r="Q722" s="3">
        <v>67</v>
      </c>
      <c r="R722" s="3">
        <v>98</v>
      </c>
      <c r="S722" s="3">
        <v>92</v>
      </c>
      <c r="T722" s="4">
        <v>5</v>
      </c>
      <c r="U722" s="3">
        <v>35</v>
      </c>
      <c r="V722" s="51">
        <f>IF(GroDB[[#This Row],[LeadTime]]=0,GroDB[[#This Row],[Sales_Volume]],GroDB[[#This Row],[Sales_Volume]]/GroDB[[#This Row],[LeadTime]])</f>
        <v>0.26717557251908397</v>
      </c>
      <c r="W722" s="51">
        <f>_xlfn.STDEV.S(GroDB[Daily Sales])</f>
        <v>5.1999899792654221</v>
      </c>
      <c r="X722" s="3">
        <v>98</v>
      </c>
      <c r="Y722" s="7">
        <v>-0.61</v>
      </c>
      <c r="Z722" s="4">
        <f>GroDB[[#This Row],[Unit_Price]]*GroDB[[#This Row],[Sales_Volume]]</f>
        <v>175</v>
      </c>
      <c r="AA722" s="22">
        <f>GroDB[[#This Row],[ADU]]/GroDB[[#Totals],[ADU]]</f>
        <v>5.083229311096943E-4</v>
      </c>
      <c r="AB722" s="1">
        <f>GroDB[[#This Row],[Sales_Volume]]*GroDB[[#This Row],[Ordering Cost]]</f>
        <v>140</v>
      </c>
    </row>
    <row r="723" spans="1:28" x14ac:dyDescent="0.35">
      <c r="A723" s="5" t="s">
        <v>1085</v>
      </c>
      <c r="B723" s="3" t="s">
        <v>32</v>
      </c>
      <c r="C723" s="3" t="s">
        <v>2444</v>
      </c>
      <c r="D723" s="3" t="s">
        <v>2620</v>
      </c>
      <c r="E723" s="3" t="s">
        <v>21</v>
      </c>
      <c r="F723" s="3" t="s">
        <v>2621</v>
      </c>
      <c r="G723" s="3" t="s">
        <v>2622</v>
      </c>
      <c r="H723" s="43">
        <v>45404</v>
      </c>
      <c r="I723" s="43">
        <v>45389</v>
      </c>
      <c r="J723" s="47" t="str">
        <f>IF(GroDB[[#This Row],[Last_Order_Date]]&lt;=GroDB[[#This Row],[Date_Received]], "Yes", "No")</f>
        <v>Yes</v>
      </c>
      <c r="K723" s="43">
        <f>IF(GroDB[[#This Row],[Column1]]="No",GroDB[[#This Row],[Last_Order_Date]],GroDB[[#This Row],[Date_Received]])</f>
        <v>45404</v>
      </c>
      <c r="L723" s="43">
        <f>IF(GroDB[[#This Row],[Column1]]="No",GroDB[[#This Row],[Date_Received]],GroDB[[#This Row],[Last_Order_Date]])</f>
        <v>45389</v>
      </c>
      <c r="M723" s="45">
        <f>GroDB[[#This Row],[Date_Received1]]-GroDB[[#This Row],[Procurement_Date]]</f>
        <v>15</v>
      </c>
      <c r="N723" s="43">
        <v>45703</v>
      </c>
      <c r="O723" s="91">
        <f>GroDB[[#This Row],[Expiration_Date]]-GroDB[[#This Row],[Date_Received1]]</f>
        <v>299</v>
      </c>
      <c r="P723" s="4">
        <v>6.4</v>
      </c>
      <c r="Q723" s="3">
        <v>85</v>
      </c>
      <c r="R723" s="3">
        <v>89</v>
      </c>
      <c r="S723" s="3">
        <v>41</v>
      </c>
      <c r="T723" s="4">
        <v>8</v>
      </c>
      <c r="U723" s="3">
        <v>68</v>
      </c>
      <c r="V723" s="51">
        <f>IF(GroDB[[#This Row],[LeadTime]]=0,GroDB[[#This Row],[Sales_Volume]],GroDB[[#This Row],[Sales_Volume]]/GroDB[[#This Row],[LeadTime]])</f>
        <v>4.5333333333333332</v>
      </c>
      <c r="W723" s="51">
        <f>_xlfn.STDEV.S(GroDB[Daily Sales])</f>
        <v>5.1999899792654221</v>
      </c>
      <c r="X723" s="3">
        <v>93</v>
      </c>
      <c r="Y723" s="7">
        <v>-1.8</v>
      </c>
      <c r="Z723" s="4">
        <f>GroDB[[#This Row],[Unit_Price]]*GroDB[[#This Row],[Sales_Volume]]</f>
        <v>544</v>
      </c>
      <c r="AA723" s="22">
        <f>GroDB[[#This Row],[ADU]]/GroDB[[#Totals],[ADU]]</f>
        <v>1.5801581401352783E-3</v>
      </c>
      <c r="AB723" s="1">
        <f>GroDB[[#This Row],[Sales_Volume]]*GroDB[[#This Row],[Ordering Cost]]</f>
        <v>435.20000000000005</v>
      </c>
    </row>
    <row r="724" spans="1:28" x14ac:dyDescent="0.35">
      <c r="A724" s="5" t="s">
        <v>59</v>
      </c>
      <c r="B724" s="3" t="s">
        <v>60</v>
      </c>
      <c r="C724" s="3" t="s">
        <v>2001</v>
      </c>
      <c r="D724" s="3" t="s">
        <v>2623</v>
      </c>
      <c r="E724" s="3" t="s">
        <v>56</v>
      </c>
      <c r="F724" s="3" t="s">
        <v>2624</v>
      </c>
      <c r="G724" s="3" t="s">
        <v>2625</v>
      </c>
      <c r="H724" s="43">
        <v>45404</v>
      </c>
      <c r="I724" s="43">
        <v>45455</v>
      </c>
      <c r="J724" s="47" t="str">
        <f>IF(GroDB[[#This Row],[Last_Order_Date]]&lt;=GroDB[[#This Row],[Date_Received]], "Yes", "No")</f>
        <v>No</v>
      </c>
      <c r="K724" s="43">
        <f>IF(GroDB[[#This Row],[Column1]]="No",GroDB[[#This Row],[Last_Order_Date]],GroDB[[#This Row],[Date_Received]])</f>
        <v>45455</v>
      </c>
      <c r="L724" s="43">
        <f>IF(GroDB[[#This Row],[Column1]]="No",GroDB[[#This Row],[Date_Received]],GroDB[[#This Row],[Last_Order_Date]])</f>
        <v>45404</v>
      </c>
      <c r="M724" s="45">
        <f>GroDB[[#This Row],[Date_Received1]]-GroDB[[#This Row],[Procurement_Date]]</f>
        <v>51</v>
      </c>
      <c r="N724" s="43">
        <v>45539</v>
      </c>
      <c r="O724" s="91">
        <f>GroDB[[#This Row],[Expiration_Date]]-GroDB[[#This Row],[Date_Received1]]</f>
        <v>84</v>
      </c>
      <c r="P724" s="4">
        <v>8</v>
      </c>
      <c r="Q724" s="3">
        <v>93</v>
      </c>
      <c r="R724" s="3">
        <v>51</v>
      </c>
      <c r="S724" s="3">
        <v>70</v>
      </c>
      <c r="T724" s="4">
        <v>10</v>
      </c>
      <c r="U724" s="3">
        <v>81</v>
      </c>
      <c r="V724" s="51">
        <f>IF(GroDB[[#This Row],[LeadTime]]=0,GroDB[[#This Row],[Sales_Volume]],GroDB[[#This Row],[Sales_Volume]]/GroDB[[#This Row],[LeadTime]])</f>
        <v>1.588235294117647</v>
      </c>
      <c r="W724" s="51">
        <f>_xlfn.STDEV.S(GroDB[Daily Sales])</f>
        <v>5.1999899792654221</v>
      </c>
      <c r="X724" s="3">
        <v>18</v>
      </c>
      <c r="Y724" s="7">
        <v>-0.37</v>
      </c>
      <c r="Z724" s="4">
        <f>GroDB[[#This Row],[Unit_Price]]*GroDB[[#This Row],[Sales_Volume]]</f>
        <v>810</v>
      </c>
      <c r="AA724" s="22">
        <f>GroDB[[#This Row],[ADU]]/GroDB[[#Totals],[ADU]]</f>
        <v>2.3528089954220135E-3</v>
      </c>
      <c r="AB724" s="1">
        <f>GroDB[[#This Row],[Sales_Volume]]*GroDB[[#This Row],[Ordering Cost]]</f>
        <v>648</v>
      </c>
    </row>
    <row r="725" spans="1:28" x14ac:dyDescent="0.35">
      <c r="A725" s="5" t="s">
        <v>2626</v>
      </c>
      <c r="B725" s="3" t="s">
        <v>53</v>
      </c>
      <c r="C725" s="3" t="s">
        <v>97</v>
      </c>
      <c r="D725" s="3" t="s">
        <v>2627</v>
      </c>
      <c r="E725" s="3" t="s">
        <v>28</v>
      </c>
      <c r="F725" s="3" t="s">
        <v>2628</v>
      </c>
      <c r="G725" s="3" t="s">
        <v>2629</v>
      </c>
      <c r="H725" s="43">
        <v>45405</v>
      </c>
      <c r="I725" s="43">
        <v>45658</v>
      </c>
      <c r="J725" s="47" t="str">
        <f>IF(GroDB[[#This Row],[Last_Order_Date]]&lt;=GroDB[[#This Row],[Date_Received]], "Yes", "No")</f>
        <v>No</v>
      </c>
      <c r="K725" s="43">
        <f>IF(GroDB[[#This Row],[Column1]]="No",GroDB[[#This Row],[Last_Order_Date]],GroDB[[#This Row],[Date_Received]])</f>
        <v>45658</v>
      </c>
      <c r="L725" s="43">
        <f>IF(GroDB[[#This Row],[Column1]]="No",GroDB[[#This Row],[Date_Received]],GroDB[[#This Row],[Last_Order_Date]])</f>
        <v>45405</v>
      </c>
      <c r="M725" s="45">
        <f>GroDB[[#This Row],[Date_Received1]]-GroDB[[#This Row],[Procurement_Date]]</f>
        <v>253</v>
      </c>
      <c r="N725" s="43">
        <v>45464</v>
      </c>
      <c r="O725" s="91">
        <f>GroDB[[#This Row],[Expiration_Date]]-GroDB[[#This Row],[Date_Received1]]</f>
        <v>-194</v>
      </c>
      <c r="P725" s="4">
        <v>1.2000000000000002</v>
      </c>
      <c r="Q725" s="3">
        <v>100</v>
      </c>
      <c r="R725" s="3">
        <v>10</v>
      </c>
      <c r="S725" s="3">
        <v>89</v>
      </c>
      <c r="T725" s="4">
        <v>1.5</v>
      </c>
      <c r="U725" s="3">
        <v>76</v>
      </c>
      <c r="V725" s="51">
        <f>IF(GroDB[[#This Row],[LeadTime]]=0,GroDB[[#This Row],[Sales_Volume]],GroDB[[#This Row],[Sales_Volume]]/GroDB[[#This Row],[LeadTime]])</f>
        <v>0.30039525691699603</v>
      </c>
      <c r="W725" s="51">
        <f>_xlfn.STDEV.S(GroDB[Daily Sales])</f>
        <v>5.1999899792654221</v>
      </c>
      <c r="X725" s="3">
        <v>38</v>
      </c>
      <c r="Y725" s="7">
        <v>0.78</v>
      </c>
      <c r="Z725" s="4">
        <f>GroDB[[#This Row],[Unit_Price]]*GroDB[[#This Row],[Sales_Volume]]</f>
        <v>114</v>
      </c>
      <c r="AA725" s="22">
        <f>GroDB[[#This Row],[ADU]]/GroDB[[#Totals],[ADU]]</f>
        <v>3.3113608083717229E-4</v>
      </c>
      <c r="AB725" s="1">
        <f>GroDB[[#This Row],[Sales_Volume]]*GroDB[[#This Row],[Ordering Cost]]</f>
        <v>91.200000000000017</v>
      </c>
    </row>
    <row r="726" spans="1:28" x14ac:dyDescent="0.35">
      <c r="A726" s="5" t="s">
        <v>111</v>
      </c>
      <c r="B726" s="3" t="s">
        <v>32</v>
      </c>
      <c r="C726" s="3" t="s">
        <v>1735</v>
      </c>
      <c r="D726" s="3" t="s">
        <v>2630</v>
      </c>
      <c r="E726" s="3" t="s">
        <v>21</v>
      </c>
      <c r="F726" s="3" t="s">
        <v>2631</v>
      </c>
      <c r="G726" s="3" t="s">
        <v>2632</v>
      </c>
      <c r="H726" s="43">
        <v>45406</v>
      </c>
      <c r="I726" s="43">
        <v>45445</v>
      </c>
      <c r="J726" s="47" t="str">
        <f>IF(GroDB[[#This Row],[Last_Order_Date]]&lt;=GroDB[[#This Row],[Date_Received]], "Yes", "No")</f>
        <v>No</v>
      </c>
      <c r="K726" s="43">
        <f>IF(GroDB[[#This Row],[Column1]]="No",GroDB[[#This Row],[Last_Order_Date]],GroDB[[#This Row],[Date_Received]])</f>
        <v>45445</v>
      </c>
      <c r="L726" s="43">
        <f>IF(GroDB[[#This Row],[Column1]]="No",GroDB[[#This Row],[Date_Received]],GroDB[[#This Row],[Last_Order_Date]])</f>
        <v>45406</v>
      </c>
      <c r="M726" s="45">
        <f>GroDB[[#This Row],[Date_Received1]]-GroDB[[#This Row],[Procurement_Date]]</f>
        <v>39</v>
      </c>
      <c r="N726" s="43">
        <v>45518</v>
      </c>
      <c r="O726" s="91">
        <f>GroDB[[#This Row],[Expiration_Date]]-GroDB[[#This Row],[Date_Received1]]</f>
        <v>73</v>
      </c>
      <c r="P726" s="4">
        <v>4.8000000000000007</v>
      </c>
      <c r="Q726" s="3">
        <v>88</v>
      </c>
      <c r="R726" s="3">
        <v>4</v>
      </c>
      <c r="S726" s="3">
        <v>79</v>
      </c>
      <c r="T726" s="4">
        <v>6</v>
      </c>
      <c r="U726" s="3">
        <v>23</v>
      </c>
      <c r="V726" s="51">
        <f>IF(GroDB[[#This Row],[LeadTime]]=0,GroDB[[#This Row],[Sales_Volume]],GroDB[[#This Row],[Sales_Volume]]/GroDB[[#This Row],[LeadTime]])</f>
        <v>0.58974358974358976</v>
      </c>
      <c r="W726" s="51">
        <f>_xlfn.STDEV.S(GroDB[Daily Sales])</f>
        <v>5.1999899792654221</v>
      </c>
      <c r="X726" s="3">
        <v>39</v>
      </c>
      <c r="Y726" s="7">
        <v>0.5</v>
      </c>
      <c r="Z726" s="4">
        <f>GroDB[[#This Row],[Unit_Price]]*GroDB[[#This Row],[Sales_Volume]]</f>
        <v>138</v>
      </c>
      <c r="AA726" s="22">
        <f>GroDB[[#This Row],[ADU]]/GroDB[[#Totals],[ADU]]</f>
        <v>4.0084893996078752E-4</v>
      </c>
      <c r="AB726" s="1">
        <f>GroDB[[#This Row],[Sales_Volume]]*GroDB[[#This Row],[Ordering Cost]]</f>
        <v>110.40000000000002</v>
      </c>
    </row>
    <row r="727" spans="1:28" x14ac:dyDescent="0.35">
      <c r="A727" s="5" t="s">
        <v>90</v>
      </c>
      <c r="B727" s="3" t="s">
        <v>91</v>
      </c>
      <c r="C727" s="3" t="s">
        <v>33</v>
      </c>
      <c r="D727" s="3" t="s">
        <v>2633</v>
      </c>
      <c r="E727" s="3" t="s">
        <v>28</v>
      </c>
      <c r="F727" s="3" t="s">
        <v>2634</v>
      </c>
      <c r="G727" s="3" t="s">
        <v>2635</v>
      </c>
      <c r="H727" s="43">
        <v>45407</v>
      </c>
      <c r="I727" s="43">
        <v>45679</v>
      </c>
      <c r="J727" s="47" t="str">
        <f>IF(GroDB[[#This Row],[Last_Order_Date]]&lt;=GroDB[[#This Row],[Date_Received]], "Yes", "No")</f>
        <v>No</v>
      </c>
      <c r="K727" s="43">
        <f>IF(GroDB[[#This Row],[Column1]]="No",GroDB[[#This Row],[Last_Order_Date]],GroDB[[#This Row],[Date_Received]])</f>
        <v>45679</v>
      </c>
      <c r="L727" s="43">
        <f>IF(GroDB[[#This Row],[Column1]]="No",GroDB[[#This Row],[Date_Received]],GroDB[[#This Row],[Last_Order_Date]])</f>
        <v>45407</v>
      </c>
      <c r="M727" s="45">
        <f>GroDB[[#This Row],[Date_Received1]]-GroDB[[#This Row],[Procurement_Date]]</f>
        <v>272</v>
      </c>
      <c r="N727" s="43">
        <v>45623</v>
      </c>
      <c r="O727" s="91">
        <f>GroDB[[#This Row],[Expiration_Date]]-GroDB[[#This Row],[Date_Received1]]</f>
        <v>-56</v>
      </c>
      <c r="P727" s="4">
        <v>3.2</v>
      </c>
      <c r="Q727" s="3">
        <v>97</v>
      </c>
      <c r="R727" s="3">
        <v>99</v>
      </c>
      <c r="S727" s="3">
        <v>96</v>
      </c>
      <c r="T727" s="4">
        <v>4</v>
      </c>
      <c r="U727" s="3">
        <v>57</v>
      </c>
      <c r="V727" s="51">
        <f>IF(GroDB[[#This Row],[LeadTime]]=0,GroDB[[#This Row],[Sales_Volume]],GroDB[[#This Row],[Sales_Volume]]/GroDB[[#This Row],[LeadTime]])</f>
        <v>0.20955882352941177</v>
      </c>
      <c r="W727" s="51">
        <f>_xlfn.STDEV.S(GroDB[Daily Sales])</f>
        <v>5.1999899792654221</v>
      </c>
      <c r="X727" s="3">
        <v>42</v>
      </c>
      <c r="Y727" s="7">
        <v>-0.7</v>
      </c>
      <c r="Z727" s="4">
        <f>GroDB[[#This Row],[Unit_Price]]*GroDB[[#This Row],[Sales_Volume]]</f>
        <v>228</v>
      </c>
      <c r="AA727" s="22">
        <f>GroDB[[#This Row],[ADU]]/GroDB[[#Totals],[ADU]]</f>
        <v>6.6227216167434458E-4</v>
      </c>
      <c r="AB727" s="1">
        <f>GroDB[[#This Row],[Sales_Volume]]*GroDB[[#This Row],[Ordering Cost]]</f>
        <v>182.4</v>
      </c>
    </row>
    <row r="728" spans="1:28" x14ac:dyDescent="0.35">
      <c r="A728" s="5" t="s">
        <v>106</v>
      </c>
      <c r="B728" s="3" t="s">
        <v>32</v>
      </c>
      <c r="C728" s="3" t="s">
        <v>1509</v>
      </c>
      <c r="D728" s="3" t="s">
        <v>2636</v>
      </c>
      <c r="E728" s="3" t="s">
        <v>21</v>
      </c>
      <c r="F728" s="3" t="s">
        <v>2637</v>
      </c>
      <c r="G728" s="3" t="s">
        <v>2638</v>
      </c>
      <c r="H728" s="43">
        <v>45407</v>
      </c>
      <c r="I728" s="43">
        <v>45494</v>
      </c>
      <c r="J728" s="47" t="str">
        <f>IF(GroDB[[#This Row],[Last_Order_Date]]&lt;=GroDB[[#This Row],[Date_Received]], "Yes", "No")</f>
        <v>No</v>
      </c>
      <c r="K728" s="43">
        <f>IF(GroDB[[#This Row],[Column1]]="No",GroDB[[#This Row],[Last_Order_Date]],GroDB[[#This Row],[Date_Received]])</f>
        <v>45494</v>
      </c>
      <c r="L728" s="43">
        <f>IF(GroDB[[#This Row],[Column1]]="No",GroDB[[#This Row],[Date_Received]],GroDB[[#This Row],[Last_Order_Date]])</f>
        <v>45407</v>
      </c>
      <c r="M728" s="45">
        <f>GroDB[[#This Row],[Date_Received1]]-GroDB[[#This Row],[Procurement_Date]]</f>
        <v>87</v>
      </c>
      <c r="N728" s="43">
        <v>45373</v>
      </c>
      <c r="O728" s="91">
        <f>GroDB[[#This Row],[Expiration_Date]]-GroDB[[#This Row],[Date_Received1]]</f>
        <v>-121</v>
      </c>
      <c r="P728" s="4">
        <v>2</v>
      </c>
      <c r="Q728" s="3">
        <v>19</v>
      </c>
      <c r="R728" s="3">
        <v>100</v>
      </c>
      <c r="S728" s="3">
        <v>83</v>
      </c>
      <c r="T728" s="4">
        <v>2.5</v>
      </c>
      <c r="U728" s="3">
        <v>66</v>
      </c>
      <c r="V728" s="51">
        <f>IF(GroDB[[#This Row],[LeadTime]]=0,GroDB[[#This Row],[Sales_Volume]],GroDB[[#This Row],[Sales_Volume]]/GroDB[[#This Row],[LeadTime]])</f>
        <v>0.75862068965517238</v>
      </c>
      <c r="W728" s="51">
        <f>_xlfn.STDEV.S(GroDB[Daily Sales])</f>
        <v>5.1999899792654221</v>
      </c>
      <c r="X728" s="3">
        <v>28</v>
      </c>
      <c r="Y728" s="7">
        <v>0.26</v>
      </c>
      <c r="Z728" s="4">
        <f>GroDB[[#This Row],[Unit_Price]]*GroDB[[#This Row],[Sales_Volume]]</f>
        <v>165</v>
      </c>
      <c r="AA728" s="22">
        <f>GroDB[[#This Row],[ADU]]/GroDB[[#Totals],[ADU]]</f>
        <v>4.7927590647485463E-4</v>
      </c>
      <c r="AB728" s="1">
        <f>GroDB[[#This Row],[Sales_Volume]]*GroDB[[#This Row],[Ordering Cost]]</f>
        <v>132</v>
      </c>
    </row>
    <row r="729" spans="1:28" x14ac:dyDescent="0.35">
      <c r="A729" s="5" t="s">
        <v>137</v>
      </c>
      <c r="B729" s="3" t="s">
        <v>18</v>
      </c>
      <c r="C729" s="3" t="s">
        <v>2639</v>
      </c>
      <c r="D729" s="3" t="s">
        <v>2640</v>
      </c>
      <c r="E729" s="3" t="s">
        <v>21</v>
      </c>
      <c r="F729" s="3" t="s">
        <v>2641</v>
      </c>
      <c r="G729" s="3" t="s">
        <v>2642</v>
      </c>
      <c r="H729" s="43">
        <v>45408</v>
      </c>
      <c r="I729" s="43">
        <v>45712</v>
      </c>
      <c r="J729" s="47" t="str">
        <f>IF(GroDB[[#This Row],[Last_Order_Date]]&lt;=GroDB[[#This Row],[Date_Received]], "Yes", "No")</f>
        <v>No</v>
      </c>
      <c r="K729" s="43">
        <f>IF(GroDB[[#This Row],[Column1]]="No",GroDB[[#This Row],[Last_Order_Date]],GroDB[[#This Row],[Date_Received]])</f>
        <v>45712</v>
      </c>
      <c r="L729" s="43">
        <f>IF(GroDB[[#This Row],[Column1]]="No",GroDB[[#This Row],[Date_Received]],GroDB[[#This Row],[Last_Order_Date]])</f>
        <v>45408</v>
      </c>
      <c r="M729" s="45">
        <f>GroDB[[#This Row],[Date_Received1]]-GroDB[[#This Row],[Procurement_Date]]</f>
        <v>304</v>
      </c>
      <c r="N729" s="43">
        <v>45621</v>
      </c>
      <c r="O729" s="91">
        <f>GroDB[[#This Row],[Expiration_Date]]-GroDB[[#This Row],[Date_Received1]]</f>
        <v>-91</v>
      </c>
      <c r="P729" s="4">
        <v>4</v>
      </c>
      <c r="Q729" s="3">
        <v>24</v>
      </c>
      <c r="R729" s="3">
        <v>55</v>
      </c>
      <c r="S729" s="3">
        <v>51</v>
      </c>
      <c r="T729" s="4">
        <v>5</v>
      </c>
      <c r="U729" s="3">
        <v>39</v>
      </c>
      <c r="V729" s="51">
        <f>IF(GroDB[[#This Row],[LeadTime]]=0,GroDB[[#This Row],[Sales_Volume]],GroDB[[#This Row],[Sales_Volume]]/GroDB[[#This Row],[LeadTime]])</f>
        <v>0.12828947368421054</v>
      </c>
      <c r="W729" s="51">
        <f>_xlfn.STDEV.S(GroDB[Daily Sales])</f>
        <v>5.1999899792654221</v>
      </c>
      <c r="X729" s="3">
        <v>15</v>
      </c>
      <c r="Y729" s="7">
        <v>0.57999999999999996</v>
      </c>
      <c r="Z729" s="4">
        <f>GroDB[[#This Row],[Unit_Price]]*GroDB[[#This Row],[Sales_Volume]]</f>
        <v>195</v>
      </c>
      <c r="AA729" s="22">
        <f>GroDB[[#This Row],[ADU]]/GroDB[[#Totals],[ADU]]</f>
        <v>5.6641698037937364E-4</v>
      </c>
      <c r="AB729" s="1">
        <f>GroDB[[#This Row],[Sales_Volume]]*GroDB[[#This Row],[Ordering Cost]]</f>
        <v>156</v>
      </c>
    </row>
    <row r="730" spans="1:28" x14ac:dyDescent="0.35">
      <c r="A730" s="5" t="s">
        <v>717</v>
      </c>
      <c r="B730" s="3" t="s">
        <v>53</v>
      </c>
      <c r="C730" s="3" t="s">
        <v>112</v>
      </c>
      <c r="D730" s="3" t="s">
        <v>2643</v>
      </c>
      <c r="E730" s="3" t="s">
        <v>28</v>
      </c>
      <c r="F730" s="3" t="s">
        <v>2644</v>
      </c>
      <c r="G730" s="3" t="s">
        <v>2645</v>
      </c>
      <c r="H730" s="43">
        <v>45408</v>
      </c>
      <c r="I730" s="43">
        <v>45587</v>
      </c>
      <c r="J730" s="47" t="str">
        <f>IF(GroDB[[#This Row],[Last_Order_Date]]&lt;=GroDB[[#This Row],[Date_Received]], "Yes", "No")</f>
        <v>No</v>
      </c>
      <c r="K730" s="43">
        <f>IF(GroDB[[#This Row],[Column1]]="No",GroDB[[#This Row],[Last_Order_Date]],GroDB[[#This Row],[Date_Received]])</f>
        <v>45587</v>
      </c>
      <c r="L730" s="43">
        <f>IF(GroDB[[#This Row],[Column1]]="No",GroDB[[#This Row],[Date_Received]],GroDB[[#This Row],[Last_Order_Date]])</f>
        <v>45408</v>
      </c>
      <c r="M730" s="45">
        <f>GroDB[[#This Row],[Date_Received1]]-GroDB[[#This Row],[Procurement_Date]]</f>
        <v>179</v>
      </c>
      <c r="N730" s="43">
        <v>45396</v>
      </c>
      <c r="O730" s="91">
        <f>GroDB[[#This Row],[Expiration_Date]]-GroDB[[#This Row],[Date_Received1]]</f>
        <v>-191</v>
      </c>
      <c r="P730" s="4">
        <v>3.5600000000000005</v>
      </c>
      <c r="Q730" s="3">
        <v>55</v>
      </c>
      <c r="R730" s="3">
        <v>13</v>
      </c>
      <c r="S730" s="3">
        <v>71</v>
      </c>
      <c r="T730" s="4">
        <v>4.45</v>
      </c>
      <c r="U730" s="3">
        <v>37</v>
      </c>
      <c r="V730" s="51">
        <f>IF(GroDB[[#This Row],[LeadTime]]=0,GroDB[[#This Row],[Sales_Volume]],GroDB[[#This Row],[Sales_Volume]]/GroDB[[#This Row],[LeadTime]])</f>
        <v>0.20670391061452514</v>
      </c>
      <c r="W730" s="51">
        <f>_xlfn.STDEV.S(GroDB[Daily Sales])</f>
        <v>5.1999899792654221</v>
      </c>
      <c r="X730" s="3">
        <v>4</v>
      </c>
      <c r="Y730" s="7">
        <v>0.62</v>
      </c>
      <c r="Z730" s="4">
        <f>GroDB[[#This Row],[Unit_Price]]*GroDB[[#This Row],[Sales_Volume]]</f>
        <v>164.65</v>
      </c>
      <c r="AA730" s="22">
        <f>GroDB[[#This Row],[ADU]]/GroDB[[#Totals],[ADU]]</f>
        <v>4.7825926061263529E-4</v>
      </c>
      <c r="AB730" s="1">
        <f>GroDB[[#This Row],[Sales_Volume]]*GroDB[[#This Row],[Ordering Cost]]</f>
        <v>131.72000000000003</v>
      </c>
    </row>
    <row r="731" spans="1:28" x14ac:dyDescent="0.35">
      <c r="A731" s="5" t="s">
        <v>707</v>
      </c>
      <c r="B731" s="3" t="s">
        <v>25</v>
      </c>
      <c r="C731" s="3" t="s">
        <v>886</v>
      </c>
      <c r="D731" s="3" t="s">
        <v>2646</v>
      </c>
      <c r="E731" s="3" t="s">
        <v>21</v>
      </c>
      <c r="F731" s="3" t="s">
        <v>2647</v>
      </c>
      <c r="G731" s="3" t="s">
        <v>2648</v>
      </c>
      <c r="H731" s="43">
        <v>45409</v>
      </c>
      <c r="I731" s="43">
        <v>45586</v>
      </c>
      <c r="J731" s="47" t="str">
        <f>IF(GroDB[[#This Row],[Last_Order_Date]]&lt;=GroDB[[#This Row],[Date_Received]], "Yes", "No")</f>
        <v>No</v>
      </c>
      <c r="K731" s="43">
        <f>IF(GroDB[[#This Row],[Column1]]="No",GroDB[[#This Row],[Last_Order_Date]],GroDB[[#This Row],[Date_Received]])</f>
        <v>45586</v>
      </c>
      <c r="L731" s="43">
        <f>IF(GroDB[[#This Row],[Column1]]="No",GroDB[[#This Row],[Date_Received]],GroDB[[#This Row],[Last_Order_Date]])</f>
        <v>45409</v>
      </c>
      <c r="M731" s="45">
        <f>GroDB[[#This Row],[Date_Received1]]-GroDB[[#This Row],[Procurement_Date]]</f>
        <v>177</v>
      </c>
      <c r="N731" s="43">
        <v>45710</v>
      </c>
      <c r="O731" s="91">
        <f>GroDB[[#This Row],[Expiration_Date]]-GroDB[[#This Row],[Date_Received1]]</f>
        <v>124</v>
      </c>
      <c r="P731" s="4">
        <v>1.8399999999999999</v>
      </c>
      <c r="Q731" s="3">
        <v>91</v>
      </c>
      <c r="R731" s="3">
        <v>82</v>
      </c>
      <c r="S731" s="3">
        <v>58</v>
      </c>
      <c r="T731" s="4">
        <v>2.2999999999999998</v>
      </c>
      <c r="U731" s="3">
        <v>43</v>
      </c>
      <c r="V731" s="51">
        <f>IF(GroDB[[#This Row],[LeadTime]]=0,GroDB[[#This Row],[Sales_Volume]],GroDB[[#This Row],[Sales_Volume]]/GroDB[[#This Row],[LeadTime]])</f>
        <v>0.24293785310734464</v>
      </c>
      <c r="W731" s="51">
        <f>_xlfn.STDEV.S(GroDB[Daily Sales])</f>
        <v>5.1999899792654221</v>
      </c>
      <c r="X731" s="3">
        <v>45</v>
      </c>
      <c r="Y731" s="7">
        <v>0.89</v>
      </c>
      <c r="Z731" s="4">
        <f>GroDB[[#This Row],[Unit_Price]]*GroDB[[#This Row],[Sales_Volume]]</f>
        <v>98.899999999999991</v>
      </c>
      <c r="AA731" s="22">
        <f>GroDB[[#This Row],[ADU]]/GroDB[[#Totals],[ADU]]</f>
        <v>2.8727507363856435E-4</v>
      </c>
      <c r="AB731" s="1">
        <f>GroDB[[#This Row],[Sales_Volume]]*GroDB[[#This Row],[Ordering Cost]]</f>
        <v>79.11999999999999</v>
      </c>
    </row>
    <row r="732" spans="1:28" x14ac:dyDescent="0.35">
      <c r="A732" s="5" t="s">
        <v>17</v>
      </c>
      <c r="B732" s="3" t="s">
        <v>18</v>
      </c>
      <c r="C732" s="3" t="s">
        <v>1609</v>
      </c>
      <c r="D732" s="3" t="s">
        <v>2649</v>
      </c>
      <c r="E732" s="3" t="s">
        <v>28</v>
      </c>
      <c r="F732" s="3" t="s">
        <v>2650</v>
      </c>
      <c r="G732" s="3" t="s">
        <v>2651</v>
      </c>
      <c r="H732" s="43">
        <v>45409</v>
      </c>
      <c r="I732" s="43">
        <v>45413</v>
      </c>
      <c r="J732" s="47" t="str">
        <f>IF(GroDB[[#This Row],[Last_Order_Date]]&lt;=GroDB[[#This Row],[Date_Received]], "Yes", "No")</f>
        <v>No</v>
      </c>
      <c r="K732" s="43">
        <f>IF(GroDB[[#This Row],[Column1]]="No",GroDB[[#This Row],[Last_Order_Date]],GroDB[[#This Row],[Date_Received]])</f>
        <v>45413</v>
      </c>
      <c r="L732" s="43">
        <f>IF(GroDB[[#This Row],[Column1]]="No",GroDB[[#This Row],[Date_Received]],GroDB[[#This Row],[Last_Order_Date]])</f>
        <v>45409</v>
      </c>
      <c r="M732" s="45">
        <f>GroDB[[#This Row],[Date_Received1]]-GroDB[[#This Row],[Procurement_Date]]</f>
        <v>4</v>
      </c>
      <c r="N732" s="43">
        <v>45409</v>
      </c>
      <c r="O732" s="91">
        <f>GroDB[[#This Row],[Expiration_Date]]-GroDB[[#This Row],[Date_Received1]]</f>
        <v>-4</v>
      </c>
      <c r="P732" s="4">
        <v>3.6</v>
      </c>
      <c r="Q732" s="3">
        <v>49</v>
      </c>
      <c r="R732" s="3">
        <v>93</v>
      </c>
      <c r="S732" s="3">
        <v>15</v>
      </c>
      <c r="T732" s="4">
        <v>4.5</v>
      </c>
      <c r="U732" s="3">
        <v>52</v>
      </c>
      <c r="V732" s="51">
        <f>IF(GroDB[[#This Row],[LeadTime]]=0,GroDB[[#This Row],[Sales_Volume]],GroDB[[#This Row],[Sales_Volume]]/GroDB[[#This Row],[LeadTime]])</f>
        <v>13</v>
      </c>
      <c r="W732" s="51">
        <f>_xlfn.STDEV.S(GroDB[Daily Sales])</f>
        <v>5.1999899792654221</v>
      </c>
      <c r="X732" s="3">
        <v>31</v>
      </c>
      <c r="Y732" s="7">
        <v>-0.05</v>
      </c>
      <c r="Z732" s="4">
        <f>GroDB[[#This Row],[Unit_Price]]*GroDB[[#This Row],[Sales_Volume]]</f>
        <v>234</v>
      </c>
      <c r="AA732" s="22">
        <f>GroDB[[#This Row],[ADU]]/GroDB[[#Totals],[ADU]]</f>
        <v>6.7970037645524836E-4</v>
      </c>
      <c r="AB732" s="1">
        <f>GroDB[[#This Row],[Sales_Volume]]*GroDB[[#This Row],[Ordering Cost]]</f>
        <v>187.20000000000002</v>
      </c>
    </row>
    <row r="733" spans="1:28" x14ac:dyDescent="0.35">
      <c r="A733" s="5" t="s">
        <v>342</v>
      </c>
      <c r="B733" s="3" t="s">
        <v>18</v>
      </c>
      <c r="C733" s="3" t="s">
        <v>2652</v>
      </c>
      <c r="D733" s="3" t="s">
        <v>2653</v>
      </c>
      <c r="E733" s="3" t="s">
        <v>28</v>
      </c>
      <c r="F733" s="3" t="s">
        <v>2654</v>
      </c>
      <c r="G733" s="3" t="s">
        <v>2655</v>
      </c>
      <c r="H733" s="43">
        <v>45409</v>
      </c>
      <c r="I733" s="43">
        <v>45591</v>
      </c>
      <c r="J733" s="47" t="str">
        <f>IF(GroDB[[#This Row],[Last_Order_Date]]&lt;=GroDB[[#This Row],[Date_Received]], "Yes", "No")</f>
        <v>No</v>
      </c>
      <c r="K733" s="43">
        <f>IF(GroDB[[#This Row],[Column1]]="No",GroDB[[#This Row],[Last_Order_Date]],GroDB[[#This Row],[Date_Received]])</f>
        <v>45591</v>
      </c>
      <c r="L733" s="43">
        <f>IF(GroDB[[#This Row],[Column1]]="No",GroDB[[#This Row],[Date_Received]],GroDB[[#This Row],[Last_Order_Date]])</f>
        <v>45409</v>
      </c>
      <c r="M733" s="45">
        <f>GroDB[[#This Row],[Date_Received1]]-GroDB[[#This Row],[Procurement_Date]]</f>
        <v>182</v>
      </c>
      <c r="N733" s="43">
        <v>45518</v>
      </c>
      <c r="O733" s="91">
        <f>GroDB[[#This Row],[Expiration_Date]]-GroDB[[#This Row],[Date_Received1]]</f>
        <v>-73</v>
      </c>
      <c r="P733" s="4">
        <v>4.8000000000000007</v>
      </c>
      <c r="Q733" s="3">
        <v>66</v>
      </c>
      <c r="R733" s="3">
        <v>28</v>
      </c>
      <c r="S733" s="3">
        <v>7</v>
      </c>
      <c r="T733" s="4">
        <v>6</v>
      </c>
      <c r="U733" s="3">
        <v>85</v>
      </c>
      <c r="V733" s="51">
        <f>IF(GroDB[[#This Row],[LeadTime]]=0,GroDB[[#This Row],[Sales_Volume]],GroDB[[#This Row],[Sales_Volume]]/GroDB[[#This Row],[LeadTime]])</f>
        <v>0.46703296703296704</v>
      </c>
      <c r="W733" s="51">
        <f>_xlfn.STDEV.S(GroDB[Daily Sales])</f>
        <v>5.1999899792654221</v>
      </c>
      <c r="X733" s="3">
        <v>6</v>
      </c>
      <c r="Y733" s="7">
        <v>0.4</v>
      </c>
      <c r="Z733" s="4">
        <f>GroDB[[#This Row],[Unit_Price]]*GroDB[[#This Row],[Sales_Volume]]</f>
        <v>510</v>
      </c>
      <c r="AA733" s="22">
        <f>GroDB[[#This Row],[ADU]]/GroDB[[#Totals],[ADU]]</f>
        <v>1.4813982563768235E-3</v>
      </c>
      <c r="AB733" s="1">
        <f>GroDB[[#This Row],[Sales_Volume]]*GroDB[[#This Row],[Ordering Cost]]</f>
        <v>408.00000000000006</v>
      </c>
    </row>
    <row r="734" spans="1:28" x14ac:dyDescent="0.35">
      <c r="A734" s="5" t="s">
        <v>549</v>
      </c>
      <c r="B734" s="3" t="s">
        <v>32</v>
      </c>
      <c r="C734" s="3" t="s">
        <v>199</v>
      </c>
      <c r="D734" s="3" t="s">
        <v>2656</v>
      </c>
      <c r="E734" s="3" t="s">
        <v>28</v>
      </c>
      <c r="F734" s="3" t="s">
        <v>2657</v>
      </c>
      <c r="G734" s="3" t="s">
        <v>2658</v>
      </c>
      <c r="H734" s="43">
        <v>45410</v>
      </c>
      <c r="I734" s="43">
        <v>45707</v>
      </c>
      <c r="J734" s="47" t="str">
        <f>IF(GroDB[[#This Row],[Last_Order_Date]]&lt;=GroDB[[#This Row],[Date_Received]], "Yes", "No")</f>
        <v>No</v>
      </c>
      <c r="K734" s="43">
        <f>IF(GroDB[[#This Row],[Column1]]="No",GroDB[[#This Row],[Last_Order_Date]],GroDB[[#This Row],[Date_Received]])</f>
        <v>45707</v>
      </c>
      <c r="L734" s="43">
        <f>IF(GroDB[[#This Row],[Column1]]="No",GroDB[[#This Row],[Date_Received]],GroDB[[#This Row],[Last_Order_Date]])</f>
        <v>45410</v>
      </c>
      <c r="M734" s="45">
        <f>GroDB[[#This Row],[Date_Received1]]-GroDB[[#This Row],[Procurement_Date]]</f>
        <v>297</v>
      </c>
      <c r="N734" s="43">
        <v>45624</v>
      </c>
      <c r="O734" s="91">
        <f>GroDB[[#This Row],[Expiration_Date]]-GroDB[[#This Row],[Date_Received1]]</f>
        <v>-83</v>
      </c>
      <c r="P734" s="4">
        <v>2</v>
      </c>
      <c r="Q734" s="3">
        <v>14</v>
      </c>
      <c r="R734" s="3">
        <v>63</v>
      </c>
      <c r="S734" s="3">
        <v>74</v>
      </c>
      <c r="T734" s="4">
        <v>2.5</v>
      </c>
      <c r="U734" s="3">
        <v>59</v>
      </c>
      <c r="V734" s="51">
        <f>IF(GroDB[[#This Row],[LeadTime]]=0,GroDB[[#This Row],[Sales_Volume]],GroDB[[#This Row],[Sales_Volume]]/GroDB[[#This Row],[LeadTime]])</f>
        <v>0.19865319865319866</v>
      </c>
      <c r="W734" s="51">
        <f>_xlfn.STDEV.S(GroDB[Daily Sales])</f>
        <v>5.1999899792654221</v>
      </c>
      <c r="X734" s="3">
        <v>63</v>
      </c>
      <c r="Y734" s="7">
        <v>0.93</v>
      </c>
      <c r="Z734" s="4">
        <f>GroDB[[#This Row],[Unit_Price]]*GroDB[[#This Row],[Sales_Volume]]</f>
        <v>147.5</v>
      </c>
      <c r="AA734" s="22">
        <f>GroDB[[#This Row],[ADU]]/GroDB[[#Totals],[ADU]]</f>
        <v>4.2844361336388521E-4</v>
      </c>
      <c r="AB734" s="1">
        <f>GroDB[[#This Row],[Sales_Volume]]*GroDB[[#This Row],[Ordering Cost]]</f>
        <v>118</v>
      </c>
    </row>
    <row r="735" spans="1:28" x14ac:dyDescent="0.35">
      <c r="A735" s="5" t="s">
        <v>1516</v>
      </c>
      <c r="B735" s="3" t="s">
        <v>32</v>
      </c>
      <c r="C735" s="3" t="s">
        <v>2243</v>
      </c>
      <c r="D735" s="3" t="s">
        <v>2659</v>
      </c>
      <c r="E735" s="3" t="s">
        <v>21</v>
      </c>
      <c r="F735" s="3" t="s">
        <v>2660</v>
      </c>
      <c r="G735" s="3" t="s">
        <v>2661</v>
      </c>
      <c r="H735" s="43">
        <v>45410</v>
      </c>
      <c r="I735" s="43">
        <v>45380</v>
      </c>
      <c r="J735" s="47" t="str">
        <f>IF(GroDB[[#This Row],[Last_Order_Date]]&lt;=GroDB[[#This Row],[Date_Received]], "Yes", "No")</f>
        <v>Yes</v>
      </c>
      <c r="K735" s="43">
        <f>IF(GroDB[[#This Row],[Column1]]="No",GroDB[[#This Row],[Last_Order_Date]],GroDB[[#This Row],[Date_Received]])</f>
        <v>45410</v>
      </c>
      <c r="L735" s="43">
        <f>IF(GroDB[[#This Row],[Column1]]="No",GroDB[[#This Row],[Date_Received]],GroDB[[#This Row],[Last_Order_Date]])</f>
        <v>45380</v>
      </c>
      <c r="M735" s="45">
        <f>GroDB[[#This Row],[Date_Received1]]-GroDB[[#This Row],[Procurement_Date]]</f>
        <v>30</v>
      </c>
      <c r="N735" s="43">
        <v>45509</v>
      </c>
      <c r="O735" s="91">
        <f>GroDB[[#This Row],[Expiration_Date]]-GroDB[[#This Row],[Date_Received1]]</f>
        <v>99</v>
      </c>
      <c r="P735" s="4">
        <v>5.68</v>
      </c>
      <c r="Q735" s="3">
        <v>36</v>
      </c>
      <c r="R735" s="3">
        <v>82</v>
      </c>
      <c r="S735" s="3">
        <v>85</v>
      </c>
      <c r="T735" s="4">
        <v>7.1</v>
      </c>
      <c r="U735" s="3">
        <v>27</v>
      </c>
      <c r="V735" s="51">
        <f>IF(GroDB[[#This Row],[LeadTime]]=0,GroDB[[#This Row],[Sales_Volume]],GroDB[[#This Row],[Sales_Volume]]/GroDB[[#This Row],[LeadTime]])</f>
        <v>0.9</v>
      </c>
      <c r="W735" s="51">
        <f>_xlfn.STDEV.S(GroDB[Daily Sales])</f>
        <v>5.1999899792654221</v>
      </c>
      <c r="X735" s="3">
        <v>67</v>
      </c>
      <c r="Y735" s="7">
        <v>-7.0000000000000007E-2</v>
      </c>
      <c r="Z735" s="4">
        <f>GroDB[[#This Row],[Unit_Price]]*GroDB[[#This Row],[Sales_Volume]]</f>
        <v>191.7</v>
      </c>
      <c r="AA735" s="22">
        <f>GroDB[[#This Row],[ADU]]/GroDB[[#Totals],[ADU]]</f>
        <v>5.5683146224987654E-4</v>
      </c>
      <c r="AB735" s="1">
        <f>GroDB[[#This Row],[Sales_Volume]]*GroDB[[#This Row],[Ordering Cost]]</f>
        <v>153.35999999999999</v>
      </c>
    </row>
    <row r="736" spans="1:28" x14ac:dyDescent="0.35">
      <c r="A736" s="5" t="s">
        <v>272</v>
      </c>
      <c r="B736" s="3" t="s">
        <v>32</v>
      </c>
      <c r="C736" s="3" t="s">
        <v>570</v>
      </c>
      <c r="D736" s="3" t="s">
        <v>2662</v>
      </c>
      <c r="E736" s="3" t="s">
        <v>28</v>
      </c>
      <c r="F736" s="3" t="s">
        <v>2663</v>
      </c>
      <c r="G736" s="3" t="s">
        <v>2664</v>
      </c>
      <c r="H736" s="43">
        <v>45410</v>
      </c>
      <c r="I736" s="43">
        <v>45617</v>
      </c>
      <c r="J736" s="47" t="str">
        <f>IF(GroDB[[#This Row],[Last_Order_Date]]&lt;=GroDB[[#This Row],[Date_Received]], "Yes", "No")</f>
        <v>No</v>
      </c>
      <c r="K736" s="43">
        <f>IF(GroDB[[#This Row],[Column1]]="No",GroDB[[#This Row],[Last_Order_Date]],GroDB[[#This Row],[Date_Received]])</f>
        <v>45617</v>
      </c>
      <c r="L736" s="43">
        <f>IF(GroDB[[#This Row],[Column1]]="No",GroDB[[#This Row],[Date_Received]],GroDB[[#This Row],[Last_Order_Date]])</f>
        <v>45410</v>
      </c>
      <c r="M736" s="45">
        <f>GroDB[[#This Row],[Date_Received1]]-GroDB[[#This Row],[Procurement_Date]]</f>
        <v>207</v>
      </c>
      <c r="N736" s="43">
        <v>45690</v>
      </c>
      <c r="O736" s="91">
        <f>GroDB[[#This Row],[Expiration_Date]]-GroDB[[#This Row],[Date_Received1]]</f>
        <v>73</v>
      </c>
      <c r="P736" s="4">
        <v>0.8</v>
      </c>
      <c r="Q736" s="3">
        <v>52</v>
      </c>
      <c r="R736" s="3">
        <v>31</v>
      </c>
      <c r="S736" s="3">
        <v>18</v>
      </c>
      <c r="T736" s="4">
        <v>1</v>
      </c>
      <c r="U736" s="3">
        <v>77</v>
      </c>
      <c r="V736" s="51">
        <f>IF(GroDB[[#This Row],[LeadTime]]=0,GroDB[[#This Row],[Sales_Volume]],GroDB[[#This Row],[Sales_Volume]]/GroDB[[#This Row],[LeadTime]])</f>
        <v>0.3719806763285024</v>
      </c>
      <c r="W736" s="51">
        <f>_xlfn.STDEV.S(GroDB[Daily Sales])</f>
        <v>5.1999899792654221</v>
      </c>
      <c r="X736" s="3">
        <v>16</v>
      </c>
      <c r="Y736" s="7">
        <v>-1.48</v>
      </c>
      <c r="Z736" s="4">
        <f>GroDB[[#This Row],[Unit_Price]]*GroDB[[#This Row],[Sales_Volume]]</f>
        <v>77</v>
      </c>
      <c r="AA736" s="22">
        <f>GroDB[[#This Row],[ADU]]/GroDB[[#Totals],[ADU]]</f>
        <v>2.2366208968826551E-4</v>
      </c>
      <c r="AB736" s="1">
        <f>GroDB[[#This Row],[Sales_Volume]]*GroDB[[#This Row],[Ordering Cost]]</f>
        <v>61.6</v>
      </c>
    </row>
    <row r="737" spans="1:28" x14ac:dyDescent="0.35">
      <c r="A737" s="5" t="s">
        <v>1350</v>
      </c>
      <c r="B737" s="3" t="s">
        <v>32</v>
      </c>
      <c r="C737" s="3" t="s">
        <v>1000</v>
      </c>
      <c r="D737" s="3" t="s">
        <v>2665</v>
      </c>
      <c r="E737" s="3" t="s">
        <v>21</v>
      </c>
      <c r="F737" s="3" t="s">
        <v>2666</v>
      </c>
      <c r="G737" s="3" t="s">
        <v>2667</v>
      </c>
      <c r="H737" s="43">
        <v>45411</v>
      </c>
      <c r="I737" s="43">
        <v>45475</v>
      </c>
      <c r="J737" s="47" t="str">
        <f>IF(GroDB[[#This Row],[Last_Order_Date]]&lt;=GroDB[[#This Row],[Date_Received]], "Yes", "No")</f>
        <v>No</v>
      </c>
      <c r="K737" s="43">
        <f>IF(GroDB[[#This Row],[Column1]]="No",GroDB[[#This Row],[Last_Order_Date]],GroDB[[#This Row],[Date_Received]])</f>
        <v>45475</v>
      </c>
      <c r="L737" s="43">
        <f>IF(GroDB[[#This Row],[Column1]]="No",GroDB[[#This Row],[Date_Received]],GroDB[[#This Row],[Last_Order_Date]])</f>
        <v>45411</v>
      </c>
      <c r="M737" s="45">
        <f>GroDB[[#This Row],[Date_Received1]]-GroDB[[#This Row],[Procurement_Date]]</f>
        <v>64</v>
      </c>
      <c r="N737" s="43">
        <v>45533</v>
      </c>
      <c r="O737" s="91">
        <f>GroDB[[#This Row],[Expiration_Date]]-GroDB[[#This Row],[Date_Received1]]</f>
        <v>58</v>
      </c>
      <c r="P737" s="4">
        <v>2.4000000000000004</v>
      </c>
      <c r="Q737" s="3">
        <v>48</v>
      </c>
      <c r="R737" s="3">
        <v>71</v>
      </c>
      <c r="S737" s="3">
        <v>86</v>
      </c>
      <c r="T737" s="4">
        <v>3</v>
      </c>
      <c r="U737" s="3">
        <v>95</v>
      </c>
      <c r="V737" s="51">
        <f>IF(GroDB[[#This Row],[LeadTime]]=0,GroDB[[#This Row],[Sales_Volume]],GroDB[[#This Row],[Sales_Volume]]/GroDB[[#This Row],[LeadTime]])</f>
        <v>1.484375</v>
      </c>
      <c r="W737" s="51">
        <f>_xlfn.STDEV.S(GroDB[Daily Sales])</f>
        <v>5.1999899792654221</v>
      </c>
      <c r="X737" s="3">
        <v>3</v>
      </c>
      <c r="Y737" s="7">
        <v>0.79</v>
      </c>
      <c r="Z737" s="4">
        <f>GroDB[[#This Row],[Unit_Price]]*GroDB[[#This Row],[Sales_Volume]]</f>
        <v>285</v>
      </c>
      <c r="AA737" s="22">
        <f>GroDB[[#This Row],[ADU]]/GroDB[[#Totals],[ADU]]</f>
        <v>8.2784020209293076E-4</v>
      </c>
      <c r="AB737" s="1">
        <f>GroDB[[#This Row],[Sales_Volume]]*GroDB[[#This Row],[Ordering Cost]]</f>
        <v>228.00000000000003</v>
      </c>
    </row>
    <row r="738" spans="1:28" x14ac:dyDescent="0.35">
      <c r="A738" s="5" t="s">
        <v>230</v>
      </c>
      <c r="B738" s="3" t="s">
        <v>25</v>
      </c>
      <c r="C738" s="3" t="s">
        <v>562</v>
      </c>
      <c r="D738" s="3" t="s">
        <v>2668</v>
      </c>
      <c r="E738" s="3" t="s">
        <v>28</v>
      </c>
      <c r="F738" s="3" t="s">
        <v>2669</v>
      </c>
      <c r="G738" s="3" t="s">
        <v>2670</v>
      </c>
      <c r="H738" s="43">
        <v>45411</v>
      </c>
      <c r="I738" s="43">
        <v>45424</v>
      </c>
      <c r="J738" s="47" t="str">
        <f>IF(GroDB[[#This Row],[Last_Order_Date]]&lt;=GroDB[[#This Row],[Date_Received]], "Yes", "No")</f>
        <v>No</v>
      </c>
      <c r="K738" s="43">
        <f>IF(GroDB[[#This Row],[Column1]]="No",GroDB[[#This Row],[Last_Order_Date]],GroDB[[#This Row],[Date_Received]])</f>
        <v>45424</v>
      </c>
      <c r="L738" s="43">
        <f>IF(GroDB[[#This Row],[Column1]]="No",GroDB[[#This Row],[Date_Received]],GroDB[[#This Row],[Last_Order_Date]])</f>
        <v>45411</v>
      </c>
      <c r="M738" s="45">
        <f>GroDB[[#This Row],[Date_Received1]]-GroDB[[#This Row],[Procurement_Date]]</f>
        <v>13</v>
      </c>
      <c r="N738" s="43">
        <v>45712</v>
      </c>
      <c r="O738" s="91">
        <f>GroDB[[#This Row],[Expiration_Date]]-GroDB[[#This Row],[Date_Received1]]</f>
        <v>288</v>
      </c>
      <c r="P738" s="4">
        <v>1.4400000000000002</v>
      </c>
      <c r="Q738" s="3">
        <v>58</v>
      </c>
      <c r="R738" s="3">
        <v>23</v>
      </c>
      <c r="S738" s="3">
        <v>66</v>
      </c>
      <c r="T738" s="4">
        <v>1.8</v>
      </c>
      <c r="U738" s="3">
        <v>82</v>
      </c>
      <c r="V738" s="51">
        <f>IF(GroDB[[#This Row],[LeadTime]]=0,GroDB[[#This Row],[Sales_Volume]],GroDB[[#This Row],[Sales_Volume]]/GroDB[[#This Row],[LeadTime]])</f>
        <v>6.3076923076923075</v>
      </c>
      <c r="W738" s="51">
        <f>_xlfn.STDEV.S(GroDB[Daily Sales])</f>
        <v>5.1999899792654221</v>
      </c>
      <c r="X738" s="3">
        <v>61</v>
      </c>
      <c r="Y738" s="7">
        <v>0.97</v>
      </c>
      <c r="Z738" s="4">
        <f>GroDB[[#This Row],[Unit_Price]]*GroDB[[#This Row],[Sales_Volume]]</f>
        <v>147.6</v>
      </c>
      <c r="AA738" s="22">
        <f>GroDB[[#This Row],[ADU]]/GroDB[[#Totals],[ADU]]</f>
        <v>4.287340836102336E-4</v>
      </c>
      <c r="AB738" s="1">
        <f>GroDB[[#This Row],[Sales_Volume]]*GroDB[[#This Row],[Ordering Cost]]</f>
        <v>118.08000000000001</v>
      </c>
    </row>
    <row r="739" spans="1:28" x14ac:dyDescent="0.35">
      <c r="A739" s="5" t="s">
        <v>531</v>
      </c>
      <c r="B739" s="3" t="s">
        <v>53</v>
      </c>
      <c r="C739" s="3" t="s">
        <v>2332</v>
      </c>
      <c r="D739" s="3" t="s">
        <v>2671</v>
      </c>
      <c r="E739" s="3" t="s">
        <v>28</v>
      </c>
      <c r="F739" s="3" t="s">
        <v>2672</v>
      </c>
      <c r="G739" s="3" t="s">
        <v>2673</v>
      </c>
      <c r="H739" s="43">
        <v>45411</v>
      </c>
      <c r="I739" s="43">
        <v>45369</v>
      </c>
      <c r="J739" s="47" t="str">
        <f>IF(GroDB[[#This Row],[Last_Order_Date]]&lt;=GroDB[[#This Row],[Date_Received]], "Yes", "No")</f>
        <v>Yes</v>
      </c>
      <c r="K739" s="43">
        <f>IF(GroDB[[#This Row],[Column1]]="No",GroDB[[#This Row],[Last_Order_Date]],GroDB[[#This Row],[Date_Received]])</f>
        <v>45411</v>
      </c>
      <c r="L739" s="43">
        <f>IF(GroDB[[#This Row],[Column1]]="No",GroDB[[#This Row],[Date_Received]],GroDB[[#This Row],[Last_Order_Date]])</f>
        <v>45369</v>
      </c>
      <c r="M739" s="45">
        <f>GroDB[[#This Row],[Date_Received1]]-GroDB[[#This Row],[Procurement_Date]]</f>
        <v>42</v>
      </c>
      <c r="N739" s="43">
        <v>45403</v>
      </c>
      <c r="O739" s="91">
        <f>GroDB[[#This Row],[Expiration_Date]]-GroDB[[#This Row],[Date_Received1]]</f>
        <v>-8</v>
      </c>
      <c r="P739" s="4">
        <v>1.1599999999999999</v>
      </c>
      <c r="Q739" s="3">
        <v>39</v>
      </c>
      <c r="R739" s="3">
        <v>2</v>
      </c>
      <c r="S739" s="3">
        <v>71</v>
      </c>
      <c r="T739" s="4">
        <v>1.45</v>
      </c>
      <c r="U739" s="3">
        <v>20</v>
      </c>
      <c r="V739" s="51">
        <f>IF(GroDB[[#This Row],[LeadTime]]=0,GroDB[[#This Row],[Sales_Volume]],GroDB[[#This Row],[Sales_Volume]]/GroDB[[#This Row],[LeadTime]])</f>
        <v>0.47619047619047616</v>
      </c>
      <c r="W739" s="51">
        <f>_xlfn.STDEV.S(GroDB[Daily Sales])</f>
        <v>5.1999899792654221</v>
      </c>
      <c r="X739" s="3">
        <v>70</v>
      </c>
      <c r="Y739" s="7">
        <v>0.26</v>
      </c>
      <c r="Z739" s="4">
        <f>GroDB[[#This Row],[Unit_Price]]*GroDB[[#This Row],[Sales_Volume]]</f>
        <v>29</v>
      </c>
      <c r="AA739" s="22">
        <f>GroDB[[#This Row],[ADU]]/GroDB[[#Totals],[ADU]]</f>
        <v>8.4236371441035059E-5</v>
      </c>
      <c r="AB739" s="1">
        <f>GroDB[[#This Row],[Sales_Volume]]*GroDB[[#This Row],[Ordering Cost]]</f>
        <v>23.2</v>
      </c>
    </row>
    <row r="740" spans="1:28" x14ac:dyDescent="0.35">
      <c r="A740" s="5" t="s">
        <v>1350</v>
      </c>
      <c r="B740" s="3" t="s">
        <v>32</v>
      </c>
      <c r="C740" s="3" t="s">
        <v>338</v>
      </c>
      <c r="D740" s="3" t="s">
        <v>2674</v>
      </c>
      <c r="E740" s="3" t="s">
        <v>21</v>
      </c>
      <c r="F740" s="3" t="s">
        <v>2675</v>
      </c>
      <c r="G740" s="3" t="s">
        <v>2676</v>
      </c>
      <c r="H740" s="43">
        <v>45412</v>
      </c>
      <c r="I740" s="43">
        <v>45586</v>
      </c>
      <c r="J740" s="47" t="str">
        <f>IF(GroDB[[#This Row],[Last_Order_Date]]&lt;=GroDB[[#This Row],[Date_Received]], "Yes", "No")</f>
        <v>No</v>
      </c>
      <c r="K740" s="43">
        <f>IF(GroDB[[#This Row],[Column1]]="No",GroDB[[#This Row],[Last_Order_Date]],GroDB[[#This Row],[Date_Received]])</f>
        <v>45586</v>
      </c>
      <c r="L740" s="43">
        <f>IF(GroDB[[#This Row],[Column1]]="No",GroDB[[#This Row],[Date_Received]],GroDB[[#This Row],[Last_Order_Date]])</f>
        <v>45412</v>
      </c>
      <c r="M740" s="45">
        <f>GroDB[[#This Row],[Date_Received1]]-GroDB[[#This Row],[Procurement_Date]]</f>
        <v>174</v>
      </c>
      <c r="N740" s="43">
        <v>45557</v>
      </c>
      <c r="O740" s="91">
        <f>GroDB[[#This Row],[Expiration_Date]]-GroDB[[#This Row],[Date_Received1]]</f>
        <v>-29</v>
      </c>
      <c r="P740" s="4">
        <v>2.4000000000000004</v>
      </c>
      <c r="Q740" s="3">
        <v>51</v>
      </c>
      <c r="R740" s="3">
        <v>100</v>
      </c>
      <c r="S740" s="3">
        <v>70</v>
      </c>
      <c r="T740" s="4">
        <v>3</v>
      </c>
      <c r="U740" s="3">
        <v>40</v>
      </c>
      <c r="V740" s="51">
        <f>IF(GroDB[[#This Row],[LeadTime]]=0,GroDB[[#This Row],[Sales_Volume]],GroDB[[#This Row],[Sales_Volume]]/GroDB[[#This Row],[LeadTime]])</f>
        <v>0.22988505747126436</v>
      </c>
      <c r="W740" s="51">
        <f>_xlfn.STDEV.S(GroDB[Daily Sales])</f>
        <v>5.1999899792654221</v>
      </c>
      <c r="X740" s="3">
        <v>21</v>
      </c>
      <c r="Y740" s="7">
        <v>-2.5</v>
      </c>
      <c r="Z740" s="4">
        <f>GroDB[[#This Row],[Unit_Price]]*GroDB[[#This Row],[Sales_Volume]]</f>
        <v>120</v>
      </c>
      <c r="AA740" s="22">
        <f>GroDB[[#This Row],[ADU]]/GroDB[[#Totals],[ADU]]</f>
        <v>3.4856429561807613E-4</v>
      </c>
      <c r="AB740" s="1">
        <f>GroDB[[#This Row],[Sales_Volume]]*GroDB[[#This Row],[Ordering Cost]]</f>
        <v>96.000000000000014</v>
      </c>
    </row>
    <row r="741" spans="1:28" x14ac:dyDescent="0.35">
      <c r="A741" s="5" t="s">
        <v>632</v>
      </c>
      <c r="B741" s="3" t="s">
        <v>60</v>
      </c>
      <c r="C741" s="3" t="s">
        <v>2677</v>
      </c>
      <c r="D741" s="3" t="s">
        <v>2678</v>
      </c>
      <c r="E741" s="3" t="s">
        <v>56</v>
      </c>
      <c r="F741" s="3" t="s">
        <v>2679</v>
      </c>
      <c r="G741" s="3" t="s">
        <v>2680</v>
      </c>
      <c r="H741" s="43">
        <v>45412</v>
      </c>
      <c r="I741" s="43">
        <v>45583</v>
      </c>
      <c r="J741" s="47" t="str">
        <f>IF(GroDB[[#This Row],[Last_Order_Date]]&lt;=GroDB[[#This Row],[Date_Received]], "Yes", "No")</f>
        <v>No</v>
      </c>
      <c r="K741" s="43">
        <f>IF(GroDB[[#This Row],[Column1]]="No",GroDB[[#This Row],[Last_Order_Date]],GroDB[[#This Row],[Date_Received]])</f>
        <v>45583</v>
      </c>
      <c r="L741" s="43">
        <f>IF(GroDB[[#This Row],[Column1]]="No",GroDB[[#This Row],[Date_Received]],GroDB[[#This Row],[Last_Order_Date]])</f>
        <v>45412</v>
      </c>
      <c r="M741" s="45">
        <f>GroDB[[#This Row],[Date_Received1]]-GroDB[[#This Row],[Procurement_Date]]</f>
        <v>171</v>
      </c>
      <c r="N741" s="43">
        <v>45450</v>
      </c>
      <c r="O741" s="91">
        <f>GroDB[[#This Row],[Expiration_Date]]-GroDB[[#This Row],[Date_Received1]]</f>
        <v>-133</v>
      </c>
      <c r="P741" s="4">
        <v>6.4</v>
      </c>
      <c r="Q741" s="3">
        <v>16</v>
      </c>
      <c r="R741" s="3">
        <v>20</v>
      </c>
      <c r="S741" s="3">
        <v>45</v>
      </c>
      <c r="T741" s="4">
        <v>8</v>
      </c>
      <c r="U741" s="3">
        <v>81</v>
      </c>
      <c r="V741" s="51">
        <f>IF(GroDB[[#This Row],[LeadTime]]=0,GroDB[[#This Row],[Sales_Volume]],GroDB[[#This Row],[Sales_Volume]]/GroDB[[#This Row],[LeadTime]])</f>
        <v>0.47368421052631576</v>
      </c>
      <c r="W741" s="51">
        <f>_xlfn.STDEV.S(GroDB[Daily Sales])</f>
        <v>5.1999899792654221</v>
      </c>
      <c r="X741" s="3">
        <v>62</v>
      </c>
      <c r="Y741" s="7">
        <v>0.48</v>
      </c>
      <c r="Z741" s="4">
        <f>GroDB[[#This Row],[Unit_Price]]*GroDB[[#This Row],[Sales_Volume]]</f>
        <v>648</v>
      </c>
      <c r="AA741" s="22">
        <f>GroDB[[#This Row],[ADU]]/GroDB[[#Totals],[ADU]]</f>
        <v>1.882247196337611E-3</v>
      </c>
      <c r="AB741" s="1">
        <f>GroDB[[#This Row],[Sales_Volume]]*GroDB[[#This Row],[Ordering Cost]]</f>
        <v>518.4</v>
      </c>
    </row>
    <row r="742" spans="1:28" x14ac:dyDescent="0.35">
      <c r="A742" s="5" t="s">
        <v>517</v>
      </c>
      <c r="B742" s="3" t="s">
        <v>127</v>
      </c>
      <c r="C742" s="3" t="s">
        <v>1719</v>
      </c>
      <c r="D742" s="3" t="s">
        <v>2681</v>
      </c>
      <c r="E742" s="3" t="s">
        <v>28</v>
      </c>
      <c r="F742" s="3" t="s">
        <v>2682</v>
      </c>
      <c r="G742" s="3" t="s">
        <v>2683</v>
      </c>
      <c r="H742" s="43">
        <v>45412</v>
      </c>
      <c r="I742" s="43">
        <v>45453</v>
      </c>
      <c r="J742" s="47" t="str">
        <f>IF(GroDB[[#This Row],[Last_Order_Date]]&lt;=GroDB[[#This Row],[Date_Received]], "Yes", "No")</f>
        <v>No</v>
      </c>
      <c r="K742" s="43">
        <f>IF(GroDB[[#This Row],[Column1]]="No",GroDB[[#This Row],[Last_Order_Date]],GroDB[[#This Row],[Date_Received]])</f>
        <v>45453</v>
      </c>
      <c r="L742" s="43">
        <f>IF(GroDB[[#This Row],[Column1]]="No",GroDB[[#This Row],[Date_Received]],GroDB[[#This Row],[Last_Order_Date]])</f>
        <v>45412</v>
      </c>
      <c r="M742" s="45">
        <f>GroDB[[#This Row],[Date_Received1]]-GroDB[[#This Row],[Procurement_Date]]</f>
        <v>41</v>
      </c>
      <c r="N742" s="43">
        <v>45694</v>
      </c>
      <c r="O742" s="91">
        <f>GroDB[[#This Row],[Expiration_Date]]-GroDB[[#This Row],[Date_Received1]]</f>
        <v>241</v>
      </c>
      <c r="P742" s="4">
        <v>20</v>
      </c>
      <c r="Q742" s="3">
        <v>62</v>
      </c>
      <c r="R742" s="3">
        <v>31</v>
      </c>
      <c r="S742" s="3">
        <v>24</v>
      </c>
      <c r="T742" s="4">
        <v>25</v>
      </c>
      <c r="U742" s="3">
        <v>89</v>
      </c>
      <c r="V742" s="51">
        <f>IF(GroDB[[#This Row],[LeadTime]]=0,GroDB[[#This Row],[Sales_Volume]],GroDB[[#This Row],[Sales_Volume]]/GroDB[[#This Row],[LeadTime]])</f>
        <v>2.1707317073170733</v>
      </c>
      <c r="W742" s="51">
        <f>_xlfn.STDEV.S(GroDB[Daily Sales])</f>
        <v>5.1999899792654221</v>
      </c>
      <c r="X742" s="3">
        <v>100</v>
      </c>
      <c r="Y742" s="7">
        <v>0.23</v>
      </c>
      <c r="Z742" s="4">
        <f>GroDB[[#This Row],[Unit_Price]]*GroDB[[#This Row],[Sales_Volume]]</f>
        <v>2225</v>
      </c>
      <c r="AA742" s="22">
        <f>GroDB[[#This Row],[ADU]]/GroDB[[#Totals],[ADU]]</f>
        <v>6.4629629812518272E-3</v>
      </c>
      <c r="AB742" s="1">
        <f>GroDB[[#This Row],[Sales_Volume]]*GroDB[[#This Row],[Ordering Cost]]</f>
        <v>1780</v>
      </c>
    </row>
    <row r="743" spans="1:28" x14ac:dyDescent="0.35">
      <c r="A743" s="5" t="s">
        <v>342</v>
      </c>
      <c r="B743" s="3" t="s">
        <v>18</v>
      </c>
      <c r="C743" s="3" t="s">
        <v>425</v>
      </c>
      <c r="D743" s="3" t="s">
        <v>2684</v>
      </c>
      <c r="E743" s="3" t="s">
        <v>56</v>
      </c>
      <c r="F743" s="3" t="s">
        <v>2685</v>
      </c>
      <c r="G743" s="3" t="s">
        <v>2686</v>
      </c>
      <c r="H743" s="43">
        <v>45425</v>
      </c>
      <c r="I743" s="43">
        <v>45516</v>
      </c>
      <c r="J743" s="47" t="str">
        <f>IF(GroDB[[#This Row],[Last_Order_Date]]&lt;=GroDB[[#This Row],[Date_Received]], "Yes", "No")</f>
        <v>No</v>
      </c>
      <c r="K743" s="43">
        <f>IF(GroDB[[#This Row],[Column1]]="No",GroDB[[#This Row],[Last_Order_Date]],GroDB[[#This Row],[Date_Received]])</f>
        <v>45516</v>
      </c>
      <c r="L743" s="43">
        <f>IF(GroDB[[#This Row],[Column1]]="No",GroDB[[#This Row],[Date_Received]],GroDB[[#This Row],[Last_Order_Date]])</f>
        <v>45425</v>
      </c>
      <c r="M743" s="45">
        <f>GroDB[[#This Row],[Date_Received1]]-GroDB[[#This Row],[Procurement_Date]]</f>
        <v>91</v>
      </c>
      <c r="N743" s="43">
        <v>45531</v>
      </c>
      <c r="O743" s="91">
        <f>GroDB[[#This Row],[Expiration_Date]]-GroDB[[#This Row],[Date_Received1]]</f>
        <v>15</v>
      </c>
      <c r="P743" s="4">
        <v>4.8000000000000007</v>
      </c>
      <c r="Q743" s="3">
        <v>60</v>
      </c>
      <c r="R743" s="3">
        <v>61</v>
      </c>
      <c r="S743" s="3">
        <v>2</v>
      </c>
      <c r="T743" s="4">
        <v>6</v>
      </c>
      <c r="U743" s="3">
        <v>96</v>
      </c>
      <c r="V743" s="51">
        <f>IF(GroDB[[#This Row],[LeadTime]]=0,GroDB[[#This Row],[Sales_Volume]],GroDB[[#This Row],[Sales_Volume]]/GroDB[[#This Row],[LeadTime]])</f>
        <v>1.054945054945055</v>
      </c>
      <c r="W743" s="51">
        <f>_xlfn.STDEV.S(GroDB[Daily Sales])</f>
        <v>5.1999899792654221</v>
      </c>
      <c r="X743" s="3">
        <v>50</v>
      </c>
      <c r="Y743" s="7">
        <v>-0.12</v>
      </c>
      <c r="Z743" s="4">
        <f>GroDB[[#This Row],[Unit_Price]]*GroDB[[#This Row],[Sales_Volume]]</f>
        <v>576</v>
      </c>
      <c r="AA743" s="22">
        <f>GroDB[[#This Row],[ADU]]/GroDB[[#Totals],[ADU]]</f>
        <v>1.6731086189667652E-3</v>
      </c>
      <c r="AB743" s="1">
        <f>GroDB[[#This Row],[Sales_Volume]]*GroDB[[#This Row],[Ordering Cost]]</f>
        <v>460.80000000000007</v>
      </c>
    </row>
    <row r="744" spans="1:28" x14ac:dyDescent="0.35">
      <c r="A744" s="5" t="s">
        <v>600</v>
      </c>
      <c r="B744" s="3" t="s">
        <v>32</v>
      </c>
      <c r="C744" s="3" t="s">
        <v>166</v>
      </c>
      <c r="D744" s="3" t="s">
        <v>2687</v>
      </c>
      <c r="E744" s="3" t="s">
        <v>21</v>
      </c>
      <c r="F744" s="3" t="s">
        <v>2688</v>
      </c>
      <c r="G744" s="3" t="s">
        <v>2689</v>
      </c>
      <c r="H744" s="43">
        <v>45425</v>
      </c>
      <c r="I744" s="43">
        <v>45472</v>
      </c>
      <c r="J744" s="47" t="str">
        <f>IF(GroDB[[#This Row],[Last_Order_Date]]&lt;=GroDB[[#This Row],[Date_Received]], "Yes", "No")</f>
        <v>No</v>
      </c>
      <c r="K744" s="43">
        <f>IF(GroDB[[#This Row],[Column1]]="No",GroDB[[#This Row],[Last_Order_Date]],GroDB[[#This Row],[Date_Received]])</f>
        <v>45472</v>
      </c>
      <c r="L744" s="43">
        <f>IF(GroDB[[#This Row],[Column1]]="No",GroDB[[#This Row],[Date_Received]],GroDB[[#This Row],[Last_Order_Date]])</f>
        <v>45425</v>
      </c>
      <c r="M744" s="45">
        <f>GroDB[[#This Row],[Date_Received1]]-GroDB[[#This Row],[Procurement_Date]]</f>
        <v>47</v>
      </c>
      <c r="N744" s="43">
        <v>45357</v>
      </c>
      <c r="O744" s="91">
        <f>GroDB[[#This Row],[Expiration_Date]]-GroDB[[#This Row],[Date_Received1]]</f>
        <v>-115</v>
      </c>
      <c r="P744" s="4">
        <v>2</v>
      </c>
      <c r="Q744" s="3">
        <v>47</v>
      </c>
      <c r="R744" s="3">
        <v>2</v>
      </c>
      <c r="S744" s="3">
        <v>76</v>
      </c>
      <c r="T744" s="4">
        <v>2.5</v>
      </c>
      <c r="U744" s="3">
        <v>48</v>
      </c>
      <c r="V744" s="51">
        <f>IF(GroDB[[#This Row],[LeadTime]]=0,GroDB[[#This Row],[Sales_Volume]],GroDB[[#This Row],[Sales_Volume]]/GroDB[[#This Row],[LeadTime]])</f>
        <v>1.0212765957446808</v>
      </c>
      <c r="W744" s="51">
        <f>_xlfn.STDEV.S(GroDB[Daily Sales])</f>
        <v>5.1999899792654221</v>
      </c>
      <c r="X744" s="3">
        <v>36</v>
      </c>
      <c r="Y744" s="7">
        <v>0.48</v>
      </c>
      <c r="Z744" s="4">
        <f>GroDB[[#This Row],[Unit_Price]]*GroDB[[#This Row],[Sales_Volume]]</f>
        <v>120</v>
      </c>
      <c r="AA744" s="22">
        <f>GroDB[[#This Row],[ADU]]/GroDB[[#Totals],[ADU]]</f>
        <v>3.4856429561807613E-4</v>
      </c>
      <c r="AB744" s="1">
        <f>GroDB[[#This Row],[Sales_Volume]]*GroDB[[#This Row],[Ordering Cost]]</f>
        <v>96</v>
      </c>
    </row>
    <row r="745" spans="1:28" x14ac:dyDescent="0.35">
      <c r="A745" s="5" t="s">
        <v>272</v>
      </c>
      <c r="B745" s="3" t="s">
        <v>32</v>
      </c>
      <c r="C745" s="3" t="s">
        <v>2690</v>
      </c>
      <c r="D745" s="3" t="s">
        <v>2691</v>
      </c>
      <c r="E745" s="3" t="s">
        <v>21</v>
      </c>
      <c r="F745" s="3" t="s">
        <v>2692</v>
      </c>
      <c r="G745" s="3" t="s">
        <v>2693</v>
      </c>
      <c r="H745" s="43">
        <v>45425</v>
      </c>
      <c r="I745" s="43">
        <v>45709</v>
      </c>
      <c r="J745" s="47" t="str">
        <f>IF(GroDB[[#This Row],[Last_Order_Date]]&lt;=GroDB[[#This Row],[Date_Received]], "Yes", "No")</f>
        <v>No</v>
      </c>
      <c r="K745" s="43">
        <f>IF(GroDB[[#This Row],[Column1]]="No",GroDB[[#This Row],[Last_Order_Date]],GroDB[[#This Row],[Date_Received]])</f>
        <v>45709</v>
      </c>
      <c r="L745" s="43">
        <f>IF(GroDB[[#This Row],[Column1]]="No",GroDB[[#This Row],[Date_Received]],GroDB[[#This Row],[Last_Order_Date]])</f>
        <v>45425</v>
      </c>
      <c r="M745" s="45">
        <f>GroDB[[#This Row],[Date_Received1]]-GroDB[[#This Row],[Procurement_Date]]</f>
        <v>284</v>
      </c>
      <c r="N745" s="43">
        <v>45672</v>
      </c>
      <c r="O745" s="91">
        <f>GroDB[[#This Row],[Expiration_Date]]-GroDB[[#This Row],[Date_Received1]]</f>
        <v>-37</v>
      </c>
      <c r="P745" s="4">
        <v>0.8</v>
      </c>
      <c r="Q745" s="3">
        <v>23</v>
      </c>
      <c r="R745" s="3">
        <v>38</v>
      </c>
      <c r="S745" s="3">
        <v>25</v>
      </c>
      <c r="T745" s="4">
        <v>1</v>
      </c>
      <c r="U745" s="3">
        <v>84</v>
      </c>
      <c r="V745" s="51">
        <f>IF(GroDB[[#This Row],[LeadTime]]=0,GroDB[[#This Row],[Sales_Volume]],GroDB[[#This Row],[Sales_Volume]]/GroDB[[#This Row],[LeadTime]])</f>
        <v>0.29577464788732394</v>
      </c>
      <c r="W745" s="51">
        <f>_xlfn.STDEV.S(GroDB[Daily Sales])</f>
        <v>5.1999899792654221</v>
      </c>
      <c r="X745" s="3">
        <v>78</v>
      </c>
      <c r="Y745" s="7">
        <v>0.25</v>
      </c>
      <c r="Z745" s="4">
        <f>GroDB[[#This Row],[Unit_Price]]*GroDB[[#This Row],[Sales_Volume]]</f>
        <v>84</v>
      </c>
      <c r="AA745" s="22">
        <f>GroDB[[#This Row],[ADU]]/GroDB[[#Totals],[ADU]]</f>
        <v>2.4399500693265326E-4</v>
      </c>
      <c r="AB745" s="1">
        <f>GroDB[[#This Row],[Sales_Volume]]*GroDB[[#This Row],[Ordering Cost]]</f>
        <v>67.2</v>
      </c>
    </row>
    <row r="746" spans="1:28" x14ac:dyDescent="0.35">
      <c r="A746" s="5" t="s">
        <v>239</v>
      </c>
      <c r="B746" s="3" t="s">
        <v>25</v>
      </c>
      <c r="C746" s="3" t="s">
        <v>2167</v>
      </c>
      <c r="D746" s="3" t="s">
        <v>2694</v>
      </c>
      <c r="E746" s="3" t="s">
        <v>21</v>
      </c>
      <c r="F746" s="3" t="s">
        <v>2695</v>
      </c>
      <c r="G746" s="3" t="s">
        <v>2696</v>
      </c>
      <c r="H746" s="43">
        <v>45425</v>
      </c>
      <c r="I746" s="43">
        <v>45707</v>
      </c>
      <c r="J746" s="47" t="str">
        <f>IF(GroDB[[#This Row],[Last_Order_Date]]&lt;=GroDB[[#This Row],[Date_Received]], "Yes", "No")</f>
        <v>No</v>
      </c>
      <c r="K746" s="43">
        <f>IF(GroDB[[#This Row],[Column1]]="No",GroDB[[#This Row],[Last_Order_Date]],GroDB[[#This Row],[Date_Received]])</f>
        <v>45707</v>
      </c>
      <c r="L746" s="43">
        <f>IF(GroDB[[#This Row],[Column1]]="No",GroDB[[#This Row],[Date_Received]],GroDB[[#This Row],[Last_Order_Date]])</f>
        <v>45425</v>
      </c>
      <c r="M746" s="45">
        <f>GroDB[[#This Row],[Date_Received1]]-GroDB[[#This Row],[Procurement_Date]]</f>
        <v>282</v>
      </c>
      <c r="N746" s="43">
        <v>45488</v>
      </c>
      <c r="O746" s="91">
        <f>GroDB[[#This Row],[Expiration_Date]]-GroDB[[#This Row],[Date_Received1]]</f>
        <v>-219</v>
      </c>
      <c r="P746" s="4">
        <v>5.2</v>
      </c>
      <c r="Q746" s="3">
        <v>85</v>
      </c>
      <c r="R746" s="3">
        <v>15</v>
      </c>
      <c r="S746" s="3">
        <v>16</v>
      </c>
      <c r="T746" s="4">
        <v>6.5</v>
      </c>
      <c r="U746" s="3">
        <v>46</v>
      </c>
      <c r="V746" s="51">
        <f>IF(GroDB[[#This Row],[LeadTime]]=0,GroDB[[#This Row],[Sales_Volume]],GroDB[[#This Row],[Sales_Volume]]/GroDB[[#This Row],[LeadTime]])</f>
        <v>0.16312056737588654</v>
      </c>
      <c r="W746" s="51">
        <f>_xlfn.STDEV.S(GroDB[Daily Sales])</f>
        <v>5.1999899792654221</v>
      </c>
      <c r="X746" s="3">
        <v>24</v>
      </c>
      <c r="Y746" s="7">
        <v>7.0000000000000007E-2</v>
      </c>
      <c r="Z746" s="4">
        <f>GroDB[[#This Row],[Unit_Price]]*GroDB[[#This Row],[Sales_Volume]]</f>
        <v>299</v>
      </c>
      <c r="AA746" s="22">
        <f>GroDB[[#This Row],[ADU]]/GroDB[[#Totals],[ADU]]</f>
        <v>8.6850603658170631E-4</v>
      </c>
      <c r="AB746" s="1">
        <f>GroDB[[#This Row],[Sales_Volume]]*GroDB[[#This Row],[Ordering Cost]]</f>
        <v>239.20000000000002</v>
      </c>
    </row>
    <row r="747" spans="1:28" x14ac:dyDescent="0.35">
      <c r="A747" s="5" t="s">
        <v>380</v>
      </c>
      <c r="B747" s="3" t="s">
        <v>32</v>
      </c>
      <c r="C747" s="3" t="s">
        <v>1770</v>
      </c>
      <c r="D747" s="3" t="s">
        <v>2697</v>
      </c>
      <c r="E747" s="3" t="s">
        <v>28</v>
      </c>
      <c r="F747" s="3" t="s">
        <v>2698</v>
      </c>
      <c r="G747" s="3" t="s">
        <v>2699</v>
      </c>
      <c r="H747" s="43">
        <v>45425</v>
      </c>
      <c r="I747" s="43">
        <v>45353</v>
      </c>
      <c r="J747" s="47" t="str">
        <f>IF(GroDB[[#This Row],[Last_Order_Date]]&lt;=GroDB[[#This Row],[Date_Received]], "Yes", "No")</f>
        <v>Yes</v>
      </c>
      <c r="K747" s="43">
        <f>IF(GroDB[[#This Row],[Column1]]="No",GroDB[[#This Row],[Last_Order_Date]],GroDB[[#This Row],[Date_Received]])</f>
        <v>45425</v>
      </c>
      <c r="L747" s="43">
        <f>IF(GroDB[[#This Row],[Column1]]="No",GroDB[[#This Row],[Date_Received]],GroDB[[#This Row],[Last_Order_Date]])</f>
        <v>45353</v>
      </c>
      <c r="M747" s="45">
        <f>GroDB[[#This Row],[Date_Received1]]-GroDB[[#This Row],[Procurement_Date]]</f>
        <v>72</v>
      </c>
      <c r="N747" s="43">
        <v>45686</v>
      </c>
      <c r="O747" s="91">
        <f>GroDB[[#This Row],[Expiration_Date]]-GroDB[[#This Row],[Date_Received1]]</f>
        <v>261</v>
      </c>
      <c r="P747" s="4">
        <v>3.2</v>
      </c>
      <c r="Q747" s="3">
        <v>55</v>
      </c>
      <c r="R747" s="3">
        <v>25</v>
      </c>
      <c r="S747" s="3">
        <v>87</v>
      </c>
      <c r="T747" s="4">
        <v>4</v>
      </c>
      <c r="U747" s="3">
        <v>69</v>
      </c>
      <c r="V747" s="51">
        <f>IF(GroDB[[#This Row],[LeadTime]]=0,GroDB[[#This Row],[Sales_Volume]],GroDB[[#This Row],[Sales_Volume]]/GroDB[[#This Row],[LeadTime]])</f>
        <v>0.95833333333333337</v>
      </c>
      <c r="W747" s="51">
        <f>_xlfn.STDEV.S(GroDB[Daily Sales])</f>
        <v>5.1999899792654221</v>
      </c>
      <c r="X747" s="3">
        <v>48</v>
      </c>
      <c r="Y747" s="7">
        <v>0.48</v>
      </c>
      <c r="Z747" s="4">
        <f>GroDB[[#This Row],[Unit_Price]]*GroDB[[#This Row],[Sales_Volume]]</f>
        <v>276</v>
      </c>
      <c r="AA747" s="22">
        <f>GroDB[[#This Row],[ADU]]/GroDB[[#Totals],[ADU]]</f>
        <v>8.0169787992157503E-4</v>
      </c>
      <c r="AB747" s="1">
        <f>GroDB[[#This Row],[Sales_Volume]]*GroDB[[#This Row],[Ordering Cost]]</f>
        <v>220.8</v>
      </c>
    </row>
    <row r="748" spans="1:28" x14ac:dyDescent="0.35">
      <c r="A748" s="5" t="s">
        <v>211</v>
      </c>
      <c r="B748" s="3" t="s">
        <v>32</v>
      </c>
      <c r="C748" s="3" t="s">
        <v>1465</v>
      </c>
      <c r="D748" s="3" t="s">
        <v>2700</v>
      </c>
      <c r="E748" s="3" t="s">
        <v>28</v>
      </c>
      <c r="F748" s="3" t="s">
        <v>2701</v>
      </c>
      <c r="G748" s="3" t="s">
        <v>2702</v>
      </c>
      <c r="H748" s="43">
        <v>45425</v>
      </c>
      <c r="I748" s="43">
        <v>45439</v>
      </c>
      <c r="J748" s="47" t="str">
        <f>IF(GroDB[[#This Row],[Last_Order_Date]]&lt;=GroDB[[#This Row],[Date_Received]], "Yes", "No")</f>
        <v>No</v>
      </c>
      <c r="K748" s="43">
        <f>IF(GroDB[[#This Row],[Column1]]="No",GroDB[[#This Row],[Last_Order_Date]],GroDB[[#This Row],[Date_Received]])</f>
        <v>45439</v>
      </c>
      <c r="L748" s="43">
        <f>IF(GroDB[[#This Row],[Column1]]="No",GroDB[[#This Row],[Date_Received]],GroDB[[#This Row],[Last_Order_Date]])</f>
        <v>45425</v>
      </c>
      <c r="M748" s="45">
        <f>GroDB[[#This Row],[Date_Received1]]-GroDB[[#This Row],[Procurement_Date]]</f>
        <v>14</v>
      </c>
      <c r="N748" s="43">
        <v>45644</v>
      </c>
      <c r="O748" s="91">
        <f>GroDB[[#This Row],[Expiration_Date]]-GroDB[[#This Row],[Date_Received1]]</f>
        <v>205</v>
      </c>
      <c r="P748" s="4">
        <v>3.2</v>
      </c>
      <c r="Q748" s="3">
        <v>81</v>
      </c>
      <c r="R748" s="3">
        <v>76</v>
      </c>
      <c r="S748" s="3">
        <v>10</v>
      </c>
      <c r="T748" s="4">
        <v>4</v>
      </c>
      <c r="U748" s="3">
        <v>68</v>
      </c>
      <c r="V748" s="51">
        <f>IF(GroDB[[#This Row],[LeadTime]]=0,GroDB[[#This Row],[Sales_Volume]],GroDB[[#This Row],[Sales_Volume]]/GroDB[[#This Row],[LeadTime]])</f>
        <v>4.8571428571428568</v>
      </c>
      <c r="W748" s="51">
        <f>_xlfn.STDEV.S(GroDB[Daily Sales])</f>
        <v>5.1999899792654221</v>
      </c>
      <c r="X748" s="3">
        <v>100</v>
      </c>
      <c r="Y748" s="7">
        <v>0.3</v>
      </c>
      <c r="Z748" s="4">
        <f>GroDB[[#This Row],[Unit_Price]]*GroDB[[#This Row],[Sales_Volume]]</f>
        <v>272</v>
      </c>
      <c r="AA748" s="22">
        <f>GroDB[[#This Row],[ADU]]/GroDB[[#Totals],[ADU]]</f>
        <v>7.9007907006763915E-4</v>
      </c>
      <c r="AB748" s="1">
        <f>GroDB[[#This Row],[Sales_Volume]]*GroDB[[#This Row],[Ordering Cost]]</f>
        <v>217.60000000000002</v>
      </c>
    </row>
    <row r="749" spans="1:28" x14ac:dyDescent="0.35">
      <c r="A749" s="5" t="s">
        <v>665</v>
      </c>
      <c r="B749" s="3" t="s">
        <v>18</v>
      </c>
      <c r="C749" s="3" t="s">
        <v>1550</v>
      </c>
      <c r="D749" s="3" t="s">
        <v>2703</v>
      </c>
      <c r="E749" s="3" t="s">
        <v>21</v>
      </c>
      <c r="F749" s="3" t="s">
        <v>2704</v>
      </c>
      <c r="G749" s="3" t="s">
        <v>2705</v>
      </c>
      <c r="H749" s="43">
        <v>45427</v>
      </c>
      <c r="I749" s="43">
        <v>45519</v>
      </c>
      <c r="J749" s="47" t="str">
        <f>IF(GroDB[[#This Row],[Last_Order_Date]]&lt;=GroDB[[#This Row],[Date_Received]], "Yes", "No")</f>
        <v>No</v>
      </c>
      <c r="K749" s="43">
        <f>IF(GroDB[[#This Row],[Column1]]="No",GroDB[[#This Row],[Last_Order_Date]],GroDB[[#This Row],[Date_Received]])</f>
        <v>45519</v>
      </c>
      <c r="L749" s="43">
        <f>IF(GroDB[[#This Row],[Column1]]="No",GroDB[[#This Row],[Date_Received]],GroDB[[#This Row],[Last_Order_Date]])</f>
        <v>45427</v>
      </c>
      <c r="M749" s="45">
        <f>GroDB[[#This Row],[Date_Received1]]-GroDB[[#This Row],[Procurement_Date]]</f>
        <v>92</v>
      </c>
      <c r="N749" s="43">
        <v>45423</v>
      </c>
      <c r="O749" s="91">
        <f>GroDB[[#This Row],[Expiration_Date]]-GroDB[[#This Row],[Date_Received1]]</f>
        <v>-96</v>
      </c>
      <c r="P749" s="4">
        <v>4.8000000000000007</v>
      </c>
      <c r="Q749" s="3">
        <v>28</v>
      </c>
      <c r="R749" s="3">
        <v>27</v>
      </c>
      <c r="S749" s="3">
        <v>22</v>
      </c>
      <c r="T749" s="4">
        <v>6</v>
      </c>
      <c r="U749" s="3">
        <v>70</v>
      </c>
      <c r="V749" s="51">
        <f>IF(GroDB[[#This Row],[LeadTime]]=0,GroDB[[#This Row],[Sales_Volume]],GroDB[[#This Row],[Sales_Volume]]/GroDB[[#This Row],[LeadTime]])</f>
        <v>0.76086956521739135</v>
      </c>
      <c r="W749" s="51">
        <f>_xlfn.STDEV.S(GroDB[Daily Sales])</f>
        <v>5.1999899792654221</v>
      </c>
      <c r="X749" s="3">
        <v>30</v>
      </c>
      <c r="Y749" s="7">
        <v>-0.47</v>
      </c>
      <c r="Z749" s="4">
        <f>GroDB[[#This Row],[Unit_Price]]*GroDB[[#This Row],[Sales_Volume]]</f>
        <v>420</v>
      </c>
      <c r="AA749" s="22">
        <f>GroDB[[#This Row],[ADU]]/GroDB[[#Totals],[ADU]]</f>
        <v>1.2199750346632663E-3</v>
      </c>
      <c r="AB749" s="1">
        <f>GroDB[[#This Row],[Sales_Volume]]*GroDB[[#This Row],[Ordering Cost]]</f>
        <v>336.00000000000006</v>
      </c>
    </row>
    <row r="750" spans="1:28" x14ac:dyDescent="0.35">
      <c r="A750" s="5" t="s">
        <v>544</v>
      </c>
      <c r="B750" s="3" t="s">
        <v>91</v>
      </c>
      <c r="C750" s="3" t="s">
        <v>620</v>
      </c>
      <c r="D750" s="3" t="s">
        <v>2706</v>
      </c>
      <c r="E750" s="3" t="s">
        <v>56</v>
      </c>
      <c r="F750" s="3" t="s">
        <v>2707</v>
      </c>
      <c r="G750" s="3" t="s">
        <v>2708</v>
      </c>
      <c r="H750" s="43">
        <v>45427</v>
      </c>
      <c r="I750" s="43">
        <v>45489</v>
      </c>
      <c r="J750" s="47" t="str">
        <f>IF(GroDB[[#This Row],[Last_Order_Date]]&lt;=GroDB[[#This Row],[Date_Received]], "Yes", "No")</f>
        <v>No</v>
      </c>
      <c r="K750" s="43">
        <f>IF(GroDB[[#This Row],[Column1]]="No",GroDB[[#This Row],[Last_Order_Date]],GroDB[[#This Row],[Date_Received]])</f>
        <v>45489</v>
      </c>
      <c r="L750" s="43">
        <f>IF(GroDB[[#This Row],[Column1]]="No",GroDB[[#This Row],[Date_Received]],GroDB[[#This Row],[Last_Order_Date]])</f>
        <v>45427</v>
      </c>
      <c r="M750" s="45">
        <f>GroDB[[#This Row],[Date_Received1]]-GroDB[[#This Row],[Procurement_Date]]</f>
        <v>62</v>
      </c>
      <c r="N750" s="43">
        <v>45640</v>
      </c>
      <c r="O750" s="91">
        <f>GroDB[[#This Row],[Expiration_Date]]-GroDB[[#This Row],[Date_Received1]]</f>
        <v>151</v>
      </c>
      <c r="P750" s="4">
        <v>2.4000000000000004</v>
      </c>
      <c r="Q750" s="3">
        <v>99</v>
      </c>
      <c r="R750" s="3">
        <v>6</v>
      </c>
      <c r="S750" s="3">
        <v>88</v>
      </c>
      <c r="T750" s="4">
        <v>3</v>
      </c>
      <c r="U750" s="3">
        <v>49</v>
      </c>
      <c r="V750" s="51">
        <f>IF(GroDB[[#This Row],[LeadTime]]=0,GroDB[[#This Row],[Sales_Volume]],GroDB[[#This Row],[Sales_Volume]]/GroDB[[#This Row],[LeadTime]])</f>
        <v>0.79032258064516125</v>
      </c>
      <c r="W750" s="51">
        <f>_xlfn.STDEV.S(GroDB[Daily Sales])</f>
        <v>5.1999899792654221</v>
      </c>
      <c r="X750" s="3">
        <v>9</v>
      </c>
      <c r="Y750" s="7">
        <v>0.56999999999999995</v>
      </c>
      <c r="Z750" s="4">
        <f>GroDB[[#This Row],[Unit_Price]]*GroDB[[#This Row],[Sales_Volume]]</f>
        <v>147</v>
      </c>
      <c r="AA750" s="22">
        <f>GroDB[[#This Row],[ADU]]/GroDB[[#Totals],[ADU]]</f>
        <v>4.2699126213214324E-4</v>
      </c>
      <c r="AB750" s="1">
        <f>GroDB[[#This Row],[Sales_Volume]]*GroDB[[#This Row],[Ordering Cost]]</f>
        <v>117.60000000000002</v>
      </c>
    </row>
    <row r="751" spans="1:28" x14ac:dyDescent="0.35">
      <c r="A751" s="5" t="s">
        <v>151</v>
      </c>
      <c r="B751" s="3" t="s">
        <v>91</v>
      </c>
      <c r="C751" s="3" t="s">
        <v>2709</v>
      </c>
      <c r="D751" s="3" t="s">
        <v>2710</v>
      </c>
      <c r="E751" s="3" t="s">
        <v>21</v>
      </c>
      <c r="F751" s="3" t="s">
        <v>2711</v>
      </c>
      <c r="G751" s="3" t="s">
        <v>2712</v>
      </c>
      <c r="H751" s="43">
        <v>45428</v>
      </c>
      <c r="I751" s="43">
        <v>45572</v>
      </c>
      <c r="J751" s="47" t="str">
        <f>IF(GroDB[[#This Row],[Last_Order_Date]]&lt;=GroDB[[#This Row],[Date_Received]], "Yes", "No")</f>
        <v>No</v>
      </c>
      <c r="K751" s="43">
        <f>IF(GroDB[[#This Row],[Column1]]="No",GroDB[[#This Row],[Last_Order_Date]],GroDB[[#This Row],[Date_Received]])</f>
        <v>45572</v>
      </c>
      <c r="L751" s="43">
        <f>IF(GroDB[[#This Row],[Column1]]="No",GroDB[[#This Row],[Date_Received]],GroDB[[#This Row],[Last_Order_Date]])</f>
        <v>45428</v>
      </c>
      <c r="M751" s="45">
        <f>GroDB[[#This Row],[Date_Received1]]-GroDB[[#This Row],[Procurement_Date]]</f>
        <v>144</v>
      </c>
      <c r="N751" s="43">
        <v>45383</v>
      </c>
      <c r="O751" s="91">
        <f>GroDB[[#This Row],[Expiration_Date]]-GroDB[[#This Row],[Date_Received1]]</f>
        <v>-189</v>
      </c>
      <c r="P751" s="4">
        <v>3.2</v>
      </c>
      <c r="Q751" s="3">
        <v>34</v>
      </c>
      <c r="R751" s="3">
        <v>42</v>
      </c>
      <c r="S751" s="3">
        <v>86</v>
      </c>
      <c r="T751" s="4">
        <v>4</v>
      </c>
      <c r="U751" s="3">
        <v>28</v>
      </c>
      <c r="V751" s="51">
        <f>IF(GroDB[[#This Row],[LeadTime]]=0,GroDB[[#This Row],[Sales_Volume]],GroDB[[#This Row],[Sales_Volume]]/GroDB[[#This Row],[LeadTime]])</f>
        <v>0.19444444444444445</v>
      </c>
      <c r="W751" s="51">
        <f>_xlfn.STDEV.S(GroDB[Daily Sales])</f>
        <v>5.1999899792654221</v>
      </c>
      <c r="X751" s="3">
        <v>23</v>
      </c>
      <c r="Y751" s="7">
        <v>0.82</v>
      </c>
      <c r="Z751" s="4">
        <f>GroDB[[#This Row],[Unit_Price]]*GroDB[[#This Row],[Sales_Volume]]</f>
        <v>112</v>
      </c>
      <c r="AA751" s="22">
        <f>GroDB[[#This Row],[ADU]]/GroDB[[#Totals],[ADU]]</f>
        <v>3.2532667591020435E-4</v>
      </c>
      <c r="AB751" s="1">
        <f>GroDB[[#This Row],[Sales_Volume]]*GroDB[[#This Row],[Ordering Cost]]</f>
        <v>89.600000000000009</v>
      </c>
    </row>
    <row r="752" spans="1:28" x14ac:dyDescent="0.35">
      <c r="A752" s="5" t="s">
        <v>355</v>
      </c>
      <c r="B752" s="3" t="s">
        <v>18</v>
      </c>
      <c r="C752" s="3" t="s">
        <v>2713</v>
      </c>
      <c r="D752" s="3" t="s">
        <v>2714</v>
      </c>
      <c r="E752" s="3" t="s">
        <v>56</v>
      </c>
      <c r="F752" s="3" t="s">
        <v>2715</v>
      </c>
      <c r="G752" s="3" t="s">
        <v>2716</v>
      </c>
      <c r="H752" s="43">
        <v>45428</v>
      </c>
      <c r="I752" s="43">
        <v>45479</v>
      </c>
      <c r="J752" s="47" t="str">
        <f>IF(GroDB[[#This Row],[Last_Order_Date]]&lt;=GroDB[[#This Row],[Date_Received]], "Yes", "No")</f>
        <v>No</v>
      </c>
      <c r="K752" s="43">
        <f>IF(GroDB[[#This Row],[Column1]]="No",GroDB[[#This Row],[Last_Order_Date]],GroDB[[#This Row],[Date_Received]])</f>
        <v>45479</v>
      </c>
      <c r="L752" s="43">
        <f>IF(GroDB[[#This Row],[Column1]]="No",GroDB[[#This Row],[Date_Received]],GroDB[[#This Row],[Last_Order_Date]])</f>
        <v>45428</v>
      </c>
      <c r="M752" s="45">
        <f>GroDB[[#This Row],[Date_Received1]]-GroDB[[#This Row],[Procurement_Date]]</f>
        <v>51</v>
      </c>
      <c r="N752" s="43">
        <v>45656</v>
      </c>
      <c r="O752" s="91">
        <f>GroDB[[#This Row],[Expiration_Date]]-GroDB[[#This Row],[Date_Received1]]</f>
        <v>177</v>
      </c>
      <c r="P752" s="4">
        <v>0.8</v>
      </c>
      <c r="Q752" s="3">
        <v>62</v>
      </c>
      <c r="R752" s="3">
        <v>79</v>
      </c>
      <c r="S752" s="3">
        <v>95</v>
      </c>
      <c r="T752" s="4">
        <v>1</v>
      </c>
      <c r="U752" s="3">
        <v>34</v>
      </c>
      <c r="V752" s="51">
        <f>IF(GroDB[[#This Row],[LeadTime]]=0,GroDB[[#This Row],[Sales_Volume]],GroDB[[#This Row],[Sales_Volume]]/GroDB[[#This Row],[LeadTime]])</f>
        <v>0.66666666666666663</v>
      </c>
      <c r="W752" s="51">
        <f>_xlfn.STDEV.S(GroDB[Daily Sales])</f>
        <v>5.1999899792654221</v>
      </c>
      <c r="X752" s="3">
        <v>12</v>
      </c>
      <c r="Y752" s="7">
        <v>0.18</v>
      </c>
      <c r="Z752" s="4">
        <f>GroDB[[#This Row],[Unit_Price]]*GroDB[[#This Row],[Sales_Volume]]</f>
        <v>34</v>
      </c>
      <c r="AA752" s="22">
        <f>GroDB[[#This Row],[ADU]]/GroDB[[#Totals],[ADU]]</f>
        <v>9.8759883758454893E-5</v>
      </c>
      <c r="AB752" s="1">
        <f>GroDB[[#This Row],[Sales_Volume]]*GroDB[[#This Row],[Ordering Cost]]</f>
        <v>27.200000000000003</v>
      </c>
    </row>
    <row r="753" spans="1:28" x14ac:dyDescent="0.35">
      <c r="A753" s="5" t="s">
        <v>253</v>
      </c>
      <c r="B753" s="3" t="s">
        <v>18</v>
      </c>
      <c r="C753" s="3" t="s">
        <v>570</v>
      </c>
      <c r="D753" s="3" t="s">
        <v>2717</v>
      </c>
      <c r="E753" s="3" t="s">
        <v>21</v>
      </c>
      <c r="F753" s="3" t="s">
        <v>2718</v>
      </c>
      <c r="G753" s="3" t="s">
        <v>2719</v>
      </c>
      <c r="H753" s="43">
        <v>45428</v>
      </c>
      <c r="I753" s="43">
        <v>45423</v>
      </c>
      <c r="J753" s="47" t="str">
        <f>IF(GroDB[[#This Row],[Last_Order_Date]]&lt;=GroDB[[#This Row],[Date_Received]], "Yes", "No")</f>
        <v>Yes</v>
      </c>
      <c r="K753" s="43">
        <f>IF(GroDB[[#This Row],[Column1]]="No",GroDB[[#This Row],[Last_Order_Date]],GroDB[[#This Row],[Date_Received]])</f>
        <v>45428</v>
      </c>
      <c r="L753" s="43">
        <f>IF(GroDB[[#This Row],[Column1]]="No",GroDB[[#This Row],[Date_Received]],GroDB[[#This Row],[Last_Order_Date]])</f>
        <v>45423</v>
      </c>
      <c r="M753" s="45">
        <f>GroDB[[#This Row],[Date_Received1]]-GroDB[[#This Row],[Procurement_Date]]</f>
        <v>5</v>
      </c>
      <c r="N753" s="43">
        <v>45449</v>
      </c>
      <c r="O753" s="91">
        <f>GroDB[[#This Row],[Expiration_Date]]-GroDB[[#This Row],[Date_Received1]]</f>
        <v>21</v>
      </c>
      <c r="P753" s="4">
        <v>4</v>
      </c>
      <c r="Q753" s="3">
        <v>55</v>
      </c>
      <c r="R753" s="3">
        <v>96</v>
      </c>
      <c r="S753" s="3">
        <v>40</v>
      </c>
      <c r="T753" s="4">
        <v>5</v>
      </c>
      <c r="U753" s="3">
        <v>23</v>
      </c>
      <c r="V753" s="51">
        <f>IF(GroDB[[#This Row],[LeadTime]]=0,GroDB[[#This Row],[Sales_Volume]],GroDB[[#This Row],[Sales_Volume]]/GroDB[[#This Row],[LeadTime]])</f>
        <v>4.5999999999999996</v>
      </c>
      <c r="W753" s="51">
        <f>_xlfn.STDEV.S(GroDB[Daily Sales])</f>
        <v>5.1999899792654221</v>
      </c>
      <c r="X753" s="3">
        <v>47</v>
      </c>
      <c r="Y753" s="7">
        <v>0.65</v>
      </c>
      <c r="Z753" s="4">
        <f>GroDB[[#This Row],[Unit_Price]]*GroDB[[#This Row],[Sales_Volume]]</f>
        <v>115</v>
      </c>
      <c r="AA753" s="22">
        <f>GroDB[[#This Row],[ADU]]/GroDB[[#Totals],[ADU]]</f>
        <v>3.3404078330065624E-4</v>
      </c>
      <c r="AB753" s="1">
        <f>GroDB[[#This Row],[Sales_Volume]]*GroDB[[#This Row],[Ordering Cost]]</f>
        <v>92</v>
      </c>
    </row>
    <row r="754" spans="1:28" x14ac:dyDescent="0.35">
      <c r="A754" s="5" t="s">
        <v>574</v>
      </c>
      <c r="B754" s="3" t="s">
        <v>53</v>
      </c>
      <c r="C754" s="3" t="s">
        <v>578</v>
      </c>
      <c r="D754" s="3" t="s">
        <v>2720</v>
      </c>
      <c r="E754" s="3" t="s">
        <v>28</v>
      </c>
      <c r="F754" s="3" t="s">
        <v>2721</v>
      </c>
      <c r="G754" s="3" t="s">
        <v>2722</v>
      </c>
      <c r="H754" s="43">
        <v>45430</v>
      </c>
      <c r="I754" s="43">
        <v>45555</v>
      </c>
      <c r="J754" s="47" t="str">
        <f>IF(GroDB[[#This Row],[Last_Order_Date]]&lt;=GroDB[[#This Row],[Date_Received]], "Yes", "No")</f>
        <v>No</v>
      </c>
      <c r="K754" s="43">
        <f>IF(GroDB[[#This Row],[Column1]]="No",GroDB[[#This Row],[Last_Order_Date]],GroDB[[#This Row],[Date_Received]])</f>
        <v>45555</v>
      </c>
      <c r="L754" s="43">
        <f>IF(GroDB[[#This Row],[Column1]]="No",GroDB[[#This Row],[Date_Received]],GroDB[[#This Row],[Last_Order_Date]])</f>
        <v>45430</v>
      </c>
      <c r="M754" s="45">
        <f>GroDB[[#This Row],[Date_Received1]]-GroDB[[#This Row],[Procurement_Date]]</f>
        <v>125</v>
      </c>
      <c r="N754" s="43">
        <v>45412</v>
      </c>
      <c r="O754" s="91">
        <f>GroDB[[#This Row],[Expiration_Date]]-GroDB[[#This Row],[Date_Received1]]</f>
        <v>-143</v>
      </c>
      <c r="P754" s="4">
        <v>1.6</v>
      </c>
      <c r="Q754" s="3">
        <v>47</v>
      </c>
      <c r="R754" s="3">
        <v>7</v>
      </c>
      <c r="S754" s="3">
        <v>63</v>
      </c>
      <c r="T754" s="4">
        <v>2</v>
      </c>
      <c r="U754" s="3">
        <v>29</v>
      </c>
      <c r="V754" s="51">
        <f>IF(GroDB[[#This Row],[LeadTime]]=0,GroDB[[#This Row],[Sales_Volume]],GroDB[[#This Row],[Sales_Volume]]/GroDB[[#This Row],[LeadTime]])</f>
        <v>0.23200000000000001</v>
      </c>
      <c r="W754" s="51">
        <f>_xlfn.STDEV.S(GroDB[Daily Sales])</f>
        <v>5.1999899792654221</v>
      </c>
      <c r="X754" s="3">
        <v>20</v>
      </c>
      <c r="Y754" s="7">
        <v>-1.04</v>
      </c>
      <c r="Z754" s="4">
        <f>GroDB[[#This Row],[Unit_Price]]*GroDB[[#This Row],[Sales_Volume]]</f>
        <v>58</v>
      </c>
      <c r="AA754" s="22">
        <f>GroDB[[#This Row],[ADU]]/GroDB[[#Totals],[ADU]]</f>
        <v>1.6847274288207012E-4</v>
      </c>
      <c r="AB754" s="1">
        <f>GroDB[[#This Row],[Sales_Volume]]*GroDB[[#This Row],[Ordering Cost]]</f>
        <v>46.400000000000006</v>
      </c>
    </row>
    <row r="755" spans="1:28" x14ac:dyDescent="0.35">
      <c r="A755" s="5" t="s">
        <v>817</v>
      </c>
      <c r="B755" s="3" t="s">
        <v>18</v>
      </c>
      <c r="C755" s="3" t="s">
        <v>2723</v>
      </c>
      <c r="D755" s="3" t="s">
        <v>2724</v>
      </c>
      <c r="E755" s="3" t="s">
        <v>28</v>
      </c>
      <c r="F755" s="3" t="s">
        <v>2725</v>
      </c>
      <c r="G755" s="3" t="s">
        <v>2726</v>
      </c>
      <c r="H755" s="43">
        <v>45430</v>
      </c>
      <c r="I755" s="43">
        <v>45662</v>
      </c>
      <c r="J755" s="47" t="str">
        <f>IF(GroDB[[#This Row],[Last_Order_Date]]&lt;=GroDB[[#This Row],[Date_Received]], "Yes", "No")</f>
        <v>No</v>
      </c>
      <c r="K755" s="43">
        <f>IF(GroDB[[#This Row],[Column1]]="No",GroDB[[#This Row],[Last_Order_Date]],GroDB[[#This Row],[Date_Received]])</f>
        <v>45662</v>
      </c>
      <c r="L755" s="43">
        <f>IF(GroDB[[#This Row],[Column1]]="No",GroDB[[#This Row],[Date_Received]],GroDB[[#This Row],[Last_Order_Date]])</f>
        <v>45430</v>
      </c>
      <c r="M755" s="45">
        <f>GroDB[[#This Row],[Date_Received1]]-GroDB[[#This Row],[Procurement_Date]]</f>
        <v>232</v>
      </c>
      <c r="N755" s="43">
        <v>45399</v>
      </c>
      <c r="O755" s="91">
        <f>GroDB[[#This Row],[Expiration_Date]]-GroDB[[#This Row],[Date_Received1]]</f>
        <v>-263</v>
      </c>
      <c r="P755" s="4">
        <v>2.4000000000000004</v>
      </c>
      <c r="Q755" s="3">
        <v>12</v>
      </c>
      <c r="R755" s="3">
        <v>28</v>
      </c>
      <c r="S755" s="3">
        <v>11</v>
      </c>
      <c r="T755" s="4">
        <v>3</v>
      </c>
      <c r="U755" s="3">
        <v>46</v>
      </c>
      <c r="V755" s="51">
        <f>IF(GroDB[[#This Row],[LeadTime]]=0,GroDB[[#This Row],[Sales_Volume]],GroDB[[#This Row],[Sales_Volume]]/GroDB[[#This Row],[LeadTime]])</f>
        <v>0.19827586206896552</v>
      </c>
      <c r="W755" s="51">
        <f>_xlfn.STDEV.S(GroDB[Daily Sales])</f>
        <v>5.1999899792654221</v>
      </c>
      <c r="X755" s="3">
        <v>88</v>
      </c>
      <c r="Y755" s="7">
        <v>0.31</v>
      </c>
      <c r="Z755" s="4">
        <f>GroDB[[#This Row],[Unit_Price]]*GroDB[[#This Row],[Sales_Volume]]</f>
        <v>138</v>
      </c>
      <c r="AA755" s="22">
        <f>GroDB[[#This Row],[ADU]]/GroDB[[#Totals],[ADU]]</f>
        <v>4.0084893996078752E-4</v>
      </c>
      <c r="AB755" s="1">
        <f>GroDB[[#This Row],[Sales_Volume]]*GroDB[[#This Row],[Ordering Cost]]</f>
        <v>110.40000000000002</v>
      </c>
    </row>
    <row r="756" spans="1:28" x14ac:dyDescent="0.35">
      <c r="A756" s="5" t="s">
        <v>812</v>
      </c>
      <c r="B756" s="3" t="s">
        <v>18</v>
      </c>
      <c r="C756" s="3" t="s">
        <v>2455</v>
      </c>
      <c r="D756" s="3" t="s">
        <v>2727</v>
      </c>
      <c r="E756" s="3" t="s">
        <v>21</v>
      </c>
      <c r="F756" s="3" t="s">
        <v>2728</v>
      </c>
      <c r="G756" s="3" t="s">
        <v>2729</v>
      </c>
      <c r="H756" s="43">
        <v>45430</v>
      </c>
      <c r="I756" s="43">
        <v>45567</v>
      </c>
      <c r="J756" s="47" t="str">
        <f>IF(GroDB[[#This Row],[Last_Order_Date]]&lt;=GroDB[[#This Row],[Date_Received]], "Yes", "No")</f>
        <v>No</v>
      </c>
      <c r="K756" s="43">
        <f>IF(GroDB[[#This Row],[Column1]]="No",GroDB[[#This Row],[Last_Order_Date]],GroDB[[#This Row],[Date_Received]])</f>
        <v>45567</v>
      </c>
      <c r="L756" s="43">
        <f>IF(GroDB[[#This Row],[Column1]]="No",GroDB[[#This Row],[Date_Received]],GroDB[[#This Row],[Last_Order_Date]])</f>
        <v>45430</v>
      </c>
      <c r="M756" s="45">
        <f>GroDB[[#This Row],[Date_Received1]]-GroDB[[#This Row],[Procurement_Date]]</f>
        <v>137</v>
      </c>
      <c r="N756" s="43">
        <v>45650</v>
      </c>
      <c r="O756" s="91">
        <f>GroDB[[#This Row],[Expiration_Date]]-GroDB[[#This Row],[Date_Received1]]</f>
        <v>83</v>
      </c>
      <c r="P756" s="4">
        <v>2.8000000000000003</v>
      </c>
      <c r="Q756" s="3">
        <v>84</v>
      </c>
      <c r="R756" s="3">
        <v>46</v>
      </c>
      <c r="S756" s="3">
        <v>80</v>
      </c>
      <c r="T756" s="4">
        <v>3.5</v>
      </c>
      <c r="U756" s="3">
        <v>66</v>
      </c>
      <c r="V756" s="51">
        <f>IF(GroDB[[#This Row],[LeadTime]]=0,GroDB[[#This Row],[Sales_Volume]],GroDB[[#This Row],[Sales_Volume]]/GroDB[[#This Row],[LeadTime]])</f>
        <v>0.48175182481751827</v>
      </c>
      <c r="W756" s="51">
        <f>_xlfn.STDEV.S(GroDB[Daily Sales])</f>
        <v>5.1999899792654221</v>
      </c>
      <c r="X756" s="3">
        <v>84</v>
      </c>
      <c r="Y756" s="7">
        <v>-0.91</v>
      </c>
      <c r="Z756" s="4">
        <f>GroDB[[#This Row],[Unit_Price]]*GroDB[[#This Row],[Sales_Volume]]</f>
        <v>231</v>
      </c>
      <c r="AA756" s="22">
        <f>GroDB[[#This Row],[ADU]]/GroDB[[#Totals],[ADU]]</f>
        <v>6.7098626906479653E-4</v>
      </c>
      <c r="AB756" s="1">
        <f>GroDB[[#This Row],[Sales_Volume]]*GroDB[[#This Row],[Ordering Cost]]</f>
        <v>184.8</v>
      </c>
    </row>
    <row r="757" spans="1:28" x14ac:dyDescent="0.35">
      <c r="A757" s="5" t="s">
        <v>984</v>
      </c>
      <c r="B757" s="3" t="s">
        <v>18</v>
      </c>
      <c r="C757" s="3" t="s">
        <v>1599</v>
      </c>
      <c r="D757" s="3" t="s">
        <v>2730</v>
      </c>
      <c r="E757" s="3" t="s">
        <v>56</v>
      </c>
      <c r="F757" s="3" t="s">
        <v>2731</v>
      </c>
      <c r="G757" s="3" t="s">
        <v>2732</v>
      </c>
      <c r="H757" s="43">
        <v>45431</v>
      </c>
      <c r="I757" s="43">
        <v>45701</v>
      </c>
      <c r="J757" s="47" t="str">
        <f>IF(GroDB[[#This Row],[Last_Order_Date]]&lt;=GroDB[[#This Row],[Date_Received]], "Yes", "No")</f>
        <v>No</v>
      </c>
      <c r="K757" s="43">
        <f>IF(GroDB[[#This Row],[Column1]]="No",GroDB[[#This Row],[Last_Order_Date]],GroDB[[#This Row],[Date_Received]])</f>
        <v>45701</v>
      </c>
      <c r="L757" s="43">
        <f>IF(GroDB[[#This Row],[Column1]]="No",GroDB[[#This Row],[Date_Received]],GroDB[[#This Row],[Last_Order_Date]])</f>
        <v>45431</v>
      </c>
      <c r="M757" s="45">
        <f>GroDB[[#This Row],[Date_Received1]]-GroDB[[#This Row],[Procurement_Date]]</f>
        <v>270</v>
      </c>
      <c r="N757" s="43">
        <v>45419</v>
      </c>
      <c r="O757" s="91">
        <f>GroDB[[#This Row],[Expiration_Date]]-GroDB[[#This Row],[Date_Received1]]</f>
        <v>-282</v>
      </c>
      <c r="P757" s="4">
        <v>3.2</v>
      </c>
      <c r="Q757" s="3">
        <v>47</v>
      </c>
      <c r="R757" s="3">
        <v>63</v>
      </c>
      <c r="S757" s="3">
        <v>86</v>
      </c>
      <c r="T757" s="4">
        <v>4</v>
      </c>
      <c r="U757" s="3">
        <v>76</v>
      </c>
      <c r="V757" s="51">
        <f>IF(GroDB[[#This Row],[LeadTime]]=0,GroDB[[#This Row],[Sales_Volume]],GroDB[[#This Row],[Sales_Volume]]/GroDB[[#This Row],[LeadTime]])</f>
        <v>0.2814814814814815</v>
      </c>
      <c r="W757" s="51">
        <f>_xlfn.STDEV.S(GroDB[Daily Sales])</f>
        <v>5.1999899792654221</v>
      </c>
      <c r="X757" s="3">
        <v>29</v>
      </c>
      <c r="Y757" s="7">
        <v>-0.27</v>
      </c>
      <c r="Z757" s="4">
        <f>GroDB[[#This Row],[Unit_Price]]*GroDB[[#This Row],[Sales_Volume]]</f>
        <v>304</v>
      </c>
      <c r="AA757" s="22">
        <f>GroDB[[#This Row],[ADU]]/GroDB[[#Totals],[ADU]]</f>
        <v>8.8302954889912615E-4</v>
      </c>
      <c r="AB757" s="1">
        <f>GroDB[[#This Row],[Sales_Volume]]*GroDB[[#This Row],[Ordering Cost]]</f>
        <v>243.20000000000002</v>
      </c>
    </row>
    <row r="758" spans="1:28" x14ac:dyDescent="0.35">
      <c r="A758" s="5" t="s">
        <v>420</v>
      </c>
      <c r="B758" s="3" t="s">
        <v>60</v>
      </c>
      <c r="C758" s="3" t="s">
        <v>943</v>
      </c>
      <c r="D758" s="3" t="s">
        <v>2733</v>
      </c>
      <c r="E758" s="3" t="s">
        <v>56</v>
      </c>
      <c r="F758" s="3" t="s">
        <v>2734</v>
      </c>
      <c r="G758" s="3" t="s">
        <v>2735</v>
      </c>
      <c r="H758" s="43">
        <v>45432</v>
      </c>
      <c r="I758" s="43">
        <v>45620</v>
      </c>
      <c r="J758" s="47" t="str">
        <f>IF(GroDB[[#This Row],[Last_Order_Date]]&lt;=GroDB[[#This Row],[Date_Received]], "Yes", "No")</f>
        <v>No</v>
      </c>
      <c r="K758" s="43">
        <f>IF(GroDB[[#This Row],[Column1]]="No",GroDB[[#This Row],[Last_Order_Date]],GroDB[[#This Row],[Date_Received]])</f>
        <v>45620</v>
      </c>
      <c r="L758" s="43">
        <f>IF(GroDB[[#This Row],[Column1]]="No",GroDB[[#This Row],[Date_Received]],GroDB[[#This Row],[Last_Order_Date]])</f>
        <v>45432</v>
      </c>
      <c r="M758" s="45">
        <f>GroDB[[#This Row],[Date_Received1]]-GroDB[[#This Row],[Procurement_Date]]</f>
        <v>188</v>
      </c>
      <c r="N758" s="43">
        <v>45416</v>
      </c>
      <c r="O758" s="91">
        <f>GroDB[[#This Row],[Expiration_Date]]-GroDB[[#This Row],[Date_Received1]]</f>
        <v>-204</v>
      </c>
      <c r="P758" s="4">
        <v>14.4</v>
      </c>
      <c r="Q758" s="3">
        <v>87</v>
      </c>
      <c r="R758" s="3">
        <v>24</v>
      </c>
      <c r="S758" s="3">
        <v>66</v>
      </c>
      <c r="T758" s="4">
        <v>18</v>
      </c>
      <c r="U758" s="3">
        <v>22</v>
      </c>
      <c r="V758" s="51">
        <f>IF(GroDB[[#This Row],[LeadTime]]=0,GroDB[[#This Row],[Sales_Volume]],GroDB[[#This Row],[Sales_Volume]]/GroDB[[#This Row],[LeadTime]])</f>
        <v>0.11702127659574468</v>
      </c>
      <c r="W758" s="51">
        <f>_xlfn.STDEV.S(GroDB[Daily Sales])</f>
        <v>5.1999899792654221</v>
      </c>
      <c r="X758" s="3">
        <v>34</v>
      </c>
      <c r="Y758" s="7">
        <v>0.62</v>
      </c>
      <c r="Z758" s="4">
        <f>GroDB[[#This Row],[Unit_Price]]*GroDB[[#This Row],[Sales_Volume]]</f>
        <v>396</v>
      </c>
      <c r="AA758" s="22">
        <f>GroDB[[#This Row],[ADU]]/GroDB[[#Totals],[ADU]]</f>
        <v>1.1502621755396512E-3</v>
      </c>
      <c r="AB758" s="1">
        <f>GroDB[[#This Row],[Sales_Volume]]*GroDB[[#This Row],[Ordering Cost]]</f>
        <v>316.8</v>
      </c>
    </row>
    <row r="759" spans="1:28" x14ac:dyDescent="0.35">
      <c r="A759" s="5" t="s">
        <v>470</v>
      </c>
      <c r="B759" s="3" t="s">
        <v>18</v>
      </c>
      <c r="C759" s="3" t="s">
        <v>696</v>
      </c>
      <c r="D759" s="3" t="s">
        <v>2736</v>
      </c>
      <c r="E759" s="3" t="s">
        <v>28</v>
      </c>
      <c r="F759" s="3" t="s">
        <v>2737</v>
      </c>
      <c r="G759" s="3" t="s">
        <v>2738</v>
      </c>
      <c r="H759" s="43">
        <v>45433</v>
      </c>
      <c r="I759" s="43">
        <v>45381</v>
      </c>
      <c r="J759" s="47" t="str">
        <f>IF(GroDB[[#This Row],[Last_Order_Date]]&lt;=GroDB[[#This Row],[Date_Received]], "Yes", "No")</f>
        <v>Yes</v>
      </c>
      <c r="K759" s="43">
        <f>IF(GroDB[[#This Row],[Column1]]="No",GroDB[[#This Row],[Last_Order_Date]],GroDB[[#This Row],[Date_Received]])</f>
        <v>45433</v>
      </c>
      <c r="L759" s="43">
        <f>IF(GroDB[[#This Row],[Column1]]="No",GroDB[[#This Row],[Date_Received]],GroDB[[#This Row],[Last_Order_Date]])</f>
        <v>45381</v>
      </c>
      <c r="M759" s="45">
        <f>GroDB[[#This Row],[Date_Received1]]-GroDB[[#This Row],[Procurement_Date]]</f>
        <v>52</v>
      </c>
      <c r="N759" s="43">
        <v>45412</v>
      </c>
      <c r="O759" s="91">
        <f>GroDB[[#This Row],[Expiration_Date]]-GroDB[[#This Row],[Date_Received1]]</f>
        <v>-21</v>
      </c>
      <c r="P759" s="4">
        <v>3.2</v>
      </c>
      <c r="Q759" s="3">
        <v>47</v>
      </c>
      <c r="R759" s="3">
        <v>72</v>
      </c>
      <c r="S759" s="3">
        <v>73</v>
      </c>
      <c r="T759" s="4">
        <v>4</v>
      </c>
      <c r="U759" s="3">
        <v>93</v>
      </c>
      <c r="V759" s="51">
        <f>IF(GroDB[[#This Row],[LeadTime]]=0,GroDB[[#This Row],[Sales_Volume]],GroDB[[#This Row],[Sales_Volume]]/GroDB[[#This Row],[LeadTime]])</f>
        <v>1.7884615384615385</v>
      </c>
      <c r="W759" s="51">
        <f>_xlfn.STDEV.S(GroDB[Daily Sales])</f>
        <v>5.1999899792654221</v>
      </c>
      <c r="X759" s="3">
        <v>27</v>
      </c>
      <c r="Y759" s="7">
        <v>-0.55000000000000004</v>
      </c>
      <c r="Z759" s="4">
        <f>GroDB[[#This Row],[Unit_Price]]*GroDB[[#This Row],[Sales_Volume]]</f>
        <v>372</v>
      </c>
      <c r="AA759" s="22">
        <f>GroDB[[#This Row],[ADU]]/GroDB[[#Totals],[ADU]]</f>
        <v>1.0805493164160358E-3</v>
      </c>
      <c r="AB759" s="1">
        <f>GroDB[[#This Row],[Sales_Volume]]*GroDB[[#This Row],[Ordering Cost]]</f>
        <v>297.60000000000002</v>
      </c>
    </row>
    <row r="760" spans="1:28" x14ac:dyDescent="0.35">
      <c r="A760" s="5" t="s">
        <v>700</v>
      </c>
      <c r="B760" s="3" t="s">
        <v>18</v>
      </c>
      <c r="C760" s="3" t="s">
        <v>818</v>
      </c>
      <c r="D760" s="3" t="s">
        <v>2739</v>
      </c>
      <c r="E760" s="3" t="s">
        <v>56</v>
      </c>
      <c r="F760" s="3" t="s">
        <v>2740</v>
      </c>
      <c r="G760" s="3" t="s">
        <v>2741</v>
      </c>
      <c r="H760" s="43">
        <v>45434</v>
      </c>
      <c r="I760" s="43">
        <v>45419</v>
      </c>
      <c r="J760" s="47" t="str">
        <f>IF(GroDB[[#This Row],[Last_Order_Date]]&lt;=GroDB[[#This Row],[Date_Received]], "Yes", "No")</f>
        <v>Yes</v>
      </c>
      <c r="K760" s="43">
        <f>IF(GroDB[[#This Row],[Column1]]="No",GroDB[[#This Row],[Last_Order_Date]],GroDB[[#This Row],[Date_Received]])</f>
        <v>45434</v>
      </c>
      <c r="L760" s="43">
        <f>IF(GroDB[[#This Row],[Column1]]="No",GroDB[[#This Row],[Date_Received]],GroDB[[#This Row],[Last_Order_Date]])</f>
        <v>45419</v>
      </c>
      <c r="M760" s="45">
        <f>GroDB[[#This Row],[Date_Received1]]-GroDB[[#This Row],[Procurement_Date]]</f>
        <v>15</v>
      </c>
      <c r="N760" s="43">
        <v>45460</v>
      </c>
      <c r="O760" s="91">
        <f>GroDB[[#This Row],[Expiration_Date]]-GroDB[[#This Row],[Date_Received1]]</f>
        <v>26</v>
      </c>
      <c r="P760" s="4">
        <v>2.016</v>
      </c>
      <c r="Q760" s="3">
        <v>61</v>
      </c>
      <c r="R760" s="3">
        <v>17</v>
      </c>
      <c r="S760" s="3">
        <v>69</v>
      </c>
      <c r="T760" s="4">
        <v>2.52</v>
      </c>
      <c r="U760" s="3">
        <v>31</v>
      </c>
      <c r="V760" s="51">
        <f>IF(GroDB[[#This Row],[LeadTime]]=0,GroDB[[#This Row],[Sales_Volume]],GroDB[[#This Row],[Sales_Volume]]/GroDB[[#This Row],[LeadTime]])</f>
        <v>2.0666666666666669</v>
      </c>
      <c r="W760" s="51">
        <f>_xlfn.STDEV.S(GroDB[Daily Sales])</f>
        <v>5.1999899792654221</v>
      </c>
      <c r="X760" s="3">
        <v>29</v>
      </c>
      <c r="Y760" s="7">
        <v>0.71</v>
      </c>
      <c r="Z760" s="4">
        <f>GroDB[[#This Row],[Unit_Price]]*GroDB[[#This Row],[Sales_Volume]]</f>
        <v>78.12</v>
      </c>
      <c r="AA760" s="22">
        <f>GroDB[[#This Row],[ADU]]/GroDB[[#Totals],[ADU]]</f>
        <v>2.2691535644736756E-4</v>
      </c>
      <c r="AB760" s="1">
        <f>GroDB[[#This Row],[Sales_Volume]]*GroDB[[#This Row],[Ordering Cost]]</f>
        <v>62.496000000000002</v>
      </c>
    </row>
    <row r="761" spans="1:28" x14ac:dyDescent="0.35">
      <c r="A761" s="5" t="s">
        <v>465</v>
      </c>
      <c r="B761" s="3" t="s">
        <v>32</v>
      </c>
      <c r="C761" s="3" t="s">
        <v>1402</v>
      </c>
      <c r="D761" s="3" t="s">
        <v>2742</v>
      </c>
      <c r="E761" s="3" t="s">
        <v>21</v>
      </c>
      <c r="F761" s="3" t="s">
        <v>2743</v>
      </c>
      <c r="G761" s="3" t="s">
        <v>2744</v>
      </c>
      <c r="H761" s="43">
        <v>45435</v>
      </c>
      <c r="I761" s="43">
        <v>45583</v>
      </c>
      <c r="J761" s="47" t="str">
        <f>IF(GroDB[[#This Row],[Last_Order_Date]]&lt;=GroDB[[#This Row],[Date_Received]], "Yes", "No")</f>
        <v>No</v>
      </c>
      <c r="K761" s="43">
        <f>IF(GroDB[[#This Row],[Column1]]="No",GroDB[[#This Row],[Last_Order_Date]],GroDB[[#This Row],[Date_Received]])</f>
        <v>45583</v>
      </c>
      <c r="L761" s="43">
        <f>IF(GroDB[[#This Row],[Column1]]="No",GroDB[[#This Row],[Date_Received]],GroDB[[#This Row],[Last_Order_Date]])</f>
        <v>45435</v>
      </c>
      <c r="M761" s="45">
        <f>GroDB[[#This Row],[Date_Received1]]-GroDB[[#This Row],[Procurement_Date]]</f>
        <v>148</v>
      </c>
      <c r="N761" s="43">
        <v>45540</v>
      </c>
      <c r="O761" s="91">
        <f>GroDB[[#This Row],[Expiration_Date]]-GroDB[[#This Row],[Date_Received1]]</f>
        <v>-43</v>
      </c>
      <c r="P761" s="4">
        <v>2.4000000000000004</v>
      </c>
      <c r="Q761" s="3">
        <v>62</v>
      </c>
      <c r="R761" s="3">
        <v>2</v>
      </c>
      <c r="S761" s="3">
        <v>98</v>
      </c>
      <c r="T761" s="4">
        <v>3</v>
      </c>
      <c r="U761" s="3">
        <v>50</v>
      </c>
      <c r="V761" s="51">
        <f>IF(GroDB[[#This Row],[LeadTime]]=0,GroDB[[#This Row],[Sales_Volume]],GroDB[[#This Row],[Sales_Volume]]/GroDB[[#This Row],[LeadTime]])</f>
        <v>0.33783783783783783</v>
      </c>
      <c r="W761" s="51">
        <f>_xlfn.STDEV.S(GroDB[Daily Sales])</f>
        <v>5.1999899792654221</v>
      </c>
      <c r="X761" s="3">
        <v>11</v>
      </c>
      <c r="Y761" s="7">
        <v>0.06</v>
      </c>
      <c r="Z761" s="4">
        <f>GroDB[[#This Row],[Unit_Price]]*GroDB[[#This Row],[Sales_Volume]]</f>
        <v>150</v>
      </c>
      <c r="AA761" s="22">
        <f>GroDB[[#This Row],[ADU]]/GroDB[[#Totals],[ADU]]</f>
        <v>4.3570536952259513E-4</v>
      </c>
      <c r="AB761" s="1">
        <f>GroDB[[#This Row],[Sales_Volume]]*GroDB[[#This Row],[Ordering Cost]]</f>
        <v>120.00000000000001</v>
      </c>
    </row>
    <row r="762" spans="1:28" x14ac:dyDescent="0.35">
      <c r="A762" s="5" t="s">
        <v>632</v>
      </c>
      <c r="B762" s="3" t="s">
        <v>60</v>
      </c>
      <c r="C762" s="3" t="s">
        <v>1704</v>
      </c>
      <c r="D762" s="3" t="s">
        <v>2745</v>
      </c>
      <c r="E762" s="3" t="s">
        <v>56</v>
      </c>
      <c r="F762" s="3" t="s">
        <v>2746</v>
      </c>
      <c r="G762" s="3" t="s">
        <v>2747</v>
      </c>
      <c r="H762" s="43">
        <v>45435</v>
      </c>
      <c r="I762" s="43">
        <v>45486</v>
      </c>
      <c r="J762" s="47" t="str">
        <f>IF(GroDB[[#This Row],[Last_Order_Date]]&lt;=GroDB[[#This Row],[Date_Received]], "Yes", "No")</f>
        <v>No</v>
      </c>
      <c r="K762" s="43">
        <f>IF(GroDB[[#This Row],[Column1]]="No",GroDB[[#This Row],[Last_Order_Date]],GroDB[[#This Row],[Date_Received]])</f>
        <v>45486</v>
      </c>
      <c r="L762" s="43">
        <f>IF(GroDB[[#This Row],[Column1]]="No",GroDB[[#This Row],[Date_Received]],GroDB[[#This Row],[Last_Order_Date]])</f>
        <v>45435</v>
      </c>
      <c r="M762" s="45">
        <f>GroDB[[#This Row],[Date_Received1]]-GroDB[[#This Row],[Procurement_Date]]</f>
        <v>51</v>
      </c>
      <c r="N762" s="43">
        <v>45413</v>
      </c>
      <c r="O762" s="91">
        <f>GroDB[[#This Row],[Expiration_Date]]-GroDB[[#This Row],[Date_Received1]]</f>
        <v>-73</v>
      </c>
      <c r="P762" s="4">
        <v>6.4</v>
      </c>
      <c r="Q762" s="3">
        <v>31</v>
      </c>
      <c r="R762" s="3">
        <v>87</v>
      </c>
      <c r="S762" s="3">
        <v>19</v>
      </c>
      <c r="T762" s="4">
        <v>8</v>
      </c>
      <c r="U762" s="3">
        <v>41</v>
      </c>
      <c r="V762" s="51">
        <f>IF(GroDB[[#This Row],[LeadTime]]=0,GroDB[[#This Row],[Sales_Volume]],GroDB[[#This Row],[Sales_Volume]]/GroDB[[#This Row],[LeadTime]])</f>
        <v>0.80392156862745101</v>
      </c>
      <c r="W762" s="51">
        <f>_xlfn.STDEV.S(GroDB[Daily Sales])</f>
        <v>5.1999899792654221</v>
      </c>
      <c r="X762" s="3">
        <v>10</v>
      </c>
      <c r="Y762" s="7">
        <v>0.78</v>
      </c>
      <c r="Z762" s="4">
        <f>GroDB[[#This Row],[Unit_Price]]*GroDB[[#This Row],[Sales_Volume]]</f>
        <v>328</v>
      </c>
      <c r="AA762" s="22">
        <f>GroDB[[#This Row],[ADU]]/GroDB[[#Totals],[ADU]]</f>
        <v>9.5274240802274137E-4</v>
      </c>
      <c r="AB762" s="1">
        <f>GroDB[[#This Row],[Sales_Volume]]*GroDB[[#This Row],[Ordering Cost]]</f>
        <v>262.40000000000003</v>
      </c>
    </row>
    <row r="763" spans="1:28" x14ac:dyDescent="0.35">
      <c r="A763" s="5" t="s">
        <v>544</v>
      </c>
      <c r="B763" s="3" t="s">
        <v>91</v>
      </c>
      <c r="C763" s="3" t="s">
        <v>1743</v>
      </c>
      <c r="D763" s="3" t="s">
        <v>2748</v>
      </c>
      <c r="E763" s="3" t="s">
        <v>28</v>
      </c>
      <c r="F763" s="3" t="s">
        <v>2749</v>
      </c>
      <c r="G763" s="3" t="s">
        <v>2750</v>
      </c>
      <c r="H763" s="43">
        <v>45435</v>
      </c>
      <c r="I763" s="43">
        <v>45680</v>
      </c>
      <c r="J763" s="47" t="str">
        <f>IF(GroDB[[#This Row],[Last_Order_Date]]&lt;=GroDB[[#This Row],[Date_Received]], "Yes", "No")</f>
        <v>No</v>
      </c>
      <c r="K763" s="43">
        <f>IF(GroDB[[#This Row],[Column1]]="No",GroDB[[#This Row],[Last_Order_Date]],GroDB[[#This Row],[Date_Received]])</f>
        <v>45680</v>
      </c>
      <c r="L763" s="43">
        <f>IF(GroDB[[#This Row],[Column1]]="No",GroDB[[#This Row],[Date_Received]],GroDB[[#This Row],[Last_Order_Date]])</f>
        <v>45435</v>
      </c>
      <c r="M763" s="45">
        <f>GroDB[[#This Row],[Date_Received1]]-GroDB[[#This Row],[Procurement_Date]]</f>
        <v>245</v>
      </c>
      <c r="N763" s="43">
        <v>45462</v>
      </c>
      <c r="O763" s="91">
        <f>GroDB[[#This Row],[Expiration_Date]]-GroDB[[#This Row],[Date_Received1]]</f>
        <v>-218</v>
      </c>
      <c r="P763" s="4">
        <v>2.2399999999999998</v>
      </c>
      <c r="Q763" s="3">
        <v>28</v>
      </c>
      <c r="R763" s="3">
        <v>94</v>
      </c>
      <c r="S763" s="3">
        <v>80</v>
      </c>
      <c r="T763" s="4">
        <v>2.8</v>
      </c>
      <c r="U763" s="3">
        <v>31</v>
      </c>
      <c r="V763" s="51">
        <f>IF(GroDB[[#This Row],[LeadTime]]=0,GroDB[[#This Row],[Sales_Volume]],GroDB[[#This Row],[Sales_Volume]]/GroDB[[#This Row],[LeadTime]])</f>
        <v>0.12653061224489795</v>
      </c>
      <c r="W763" s="51">
        <f>_xlfn.STDEV.S(GroDB[Daily Sales])</f>
        <v>5.1999899792654221</v>
      </c>
      <c r="X763" s="3">
        <v>1</v>
      </c>
      <c r="Y763" s="7">
        <v>0.76</v>
      </c>
      <c r="Z763" s="4">
        <f>GroDB[[#This Row],[Unit_Price]]*GroDB[[#This Row],[Sales_Volume]]</f>
        <v>86.8</v>
      </c>
      <c r="AA763" s="22">
        <f>GroDB[[#This Row],[ADU]]/GroDB[[#Totals],[ADU]]</f>
        <v>2.5212817383040836E-4</v>
      </c>
      <c r="AB763" s="1">
        <f>GroDB[[#This Row],[Sales_Volume]]*GroDB[[#This Row],[Ordering Cost]]</f>
        <v>69.44</v>
      </c>
    </row>
    <row r="764" spans="1:28" x14ac:dyDescent="0.35">
      <c r="A764" s="5" t="s">
        <v>1445</v>
      </c>
      <c r="B764" s="3" t="s">
        <v>18</v>
      </c>
      <c r="C764" s="3" t="s">
        <v>996</v>
      </c>
      <c r="D764" s="3" t="s">
        <v>2751</v>
      </c>
      <c r="E764" s="3" t="s">
        <v>28</v>
      </c>
      <c r="F764" s="3" t="s">
        <v>2752</v>
      </c>
      <c r="G764" s="3" t="s">
        <v>2753</v>
      </c>
      <c r="H764" s="43">
        <v>45435</v>
      </c>
      <c r="I764" s="43">
        <v>45614</v>
      </c>
      <c r="J764" s="47" t="str">
        <f>IF(GroDB[[#This Row],[Last_Order_Date]]&lt;=GroDB[[#This Row],[Date_Received]], "Yes", "No")</f>
        <v>No</v>
      </c>
      <c r="K764" s="43">
        <f>IF(GroDB[[#This Row],[Column1]]="No",GroDB[[#This Row],[Last_Order_Date]],GroDB[[#This Row],[Date_Received]])</f>
        <v>45614</v>
      </c>
      <c r="L764" s="43">
        <f>IF(GroDB[[#This Row],[Column1]]="No",GroDB[[#This Row],[Date_Received]],GroDB[[#This Row],[Last_Order_Date]])</f>
        <v>45435</v>
      </c>
      <c r="M764" s="45">
        <f>GroDB[[#This Row],[Date_Received1]]-GroDB[[#This Row],[Procurement_Date]]</f>
        <v>179</v>
      </c>
      <c r="N764" s="43">
        <v>45502</v>
      </c>
      <c r="O764" s="91">
        <f>GroDB[[#This Row],[Expiration_Date]]-GroDB[[#This Row],[Date_Received1]]</f>
        <v>-112</v>
      </c>
      <c r="P764" s="4">
        <v>8</v>
      </c>
      <c r="Q764" s="3">
        <v>28</v>
      </c>
      <c r="R764" s="3">
        <v>86</v>
      </c>
      <c r="S764" s="3">
        <v>44</v>
      </c>
      <c r="T764" s="4">
        <v>10</v>
      </c>
      <c r="U764" s="3">
        <v>48</v>
      </c>
      <c r="V764" s="51">
        <f>IF(GroDB[[#This Row],[LeadTime]]=0,GroDB[[#This Row],[Sales_Volume]],GroDB[[#This Row],[Sales_Volume]]/GroDB[[#This Row],[LeadTime]])</f>
        <v>0.26815642458100558</v>
      </c>
      <c r="W764" s="51">
        <f>_xlfn.STDEV.S(GroDB[Daily Sales])</f>
        <v>5.1999899792654221</v>
      </c>
      <c r="X764" s="3">
        <v>12</v>
      </c>
      <c r="Y764" s="7">
        <v>0.97</v>
      </c>
      <c r="Z764" s="4">
        <f>GroDB[[#This Row],[Unit_Price]]*GroDB[[#This Row],[Sales_Volume]]</f>
        <v>480</v>
      </c>
      <c r="AA764" s="22">
        <f>GroDB[[#This Row],[ADU]]/GroDB[[#Totals],[ADU]]</f>
        <v>1.3942571824723045E-3</v>
      </c>
      <c r="AB764" s="1">
        <f>GroDB[[#This Row],[Sales_Volume]]*GroDB[[#This Row],[Ordering Cost]]</f>
        <v>384</v>
      </c>
    </row>
    <row r="765" spans="1:28" x14ac:dyDescent="0.35">
      <c r="A765" s="5" t="s">
        <v>188</v>
      </c>
      <c r="B765" s="3" t="s">
        <v>32</v>
      </c>
      <c r="C765" s="3" t="s">
        <v>33</v>
      </c>
      <c r="D765" s="3" t="s">
        <v>2754</v>
      </c>
      <c r="E765" s="3" t="s">
        <v>21</v>
      </c>
      <c r="F765" s="3" t="s">
        <v>2755</v>
      </c>
      <c r="G765" s="3" t="s">
        <v>2756</v>
      </c>
      <c r="H765" s="43">
        <v>45435</v>
      </c>
      <c r="I765" s="43">
        <v>45695</v>
      </c>
      <c r="J765" s="47" t="str">
        <f>IF(GroDB[[#This Row],[Last_Order_Date]]&lt;=GroDB[[#This Row],[Date_Received]], "Yes", "No")</f>
        <v>No</v>
      </c>
      <c r="K765" s="43">
        <f>IF(GroDB[[#This Row],[Column1]]="No",GroDB[[#This Row],[Last_Order_Date]],GroDB[[#This Row],[Date_Received]])</f>
        <v>45695</v>
      </c>
      <c r="L765" s="43">
        <f>IF(GroDB[[#This Row],[Column1]]="No",GroDB[[#This Row],[Date_Received]],GroDB[[#This Row],[Last_Order_Date]])</f>
        <v>45435</v>
      </c>
      <c r="M765" s="45">
        <f>GroDB[[#This Row],[Date_Received1]]-GroDB[[#This Row],[Procurement_Date]]</f>
        <v>260</v>
      </c>
      <c r="N765" s="43">
        <v>45490</v>
      </c>
      <c r="O765" s="91">
        <f>GroDB[[#This Row],[Expiration_Date]]-GroDB[[#This Row],[Date_Received1]]</f>
        <v>-205</v>
      </c>
      <c r="P765" s="4">
        <v>0.8</v>
      </c>
      <c r="Q765" s="3">
        <v>74</v>
      </c>
      <c r="R765" s="3">
        <v>90</v>
      </c>
      <c r="S765" s="3">
        <v>26</v>
      </c>
      <c r="T765" s="4">
        <v>1</v>
      </c>
      <c r="U765" s="3">
        <v>24</v>
      </c>
      <c r="V765" s="51">
        <f>IF(GroDB[[#This Row],[LeadTime]]=0,GroDB[[#This Row],[Sales_Volume]],GroDB[[#This Row],[Sales_Volume]]/GroDB[[#This Row],[LeadTime]])</f>
        <v>9.2307692307692313E-2</v>
      </c>
      <c r="W765" s="51">
        <f>_xlfn.STDEV.S(GroDB[Daily Sales])</f>
        <v>5.1999899792654221</v>
      </c>
      <c r="X765" s="3">
        <v>11</v>
      </c>
      <c r="Y765" s="7">
        <v>0.75</v>
      </c>
      <c r="Z765" s="4">
        <f>GroDB[[#This Row],[Unit_Price]]*GroDB[[#This Row],[Sales_Volume]]</f>
        <v>24</v>
      </c>
      <c r="AA765" s="22">
        <f>GroDB[[#This Row],[ADU]]/GroDB[[#Totals],[ADU]]</f>
        <v>6.9712859123615225E-5</v>
      </c>
      <c r="AB765" s="1">
        <f>GroDB[[#This Row],[Sales_Volume]]*GroDB[[#This Row],[Ordering Cost]]</f>
        <v>19.200000000000003</v>
      </c>
    </row>
    <row r="766" spans="1:28" x14ac:dyDescent="0.35">
      <c r="A766" s="5" t="s">
        <v>116</v>
      </c>
      <c r="B766" s="3" t="s">
        <v>18</v>
      </c>
      <c r="C766" s="3" t="s">
        <v>670</v>
      </c>
      <c r="D766" s="3" t="s">
        <v>2757</v>
      </c>
      <c r="E766" s="3" t="s">
        <v>56</v>
      </c>
      <c r="F766" s="3" t="s">
        <v>2758</v>
      </c>
      <c r="G766" s="3" t="s">
        <v>2759</v>
      </c>
      <c r="H766" s="43">
        <v>45436</v>
      </c>
      <c r="I766" s="43">
        <v>45515</v>
      </c>
      <c r="J766" s="47" t="str">
        <f>IF(GroDB[[#This Row],[Last_Order_Date]]&lt;=GroDB[[#This Row],[Date_Received]], "Yes", "No")</f>
        <v>No</v>
      </c>
      <c r="K766" s="43">
        <f>IF(GroDB[[#This Row],[Column1]]="No",GroDB[[#This Row],[Last_Order_Date]],GroDB[[#This Row],[Date_Received]])</f>
        <v>45515</v>
      </c>
      <c r="L766" s="43">
        <f>IF(GroDB[[#This Row],[Column1]]="No",GroDB[[#This Row],[Date_Received]],GroDB[[#This Row],[Last_Order_Date]])</f>
        <v>45436</v>
      </c>
      <c r="M766" s="45">
        <f>GroDB[[#This Row],[Date_Received1]]-GroDB[[#This Row],[Procurement_Date]]</f>
        <v>79</v>
      </c>
      <c r="N766" s="43">
        <v>45429</v>
      </c>
      <c r="O766" s="91">
        <f>GroDB[[#This Row],[Expiration_Date]]-GroDB[[#This Row],[Date_Received1]]</f>
        <v>-86</v>
      </c>
      <c r="P766" s="4">
        <v>2.4000000000000004</v>
      </c>
      <c r="Q766" s="3">
        <v>49</v>
      </c>
      <c r="R766" s="3">
        <v>89</v>
      </c>
      <c r="S766" s="3">
        <v>65</v>
      </c>
      <c r="T766" s="4">
        <v>3</v>
      </c>
      <c r="U766" s="3">
        <v>37</v>
      </c>
      <c r="V766" s="51">
        <f>IF(GroDB[[#This Row],[LeadTime]]=0,GroDB[[#This Row],[Sales_Volume]],GroDB[[#This Row],[Sales_Volume]]/GroDB[[#This Row],[LeadTime]])</f>
        <v>0.46835443037974683</v>
      </c>
      <c r="W766" s="51">
        <f>_xlfn.STDEV.S(GroDB[Daily Sales])</f>
        <v>5.1999899792654221</v>
      </c>
      <c r="X766" s="3">
        <v>48</v>
      </c>
      <c r="Y766" s="7">
        <v>0.54</v>
      </c>
      <c r="Z766" s="4">
        <f>GroDB[[#This Row],[Unit_Price]]*GroDB[[#This Row],[Sales_Volume]]</f>
        <v>111</v>
      </c>
      <c r="AA766" s="22">
        <f>GroDB[[#This Row],[ADU]]/GroDB[[#Totals],[ADU]]</f>
        <v>3.224219734467204E-4</v>
      </c>
      <c r="AB766" s="1">
        <f>GroDB[[#This Row],[Sales_Volume]]*GroDB[[#This Row],[Ordering Cost]]</f>
        <v>88.800000000000011</v>
      </c>
    </row>
    <row r="767" spans="1:28" x14ac:dyDescent="0.35">
      <c r="A767" s="5" t="s">
        <v>111</v>
      </c>
      <c r="B767" s="3" t="s">
        <v>32</v>
      </c>
      <c r="C767" s="3" t="s">
        <v>2709</v>
      </c>
      <c r="D767" s="3" t="s">
        <v>2760</v>
      </c>
      <c r="E767" s="3" t="s">
        <v>21</v>
      </c>
      <c r="F767" s="3" t="s">
        <v>2761</v>
      </c>
      <c r="G767" s="3" t="s">
        <v>2762</v>
      </c>
      <c r="H767" s="43">
        <v>45436</v>
      </c>
      <c r="I767" s="43">
        <v>45526</v>
      </c>
      <c r="J767" s="47" t="str">
        <f>IF(GroDB[[#This Row],[Last_Order_Date]]&lt;=GroDB[[#This Row],[Date_Received]], "Yes", "No")</f>
        <v>No</v>
      </c>
      <c r="K767" s="43">
        <f>IF(GroDB[[#This Row],[Column1]]="No",GroDB[[#This Row],[Last_Order_Date]],GroDB[[#This Row],[Date_Received]])</f>
        <v>45526</v>
      </c>
      <c r="L767" s="43">
        <f>IF(GroDB[[#This Row],[Column1]]="No",GroDB[[#This Row],[Date_Received]],GroDB[[#This Row],[Last_Order_Date]])</f>
        <v>45436</v>
      </c>
      <c r="M767" s="45">
        <f>GroDB[[#This Row],[Date_Received1]]-GroDB[[#This Row],[Procurement_Date]]</f>
        <v>90</v>
      </c>
      <c r="N767" s="43">
        <v>45429</v>
      </c>
      <c r="O767" s="91">
        <f>GroDB[[#This Row],[Expiration_Date]]-GroDB[[#This Row],[Date_Received1]]</f>
        <v>-97</v>
      </c>
      <c r="P767" s="4">
        <v>4.8000000000000007</v>
      </c>
      <c r="Q767" s="3">
        <v>64</v>
      </c>
      <c r="R767" s="3">
        <v>95</v>
      </c>
      <c r="S767" s="3">
        <v>62</v>
      </c>
      <c r="T767" s="4">
        <v>6</v>
      </c>
      <c r="U767" s="3">
        <v>55</v>
      </c>
      <c r="V767" s="51">
        <f>IF(GroDB[[#This Row],[LeadTime]]=0,GroDB[[#This Row],[Sales_Volume]],GroDB[[#This Row],[Sales_Volume]]/GroDB[[#This Row],[LeadTime]])</f>
        <v>0.61111111111111116</v>
      </c>
      <c r="W767" s="51">
        <f>_xlfn.STDEV.S(GroDB[Daily Sales])</f>
        <v>5.1999899792654221</v>
      </c>
      <c r="X767" s="3">
        <v>1</v>
      </c>
      <c r="Y767" s="7">
        <v>-0.3</v>
      </c>
      <c r="Z767" s="4">
        <f>GroDB[[#This Row],[Unit_Price]]*GroDB[[#This Row],[Sales_Volume]]</f>
        <v>330</v>
      </c>
      <c r="AA767" s="22">
        <f>GroDB[[#This Row],[ADU]]/GroDB[[#Totals],[ADU]]</f>
        <v>9.5855181294970926E-4</v>
      </c>
      <c r="AB767" s="1">
        <f>GroDB[[#This Row],[Sales_Volume]]*GroDB[[#This Row],[Ordering Cost]]</f>
        <v>264.00000000000006</v>
      </c>
    </row>
    <row r="768" spans="1:28" x14ac:dyDescent="0.35">
      <c r="A768" s="5" t="s">
        <v>1179</v>
      </c>
      <c r="B768" s="3" t="s">
        <v>91</v>
      </c>
      <c r="C768" s="3" t="s">
        <v>1795</v>
      </c>
      <c r="D768" s="3" t="s">
        <v>2763</v>
      </c>
      <c r="E768" s="3" t="s">
        <v>28</v>
      </c>
      <c r="F768" s="3" t="s">
        <v>2764</v>
      </c>
      <c r="G768" s="3" t="s">
        <v>2765</v>
      </c>
      <c r="H768" s="43">
        <v>45437</v>
      </c>
      <c r="I768" s="43">
        <v>45501</v>
      </c>
      <c r="J768" s="47" t="str">
        <f>IF(GroDB[[#This Row],[Last_Order_Date]]&lt;=GroDB[[#This Row],[Date_Received]], "Yes", "No")</f>
        <v>No</v>
      </c>
      <c r="K768" s="43">
        <f>IF(GroDB[[#This Row],[Column1]]="No",GroDB[[#This Row],[Last_Order_Date]],GroDB[[#This Row],[Date_Received]])</f>
        <v>45501</v>
      </c>
      <c r="L768" s="43">
        <f>IF(GroDB[[#This Row],[Column1]]="No",GroDB[[#This Row],[Date_Received]],GroDB[[#This Row],[Last_Order_Date]])</f>
        <v>45437</v>
      </c>
      <c r="M768" s="45">
        <f>GroDB[[#This Row],[Date_Received1]]-GroDB[[#This Row],[Procurement_Date]]</f>
        <v>64</v>
      </c>
      <c r="N768" s="43">
        <v>45676</v>
      </c>
      <c r="O768" s="91">
        <f>GroDB[[#This Row],[Expiration_Date]]-GroDB[[#This Row],[Date_Received1]]</f>
        <v>175</v>
      </c>
      <c r="P768" s="4">
        <v>2</v>
      </c>
      <c r="Q768" s="3">
        <v>93</v>
      </c>
      <c r="R768" s="3">
        <v>76</v>
      </c>
      <c r="S768" s="3">
        <v>82</v>
      </c>
      <c r="T768" s="4">
        <v>2.5</v>
      </c>
      <c r="U768" s="3">
        <v>76</v>
      </c>
      <c r="V768" s="51">
        <f>IF(GroDB[[#This Row],[LeadTime]]=0,GroDB[[#This Row],[Sales_Volume]],GroDB[[#This Row],[Sales_Volume]]/GroDB[[#This Row],[LeadTime]])</f>
        <v>1.1875</v>
      </c>
      <c r="W768" s="51">
        <f>_xlfn.STDEV.S(GroDB[Daily Sales])</f>
        <v>5.1999899792654221</v>
      </c>
      <c r="X768" s="3">
        <v>51</v>
      </c>
      <c r="Y768" s="7">
        <v>0.98</v>
      </c>
      <c r="Z768" s="4">
        <f>GroDB[[#This Row],[Unit_Price]]*GroDB[[#This Row],[Sales_Volume]]</f>
        <v>190</v>
      </c>
      <c r="AA768" s="22">
        <f>GroDB[[#This Row],[ADU]]/GroDB[[#Totals],[ADU]]</f>
        <v>5.518934680619538E-4</v>
      </c>
      <c r="AB768" s="1">
        <f>GroDB[[#This Row],[Sales_Volume]]*GroDB[[#This Row],[Ordering Cost]]</f>
        <v>152</v>
      </c>
    </row>
    <row r="769" spans="1:28" x14ac:dyDescent="0.35">
      <c r="A769" s="5" t="s">
        <v>1278</v>
      </c>
      <c r="B769" s="3" t="s">
        <v>18</v>
      </c>
      <c r="C769" s="3" t="s">
        <v>1236</v>
      </c>
      <c r="D769" s="3" t="s">
        <v>2766</v>
      </c>
      <c r="E769" s="3" t="s">
        <v>28</v>
      </c>
      <c r="F769" s="3" t="s">
        <v>2767</v>
      </c>
      <c r="G769" s="3" t="s">
        <v>2768</v>
      </c>
      <c r="H769" s="43">
        <v>45437</v>
      </c>
      <c r="I769" s="43">
        <v>45435</v>
      </c>
      <c r="J769" s="47" t="str">
        <f>IF(GroDB[[#This Row],[Last_Order_Date]]&lt;=GroDB[[#This Row],[Date_Received]], "Yes", "No")</f>
        <v>Yes</v>
      </c>
      <c r="K769" s="43">
        <f>IF(GroDB[[#This Row],[Column1]]="No",GroDB[[#This Row],[Last_Order_Date]],GroDB[[#This Row],[Date_Received]])</f>
        <v>45437</v>
      </c>
      <c r="L769" s="43">
        <f>IF(GroDB[[#This Row],[Column1]]="No",GroDB[[#This Row],[Date_Received]],GroDB[[#This Row],[Last_Order_Date]])</f>
        <v>45435</v>
      </c>
      <c r="M769" s="45">
        <f>GroDB[[#This Row],[Date_Received1]]-GroDB[[#This Row],[Procurement_Date]]</f>
        <v>2</v>
      </c>
      <c r="N769" s="43">
        <v>45552</v>
      </c>
      <c r="O769" s="91">
        <f>GroDB[[#This Row],[Expiration_Date]]-GroDB[[#This Row],[Date_Received1]]</f>
        <v>115</v>
      </c>
      <c r="P769" s="4">
        <v>3.6</v>
      </c>
      <c r="Q769" s="3">
        <v>24</v>
      </c>
      <c r="R769" s="3">
        <v>25</v>
      </c>
      <c r="S769" s="3">
        <v>52</v>
      </c>
      <c r="T769" s="4">
        <v>4.5</v>
      </c>
      <c r="U769" s="3">
        <v>24</v>
      </c>
      <c r="V769" s="51">
        <f>IF(GroDB[[#This Row],[LeadTime]]=0,GroDB[[#This Row],[Sales_Volume]],GroDB[[#This Row],[Sales_Volume]]/GroDB[[#This Row],[LeadTime]])</f>
        <v>12</v>
      </c>
      <c r="W769" s="51">
        <f>_xlfn.STDEV.S(GroDB[Daily Sales])</f>
        <v>5.1999899792654221</v>
      </c>
      <c r="X769" s="3">
        <v>77</v>
      </c>
      <c r="Y769" s="7">
        <v>0.33</v>
      </c>
      <c r="Z769" s="4">
        <f>GroDB[[#This Row],[Unit_Price]]*GroDB[[#This Row],[Sales_Volume]]</f>
        <v>108</v>
      </c>
      <c r="AA769" s="22">
        <f>GroDB[[#This Row],[ADU]]/GroDB[[#Totals],[ADU]]</f>
        <v>3.1370786605626851E-4</v>
      </c>
      <c r="AB769" s="1">
        <f>GroDB[[#This Row],[Sales_Volume]]*GroDB[[#This Row],[Ordering Cost]]</f>
        <v>86.4</v>
      </c>
    </row>
    <row r="770" spans="1:28" x14ac:dyDescent="0.35">
      <c r="A770" s="5" t="s">
        <v>438</v>
      </c>
      <c r="B770" s="3" t="s">
        <v>18</v>
      </c>
      <c r="C770" s="3" t="s">
        <v>2769</v>
      </c>
      <c r="D770" s="3" t="s">
        <v>2770</v>
      </c>
      <c r="E770" s="3" t="s">
        <v>28</v>
      </c>
      <c r="F770" s="3" t="s">
        <v>2771</v>
      </c>
      <c r="G770" s="3" t="s">
        <v>2772</v>
      </c>
      <c r="H770" s="43">
        <v>45437</v>
      </c>
      <c r="I770" s="43">
        <v>45446</v>
      </c>
      <c r="J770" s="47" t="str">
        <f>IF(GroDB[[#This Row],[Last_Order_Date]]&lt;=GroDB[[#This Row],[Date_Received]], "Yes", "No")</f>
        <v>No</v>
      </c>
      <c r="K770" s="43">
        <f>IF(GroDB[[#This Row],[Column1]]="No",GroDB[[#This Row],[Last_Order_Date]],GroDB[[#This Row],[Date_Received]])</f>
        <v>45446</v>
      </c>
      <c r="L770" s="43">
        <f>IF(GroDB[[#This Row],[Column1]]="No",GroDB[[#This Row],[Date_Received]],GroDB[[#This Row],[Last_Order_Date]])</f>
        <v>45437</v>
      </c>
      <c r="M770" s="45">
        <f>GroDB[[#This Row],[Date_Received1]]-GroDB[[#This Row],[Procurement_Date]]</f>
        <v>9</v>
      </c>
      <c r="N770" s="43">
        <v>45503</v>
      </c>
      <c r="O770" s="91">
        <f>GroDB[[#This Row],[Expiration_Date]]-GroDB[[#This Row],[Date_Received1]]</f>
        <v>57</v>
      </c>
      <c r="P770" s="4">
        <v>4</v>
      </c>
      <c r="Q770" s="3">
        <v>85</v>
      </c>
      <c r="R770" s="3">
        <v>90</v>
      </c>
      <c r="S770" s="3">
        <v>16</v>
      </c>
      <c r="T770" s="4">
        <v>5</v>
      </c>
      <c r="U770" s="3">
        <v>61</v>
      </c>
      <c r="V770" s="51">
        <f>IF(GroDB[[#This Row],[LeadTime]]=0,GroDB[[#This Row],[Sales_Volume]],GroDB[[#This Row],[Sales_Volume]]/GroDB[[#This Row],[LeadTime]])</f>
        <v>6.7777777777777777</v>
      </c>
      <c r="W770" s="51">
        <f>_xlfn.STDEV.S(GroDB[Daily Sales])</f>
        <v>5.1999899792654221</v>
      </c>
      <c r="X770" s="3">
        <v>80</v>
      </c>
      <c r="Y770" s="7">
        <v>-2.21</v>
      </c>
      <c r="Z770" s="4">
        <f>GroDB[[#This Row],[Unit_Price]]*GroDB[[#This Row],[Sales_Volume]]</f>
        <v>305</v>
      </c>
      <c r="AA770" s="22">
        <f>GroDB[[#This Row],[ADU]]/GroDB[[#Totals],[ADU]]</f>
        <v>8.8593425136261009E-4</v>
      </c>
      <c r="AB770" s="1">
        <f>GroDB[[#This Row],[Sales_Volume]]*GroDB[[#This Row],[Ordering Cost]]</f>
        <v>244</v>
      </c>
    </row>
    <row r="771" spans="1:28" x14ac:dyDescent="0.35">
      <c r="A771" s="5" t="s">
        <v>495</v>
      </c>
      <c r="B771" s="3" t="s">
        <v>18</v>
      </c>
      <c r="C771" s="3" t="s">
        <v>908</v>
      </c>
      <c r="D771" s="3" t="s">
        <v>2773</v>
      </c>
      <c r="E771" s="3" t="s">
        <v>56</v>
      </c>
      <c r="F771" s="3" t="s">
        <v>2774</v>
      </c>
      <c r="G771" s="3" t="s">
        <v>2775</v>
      </c>
      <c r="H771" s="43">
        <v>45438</v>
      </c>
      <c r="I771" s="43">
        <v>45420</v>
      </c>
      <c r="J771" s="47" t="str">
        <f>IF(GroDB[[#This Row],[Last_Order_Date]]&lt;=GroDB[[#This Row],[Date_Received]], "Yes", "No")</f>
        <v>Yes</v>
      </c>
      <c r="K771" s="43">
        <f>IF(GroDB[[#This Row],[Column1]]="No",GroDB[[#This Row],[Last_Order_Date]],GroDB[[#This Row],[Date_Received]])</f>
        <v>45438</v>
      </c>
      <c r="L771" s="43">
        <f>IF(GroDB[[#This Row],[Column1]]="No",GroDB[[#This Row],[Date_Received]],GroDB[[#This Row],[Last_Order_Date]])</f>
        <v>45420</v>
      </c>
      <c r="M771" s="45">
        <f>GroDB[[#This Row],[Date_Received1]]-GroDB[[#This Row],[Procurement_Date]]</f>
        <v>18</v>
      </c>
      <c r="N771" s="43">
        <v>45489</v>
      </c>
      <c r="O771" s="91">
        <f>GroDB[[#This Row],[Expiration_Date]]-GroDB[[#This Row],[Date_Received1]]</f>
        <v>51</v>
      </c>
      <c r="P771" s="4">
        <v>5</v>
      </c>
      <c r="Q771" s="3">
        <v>81</v>
      </c>
      <c r="R771" s="3">
        <v>23</v>
      </c>
      <c r="S771" s="3">
        <v>17</v>
      </c>
      <c r="T771" s="4">
        <v>6.25</v>
      </c>
      <c r="U771" s="3">
        <v>92</v>
      </c>
      <c r="V771" s="51">
        <f>IF(GroDB[[#This Row],[LeadTime]]=0,GroDB[[#This Row],[Sales_Volume]],GroDB[[#This Row],[Sales_Volume]]/GroDB[[#This Row],[LeadTime]])</f>
        <v>5.1111111111111107</v>
      </c>
      <c r="W771" s="51">
        <f>_xlfn.STDEV.S(GroDB[Daily Sales])</f>
        <v>5.1999899792654221</v>
      </c>
      <c r="X771" s="3">
        <v>78</v>
      </c>
      <c r="Y771" s="7">
        <v>-0.31</v>
      </c>
      <c r="Z771" s="4">
        <f>GroDB[[#This Row],[Unit_Price]]*GroDB[[#This Row],[Sales_Volume]]</f>
        <v>575</v>
      </c>
      <c r="AA771" s="22">
        <f>GroDB[[#This Row],[ADU]]/GroDB[[#Totals],[ADU]]</f>
        <v>1.6702039165032813E-3</v>
      </c>
      <c r="AB771" s="1">
        <f>GroDB[[#This Row],[Sales_Volume]]*GroDB[[#This Row],[Ordering Cost]]</f>
        <v>460</v>
      </c>
    </row>
    <row r="772" spans="1:28" x14ac:dyDescent="0.35">
      <c r="A772" s="5" t="s">
        <v>263</v>
      </c>
      <c r="B772" s="3" t="s">
        <v>25</v>
      </c>
      <c r="C772" s="3" t="s">
        <v>1073</v>
      </c>
      <c r="D772" s="3" t="s">
        <v>2776</v>
      </c>
      <c r="E772" s="3" t="s">
        <v>21</v>
      </c>
      <c r="F772" s="3" t="s">
        <v>2777</v>
      </c>
      <c r="G772" s="3" t="s">
        <v>2778</v>
      </c>
      <c r="H772" s="43">
        <v>45439</v>
      </c>
      <c r="I772" s="43">
        <v>45417</v>
      </c>
      <c r="J772" s="47" t="str">
        <f>IF(GroDB[[#This Row],[Last_Order_Date]]&lt;=GroDB[[#This Row],[Date_Received]], "Yes", "No")</f>
        <v>Yes</v>
      </c>
      <c r="K772" s="43">
        <f>IF(GroDB[[#This Row],[Column1]]="No",GroDB[[#This Row],[Last_Order_Date]],GroDB[[#This Row],[Date_Received]])</f>
        <v>45439</v>
      </c>
      <c r="L772" s="43">
        <f>IF(GroDB[[#This Row],[Column1]]="No",GroDB[[#This Row],[Date_Received]],GroDB[[#This Row],[Last_Order_Date]])</f>
        <v>45417</v>
      </c>
      <c r="M772" s="45">
        <f>GroDB[[#This Row],[Date_Received1]]-GroDB[[#This Row],[Procurement_Date]]</f>
        <v>22</v>
      </c>
      <c r="N772" s="43">
        <v>45609</v>
      </c>
      <c r="O772" s="91">
        <f>GroDB[[#This Row],[Expiration_Date]]-GroDB[[#This Row],[Date_Received1]]</f>
        <v>170</v>
      </c>
      <c r="P772" s="4">
        <v>4.8000000000000007</v>
      </c>
      <c r="Q772" s="3">
        <v>52</v>
      </c>
      <c r="R772" s="3">
        <v>88</v>
      </c>
      <c r="S772" s="3">
        <v>55</v>
      </c>
      <c r="T772" s="4">
        <v>6</v>
      </c>
      <c r="U772" s="3">
        <v>100</v>
      </c>
      <c r="V772" s="51">
        <f>IF(GroDB[[#This Row],[LeadTime]]=0,GroDB[[#This Row],[Sales_Volume]],GroDB[[#This Row],[Sales_Volume]]/GroDB[[#This Row],[LeadTime]])</f>
        <v>4.5454545454545459</v>
      </c>
      <c r="W772" s="51">
        <f>_xlfn.STDEV.S(GroDB[Daily Sales])</f>
        <v>5.1999899792654221</v>
      </c>
      <c r="X772" s="3">
        <v>46</v>
      </c>
      <c r="Y772" s="7">
        <v>0.15</v>
      </c>
      <c r="Z772" s="4">
        <f>GroDB[[#This Row],[Unit_Price]]*GroDB[[#This Row],[Sales_Volume]]</f>
        <v>600</v>
      </c>
      <c r="AA772" s="22">
        <f>GroDB[[#This Row],[ADU]]/GroDB[[#Totals],[ADU]]</f>
        <v>1.7428214780903805E-3</v>
      </c>
      <c r="AB772" s="1">
        <f>GroDB[[#This Row],[Sales_Volume]]*GroDB[[#This Row],[Ordering Cost]]</f>
        <v>480.00000000000006</v>
      </c>
    </row>
    <row r="773" spans="1:28" x14ac:dyDescent="0.35">
      <c r="A773" s="5" t="s">
        <v>582</v>
      </c>
      <c r="B773" s="3" t="s">
        <v>32</v>
      </c>
      <c r="C773" s="3" t="s">
        <v>1370</v>
      </c>
      <c r="D773" s="3" t="s">
        <v>2779</v>
      </c>
      <c r="E773" s="3" t="s">
        <v>56</v>
      </c>
      <c r="F773" s="3" t="s">
        <v>2780</v>
      </c>
      <c r="G773" s="3" t="s">
        <v>2781</v>
      </c>
      <c r="H773" s="43">
        <v>45439</v>
      </c>
      <c r="I773" s="43">
        <v>45571</v>
      </c>
      <c r="J773" s="47" t="str">
        <f>IF(GroDB[[#This Row],[Last_Order_Date]]&lt;=GroDB[[#This Row],[Date_Received]], "Yes", "No")</f>
        <v>No</v>
      </c>
      <c r="K773" s="43">
        <f>IF(GroDB[[#This Row],[Column1]]="No",GroDB[[#This Row],[Last_Order_Date]],GroDB[[#This Row],[Date_Received]])</f>
        <v>45571</v>
      </c>
      <c r="L773" s="43">
        <f>IF(GroDB[[#This Row],[Column1]]="No",GroDB[[#This Row],[Date_Received]],GroDB[[#This Row],[Last_Order_Date]])</f>
        <v>45439</v>
      </c>
      <c r="M773" s="45">
        <f>GroDB[[#This Row],[Date_Received1]]-GroDB[[#This Row],[Procurement_Date]]</f>
        <v>132</v>
      </c>
      <c r="N773" s="43">
        <v>45644</v>
      </c>
      <c r="O773" s="91">
        <f>GroDB[[#This Row],[Expiration_Date]]-GroDB[[#This Row],[Date_Received1]]</f>
        <v>73</v>
      </c>
      <c r="P773" s="4">
        <v>0.64000000000000012</v>
      </c>
      <c r="Q773" s="3">
        <v>78</v>
      </c>
      <c r="R773" s="3">
        <v>61</v>
      </c>
      <c r="S773" s="3">
        <v>6</v>
      </c>
      <c r="T773" s="4">
        <v>0.8</v>
      </c>
      <c r="U773" s="3">
        <v>49</v>
      </c>
      <c r="V773" s="51">
        <f>IF(GroDB[[#This Row],[LeadTime]]=0,GroDB[[#This Row],[Sales_Volume]],GroDB[[#This Row],[Sales_Volume]]/GroDB[[#This Row],[LeadTime]])</f>
        <v>0.37121212121212122</v>
      </c>
      <c r="W773" s="51">
        <f>_xlfn.STDEV.S(GroDB[Daily Sales])</f>
        <v>5.1999899792654221</v>
      </c>
      <c r="X773" s="3">
        <v>60</v>
      </c>
      <c r="Y773" s="7">
        <v>0.54</v>
      </c>
      <c r="Z773" s="4">
        <f>GroDB[[#This Row],[Unit_Price]]*GroDB[[#This Row],[Sales_Volume]]</f>
        <v>39.200000000000003</v>
      </c>
      <c r="AA773" s="22">
        <f>GroDB[[#This Row],[ADU]]/GroDB[[#Totals],[ADU]]</f>
        <v>1.1386433656857154E-4</v>
      </c>
      <c r="AB773" s="1">
        <f>GroDB[[#This Row],[Sales_Volume]]*GroDB[[#This Row],[Ordering Cost]]</f>
        <v>31.360000000000007</v>
      </c>
    </row>
    <row r="774" spans="1:28" x14ac:dyDescent="0.35">
      <c r="A774" s="5" t="s">
        <v>59</v>
      </c>
      <c r="B774" s="3" t="s">
        <v>60</v>
      </c>
      <c r="C774" s="3" t="s">
        <v>1398</v>
      </c>
      <c r="D774" s="3" t="s">
        <v>2782</v>
      </c>
      <c r="E774" s="3" t="s">
        <v>21</v>
      </c>
      <c r="F774" s="3" t="s">
        <v>2783</v>
      </c>
      <c r="G774" s="3" t="s">
        <v>2784</v>
      </c>
      <c r="H774" s="43">
        <v>45439</v>
      </c>
      <c r="I774" s="43">
        <v>45392</v>
      </c>
      <c r="J774" s="47" t="str">
        <f>IF(GroDB[[#This Row],[Last_Order_Date]]&lt;=GroDB[[#This Row],[Date_Received]], "Yes", "No")</f>
        <v>Yes</v>
      </c>
      <c r="K774" s="43">
        <f>IF(GroDB[[#This Row],[Column1]]="No",GroDB[[#This Row],[Last_Order_Date]],GroDB[[#This Row],[Date_Received]])</f>
        <v>45439</v>
      </c>
      <c r="L774" s="43">
        <f>IF(GroDB[[#This Row],[Column1]]="No",GroDB[[#This Row],[Date_Received]],GroDB[[#This Row],[Last_Order_Date]])</f>
        <v>45392</v>
      </c>
      <c r="M774" s="45">
        <f>GroDB[[#This Row],[Date_Received1]]-GroDB[[#This Row],[Procurement_Date]]</f>
        <v>47</v>
      </c>
      <c r="N774" s="43">
        <v>45641</v>
      </c>
      <c r="O774" s="91">
        <f>GroDB[[#This Row],[Expiration_Date]]-GroDB[[#This Row],[Date_Received1]]</f>
        <v>202</v>
      </c>
      <c r="P774" s="4">
        <v>8</v>
      </c>
      <c r="Q774" s="3">
        <v>44</v>
      </c>
      <c r="R774" s="3">
        <v>97</v>
      </c>
      <c r="S774" s="3">
        <v>76</v>
      </c>
      <c r="T774" s="4">
        <v>10</v>
      </c>
      <c r="U774" s="3">
        <v>80</v>
      </c>
      <c r="V774" s="51">
        <f>IF(GroDB[[#This Row],[LeadTime]]=0,GroDB[[#This Row],[Sales_Volume]],GroDB[[#This Row],[Sales_Volume]]/GroDB[[#This Row],[LeadTime]])</f>
        <v>1.7021276595744681</v>
      </c>
      <c r="W774" s="51">
        <f>_xlfn.STDEV.S(GroDB[Daily Sales])</f>
        <v>5.1999899792654221</v>
      </c>
      <c r="X774" s="3">
        <v>33</v>
      </c>
      <c r="Y774" s="7">
        <v>-0.22</v>
      </c>
      <c r="Z774" s="4">
        <f>GroDB[[#This Row],[Unit_Price]]*GroDB[[#This Row],[Sales_Volume]]</f>
        <v>800</v>
      </c>
      <c r="AA774" s="22">
        <f>GroDB[[#This Row],[ADU]]/GroDB[[#Totals],[ADU]]</f>
        <v>2.3237619707871739E-3</v>
      </c>
      <c r="AB774" s="1">
        <f>GroDB[[#This Row],[Sales_Volume]]*GroDB[[#This Row],[Ordering Cost]]</f>
        <v>640</v>
      </c>
    </row>
    <row r="775" spans="1:28" x14ac:dyDescent="0.35">
      <c r="A775" s="5" t="s">
        <v>180</v>
      </c>
      <c r="B775" s="3" t="s">
        <v>18</v>
      </c>
      <c r="C775" s="3" t="s">
        <v>818</v>
      </c>
      <c r="D775" s="3" t="s">
        <v>2785</v>
      </c>
      <c r="E775" s="3" t="s">
        <v>21</v>
      </c>
      <c r="F775" s="3" t="s">
        <v>2786</v>
      </c>
      <c r="G775" s="3" t="s">
        <v>2787</v>
      </c>
      <c r="H775" s="43">
        <v>45439</v>
      </c>
      <c r="I775" s="43">
        <v>45415</v>
      </c>
      <c r="J775" s="47" t="str">
        <f>IF(GroDB[[#This Row],[Last_Order_Date]]&lt;=GroDB[[#This Row],[Date_Received]], "Yes", "No")</f>
        <v>Yes</v>
      </c>
      <c r="K775" s="43">
        <f>IF(GroDB[[#This Row],[Column1]]="No",GroDB[[#This Row],[Last_Order_Date]],GroDB[[#This Row],[Date_Received]])</f>
        <v>45439</v>
      </c>
      <c r="L775" s="43">
        <f>IF(GroDB[[#This Row],[Column1]]="No",GroDB[[#This Row],[Date_Received]],GroDB[[#This Row],[Last_Order_Date]])</f>
        <v>45415</v>
      </c>
      <c r="M775" s="45">
        <f>GroDB[[#This Row],[Date_Received1]]-GroDB[[#This Row],[Procurement_Date]]</f>
        <v>24</v>
      </c>
      <c r="N775" s="43">
        <v>45525</v>
      </c>
      <c r="O775" s="91">
        <f>GroDB[[#This Row],[Expiration_Date]]-GroDB[[#This Row],[Date_Received1]]</f>
        <v>86</v>
      </c>
      <c r="P775" s="4">
        <v>1.4400000000000002</v>
      </c>
      <c r="Q775" s="3">
        <v>38</v>
      </c>
      <c r="R775" s="3">
        <v>94</v>
      </c>
      <c r="S775" s="3">
        <v>87</v>
      </c>
      <c r="T775" s="4">
        <v>1.8</v>
      </c>
      <c r="U775" s="3">
        <v>89</v>
      </c>
      <c r="V775" s="51">
        <f>IF(GroDB[[#This Row],[LeadTime]]=0,GroDB[[#This Row],[Sales_Volume]],GroDB[[#This Row],[Sales_Volume]]/GroDB[[#This Row],[LeadTime]])</f>
        <v>3.7083333333333335</v>
      </c>
      <c r="W775" s="51">
        <f>_xlfn.STDEV.S(GroDB[Daily Sales])</f>
        <v>5.1999899792654221</v>
      </c>
      <c r="X775" s="3">
        <v>100</v>
      </c>
      <c r="Y775" s="7">
        <v>0.59</v>
      </c>
      <c r="Z775" s="4">
        <f>GroDB[[#This Row],[Unit_Price]]*GroDB[[#This Row],[Sales_Volume]]</f>
        <v>160.20000000000002</v>
      </c>
      <c r="AA775" s="22">
        <f>GroDB[[#This Row],[ADU]]/GroDB[[#Totals],[ADU]]</f>
        <v>4.6533333465013162E-4</v>
      </c>
      <c r="AB775" s="1">
        <f>GroDB[[#This Row],[Sales_Volume]]*GroDB[[#This Row],[Ordering Cost]]</f>
        <v>128.16000000000003</v>
      </c>
    </row>
    <row r="776" spans="1:28" x14ac:dyDescent="0.35">
      <c r="A776" s="5" t="s">
        <v>2626</v>
      </c>
      <c r="B776" s="3" t="s">
        <v>53</v>
      </c>
      <c r="C776" s="3" t="s">
        <v>405</v>
      </c>
      <c r="D776" s="3" t="s">
        <v>2788</v>
      </c>
      <c r="E776" s="3" t="s">
        <v>28</v>
      </c>
      <c r="F776" s="3" t="s">
        <v>2789</v>
      </c>
      <c r="G776" s="3" t="s">
        <v>2790</v>
      </c>
      <c r="H776" s="43">
        <v>45440</v>
      </c>
      <c r="I776" s="43">
        <v>45710</v>
      </c>
      <c r="J776" s="47" t="str">
        <f>IF(GroDB[[#This Row],[Last_Order_Date]]&lt;=GroDB[[#This Row],[Date_Received]], "Yes", "No")</f>
        <v>No</v>
      </c>
      <c r="K776" s="43">
        <f>IF(GroDB[[#This Row],[Column1]]="No",GroDB[[#This Row],[Last_Order_Date]],GroDB[[#This Row],[Date_Received]])</f>
        <v>45710</v>
      </c>
      <c r="L776" s="43">
        <f>IF(GroDB[[#This Row],[Column1]]="No",GroDB[[#This Row],[Date_Received]],GroDB[[#This Row],[Last_Order_Date]])</f>
        <v>45440</v>
      </c>
      <c r="M776" s="45">
        <f>GroDB[[#This Row],[Date_Received1]]-GroDB[[#This Row],[Procurement_Date]]</f>
        <v>270</v>
      </c>
      <c r="N776" s="43">
        <v>45442</v>
      </c>
      <c r="O776" s="91">
        <f>GroDB[[#This Row],[Expiration_Date]]-GroDB[[#This Row],[Date_Received1]]</f>
        <v>-268</v>
      </c>
      <c r="P776" s="4">
        <v>1.2000000000000002</v>
      </c>
      <c r="Q776" s="3">
        <v>31</v>
      </c>
      <c r="R776" s="3">
        <v>43</v>
      </c>
      <c r="S776" s="3">
        <v>80</v>
      </c>
      <c r="T776" s="4">
        <v>1.5</v>
      </c>
      <c r="U776" s="3">
        <v>46</v>
      </c>
      <c r="V776" s="51">
        <f>IF(GroDB[[#This Row],[LeadTime]]=0,GroDB[[#This Row],[Sales_Volume]],GroDB[[#This Row],[Sales_Volume]]/GroDB[[#This Row],[LeadTime]])</f>
        <v>0.17037037037037037</v>
      </c>
      <c r="W776" s="51">
        <f>_xlfn.STDEV.S(GroDB[Daily Sales])</f>
        <v>5.1999899792654221</v>
      </c>
      <c r="X776" s="3">
        <v>78</v>
      </c>
      <c r="Y776" s="7">
        <v>-0.12</v>
      </c>
      <c r="Z776" s="4">
        <f>GroDB[[#This Row],[Unit_Price]]*GroDB[[#This Row],[Sales_Volume]]</f>
        <v>69</v>
      </c>
      <c r="AA776" s="22">
        <f>GroDB[[#This Row],[ADU]]/GroDB[[#Totals],[ADU]]</f>
        <v>2.0042446998039376E-4</v>
      </c>
      <c r="AB776" s="1">
        <f>GroDB[[#This Row],[Sales_Volume]]*GroDB[[#This Row],[Ordering Cost]]</f>
        <v>55.20000000000001</v>
      </c>
    </row>
    <row r="777" spans="1:28" x14ac:dyDescent="0.35">
      <c r="A777" s="5" t="s">
        <v>674</v>
      </c>
      <c r="B777" s="3" t="s">
        <v>60</v>
      </c>
      <c r="C777" s="3" t="s">
        <v>513</v>
      </c>
      <c r="D777" s="3" t="s">
        <v>2791</v>
      </c>
      <c r="E777" s="3" t="s">
        <v>21</v>
      </c>
      <c r="F777" s="3" t="s">
        <v>2792</v>
      </c>
      <c r="G777" s="3" t="s">
        <v>2793</v>
      </c>
      <c r="H777" s="43">
        <v>45440</v>
      </c>
      <c r="I777" s="43">
        <v>45593</v>
      </c>
      <c r="J777" s="47" t="str">
        <f>IF(GroDB[[#This Row],[Last_Order_Date]]&lt;=GroDB[[#This Row],[Date_Received]], "Yes", "No")</f>
        <v>No</v>
      </c>
      <c r="K777" s="43">
        <f>IF(GroDB[[#This Row],[Column1]]="No",GroDB[[#This Row],[Last_Order_Date]],GroDB[[#This Row],[Date_Received]])</f>
        <v>45593</v>
      </c>
      <c r="L777" s="43">
        <f>IF(GroDB[[#This Row],[Column1]]="No",GroDB[[#This Row],[Date_Received]],GroDB[[#This Row],[Last_Order_Date]])</f>
        <v>45440</v>
      </c>
      <c r="M777" s="45">
        <f>GroDB[[#This Row],[Date_Received1]]-GroDB[[#This Row],[Procurement_Date]]</f>
        <v>153</v>
      </c>
      <c r="N777" s="43">
        <v>45652</v>
      </c>
      <c r="O777" s="91">
        <f>GroDB[[#This Row],[Expiration_Date]]-GroDB[[#This Row],[Date_Received1]]</f>
        <v>59</v>
      </c>
      <c r="P777" s="4">
        <v>7.2</v>
      </c>
      <c r="Q777" s="3">
        <v>46</v>
      </c>
      <c r="R777" s="3">
        <v>28</v>
      </c>
      <c r="S777" s="3">
        <v>73</v>
      </c>
      <c r="T777" s="4">
        <v>9</v>
      </c>
      <c r="U777" s="3">
        <v>65</v>
      </c>
      <c r="V777" s="51">
        <f>IF(GroDB[[#This Row],[LeadTime]]=0,GroDB[[#This Row],[Sales_Volume]],GroDB[[#This Row],[Sales_Volume]]/GroDB[[#This Row],[LeadTime]])</f>
        <v>0.42483660130718953</v>
      </c>
      <c r="W777" s="51">
        <f>_xlfn.STDEV.S(GroDB[Daily Sales])</f>
        <v>5.1999899792654221</v>
      </c>
      <c r="X777" s="3">
        <v>57</v>
      </c>
      <c r="Y777" s="7">
        <v>-0.7</v>
      </c>
      <c r="Z777" s="4">
        <f>GroDB[[#This Row],[Unit_Price]]*GroDB[[#This Row],[Sales_Volume]]</f>
        <v>585</v>
      </c>
      <c r="AA777" s="22">
        <f>GroDB[[#This Row],[ADU]]/GroDB[[#Totals],[ADU]]</f>
        <v>1.699250941138121E-3</v>
      </c>
      <c r="AB777" s="1">
        <f>GroDB[[#This Row],[Sales_Volume]]*GroDB[[#This Row],[Ordering Cost]]</f>
        <v>468</v>
      </c>
    </row>
    <row r="778" spans="1:28" x14ac:dyDescent="0.35">
      <c r="A778" s="5" t="s">
        <v>75</v>
      </c>
      <c r="B778" s="3" t="s">
        <v>32</v>
      </c>
      <c r="C778" s="3" t="s">
        <v>2260</v>
      </c>
      <c r="D778" s="3" t="s">
        <v>2794</v>
      </c>
      <c r="E778" s="3" t="s">
        <v>56</v>
      </c>
      <c r="F778" s="3" t="s">
        <v>2795</v>
      </c>
      <c r="G778" s="3" t="s">
        <v>2796</v>
      </c>
      <c r="H778" s="43">
        <v>45440</v>
      </c>
      <c r="I778" s="43">
        <v>45443</v>
      </c>
      <c r="J778" s="47" t="str">
        <f>IF(GroDB[[#This Row],[Last_Order_Date]]&lt;=GroDB[[#This Row],[Date_Received]], "Yes", "No")</f>
        <v>No</v>
      </c>
      <c r="K778" s="43">
        <f>IF(GroDB[[#This Row],[Column1]]="No",GroDB[[#This Row],[Last_Order_Date]],GroDB[[#This Row],[Date_Received]])</f>
        <v>45443</v>
      </c>
      <c r="L778" s="43">
        <f>IF(GroDB[[#This Row],[Column1]]="No",GroDB[[#This Row],[Date_Received]],GroDB[[#This Row],[Last_Order_Date]])</f>
        <v>45440</v>
      </c>
      <c r="M778" s="45">
        <f>GroDB[[#This Row],[Date_Received1]]-GroDB[[#This Row],[Procurement_Date]]</f>
        <v>3</v>
      </c>
      <c r="N778" s="43">
        <v>45528</v>
      </c>
      <c r="O778" s="91">
        <f>GroDB[[#This Row],[Expiration_Date]]-GroDB[[#This Row],[Date_Received1]]</f>
        <v>85</v>
      </c>
      <c r="P778" s="4">
        <v>7.2</v>
      </c>
      <c r="Q778" s="3">
        <v>88</v>
      </c>
      <c r="R778" s="3">
        <v>74</v>
      </c>
      <c r="S778" s="3">
        <v>97</v>
      </c>
      <c r="T778" s="4">
        <v>9</v>
      </c>
      <c r="U778" s="3">
        <v>79</v>
      </c>
      <c r="V778" s="51">
        <f>IF(GroDB[[#This Row],[LeadTime]]=0,GroDB[[#This Row],[Sales_Volume]],GroDB[[#This Row],[Sales_Volume]]/GroDB[[#This Row],[LeadTime]])</f>
        <v>26.333333333333332</v>
      </c>
      <c r="W778" s="51">
        <f>_xlfn.STDEV.S(GroDB[Daily Sales])</f>
        <v>5.1999899792654221</v>
      </c>
      <c r="X778" s="3">
        <v>5</v>
      </c>
      <c r="Y778" s="7">
        <v>0.12</v>
      </c>
      <c r="Z778" s="4">
        <f>GroDB[[#This Row],[Unit_Price]]*GroDB[[#This Row],[Sales_Volume]]</f>
        <v>711</v>
      </c>
      <c r="AA778" s="22">
        <f>GroDB[[#This Row],[ADU]]/GroDB[[#Totals],[ADU]]</f>
        <v>2.0652434515371007E-3</v>
      </c>
      <c r="AB778" s="1">
        <f>GroDB[[#This Row],[Sales_Volume]]*GroDB[[#This Row],[Ordering Cost]]</f>
        <v>568.80000000000007</v>
      </c>
    </row>
    <row r="779" spans="1:28" x14ac:dyDescent="0.35">
      <c r="A779" s="5" t="s">
        <v>2626</v>
      </c>
      <c r="B779" s="3" t="s">
        <v>53</v>
      </c>
      <c r="C779" s="3" t="s">
        <v>1077</v>
      </c>
      <c r="D779" s="3" t="s">
        <v>2797</v>
      </c>
      <c r="E779" s="3" t="s">
        <v>21</v>
      </c>
      <c r="F779" s="3" t="s">
        <v>2798</v>
      </c>
      <c r="G779" s="3" t="s">
        <v>2799</v>
      </c>
      <c r="H779" s="43">
        <v>45440</v>
      </c>
      <c r="I779" s="43">
        <v>45553</v>
      </c>
      <c r="J779" s="47" t="str">
        <f>IF(GroDB[[#This Row],[Last_Order_Date]]&lt;=GroDB[[#This Row],[Date_Received]], "Yes", "No")</f>
        <v>No</v>
      </c>
      <c r="K779" s="43">
        <f>IF(GroDB[[#This Row],[Column1]]="No",GroDB[[#This Row],[Last_Order_Date]],GroDB[[#This Row],[Date_Received]])</f>
        <v>45553</v>
      </c>
      <c r="L779" s="43">
        <f>IF(GroDB[[#This Row],[Column1]]="No",GroDB[[#This Row],[Date_Received]],GroDB[[#This Row],[Last_Order_Date]])</f>
        <v>45440</v>
      </c>
      <c r="M779" s="45">
        <f>GroDB[[#This Row],[Date_Received1]]-GroDB[[#This Row],[Procurement_Date]]</f>
        <v>113</v>
      </c>
      <c r="N779" s="43">
        <v>45711</v>
      </c>
      <c r="O779" s="91">
        <f>GroDB[[#This Row],[Expiration_Date]]-GroDB[[#This Row],[Date_Received1]]</f>
        <v>158</v>
      </c>
      <c r="P779" s="4">
        <v>1.2000000000000002</v>
      </c>
      <c r="Q779" s="3">
        <v>90</v>
      </c>
      <c r="R779" s="3">
        <v>75</v>
      </c>
      <c r="S779" s="3">
        <v>43</v>
      </c>
      <c r="T779" s="4">
        <v>1.5</v>
      </c>
      <c r="U779" s="3">
        <v>80</v>
      </c>
      <c r="V779" s="51">
        <f>IF(GroDB[[#This Row],[LeadTime]]=0,GroDB[[#This Row],[Sales_Volume]],GroDB[[#This Row],[Sales_Volume]]/GroDB[[#This Row],[LeadTime]])</f>
        <v>0.70796460176991149</v>
      </c>
      <c r="W779" s="51">
        <f>_xlfn.STDEV.S(GroDB[Daily Sales])</f>
        <v>5.1999899792654221</v>
      </c>
      <c r="X779" s="3">
        <v>57</v>
      </c>
      <c r="Y779" s="7">
        <v>0.94</v>
      </c>
      <c r="Z779" s="4">
        <f>GroDB[[#This Row],[Unit_Price]]*GroDB[[#This Row],[Sales_Volume]]</f>
        <v>120</v>
      </c>
      <c r="AA779" s="22">
        <f>GroDB[[#This Row],[ADU]]/GroDB[[#Totals],[ADU]]</f>
        <v>3.4856429561807613E-4</v>
      </c>
      <c r="AB779" s="1">
        <f>GroDB[[#This Row],[Sales_Volume]]*GroDB[[#This Row],[Ordering Cost]]</f>
        <v>96.000000000000014</v>
      </c>
    </row>
    <row r="780" spans="1:28" x14ac:dyDescent="0.35">
      <c r="A780" s="5" t="s">
        <v>1081</v>
      </c>
      <c r="B780" s="3" t="s">
        <v>127</v>
      </c>
      <c r="C780" s="3" t="s">
        <v>1739</v>
      </c>
      <c r="D780" s="3" t="s">
        <v>2800</v>
      </c>
      <c r="E780" s="3" t="s">
        <v>21</v>
      </c>
      <c r="F780" s="3" t="s">
        <v>2801</v>
      </c>
      <c r="G780" s="3" t="s">
        <v>2802</v>
      </c>
      <c r="H780" s="43">
        <v>45440</v>
      </c>
      <c r="I780" s="43">
        <v>45671</v>
      </c>
      <c r="J780" s="47" t="str">
        <f>IF(GroDB[[#This Row],[Last_Order_Date]]&lt;=GroDB[[#This Row],[Date_Received]], "Yes", "No")</f>
        <v>No</v>
      </c>
      <c r="K780" s="43">
        <f>IF(GroDB[[#This Row],[Column1]]="No",GroDB[[#This Row],[Last_Order_Date]],GroDB[[#This Row],[Date_Received]])</f>
        <v>45671</v>
      </c>
      <c r="L780" s="43">
        <f>IF(GroDB[[#This Row],[Column1]]="No",GroDB[[#This Row],[Date_Received]],GroDB[[#This Row],[Last_Order_Date]])</f>
        <v>45440</v>
      </c>
      <c r="M780" s="45">
        <f>GroDB[[#This Row],[Date_Received1]]-GroDB[[#This Row],[Procurement_Date]]</f>
        <v>231</v>
      </c>
      <c r="N780" s="43">
        <v>45523</v>
      </c>
      <c r="O780" s="91">
        <f>GroDB[[#This Row],[Expiration_Date]]-GroDB[[#This Row],[Date_Received1]]</f>
        <v>-148</v>
      </c>
      <c r="P780" s="4">
        <v>6.4</v>
      </c>
      <c r="Q780" s="3">
        <v>64</v>
      </c>
      <c r="R780" s="3">
        <v>66</v>
      </c>
      <c r="S780" s="3">
        <v>28</v>
      </c>
      <c r="T780" s="4">
        <v>8</v>
      </c>
      <c r="U780" s="3">
        <v>25</v>
      </c>
      <c r="V780" s="51">
        <f>IF(GroDB[[#This Row],[LeadTime]]=0,GroDB[[#This Row],[Sales_Volume]],GroDB[[#This Row],[Sales_Volume]]/GroDB[[#This Row],[LeadTime]])</f>
        <v>0.10822510822510822</v>
      </c>
      <c r="W780" s="51">
        <f>_xlfn.STDEV.S(GroDB[Daily Sales])</f>
        <v>5.1999899792654221</v>
      </c>
      <c r="X780" s="3">
        <v>52</v>
      </c>
      <c r="Y780" s="7">
        <v>0.28999999999999998</v>
      </c>
      <c r="Z780" s="4">
        <f>GroDB[[#This Row],[Unit_Price]]*GroDB[[#This Row],[Sales_Volume]]</f>
        <v>200</v>
      </c>
      <c r="AA780" s="22">
        <f>GroDB[[#This Row],[ADU]]/GroDB[[#Totals],[ADU]]</f>
        <v>5.8094049269679347E-4</v>
      </c>
      <c r="AB780" s="1">
        <f>GroDB[[#This Row],[Sales_Volume]]*GroDB[[#This Row],[Ordering Cost]]</f>
        <v>160</v>
      </c>
    </row>
    <row r="781" spans="1:28" x14ac:dyDescent="0.35">
      <c r="A781" s="5" t="s">
        <v>126</v>
      </c>
      <c r="B781" s="3" t="s">
        <v>127</v>
      </c>
      <c r="C781" s="3" t="s">
        <v>2713</v>
      </c>
      <c r="D781" s="3" t="s">
        <v>2803</v>
      </c>
      <c r="E781" s="3" t="s">
        <v>56</v>
      </c>
      <c r="F781" s="3" t="s">
        <v>2804</v>
      </c>
      <c r="G781" s="3" t="s">
        <v>2805</v>
      </c>
      <c r="H781" s="43">
        <v>45441</v>
      </c>
      <c r="I781" s="43">
        <v>45604</v>
      </c>
      <c r="J781" s="47" t="str">
        <f>IF(GroDB[[#This Row],[Last_Order_Date]]&lt;=GroDB[[#This Row],[Date_Received]], "Yes", "No")</f>
        <v>No</v>
      </c>
      <c r="K781" s="43">
        <f>IF(GroDB[[#This Row],[Column1]]="No",GroDB[[#This Row],[Last_Order_Date]],GroDB[[#This Row],[Date_Received]])</f>
        <v>45604</v>
      </c>
      <c r="L781" s="43">
        <f>IF(GroDB[[#This Row],[Column1]]="No",GroDB[[#This Row],[Date_Received]],GroDB[[#This Row],[Last_Order_Date]])</f>
        <v>45441</v>
      </c>
      <c r="M781" s="45">
        <f>GroDB[[#This Row],[Date_Received1]]-GroDB[[#This Row],[Procurement_Date]]</f>
        <v>163</v>
      </c>
      <c r="N781" s="43">
        <v>45417</v>
      </c>
      <c r="O781" s="91">
        <f>GroDB[[#This Row],[Expiration_Date]]-GroDB[[#This Row],[Date_Received1]]</f>
        <v>-187</v>
      </c>
      <c r="P781" s="4">
        <v>16</v>
      </c>
      <c r="Q781" s="3">
        <v>55</v>
      </c>
      <c r="R781" s="3">
        <v>93</v>
      </c>
      <c r="S781" s="3">
        <v>84</v>
      </c>
      <c r="T781" s="4">
        <v>20</v>
      </c>
      <c r="U781" s="3">
        <v>46</v>
      </c>
      <c r="V781" s="51">
        <f>IF(GroDB[[#This Row],[LeadTime]]=0,GroDB[[#This Row],[Sales_Volume]],GroDB[[#This Row],[Sales_Volume]]/GroDB[[#This Row],[LeadTime]])</f>
        <v>0.2822085889570552</v>
      </c>
      <c r="W781" s="51">
        <f>_xlfn.STDEV.S(GroDB[Daily Sales])</f>
        <v>5.1999899792654221</v>
      </c>
      <c r="X781" s="3">
        <v>84</v>
      </c>
      <c r="Y781" s="7">
        <v>-1.08</v>
      </c>
      <c r="Z781" s="4">
        <f>GroDB[[#This Row],[Unit_Price]]*GroDB[[#This Row],[Sales_Volume]]</f>
        <v>920</v>
      </c>
      <c r="AA781" s="22">
        <f>GroDB[[#This Row],[ADU]]/GroDB[[#Totals],[ADU]]</f>
        <v>2.6723262664052499E-3</v>
      </c>
      <c r="AB781" s="1">
        <f>GroDB[[#This Row],[Sales_Volume]]*GroDB[[#This Row],[Ordering Cost]]</f>
        <v>736</v>
      </c>
    </row>
    <row r="782" spans="1:28" x14ac:dyDescent="0.35">
      <c r="A782" s="5" t="s">
        <v>980</v>
      </c>
      <c r="B782" s="3" t="s">
        <v>60</v>
      </c>
      <c r="C782" s="3" t="s">
        <v>1557</v>
      </c>
      <c r="D782" s="3" t="s">
        <v>2806</v>
      </c>
      <c r="E782" s="3" t="s">
        <v>21</v>
      </c>
      <c r="F782" s="3" t="s">
        <v>2807</v>
      </c>
      <c r="G782" s="3" t="s">
        <v>2808</v>
      </c>
      <c r="H782" s="43">
        <v>45441</v>
      </c>
      <c r="I782" s="43">
        <v>45544</v>
      </c>
      <c r="J782" s="47" t="str">
        <f>IF(GroDB[[#This Row],[Last_Order_Date]]&lt;=GroDB[[#This Row],[Date_Received]], "Yes", "No")</f>
        <v>No</v>
      </c>
      <c r="K782" s="43">
        <f>IF(GroDB[[#This Row],[Column1]]="No",GroDB[[#This Row],[Last_Order_Date]],GroDB[[#This Row],[Date_Received]])</f>
        <v>45544</v>
      </c>
      <c r="L782" s="43">
        <f>IF(GroDB[[#This Row],[Column1]]="No",GroDB[[#This Row],[Date_Received]],GroDB[[#This Row],[Last_Order_Date]])</f>
        <v>45441</v>
      </c>
      <c r="M782" s="45">
        <f>GroDB[[#This Row],[Date_Received1]]-GroDB[[#This Row],[Procurement_Date]]</f>
        <v>103</v>
      </c>
      <c r="N782" s="43">
        <v>45590</v>
      </c>
      <c r="O782" s="91">
        <f>GroDB[[#This Row],[Expiration_Date]]-GroDB[[#This Row],[Date_Received1]]</f>
        <v>46</v>
      </c>
      <c r="P782" s="4">
        <v>12</v>
      </c>
      <c r="Q782" s="3">
        <v>88</v>
      </c>
      <c r="R782" s="3">
        <v>83</v>
      </c>
      <c r="S782" s="3">
        <v>42</v>
      </c>
      <c r="T782" s="4">
        <v>15</v>
      </c>
      <c r="U782" s="3">
        <v>61</v>
      </c>
      <c r="V782" s="51">
        <f>IF(GroDB[[#This Row],[LeadTime]]=0,GroDB[[#This Row],[Sales_Volume]],GroDB[[#This Row],[Sales_Volume]]/GroDB[[#This Row],[LeadTime]])</f>
        <v>0.59223300970873782</v>
      </c>
      <c r="W782" s="51">
        <f>_xlfn.STDEV.S(GroDB[Daily Sales])</f>
        <v>5.1999899792654221</v>
      </c>
      <c r="X782" s="3">
        <v>59</v>
      </c>
      <c r="Y782" s="7">
        <v>-0.83</v>
      </c>
      <c r="Z782" s="4">
        <f>GroDB[[#This Row],[Unit_Price]]*GroDB[[#This Row],[Sales_Volume]]</f>
        <v>915</v>
      </c>
      <c r="AA782" s="22">
        <f>GroDB[[#This Row],[ADU]]/GroDB[[#Totals],[ADU]]</f>
        <v>2.6578027540878303E-3</v>
      </c>
      <c r="AB782" s="1">
        <f>GroDB[[#This Row],[Sales_Volume]]*GroDB[[#This Row],[Ordering Cost]]</f>
        <v>732</v>
      </c>
    </row>
    <row r="783" spans="1:28" x14ac:dyDescent="0.35">
      <c r="A783" s="5" t="s">
        <v>211</v>
      </c>
      <c r="B783" s="3" t="s">
        <v>32</v>
      </c>
      <c r="C783" s="3" t="s">
        <v>1296</v>
      </c>
      <c r="D783" s="3" t="s">
        <v>2809</v>
      </c>
      <c r="E783" s="3" t="s">
        <v>28</v>
      </c>
      <c r="F783" s="3" t="s">
        <v>2810</v>
      </c>
      <c r="G783" s="3" t="s">
        <v>2811</v>
      </c>
      <c r="H783" s="43">
        <v>45441</v>
      </c>
      <c r="I783" s="43">
        <v>45599</v>
      </c>
      <c r="J783" s="47" t="str">
        <f>IF(GroDB[[#This Row],[Last_Order_Date]]&lt;=GroDB[[#This Row],[Date_Received]], "Yes", "No")</f>
        <v>No</v>
      </c>
      <c r="K783" s="43">
        <f>IF(GroDB[[#This Row],[Column1]]="No",GroDB[[#This Row],[Last_Order_Date]],GroDB[[#This Row],[Date_Received]])</f>
        <v>45599</v>
      </c>
      <c r="L783" s="43">
        <f>IF(GroDB[[#This Row],[Column1]]="No",GroDB[[#This Row],[Date_Received]],GroDB[[#This Row],[Last_Order_Date]])</f>
        <v>45441</v>
      </c>
      <c r="M783" s="45">
        <f>GroDB[[#This Row],[Date_Received1]]-GroDB[[#This Row],[Procurement_Date]]</f>
        <v>158</v>
      </c>
      <c r="N783" s="43">
        <v>45388</v>
      </c>
      <c r="O783" s="91">
        <f>GroDB[[#This Row],[Expiration_Date]]-GroDB[[#This Row],[Date_Received1]]</f>
        <v>-211</v>
      </c>
      <c r="P783" s="4">
        <v>3.2</v>
      </c>
      <c r="Q783" s="3">
        <v>29</v>
      </c>
      <c r="R783" s="3">
        <v>39</v>
      </c>
      <c r="S783" s="3">
        <v>80</v>
      </c>
      <c r="T783" s="4">
        <v>4</v>
      </c>
      <c r="U783" s="3">
        <v>23</v>
      </c>
      <c r="V783" s="51">
        <f>IF(GroDB[[#This Row],[LeadTime]]=0,GroDB[[#This Row],[Sales_Volume]],GroDB[[#This Row],[Sales_Volume]]/GroDB[[#This Row],[LeadTime]])</f>
        <v>0.14556962025316456</v>
      </c>
      <c r="W783" s="51">
        <f>_xlfn.STDEV.S(GroDB[Daily Sales])</f>
        <v>5.1999899792654221</v>
      </c>
      <c r="X783" s="3">
        <v>85</v>
      </c>
      <c r="Y783" s="7">
        <v>0.03</v>
      </c>
      <c r="Z783" s="4">
        <f>GroDB[[#This Row],[Unit_Price]]*GroDB[[#This Row],[Sales_Volume]]</f>
        <v>92</v>
      </c>
      <c r="AA783" s="22">
        <f>GroDB[[#This Row],[ADU]]/GroDB[[#Totals],[ADU]]</f>
        <v>2.6723262664052501E-4</v>
      </c>
      <c r="AB783" s="1">
        <f>GroDB[[#This Row],[Sales_Volume]]*GroDB[[#This Row],[Ordering Cost]]</f>
        <v>73.600000000000009</v>
      </c>
    </row>
    <row r="784" spans="1:28" x14ac:dyDescent="0.35">
      <c r="A784" s="5" t="s">
        <v>116</v>
      </c>
      <c r="B784" s="3" t="s">
        <v>18</v>
      </c>
      <c r="C784" s="3" t="s">
        <v>321</v>
      </c>
      <c r="D784" s="3" t="s">
        <v>2812</v>
      </c>
      <c r="E784" s="3" t="s">
        <v>21</v>
      </c>
      <c r="F784" s="3" t="s">
        <v>2813</v>
      </c>
      <c r="G784" s="3" t="s">
        <v>2814</v>
      </c>
      <c r="H784" s="43">
        <v>45442</v>
      </c>
      <c r="I784" s="43">
        <v>45428</v>
      </c>
      <c r="J784" s="47" t="str">
        <f>IF(GroDB[[#This Row],[Last_Order_Date]]&lt;=GroDB[[#This Row],[Date_Received]], "Yes", "No")</f>
        <v>Yes</v>
      </c>
      <c r="K784" s="43">
        <f>IF(GroDB[[#This Row],[Column1]]="No",GroDB[[#This Row],[Last_Order_Date]],GroDB[[#This Row],[Date_Received]])</f>
        <v>45442</v>
      </c>
      <c r="L784" s="43">
        <f>IF(GroDB[[#This Row],[Column1]]="No",GroDB[[#This Row],[Date_Received]],GroDB[[#This Row],[Last_Order_Date]])</f>
        <v>45428</v>
      </c>
      <c r="M784" s="45">
        <f>GroDB[[#This Row],[Date_Received1]]-GroDB[[#This Row],[Procurement_Date]]</f>
        <v>14</v>
      </c>
      <c r="N784" s="43">
        <v>45509</v>
      </c>
      <c r="O784" s="91">
        <f>GroDB[[#This Row],[Expiration_Date]]-GroDB[[#This Row],[Date_Received1]]</f>
        <v>67</v>
      </c>
      <c r="P784" s="4">
        <v>2.4000000000000004</v>
      </c>
      <c r="Q784" s="3">
        <v>31</v>
      </c>
      <c r="R784" s="3">
        <v>44</v>
      </c>
      <c r="S784" s="3">
        <v>9</v>
      </c>
      <c r="T784" s="4">
        <v>3</v>
      </c>
      <c r="U784" s="3">
        <v>46</v>
      </c>
      <c r="V784" s="51">
        <f>IF(GroDB[[#This Row],[LeadTime]]=0,GroDB[[#This Row],[Sales_Volume]],GroDB[[#This Row],[Sales_Volume]]/GroDB[[#This Row],[LeadTime]])</f>
        <v>3.2857142857142856</v>
      </c>
      <c r="W784" s="51">
        <f>_xlfn.STDEV.S(GroDB[Daily Sales])</f>
        <v>5.1999899792654221</v>
      </c>
      <c r="X784" s="3">
        <v>9</v>
      </c>
      <c r="Y784" s="7">
        <v>-2.7</v>
      </c>
      <c r="Z784" s="4">
        <f>GroDB[[#This Row],[Unit_Price]]*GroDB[[#This Row],[Sales_Volume]]</f>
        <v>138</v>
      </c>
      <c r="AA784" s="22">
        <f>GroDB[[#This Row],[ADU]]/GroDB[[#Totals],[ADU]]</f>
        <v>4.0084893996078752E-4</v>
      </c>
      <c r="AB784" s="1">
        <f>GroDB[[#This Row],[Sales_Volume]]*GroDB[[#This Row],[Ordering Cost]]</f>
        <v>110.40000000000002</v>
      </c>
    </row>
    <row r="785" spans="1:28" x14ac:dyDescent="0.35">
      <c r="A785" s="5" t="s">
        <v>1369</v>
      </c>
      <c r="B785" s="3" t="s">
        <v>32</v>
      </c>
      <c r="C785" s="3" t="s">
        <v>2815</v>
      </c>
      <c r="D785" s="3" t="s">
        <v>2816</v>
      </c>
      <c r="E785" s="3" t="s">
        <v>21</v>
      </c>
      <c r="F785" s="3" t="s">
        <v>2817</v>
      </c>
      <c r="G785" s="3" t="s">
        <v>2818</v>
      </c>
      <c r="H785" s="43">
        <v>45442</v>
      </c>
      <c r="I785" s="43">
        <v>45706</v>
      </c>
      <c r="J785" s="47" t="str">
        <f>IF(GroDB[[#This Row],[Last_Order_Date]]&lt;=GroDB[[#This Row],[Date_Received]], "Yes", "No")</f>
        <v>No</v>
      </c>
      <c r="K785" s="43">
        <f>IF(GroDB[[#This Row],[Column1]]="No",GroDB[[#This Row],[Last_Order_Date]],GroDB[[#This Row],[Date_Received]])</f>
        <v>45706</v>
      </c>
      <c r="L785" s="43">
        <f>IF(GroDB[[#This Row],[Column1]]="No",GroDB[[#This Row],[Date_Received]],GroDB[[#This Row],[Last_Order_Date]])</f>
        <v>45442</v>
      </c>
      <c r="M785" s="45">
        <f>GroDB[[#This Row],[Date_Received1]]-GroDB[[#This Row],[Procurement_Date]]</f>
        <v>264</v>
      </c>
      <c r="N785" s="43">
        <v>45491</v>
      </c>
      <c r="O785" s="91">
        <f>GroDB[[#This Row],[Expiration_Date]]-GroDB[[#This Row],[Date_Received1]]</f>
        <v>-215</v>
      </c>
      <c r="P785" s="4">
        <v>3.2</v>
      </c>
      <c r="Q785" s="3">
        <v>63</v>
      </c>
      <c r="R785" s="3">
        <v>48</v>
      </c>
      <c r="S785" s="3">
        <v>22</v>
      </c>
      <c r="T785" s="4">
        <v>4</v>
      </c>
      <c r="U785" s="3">
        <v>21</v>
      </c>
      <c r="V785" s="51">
        <f>IF(GroDB[[#This Row],[LeadTime]]=0,GroDB[[#This Row],[Sales_Volume]],GroDB[[#This Row],[Sales_Volume]]/GroDB[[#This Row],[LeadTime]])</f>
        <v>7.9545454545454544E-2</v>
      </c>
      <c r="W785" s="51">
        <f>_xlfn.STDEV.S(GroDB[Daily Sales])</f>
        <v>5.1999899792654221</v>
      </c>
      <c r="X785" s="3">
        <v>90</v>
      </c>
      <c r="Y785" s="7">
        <v>0.8</v>
      </c>
      <c r="Z785" s="4">
        <f>GroDB[[#This Row],[Unit_Price]]*GroDB[[#This Row],[Sales_Volume]]</f>
        <v>84</v>
      </c>
      <c r="AA785" s="22">
        <f>GroDB[[#This Row],[ADU]]/GroDB[[#Totals],[ADU]]</f>
        <v>2.4399500693265326E-4</v>
      </c>
      <c r="AB785" s="1">
        <f>GroDB[[#This Row],[Sales_Volume]]*GroDB[[#This Row],[Ordering Cost]]</f>
        <v>67.2</v>
      </c>
    </row>
    <row r="786" spans="1:28" x14ac:dyDescent="0.35">
      <c r="A786" s="5" t="s">
        <v>17</v>
      </c>
      <c r="B786" s="3" t="s">
        <v>18</v>
      </c>
      <c r="C786" s="3" t="s">
        <v>2819</v>
      </c>
      <c r="D786" s="3" t="s">
        <v>2820</v>
      </c>
      <c r="E786" s="3" t="s">
        <v>21</v>
      </c>
      <c r="F786" s="3" t="s">
        <v>2821</v>
      </c>
      <c r="G786" s="3" t="s">
        <v>2822</v>
      </c>
      <c r="H786" s="43">
        <v>45442</v>
      </c>
      <c r="I786" s="43">
        <v>45452</v>
      </c>
      <c r="J786" s="47" t="str">
        <f>IF(GroDB[[#This Row],[Last_Order_Date]]&lt;=GroDB[[#This Row],[Date_Received]], "Yes", "No")</f>
        <v>No</v>
      </c>
      <c r="K786" s="43">
        <f>IF(GroDB[[#This Row],[Column1]]="No",GroDB[[#This Row],[Last_Order_Date]],GroDB[[#This Row],[Date_Received]])</f>
        <v>45452</v>
      </c>
      <c r="L786" s="43">
        <f>IF(GroDB[[#This Row],[Column1]]="No",GroDB[[#This Row],[Date_Received]],GroDB[[#This Row],[Last_Order_Date]])</f>
        <v>45442</v>
      </c>
      <c r="M786" s="45">
        <f>GroDB[[#This Row],[Date_Received1]]-GroDB[[#This Row],[Procurement_Date]]</f>
        <v>10</v>
      </c>
      <c r="N786" s="43">
        <v>45467</v>
      </c>
      <c r="O786" s="91">
        <f>GroDB[[#This Row],[Expiration_Date]]-GroDB[[#This Row],[Date_Received1]]</f>
        <v>15</v>
      </c>
      <c r="P786" s="4">
        <v>3.6</v>
      </c>
      <c r="Q786" s="3">
        <v>75</v>
      </c>
      <c r="R786" s="3">
        <v>85</v>
      </c>
      <c r="S786" s="3">
        <v>27</v>
      </c>
      <c r="T786" s="4">
        <v>4.5</v>
      </c>
      <c r="U786" s="3">
        <v>26</v>
      </c>
      <c r="V786" s="51">
        <f>IF(GroDB[[#This Row],[LeadTime]]=0,GroDB[[#This Row],[Sales_Volume]],GroDB[[#This Row],[Sales_Volume]]/GroDB[[#This Row],[LeadTime]])</f>
        <v>2.6</v>
      </c>
      <c r="W786" s="51">
        <f>_xlfn.STDEV.S(GroDB[Daily Sales])</f>
        <v>5.1999899792654221</v>
      </c>
      <c r="X786" s="3">
        <v>68</v>
      </c>
      <c r="Y786" s="7">
        <v>-3.29</v>
      </c>
      <c r="Z786" s="4">
        <f>GroDB[[#This Row],[Unit_Price]]*GroDB[[#This Row],[Sales_Volume]]</f>
        <v>117</v>
      </c>
      <c r="AA786" s="22">
        <f>GroDB[[#This Row],[ADU]]/GroDB[[#Totals],[ADU]]</f>
        <v>3.3985018822762418E-4</v>
      </c>
      <c r="AB786" s="1">
        <f>GroDB[[#This Row],[Sales_Volume]]*GroDB[[#This Row],[Ordering Cost]]</f>
        <v>93.600000000000009</v>
      </c>
    </row>
    <row r="787" spans="1:28" x14ac:dyDescent="0.35">
      <c r="A787" s="5" t="s">
        <v>96</v>
      </c>
      <c r="B787" s="3" t="s">
        <v>18</v>
      </c>
      <c r="C787" s="3" t="s">
        <v>166</v>
      </c>
      <c r="D787" s="3" t="s">
        <v>2823</v>
      </c>
      <c r="E787" s="3" t="s">
        <v>28</v>
      </c>
      <c r="F787" s="3" t="s">
        <v>2824</v>
      </c>
      <c r="G787" s="3" t="s">
        <v>2825</v>
      </c>
      <c r="H787" s="43">
        <v>45442</v>
      </c>
      <c r="I787" s="43">
        <v>45372</v>
      </c>
      <c r="J787" s="47" t="str">
        <f>IF(GroDB[[#This Row],[Last_Order_Date]]&lt;=GroDB[[#This Row],[Date_Received]], "Yes", "No")</f>
        <v>Yes</v>
      </c>
      <c r="K787" s="43">
        <f>IF(GroDB[[#This Row],[Column1]]="No",GroDB[[#This Row],[Last_Order_Date]],GroDB[[#This Row],[Date_Received]])</f>
        <v>45442</v>
      </c>
      <c r="L787" s="43">
        <f>IF(GroDB[[#This Row],[Column1]]="No",GroDB[[#This Row],[Date_Received]],GroDB[[#This Row],[Last_Order_Date]])</f>
        <v>45372</v>
      </c>
      <c r="M787" s="45">
        <f>GroDB[[#This Row],[Date_Received1]]-GroDB[[#This Row],[Procurement_Date]]</f>
        <v>70</v>
      </c>
      <c r="N787" s="43">
        <v>45679</v>
      </c>
      <c r="O787" s="91">
        <f>GroDB[[#This Row],[Expiration_Date]]-GroDB[[#This Row],[Date_Received1]]</f>
        <v>237</v>
      </c>
      <c r="P787" s="4">
        <v>2</v>
      </c>
      <c r="Q787" s="3">
        <v>63</v>
      </c>
      <c r="R787" s="3">
        <v>62</v>
      </c>
      <c r="S787" s="3">
        <v>98</v>
      </c>
      <c r="T787" s="4">
        <v>2.5</v>
      </c>
      <c r="U787" s="3">
        <v>62</v>
      </c>
      <c r="V787" s="51">
        <f>IF(GroDB[[#This Row],[LeadTime]]=0,GroDB[[#This Row],[Sales_Volume]],GroDB[[#This Row],[Sales_Volume]]/GroDB[[#This Row],[LeadTime]])</f>
        <v>0.88571428571428568</v>
      </c>
      <c r="W787" s="51">
        <f>_xlfn.STDEV.S(GroDB[Daily Sales])</f>
        <v>5.1999899792654221</v>
      </c>
      <c r="X787" s="3">
        <v>45</v>
      </c>
      <c r="Y787" s="7">
        <v>-1.62</v>
      </c>
      <c r="Z787" s="4">
        <f>GroDB[[#This Row],[Unit_Price]]*GroDB[[#This Row],[Sales_Volume]]</f>
        <v>155</v>
      </c>
      <c r="AA787" s="22">
        <f>GroDB[[#This Row],[ADU]]/GroDB[[#Totals],[ADU]]</f>
        <v>4.5022888184001496E-4</v>
      </c>
      <c r="AB787" s="1">
        <f>GroDB[[#This Row],[Sales_Volume]]*GroDB[[#This Row],[Ordering Cost]]</f>
        <v>124</v>
      </c>
    </row>
    <row r="788" spans="1:28" x14ac:dyDescent="0.35">
      <c r="A788" s="5" t="s">
        <v>438</v>
      </c>
      <c r="B788" s="3" t="s">
        <v>18</v>
      </c>
      <c r="C788" s="3" t="s">
        <v>2180</v>
      </c>
      <c r="D788" s="3" t="s">
        <v>2826</v>
      </c>
      <c r="E788" s="3" t="s">
        <v>28</v>
      </c>
      <c r="F788" s="3" t="s">
        <v>2827</v>
      </c>
      <c r="G788" s="3" t="s">
        <v>2828</v>
      </c>
      <c r="H788" s="43">
        <v>45442</v>
      </c>
      <c r="I788" s="43">
        <v>45616</v>
      </c>
      <c r="J788" s="47" t="str">
        <f>IF(GroDB[[#This Row],[Last_Order_Date]]&lt;=GroDB[[#This Row],[Date_Received]], "Yes", "No")</f>
        <v>No</v>
      </c>
      <c r="K788" s="43">
        <f>IF(GroDB[[#This Row],[Column1]]="No",GroDB[[#This Row],[Last_Order_Date]],GroDB[[#This Row],[Date_Received]])</f>
        <v>45616</v>
      </c>
      <c r="L788" s="43">
        <f>IF(GroDB[[#This Row],[Column1]]="No",GroDB[[#This Row],[Date_Received]],GroDB[[#This Row],[Last_Order_Date]])</f>
        <v>45442</v>
      </c>
      <c r="M788" s="45">
        <f>GroDB[[#This Row],[Date_Received1]]-GroDB[[#This Row],[Procurement_Date]]</f>
        <v>174</v>
      </c>
      <c r="N788" s="43">
        <v>45671</v>
      </c>
      <c r="O788" s="91">
        <f>GroDB[[#This Row],[Expiration_Date]]-GroDB[[#This Row],[Date_Received1]]</f>
        <v>55</v>
      </c>
      <c r="P788" s="4">
        <v>4</v>
      </c>
      <c r="Q788" s="3">
        <v>32</v>
      </c>
      <c r="R788" s="3">
        <v>27</v>
      </c>
      <c r="S788" s="3">
        <v>26</v>
      </c>
      <c r="T788" s="4">
        <v>5</v>
      </c>
      <c r="U788" s="3">
        <v>38</v>
      </c>
      <c r="V788" s="51">
        <f>IF(GroDB[[#This Row],[LeadTime]]=0,GroDB[[#This Row],[Sales_Volume]],GroDB[[#This Row],[Sales_Volume]]/GroDB[[#This Row],[LeadTime]])</f>
        <v>0.21839080459770116</v>
      </c>
      <c r="W788" s="51">
        <f>_xlfn.STDEV.S(GroDB[Daily Sales])</f>
        <v>5.1999899792654221</v>
      </c>
      <c r="X788" s="3">
        <v>79</v>
      </c>
      <c r="Y788" s="7">
        <v>0.27</v>
      </c>
      <c r="Z788" s="4">
        <f>GroDB[[#This Row],[Unit_Price]]*GroDB[[#This Row],[Sales_Volume]]</f>
        <v>190</v>
      </c>
      <c r="AA788" s="22">
        <f>GroDB[[#This Row],[ADU]]/GroDB[[#Totals],[ADU]]</f>
        <v>5.518934680619538E-4</v>
      </c>
      <c r="AB788" s="1">
        <f>GroDB[[#This Row],[Sales_Volume]]*GroDB[[#This Row],[Ordering Cost]]</f>
        <v>152</v>
      </c>
    </row>
    <row r="789" spans="1:28" x14ac:dyDescent="0.35">
      <c r="A789" s="5" t="s">
        <v>574</v>
      </c>
      <c r="B789" s="3" t="s">
        <v>53</v>
      </c>
      <c r="C789" s="3" t="s">
        <v>886</v>
      </c>
      <c r="D789" s="3" t="s">
        <v>2829</v>
      </c>
      <c r="E789" s="3" t="s">
        <v>28</v>
      </c>
      <c r="F789" s="3" t="s">
        <v>2830</v>
      </c>
      <c r="G789" s="3" t="s">
        <v>2831</v>
      </c>
      <c r="H789" s="43">
        <v>45443</v>
      </c>
      <c r="I789" s="43">
        <v>45696</v>
      </c>
      <c r="J789" s="47" t="str">
        <f>IF(GroDB[[#This Row],[Last_Order_Date]]&lt;=GroDB[[#This Row],[Date_Received]], "Yes", "No")</f>
        <v>No</v>
      </c>
      <c r="K789" s="43">
        <f>IF(GroDB[[#This Row],[Column1]]="No",GroDB[[#This Row],[Last_Order_Date]],GroDB[[#This Row],[Date_Received]])</f>
        <v>45696</v>
      </c>
      <c r="L789" s="43">
        <f>IF(GroDB[[#This Row],[Column1]]="No",GroDB[[#This Row],[Date_Received]],GroDB[[#This Row],[Last_Order_Date]])</f>
        <v>45443</v>
      </c>
      <c r="M789" s="45">
        <f>GroDB[[#This Row],[Date_Received1]]-GroDB[[#This Row],[Procurement_Date]]</f>
        <v>253</v>
      </c>
      <c r="N789" s="43">
        <v>45654</v>
      </c>
      <c r="O789" s="91">
        <f>GroDB[[#This Row],[Expiration_Date]]-GroDB[[#This Row],[Date_Received1]]</f>
        <v>-42</v>
      </c>
      <c r="P789" s="4">
        <v>1.6</v>
      </c>
      <c r="Q789" s="3">
        <v>65</v>
      </c>
      <c r="R789" s="3">
        <v>61</v>
      </c>
      <c r="S789" s="3">
        <v>82</v>
      </c>
      <c r="T789" s="4">
        <v>2</v>
      </c>
      <c r="U789" s="3">
        <v>29</v>
      </c>
      <c r="V789" s="51">
        <f>IF(GroDB[[#This Row],[LeadTime]]=0,GroDB[[#This Row],[Sales_Volume]],GroDB[[#This Row],[Sales_Volume]]/GroDB[[#This Row],[LeadTime]])</f>
        <v>0.11462450592885376</v>
      </c>
      <c r="W789" s="51">
        <f>_xlfn.STDEV.S(GroDB[Daily Sales])</f>
        <v>5.1999899792654221</v>
      </c>
      <c r="X789" s="3">
        <v>11</v>
      </c>
      <c r="Y789" s="7">
        <v>-1.08</v>
      </c>
      <c r="Z789" s="4">
        <f>GroDB[[#This Row],[Unit_Price]]*GroDB[[#This Row],[Sales_Volume]]</f>
        <v>58</v>
      </c>
      <c r="AA789" s="22">
        <f>GroDB[[#This Row],[ADU]]/GroDB[[#Totals],[ADU]]</f>
        <v>1.6847274288207012E-4</v>
      </c>
      <c r="AB789" s="1">
        <f>GroDB[[#This Row],[Sales_Volume]]*GroDB[[#This Row],[Ordering Cost]]</f>
        <v>46.400000000000006</v>
      </c>
    </row>
    <row r="790" spans="1:28" x14ac:dyDescent="0.35">
      <c r="A790" s="5" t="s">
        <v>96</v>
      </c>
      <c r="B790" s="3" t="s">
        <v>18</v>
      </c>
      <c r="C790" s="3" t="s">
        <v>532</v>
      </c>
      <c r="D790" s="3" t="s">
        <v>2832</v>
      </c>
      <c r="E790" s="3" t="s">
        <v>21</v>
      </c>
      <c r="F790" s="3" t="s">
        <v>2833</v>
      </c>
      <c r="G790" s="3" t="s">
        <v>2834</v>
      </c>
      <c r="H790" s="43">
        <v>45456</v>
      </c>
      <c r="I790" s="43">
        <v>45627</v>
      </c>
      <c r="J790" s="47" t="str">
        <f>IF(GroDB[[#This Row],[Last_Order_Date]]&lt;=GroDB[[#This Row],[Date_Received]], "Yes", "No")</f>
        <v>No</v>
      </c>
      <c r="K790" s="43">
        <f>IF(GroDB[[#This Row],[Column1]]="No",GroDB[[#This Row],[Last_Order_Date]],GroDB[[#This Row],[Date_Received]])</f>
        <v>45627</v>
      </c>
      <c r="L790" s="43">
        <f>IF(GroDB[[#This Row],[Column1]]="No",GroDB[[#This Row],[Date_Received]],GroDB[[#This Row],[Last_Order_Date]])</f>
        <v>45456</v>
      </c>
      <c r="M790" s="45">
        <f>GroDB[[#This Row],[Date_Received1]]-GroDB[[#This Row],[Procurement_Date]]</f>
        <v>171</v>
      </c>
      <c r="N790" s="43">
        <v>45508</v>
      </c>
      <c r="O790" s="91">
        <f>GroDB[[#This Row],[Expiration_Date]]-GroDB[[#This Row],[Date_Received1]]</f>
        <v>-119</v>
      </c>
      <c r="P790" s="4">
        <v>2</v>
      </c>
      <c r="Q790" s="3">
        <v>57</v>
      </c>
      <c r="R790" s="3">
        <v>43</v>
      </c>
      <c r="S790" s="3">
        <v>46</v>
      </c>
      <c r="T790" s="4">
        <v>2.5</v>
      </c>
      <c r="U790" s="3">
        <v>87</v>
      </c>
      <c r="V790" s="51">
        <f>IF(GroDB[[#This Row],[LeadTime]]=0,GroDB[[#This Row],[Sales_Volume]],GroDB[[#This Row],[Sales_Volume]]/GroDB[[#This Row],[LeadTime]])</f>
        <v>0.50877192982456143</v>
      </c>
      <c r="W790" s="51">
        <f>_xlfn.STDEV.S(GroDB[Daily Sales])</f>
        <v>5.1999899792654221</v>
      </c>
      <c r="X790" s="3">
        <v>88</v>
      </c>
      <c r="Y790" s="7">
        <v>0.62</v>
      </c>
      <c r="Z790" s="4">
        <f>GroDB[[#This Row],[Unit_Price]]*GroDB[[#This Row],[Sales_Volume]]</f>
        <v>217.5</v>
      </c>
      <c r="AA790" s="22">
        <f>GroDB[[#This Row],[ADU]]/GroDB[[#Totals],[ADU]]</f>
        <v>6.3177278580776289E-4</v>
      </c>
      <c r="AB790" s="1">
        <f>GroDB[[#This Row],[Sales_Volume]]*GroDB[[#This Row],[Ordering Cost]]</f>
        <v>174</v>
      </c>
    </row>
    <row r="791" spans="1:28" x14ac:dyDescent="0.35">
      <c r="A791" s="5" t="s">
        <v>96</v>
      </c>
      <c r="B791" s="3" t="s">
        <v>18</v>
      </c>
      <c r="C791" s="3" t="s">
        <v>1743</v>
      </c>
      <c r="D791" s="3" t="s">
        <v>2835</v>
      </c>
      <c r="E791" s="3" t="s">
        <v>56</v>
      </c>
      <c r="F791" s="3" t="s">
        <v>2836</v>
      </c>
      <c r="G791" s="3" t="s">
        <v>2837</v>
      </c>
      <c r="H791" s="43">
        <v>45457</v>
      </c>
      <c r="I791" s="43">
        <v>45347</v>
      </c>
      <c r="J791" s="47" t="str">
        <f>IF(GroDB[[#This Row],[Last_Order_Date]]&lt;=GroDB[[#This Row],[Date_Received]], "Yes", "No")</f>
        <v>Yes</v>
      </c>
      <c r="K791" s="43">
        <f>IF(GroDB[[#This Row],[Column1]]="No",GroDB[[#This Row],[Last_Order_Date]],GroDB[[#This Row],[Date_Received]])</f>
        <v>45457</v>
      </c>
      <c r="L791" s="43">
        <f>IF(GroDB[[#This Row],[Column1]]="No",GroDB[[#This Row],[Date_Received]],GroDB[[#This Row],[Last_Order_Date]])</f>
        <v>45347</v>
      </c>
      <c r="M791" s="45">
        <f>GroDB[[#This Row],[Date_Received1]]-GroDB[[#This Row],[Procurement_Date]]</f>
        <v>110</v>
      </c>
      <c r="N791" s="43">
        <v>45426</v>
      </c>
      <c r="O791" s="91">
        <f>GroDB[[#This Row],[Expiration_Date]]-GroDB[[#This Row],[Date_Received1]]</f>
        <v>-31</v>
      </c>
      <c r="P791" s="4">
        <v>2</v>
      </c>
      <c r="Q791" s="3">
        <v>57</v>
      </c>
      <c r="R791" s="3">
        <v>25</v>
      </c>
      <c r="S791" s="3">
        <v>98</v>
      </c>
      <c r="T791" s="4">
        <v>2.5</v>
      </c>
      <c r="U791" s="3">
        <v>78</v>
      </c>
      <c r="V791" s="51">
        <f>IF(GroDB[[#This Row],[LeadTime]]=0,GroDB[[#This Row],[Sales_Volume]],GroDB[[#This Row],[Sales_Volume]]/GroDB[[#This Row],[LeadTime]])</f>
        <v>0.70909090909090911</v>
      </c>
      <c r="W791" s="51">
        <f>_xlfn.STDEV.S(GroDB[Daily Sales])</f>
        <v>5.1999899792654221</v>
      </c>
      <c r="X791" s="3">
        <v>37</v>
      </c>
      <c r="Y791" s="7">
        <v>-0.01</v>
      </c>
      <c r="Z791" s="4">
        <f>GroDB[[#This Row],[Unit_Price]]*GroDB[[#This Row],[Sales_Volume]]</f>
        <v>195</v>
      </c>
      <c r="AA791" s="22">
        <f>GroDB[[#This Row],[ADU]]/GroDB[[#Totals],[ADU]]</f>
        <v>5.6641698037937364E-4</v>
      </c>
      <c r="AB791" s="1">
        <f>GroDB[[#This Row],[Sales_Volume]]*GroDB[[#This Row],[Ordering Cost]]</f>
        <v>156</v>
      </c>
    </row>
    <row r="792" spans="1:28" x14ac:dyDescent="0.35">
      <c r="A792" s="5" t="s">
        <v>836</v>
      </c>
      <c r="B792" s="3" t="s">
        <v>91</v>
      </c>
      <c r="C792" s="3" t="s">
        <v>1595</v>
      </c>
      <c r="D792" s="3" t="s">
        <v>2838</v>
      </c>
      <c r="E792" s="3" t="s">
        <v>28</v>
      </c>
      <c r="F792" s="3" t="s">
        <v>2839</v>
      </c>
      <c r="G792" s="3" t="s">
        <v>2840</v>
      </c>
      <c r="H792" s="43">
        <v>45457</v>
      </c>
      <c r="I792" s="43">
        <v>45570</v>
      </c>
      <c r="J792" s="47" t="str">
        <f>IF(GroDB[[#This Row],[Last_Order_Date]]&lt;=GroDB[[#This Row],[Date_Received]], "Yes", "No")</f>
        <v>No</v>
      </c>
      <c r="K792" s="43">
        <f>IF(GroDB[[#This Row],[Column1]]="No",GroDB[[#This Row],[Last_Order_Date]],GroDB[[#This Row],[Date_Received]])</f>
        <v>45570</v>
      </c>
      <c r="L792" s="43">
        <f>IF(GroDB[[#This Row],[Column1]]="No",GroDB[[#This Row],[Date_Received]],GroDB[[#This Row],[Last_Order_Date]])</f>
        <v>45457</v>
      </c>
      <c r="M792" s="45">
        <f>GroDB[[#This Row],[Date_Received1]]-GroDB[[#This Row],[Procurement_Date]]</f>
        <v>113</v>
      </c>
      <c r="N792" s="43">
        <v>45487</v>
      </c>
      <c r="O792" s="91">
        <f>GroDB[[#This Row],[Expiration_Date]]-GroDB[[#This Row],[Date_Received1]]</f>
        <v>-83</v>
      </c>
      <c r="P792" s="4">
        <v>2.8000000000000003</v>
      </c>
      <c r="Q792" s="3">
        <v>38</v>
      </c>
      <c r="R792" s="3">
        <v>37</v>
      </c>
      <c r="S792" s="3">
        <v>27</v>
      </c>
      <c r="T792" s="4">
        <v>3.5</v>
      </c>
      <c r="U792" s="3">
        <v>45</v>
      </c>
      <c r="V792" s="51">
        <f>IF(GroDB[[#This Row],[LeadTime]]=0,GroDB[[#This Row],[Sales_Volume]],GroDB[[#This Row],[Sales_Volume]]/GroDB[[#This Row],[LeadTime]])</f>
        <v>0.39823008849557523</v>
      </c>
      <c r="W792" s="51">
        <f>_xlfn.STDEV.S(GroDB[Daily Sales])</f>
        <v>5.1999899792654221</v>
      </c>
      <c r="X792" s="3">
        <v>88</v>
      </c>
      <c r="Y792" s="7">
        <v>0.53</v>
      </c>
      <c r="Z792" s="4">
        <f>GroDB[[#This Row],[Unit_Price]]*GroDB[[#This Row],[Sales_Volume]]</f>
        <v>157.5</v>
      </c>
      <c r="AA792" s="22">
        <f>GroDB[[#This Row],[ADU]]/GroDB[[#Totals],[ADU]]</f>
        <v>4.5749063799872488E-4</v>
      </c>
      <c r="AB792" s="1">
        <f>GroDB[[#This Row],[Sales_Volume]]*GroDB[[#This Row],[Ordering Cost]]</f>
        <v>126.00000000000001</v>
      </c>
    </row>
    <row r="793" spans="1:28" x14ac:dyDescent="0.35">
      <c r="A793" s="5" t="s">
        <v>70</v>
      </c>
      <c r="B793" s="3" t="s">
        <v>32</v>
      </c>
      <c r="C793" s="3" t="s">
        <v>882</v>
      </c>
      <c r="D793" s="3" t="s">
        <v>2841</v>
      </c>
      <c r="E793" s="3" t="s">
        <v>21</v>
      </c>
      <c r="F793" s="3" t="s">
        <v>2842</v>
      </c>
      <c r="G793" s="3" t="s">
        <v>2843</v>
      </c>
      <c r="H793" s="43">
        <v>45458</v>
      </c>
      <c r="I793" s="43">
        <v>45470</v>
      </c>
      <c r="J793" s="47" t="str">
        <f>IF(GroDB[[#This Row],[Last_Order_Date]]&lt;=GroDB[[#This Row],[Date_Received]], "Yes", "No")</f>
        <v>No</v>
      </c>
      <c r="K793" s="43">
        <f>IF(GroDB[[#This Row],[Column1]]="No",GroDB[[#This Row],[Last_Order_Date]],GroDB[[#This Row],[Date_Received]])</f>
        <v>45470</v>
      </c>
      <c r="L793" s="43">
        <f>IF(GroDB[[#This Row],[Column1]]="No",GroDB[[#This Row],[Date_Received]],GroDB[[#This Row],[Last_Order_Date]])</f>
        <v>45458</v>
      </c>
      <c r="M793" s="45">
        <f>GroDB[[#This Row],[Date_Received1]]-GroDB[[#This Row],[Procurement_Date]]</f>
        <v>12</v>
      </c>
      <c r="N793" s="43">
        <v>45689</v>
      </c>
      <c r="O793" s="91">
        <f>GroDB[[#This Row],[Expiration_Date]]-GroDB[[#This Row],[Date_Received1]]</f>
        <v>219</v>
      </c>
      <c r="P793" s="4">
        <v>1.4000000000000001</v>
      </c>
      <c r="Q793" s="3">
        <v>59</v>
      </c>
      <c r="R793" s="3">
        <v>27</v>
      </c>
      <c r="S793" s="3">
        <v>63</v>
      </c>
      <c r="T793" s="4">
        <v>1.75</v>
      </c>
      <c r="U793" s="3">
        <v>92</v>
      </c>
      <c r="V793" s="51">
        <f>IF(GroDB[[#This Row],[LeadTime]]=0,GroDB[[#This Row],[Sales_Volume]],GroDB[[#This Row],[Sales_Volume]]/GroDB[[#This Row],[LeadTime]])</f>
        <v>7.666666666666667</v>
      </c>
      <c r="W793" s="51">
        <f>_xlfn.STDEV.S(GroDB[Daily Sales])</f>
        <v>5.1999899792654221</v>
      </c>
      <c r="X793" s="3">
        <v>82</v>
      </c>
      <c r="Y793" s="7">
        <v>-0.96</v>
      </c>
      <c r="Z793" s="4">
        <f>GroDB[[#This Row],[Unit_Price]]*GroDB[[#This Row],[Sales_Volume]]</f>
        <v>161</v>
      </c>
      <c r="AA793" s="22">
        <f>GroDB[[#This Row],[ADU]]/GroDB[[#Totals],[ADU]]</f>
        <v>4.6765709662091874E-4</v>
      </c>
      <c r="AB793" s="1">
        <f>GroDB[[#This Row],[Sales_Volume]]*GroDB[[#This Row],[Ordering Cost]]</f>
        <v>128.80000000000001</v>
      </c>
    </row>
    <row r="794" spans="1:28" x14ac:dyDescent="0.35">
      <c r="A794" s="5" t="s">
        <v>470</v>
      </c>
      <c r="B794" s="3" t="s">
        <v>18</v>
      </c>
      <c r="C794" s="3" t="s">
        <v>1040</v>
      </c>
      <c r="D794" s="3" t="s">
        <v>2844</v>
      </c>
      <c r="E794" s="3" t="s">
        <v>56</v>
      </c>
      <c r="F794" s="3" t="s">
        <v>2845</v>
      </c>
      <c r="G794" s="3" t="s">
        <v>2846</v>
      </c>
      <c r="H794" s="43">
        <v>45458</v>
      </c>
      <c r="I794" s="43">
        <v>45537</v>
      </c>
      <c r="J794" s="47" t="str">
        <f>IF(GroDB[[#This Row],[Last_Order_Date]]&lt;=GroDB[[#This Row],[Date_Received]], "Yes", "No")</f>
        <v>No</v>
      </c>
      <c r="K794" s="43">
        <f>IF(GroDB[[#This Row],[Column1]]="No",GroDB[[#This Row],[Last_Order_Date]],GroDB[[#This Row],[Date_Received]])</f>
        <v>45537</v>
      </c>
      <c r="L794" s="43">
        <f>IF(GroDB[[#This Row],[Column1]]="No",GroDB[[#This Row],[Date_Received]],GroDB[[#This Row],[Last_Order_Date]])</f>
        <v>45458</v>
      </c>
      <c r="M794" s="45">
        <f>GroDB[[#This Row],[Date_Received1]]-GroDB[[#This Row],[Procurement_Date]]</f>
        <v>79</v>
      </c>
      <c r="N794" s="43">
        <v>45524</v>
      </c>
      <c r="O794" s="91">
        <f>GroDB[[#This Row],[Expiration_Date]]-GroDB[[#This Row],[Date_Received1]]</f>
        <v>-13</v>
      </c>
      <c r="P794" s="4">
        <v>3.2</v>
      </c>
      <c r="Q794" s="3">
        <v>37</v>
      </c>
      <c r="R794" s="3">
        <v>38</v>
      </c>
      <c r="S794" s="3">
        <v>24</v>
      </c>
      <c r="T794" s="4">
        <v>4</v>
      </c>
      <c r="U794" s="3">
        <v>93</v>
      </c>
      <c r="V794" s="51">
        <f>IF(GroDB[[#This Row],[LeadTime]]=0,GroDB[[#This Row],[Sales_Volume]],GroDB[[#This Row],[Sales_Volume]]/GroDB[[#This Row],[LeadTime]])</f>
        <v>1.1772151898734178</v>
      </c>
      <c r="W794" s="51">
        <f>_xlfn.STDEV.S(GroDB[Daily Sales])</f>
        <v>5.1999899792654221</v>
      </c>
      <c r="X794" s="3">
        <v>32</v>
      </c>
      <c r="Y794" s="7">
        <v>0.11</v>
      </c>
      <c r="Z794" s="4">
        <f>GroDB[[#This Row],[Unit_Price]]*GroDB[[#This Row],[Sales_Volume]]</f>
        <v>372</v>
      </c>
      <c r="AA794" s="22">
        <f>GroDB[[#This Row],[ADU]]/GroDB[[#Totals],[ADU]]</f>
        <v>1.0805493164160358E-3</v>
      </c>
      <c r="AB794" s="1">
        <f>GroDB[[#This Row],[Sales_Volume]]*GroDB[[#This Row],[Ordering Cost]]</f>
        <v>297.60000000000002</v>
      </c>
    </row>
    <row r="795" spans="1:28" x14ac:dyDescent="0.35">
      <c r="A795" s="5" t="s">
        <v>691</v>
      </c>
      <c r="B795" s="3" t="s">
        <v>32</v>
      </c>
      <c r="C795" s="3" t="s">
        <v>38</v>
      </c>
      <c r="D795" s="3" t="s">
        <v>2847</v>
      </c>
      <c r="E795" s="3" t="s">
        <v>56</v>
      </c>
      <c r="F795" s="3" t="s">
        <v>2848</v>
      </c>
      <c r="G795" s="3" t="s">
        <v>2849</v>
      </c>
      <c r="H795" s="43">
        <v>45458</v>
      </c>
      <c r="I795" s="43">
        <v>45416</v>
      </c>
      <c r="J795" s="47" t="str">
        <f>IF(GroDB[[#This Row],[Last_Order_Date]]&lt;=GroDB[[#This Row],[Date_Received]], "Yes", "No")</f>
        <v>Yes</v>
      </c>
      <c r="K795" s="43">
        <f>IF(GroDB[[#This Row],[Column1]]="No",GroDB[[#This Row],[Last_Order_Date]],GroDB[[#This Row],[Date_Received]])</f>
        <v>45458</v>
      </c>
      <c r="L795" s="43">
        <f>IF(GroDB[[#This Row],[Column1]]="No",GroDB[[#This Row],[Date_Received]],GroDB[[#This Row],[Last_Order_Date]])</f>
        <v>45416</v>
      </c>
      <c r="M795" s="45">
        <f>GroDB[[#This Row],[Date_Received1]]-GroDB[[#This Row],[Procurement_Date]]</f>
        <v>42</v>
      </c>
      <c r="N795" s="43">
        <v>45554</v>
      </c>
      <c r="O795" s="91">
        <f>GroDB[[#This Row],[Expiration_Date]]-GroDB[[#This Row],[Date_Received1]]</f>
        <v>96</v>
      </c>
      <c r="P795" s="4">
        <v>5.6000000000000005</v>
      </c>
      <c r="Q795" s="3">
        <v>48</v>
      </c>
      <c r="R795" s="3">
        <v>12</v>
      </c>
      <c r="S795" s="3">
        <v>62</v>
      </c>
      <c r="T795" s="4">
        <v>7</v>
      </c>
      <c r="U795" s="3">
        <v>59</v>
      </c>
      <c r="V795" s="51">
        <f>IF(GroDB[[#This Row],[LeadTime]]=0,GroDB[[#This Row],[Sales_Volume]],GroDB[[#This Row],[Sales_Volume]]/GroDB[[#This Row],[LeadTime]])</f>
        <v>1.4047619047619047</v>
      </c>
      <c r="W795" s="51">
        <f>_xlfn.STDEV.S(GroDB[Daily Sales])</f>
        <v>5.1999899792654221</v>
      </c>
      <c r="X795" s="3">
        <v>23</v>
      </c>
      <c r="Y795" s="7">
        <v>0.66</v>
      </c>
      <c r="Z795" s="4">
        <f>GroDB[[#This Row],[Unit_Price]]*GroDB[[#This Row],[Sales_Volume]]</f>
        <v>413</v>
      </c>
      <c r="AA795" s="22">
        <f>GroDB[[#This Row],[ADU]]/GroDB[[#Totals],[ADU]]</f>
        <v>1.1996421174188786E-3</v>
      </c>
      <c r="AB795" s="1">
        <f>GroDB[[#This Row],[Sales_Volume]]*GroDB[[#This Row],[Ordering Cost]]</f>
        <v>330.40000000000003</v>
      </c>
    </row>
    <row r="796" spans="1:28" x14ac:dyDescent="0.35">
      <c r="A796" s="5" t="s">
        <v>1117</v>
      </c>
      <c r="B796" s="3" t="s">
        <v>91</v>
      </c>
      <c r="C796" s="3" t="s">
        <v>2500</v>
      </c>
      <c r="D796" s="3" t="s">
        <v>2850</v>
      </c>
      <c r="E796" s="3" t="s">
        <v>21</v>
      </c>
      <c r="F796" s="3" t="s">
        <v>2851</v>
      </c>
      <c r="G796" s="3" t="s">
        <v>2852</v>
      </c>
      <c r="H796" s="43">
        <v>45459</v>
      </c>
      <c r="I796" s="43">
        <v>45436</v>
      </c>
      <c r="J796" s="47" t="str">
        <f>IF(GroDB[[#This Row],[Last_Order_Date]]&lt;=GroDB[[#This Row],[Date_Received]], "Yes", "No")</f>
        <v>Yes</v>
      </c>
      <c r="K796" s="43">
        <f>IF(GroDB[[#This Row],[Column1]]="No",GroDB[[#This Row],[Last_Order_Date]],GroDB[[#This Row],[Date_Received]])</f>
        <v>45459</v>
      </c>
      <c r="L796" s="43">
        <f>IF(GroDB[[#This Row],[Column1]]="No",GroDB[[#This Row],[Date_Received]],GroDB[[#This Row],[Last_Order_Date]])</f>
        <v>45436</v>
      </c>
      <c r="M796" s="45">
        <f>GroDB[[#This Row],[Date_Received1]]-GroDB[[#This Row],[Procurement_Date]]</f>
        <v>23</v>
      </c>
      <c r="N796" s="43">
        <v>45654</v>
      </c>
      <c r="O796" s="91">
        <f>GroDB[[#This Row],[Expiration_Date]]-GroDB[[#This Row],[Date_Received1]]</f>
        <v>195</v>
      </c>
      <c r="P796" s="4">
        <v>4.8000000000000007</v>
      </c>
      <c r="Q796" s="3">
        <v>33</v>
      </c>
      <c r="R796" s="3">
        <v>60</v>
      </c>
      <c r="S796" s="3">
        <v>67</v>
      </c>
      <c r="T796" s="4">
        <v>6</v>
      </c>
      <c r="U796" s="3">
        <v>20</v>
      </c>
      <c r="V796" s="51">
        <f>IF(GroDB[[#This Row],[LeadTime]]=0,GroDB[[#This Row],[Sales_Volume]],GroDB[[#This Row],[Sales_Volume]]/GroDB[[#This Row],[LeadTime]])</f>
        <v>0.86956521739130432</v>
      </c>
      <c r="W796" s="51">
        <f>_xlfn.STDEV.S(GroDB[Daily Sales])</f>
        <v>5.1999899792654221</v>
      </c>
      <c r="X796" s="3">
        <v>7</v>
      </c>
      <c r="Y796" s="7">
        <v>0.61</v>
      </c>
      <c r="Z796" s="4">
        <f>GroDB[[#This Row],[Unit_Price]]*GroDB[[#This Row],[Sales_Volume]]</f>
        <v>120</v>
      </c>
      <c r="AA796" s="22">
        <f>GroDB[[#This Row],[ADU]]/GroDB[[#Totals],[ADU]]</f>
        <v>3.4856429561807613E-4</v>
      </c>
      <c r="AB796" s="1">
        <f>GroDB[[#This Row],[Sales_Volume]]*GroDB[[#This Row],[Ordering Cost]]</f>
        <v>96.000000000000014</v>
      </c>
    </row>
    <row r="797" spans="1:28" x14ac:dyDescent="0.35">
      <c r="A797" s="5" t="s">
        <v>1016</v>
      </c>
      <c r="B797" s="3" t="s">
        <v>25</v>
      </c>
      <c r="C797" s="3" t="s">
        <v>1540</v>
      </c>
      <c r="D797" s="3" t="s">
        <v>2853</v>
      </c>
      <c r="E797" s="3" t="s">
        <v>21</v>
      </c>
      <c r="F797" s="3" t="s">
        <v>2854</v>
      </c>
      <c r="G797" s="3" t="s">
        <v>2855</v>
      </c>
      <c r="H797" s="43">
        <v>45459</v>
      </c>
      <c r="I797" s="43">
        <v>45441</v>
      </c>
      <c r="J797" s="47" t="str">
        <f>IF(GroDB[[#This Row],[Last_Order_Date]]&lt;=GroDB[[#This Row],[Date_Received]], "Yes", "No")</f>
        <v>Yes</v>
      </c>
      <c r="K797" s="43">
        <f>IF(GroDB[[#This Row],[Column1]]="No",GroDB[[#This Row],[Last_Order_Date]],GroDB[[#This Row],[Date_Received]])</f>
        <v>45459</v>
      </c>
      <c r="L797" s="43">
        <f>IF(GroDB[[#This Row],[Column1]]="No",GroDB[[#This Row],[Date_Received]],GroDB[[#This Row],[Last_Order_Date]])</f>
        <v>45441</v>
      </c>
      <c r="M797" s="45">
        <f>GroDB[[#This Row],[Date_Received1]]-GroDB[[#This Row],[Procurement_Date]]</f>
        <v>18</v>
      </c>
      <c r="N797" s="43">
        <v>45690</v>
      </c>
      <c r="O797" s="91">
        <f>GroDB[[#This Row],[Expiration_Date]]-GroDB[[#This Row],[Date_Received1]]</f>
        <v>231</v>
      </c>
      <c r="P797" s="4">
        <v>2</v>
      </c>
      <c r="Q797" s="3">
        <v>32</v>
      </c>
      <c r="R797" s="3">
        <v>38</v>
      </c>
      <c r="S797" s="3">
        <v>23</v>
      </c>
      <c r="T797" s="4">
        <v>2.5</v>
      </c>
      <c r="U797" s="3">
        <v>52</v>
      </c>
      <c r="V797" s="51">
        <f>IF(GroDB[[#This Row],[LeadTime]]=0,GroDB[[#This Row],[Sales_Volume]],GroDB[[#This Row],[Sales_Volume]]/GroDB[[#This Row],[LeadTime]])</f>
        <v>2.8888888888888888</v>
      </c>
      <c r="W797" s="51">
        <f>_xlfn.STDEV.S(GroDB[Daily Sales])</f>
        <v>5.1999899792654221</v>
      </c>
      <c r="X797" s="3">
        <v>11</v>
      </c>
      <c r="Y797" s="7">
        <v>0.65</v>
      </c>
      <c r="Z797" s="4">
        <f>GroDB[[#This Row],[Unit_Price]]*GroDB[[#This Row],[Sales_Volume]]</f>
        <v>130</v>
      </c>
      <c r="AA797" s="22">
        <f>GroDB[[#This Row],[ADU]]/GroDB[[#Totals],[ADU]]</f>
        <v>3.7761132025291579E-4</v>
      </c>
      <c r="AB797" s="1">
        <f>GroDB[[#This Row],[Sales_Volume]]*GroDB[[#This Row],[Ordering Cost]]</f>
        <v>104</v>
      </c>
    </row>
    <row r="798" spans="1:28" x14ac:dyDescent="0.35">
      <c r="A798" s="5" t="s">
        <v>1092</v>
      </c>
      <c r="B798" s="3" t="s">
        <v>18</v>
      </c>
      <c r="C798" s="3" t="s">
        <v>2856</v>
      </c>
      <c r="D798" s="3" t="s">
        <v>2857</v>
      </c>
      <c r="E798" s="3" t="s">
        <v>56</v>
      </c>
      <c r="F798" s="3" t="s">
        <v>2858</v>
      </c>
      <c r="G798" s="3" t="s">
        <v>2859</v>
      </c>
      <c r="H798" s="43">
        <v>45459</v>
      </c>
      <c r="I798" s="43">
        <v>45390</v>
      </c>
      <c r="J798" s="47" t="str">
        <f>IF(GroDB[[#This Row],[Last_Order_Date]]&lt;=GroDB[[#This Row],[Date_Received]], "Yes", "No")</f>
        <v>Yes</v>
      </c>
      <c r="K798" s="43">
        <f>IF(GroDB[[#This Row],[Column1]]="No",GroDB[[#This Row],[Last_Order_Date]],GroDB[[#This Row],[Date_Received]])</f>
        <v>45459</v>
      </c>
      <c r="L798" s="43">
        <f>IF(GroDB[[#This Row],[Column1]]="No",GroDB[[#This Row],[Date_Received]],GroDB[[#This Row],[Last_Order_Date]])</f>
        <v>45390</v>
      </c>
      <c r="M798" s="45">
        <f>GroDB[[#This Row],[Date_Received1]]-GroDB[[#This Row],[Procurement_Date]]</f>
        <v>69</v>
      </c>
      <c r="N798" s="43">
        <v>45444</v>
      </c>
      <c r="O798" s="91">
        <f>GroDB[[#This Row],[Expiration_Date]]-GroDB[[#This Row],[Date_Received1]]</f>
        <v>-15</v>
      </c>
      <c r="P798" s="4">
        <v>6.4</v>
      </c>
      <c r="Q798" s="3">
        <v>43</v>
      </c>
      <c r="R798" s="3">
        <v>41</v>
      </c>
      <c r="S798" s="3">
        <v>100</v>
      </c>
      <c r="T798" s="4">
        <v>8</v>
      </c>
      <c r="U798" s="3">
        <v>27</v>
      </c>
      <c r="V798" s="51">
        <f>IF(GroDB[[#This Row],[LeadTime]]=0,GroDB[[#This Row],[Sales_Volume]],GroDB[[#This Row],[Sales_Volume]]/GroDB[[#This Row],[LeadTime]])</f>
        <v>0.39130434782608697</v>
      </c>
      <c r="W798" s="51">
        <f>_xlfn.STDEV.S(GroDB[Daily Sales])</f>
        <v>5.1999899792654221</v>
      </c>
      <c r="X798" s="3">
        <v>78</v>
      </c>
      <c r="Y798" s="7">
        <v>0.79</v>
      </c>
      <c r="Z798" s="4">
        <f>GroDB[[#This Row],[Unit_Price]]*GroDB[[#This Row],[Sales_Volume]]</f>
        <v>216</v>
      </c>
      <c r="AA798" s="22">
        <f>GroDB[[#This Row],[ADU]]/GroDB[[#Totals],[ADU]]</f>
        <v>6.2741573211253703E-4</v>
      </c>
      <c r="AB798" s="1">
        <f>GroDB[[#This Row],[Sales_Volume]]*GroDB[[#This Row],[Ordering Cost]]</f>
        <v>172.8</v>
      </c>
    </row>
    <row r="799" spans="1:28" x14ac:dyDescent="0.35">
      <c r="A799" s="5" t="s">
        <v>239</v>
      </c>
      <c r="B799" s="3" t="s">
        <v>25</v>
      </c>
      <c r="C799" s="3" t="s">
        <v>933</v>
      </c>
      <c r="D799" s="3" t="s">
        <v>2860</v>
      </c>
      <c r="E799" s="3" t="s">
        <v>56</v>
      </c>
      <c r="F799" s="3" t="s">
        <v>2861</v>
      </c>
      <c r="G799" s="3" t="s">
        <v>2862</v>
      </c>
      <c r="H799" s="43">
        <v>45459</v>
      </c>
      <c r="I799" s="43">
        <v>45602</v>
      </c>
      <c r="J799" s="47" t="str">
        <f>IF(GroDB[[#This Row],[Last_Order_Date]]&lt;=GroDB[[#This Row],[Date_Received]], "Yes", "No")</f>
        <v>No</v>
      </c>
      <c r="K799" s="43">
        <f>IF(GroDB[[#This Row],[Column1]]="No",GroDB[[#This Row],[Last_Order_Date]],GroDB[[#This Row],[Date_Received]])</f>
        <v>45602</v>
      </c>
      <c r="L799" s="43">
        <f>IF(GroDB[[#This Row],[Column1]]="No",GroDB[[#This Row],[Date_Received]],GroDB[[#This Row],[Last_Order_Date]])</f>
        <v>45459</v>
      </c>
      <c r="M799" s="45">
        <f>GroDB[[#This Row],[Date_Received1]]-GroDB[[#This Row],[Procurement_Date]]</f>
        <v>143</v>
      </c>
      <c r="N799" s="43">
        <v>45605</v>
      </c>
      <c r="O799" s="91">
        <f>GroDB[[#This Row],[Expiration_Date]]-GroDB[[#This Row],[Date_Received1]]</f>
        <v>3</v>
      </c>
      <c r="P799" s="4">
        <v>5.2</v>
      </c>
      <c r="Q799" s="3">
        <v>97</v>
      </c>
      <c r="R799" s="3">
        <v>20</v>
      </c>
      <c r="S799" s="3">
        <v>8</v>
      </c>
      <c r="T799" s="4">
        <v>6.5</v>
      </c>
      <c r="U799" s="3">
        <v>51</v>
      </c>
      <c r="V799" s="51">
        <f>IF(GroDB[[#This Row],[LeadTime]]=0,GroDB[[#This Row],[Sales_Volume]],GroDB[[#This Row],[Sales_Volume]]/GroDB[[#This Row],[LeadTime]])</f>
        <v>0.35664335664335667</v>
      </c>
      <c r="W799" s="51">
        <f>_xlfn.STDEV.S(GroDB[Daily Sales])</f>
        <v>5.1999899792654221</v>
      </c>
      <c r="X799" s="3">
        <v>51</v>
      </c>
      <c r="Y799" s="7">
        <v>-1.89</v>
      </c>
      <c r="Z799" s="4">
        <f>GroDB[[#This Row],[Unit_Price]]*GroDB[[#This Row],[Sales_Volume]]</f>
        <v>331.5</v>
      </c>
      <c r="AA799" s="22">
        <f>GroDB[[#This Row],[ADU]]/GroDB[[#Totals],[ADU]]</f>
        <v>9.6290886664493524E-4</v>
      </c>
      <c r="AB799" s="1">
        <f>GroDB[[#This Row],[Sales_Volume]]*GroDB[[#This Row],[Ordering Cost]]</f>
        <v>265.2</v>
      </c>
    </row>
    <row r="800" spans="1:28" x14ac:dyDescent="0.35">
      <c r="A800" s="5" t="s">
        <v>566</v>
      </c>
      <c r="B800" s="3" t="s">
        <v>127</v>
      </c>
      <c r="C800" s="3" t="s">
        <v>1536</v>
      </c>
      <c r="D800" s="3" t="s">
        <v>2863</v>
      </c>
      <c r="E800" s="3" t="s">
        <v>28</v>
      </c>
      <c r="F800" s="3" t="s">
        <v>2864</v>
      </c>
      <c r="G800" s="3" t="s">
        <v>2865</v>
      </c>
      <c r="H800" s="43">
        <v>45460</v>
      </c>
      <c r="I800" s="43">
        <v>45676</v>
      </c>
      <c r="J800" s="47" t="str">
        <f>IF(GroDB[[#This Row],[Last_Order_Date]]&lt;=GroDB[[#This Row],[Date_Received]], "Yes", "No")</f>
        <v>No</v>
      </c>
      <c r="K800" s="43">
        <f>IF(GroDB[[#This Row],[Column1]]="No",GroDB[[#This Row],[Last_Order_Date]],GroDB[[#This Row],[Date_Received]])</f>
        <v>45676</v>
      </c>
      <c r="L800" s="43">
        <f>IF(GroDB[[#This Row],[Column1]]="No",GroDB[[#This Row],[Date_Received]],GroDB[[#This Row],[Last_Order_Date]])</f>
        <v>45460</v>
      </c>
      <c r="M800" s="45">
        <f>GroDB[[#This Row],[Date_Received1]]-GroDB[[#This Row],[Procurement_Date]]</f>
        <v>216</v>
      </c>
      <c r="N800" s="43">
        <v>45692</v>
      </c>
      <c r="O800" s="91">
        <f>GroDB[[#This Row],[Expiration_Date]]-GroDB[[#This Row],[Date_Received1]]</f>
        <v>16</v>
      </c>
      <c r="P800" s="4">
        <v>12</v>
      </c>
      <c r="Q800" s="3">
        <v>37</v>
      </c>
      <c r="R800" s="3">
        <v>94</v>
      </c>
      <c r="S800" s="3">
        <v>76</v>
      </c>
      <c r="T800" s="4">
        <v>15</v>
      </c>
      <c r="U800" s="3">
        <v>94</v>
      </c>
      <c r="V800" s="51">
        <f>IF(GroDB[[#This Row],[LeadTime]]=0,GroDB[[#This Row],[Sales_Volume]],GroDB[[#This Row],[Sales_Volume]]/GroDB[[#This Row],[LeadTime]])</f>
        <v>0.43518518518518517</v>
      </c>
      <c r="W800" s="51">
        <f>_xlfn.STDEV.S(GroDB[Daily Sales])</f>
        <v>5.1999899792654221</v>
      </c>
      <c r="X800" s="3">
        <v>66</v>
      </c>
      <c r="Y800" s="7">
        <v>0</v>
      </c>
      <c r="Z800" s="4">
        <f>GroDB[[#This Row],[Unit_Price]]*GroDB[[#This Row],[Sales_Volume]]</f>
        <v>1410</v>
      </c>
      <c r="AA800" s="22">
        <f>GroDB[[#This Row],[ADU]]/GroDB[[#Totals],[ADU]]</f>
        <v>4.0956304735123945E-3</v>
      </c>
      <c r="AB800" s="1">
        <f>GroDB[[#This Row],[Sales_Volume]]*GroDB[[#This Row],[Ordering Cost]]</f>
        <v>1128</v>
      </c>
    </row>
    <row r="801" spans="1:28" x14ac:dyDescent="0.35">
      <c r="A801" s="5" t="s">
        <v>1369</v>
      </c>
      <c r="B801" s="3" t="s">
        <v>32</v>
      </c>
      <c r="C801" s="3" t="s">
        <v>774</v>
      </c>
      <c r="D801" s="3" t="s">
        <v>2866</v>
      </c>
      <c r="E801" s="3" t="s">
        <v>28</v>
      </c>
      <c r="F801" s="3" t="s">
        <v>2867</v>
      </c>
      <c r="G801" s="3" t="s">
        <v>2868</v>
      </c>
      <c r="H801" s="43">
        <v>45460</v>
      </c>
      <c r="I801" s="43">
        <v>45434</v>
      </c>
      <c r="J801" s="47" t="str">
        <f>IF(GroDB[[#This Row],[Last_Order_Date]]&lt;=GroDB[[#This Row],[Date_Received]], "Yes", "No")</f>
        <v>Yes</v>
      </c>
      <c r="K801" s="43">
        <f>IF(GroDB[[#This Row],[Column1]]="No",GroDB[[#This Row],[Last_Order_Date]],GroDB[[#This Row],[Date_Received]])</f>
        <v>45460</v>
      </c>
      <c r="L801" s="43">
        <f>IF(GroDB[[#This Row],[Column1]]="No",GroDB[[#This Row],[Date_Received]],GroDB[[#This Row],[Last_Order_Date]])</f>
        <v>45434</v>
      </c>
      <c r="M801" s="45">
        <f>GroDB[[#This Row],[Date_Received1]]-GroDB[[#This Row],[Procurement_Date]]</f>
        <v>26</v>
      </c>
      <c r="N801" s="43">
        <v>45613</v>
      </c>
      <c r="O801" s="91">
        <f>GroDB[[#This Row],[Expiration_Date]]-GroDB[[#This Row],[Date_Received1]]</f>
        <v>153</v>
      </c>
      <c r="P801" s="4">
        <v>3.2</v>
      </c>
      <c r="Q801" s="3">
        <v>74</v>
      </c>
      <c r="R801" s="3">
        <v>60</v>
      </c>
      <c r="S801" s="3">
        <v>27</v>
      </c>
      <c r="T801" s="4">
        <v>4</v>
      </c>
      <c r="U801" s="3">
        <v>99</v>
      </c>
      <c r="V801" s="51">
        <f>IF(GroDB[[#This Row],[LeadTime]]=0,GroDB[[#This Row],[Sales_Volume]],GroDB[[#This Row],[Sales_Volume]]/GroDB[[#This Row],[LeadTime]])</f>
        <v>3.8076923076923075</v>
      </c>
      <c r="W801" s="51">
        <f>_xlfn.STDEV.S(GroDB[Daily Sales])</f>
        <v>5.1999899792654221</v>
      </c>
      <c r="X801" s="3">
        <v>68</v>
      </c>
      <c r="Y801" s="7">
        <v>0.3</v>
      </c>
      <c r="Z801" s="4">
        <f>GroDB[[#This Row],[Unit_Price]]*GroDB[[#This Row],[Sales_Volume]]</f>
        <v>396</v>
      </c>
      <c r="AA801" s="22">
        <f>GroDB[[#This Row],[ADU]]/GroDB[[#Totals],[ADU]]</f>
        <v>1.1502621755396512E-3</v>
      </c>
      <c r="AB801" s="1">
        <f>GroDB[[#This Row],[Sales_Volume]]*GroDB[[#This Row],[Ordering Cost]]</f>
        <v>316.8</v>
      </c>
    </row>
    <row r="802" spans="1:28" x14ac:dyDescent="0.35">
      <c r="A802" s="5" t="s">
        <v>674</v>
      </c>
      <c r="B802" s="3" t="s">
        <v>60</v>
      </c>
      <c r="C802" s="3" t="s">
        <v>491</v>
      </c>
      <c r="D802" s="3" t="s">
        <v>2869</v>
      </c>
      <c r="E802" s="3" t="s">
        <v>21</v>
      </c>
      <c r="F802" s="3" t="s">
        <v>2870</v>
      </c>
      <c r="G802" s="3" t="s">
        <v>2871</v>
      </c>
      <c r="H802" s="43">
        <v>45461</v>
      </c>
      <c r="I802" s="43">
        <v>45470</v>
      </c>
      <c r="J802" s="47" t="str">
        <f>IF(GroDB[[#This Row],[Last_Order_Date]]&lt;=GroDB[[#This Row],[Date_Received]], "Yes", "No")</f>
        <v>No</v>
      </c>
      <c r="K802" s="43">
        <f>IF(GroDB[[#This Row],[Column1]]="No",GroDB[[#This Row],[Last_Order_Date]],GroDB[[#This Row],[Date_Received]])</f>
        <v>45470</v>
      </c>
      <c r="L802" s="43">
        <f>IF(GroDB[[#This Row],[Column1]]="No",GroDB[[#This Row],[Date_Received]],GroDB[[#This Row],[Last_Order_Date]])</f>
        <v>45461</v>
      </c>
      <c r="M802" s="45">
        <f>GroDB[[#This Row],[Date_Received1]]-GroDB[[#This Row],[Procurement_Date]]</f>
        <v>9</v>
      </c>
      <c r="N802" s="43">
        <v>45410</v>
      </c>
      <c r="O802" s="91">
        <f>GroDB[[#This Row],[Expiration_Date]]-GroDB[[#This Row],[Date_Received1]]</f>
        <v>-60</v>
      </c>
      <c r="P802" s="4">
        <v>7.2</v>
      </c>
      <c r="Q802" s="3">
        <v>76</v>
      </c>
      <c r="R802" s="3">
        <v>57</v>
      </c>
      <c r="S802" s="3">
        <v>78</v>
      </c>
      <c r="T802" s="4">
        <v>9</v>
      </c>
      <c r="U802" s="3">
        <v>52</v>
      </c>
      <c r="V802" s="51">
        <f>IF(GroDB[[#This Row],[LeadTime]]=0,GroDB[[#This Row],[Sales_Volume]],GroDB[[#This Row],[Sales_Volume]]/GroDB[[#This Row],[LeadTime]])</f>
        <v>5.7777777777777777</v>
      </c>
      <c r="W802" s="51">
        <f>_xlfn.STDEV.S(GroDB[Daily Sales])</f>
        <v>5.1999899792654221</v>
      </c>
      <c r="X802" s="3">
        <v>86</v>
      </c>
      <c r="Y802" s="7">
        <v>0.31</v>
      </c>
      <c r="Z802" s="4">
        <f>GroDB[[#This Row],[Unit_Price]]*GroDB[[#This Row],[Sales_Volume]]</f>
        <v>468</v>
      </c>
      <c r="AA802" s="22">
        <f>GroDB[[#This Row],[ADU]]/GroDB[[#Totals],[ADU]]</f>
        <v>1.3594007529104967E-3</v>
      </c>
      <c r="AB802" s="1">
        <f>GroDB[[#This Row],[Sales_Volume]]*GroDB[[#This Row],[Ordering Cost]]</f>
        <v>374.40000000000003</v>
      </c>
    </row>
    <row r="803" spans="1:28" x14ac:dyDescent="0.35">
      <c r="A803" s="5" t="s">
        <v>691</v>
      </c>
      <c r="B803" s="3" t="s">
        <v>32</v>
      </c>
      <c r="C803" s="3" t="s">
        <v>1402</v>
      </c>
      <c r="D803" s="3" t="s">
        <v>2872</v>
      </c>
      <c r="E803" s="3" t="s">
        <v>28</v>
      </c>
      <c r="F803" s="3" t="s">
        <v>2873</v>
      </c>
      <c r="G803" s="3" t="s">
        <v>2874</v>
      </c>
      <c r="H803" s="43">
        <v>45462</v>
      </c>
      <c r="I803" s="43">
        <v>45362</v>
      </c>
      <c r="J803" s="47" t="str">
        <f>IF(GroDB[[#This Row],[Last_Order_Date]]&lt;=GroDB[[#This Row],[Date_Received]], "Yes", "No")</f>
        <v>Yes</v>
      </c>
      <c r="K803" s="43">
        <f>IF(GroDB[[#This Row],[Column1]]="No",GroDB[[#This Row],[Last_Order_Date]],GroDB[[#This Row],[Date_Received]])</f>
        <v>45462</v>
      </c>
      <c r="L803" s="43">
        <f>IF(GroDB[[#This Row],[Column1]]="No",GroDB[[#This Row],[Date_Received]],GroDB[[#This Row],[Last_Order_Date]])</f>
        <v>45362</v>
      </c>
      <c r="M803" s="45">
        <f>GroDB[[#This Row],[Date_Received1]]-GroDB[[#This Row],[Procurement_Date]]</f>
        <v>100</v>
      </c>
      <c r="N803" s="43">
        <v>45533</v>
      </c>
      <c r="O803" s="91">
        <f>GroDB[[#This Row],[Expiration_Date]]-GroDB[[#This Row],[Date_Received1]]</f>
        <v>71</v>
      </c>
      <c r="P803" s="4">
        <v>5.6000000000000005</v>
      </c>
      <c r="Q803" s="3">
        <v>100</v>
      </c>
      <c r="R803" s="3">
        <v>21</v>
      </c>
      <c r="S803" s="3">
        <v>64</v>
      </c>
      <c r="T803" s="4">
        <v>7</v>
      </c>
      <c r="U803" s="3">
        <v>20</v>
      </c>
      <c r="V803" s="51">
        <f>IF(GroDB[[#This Row],[LeadTime]]=0,GroDB[[#This Row],[Sales_Volume]],GroDB[[#This Row],[Sales_Volume]]/GroDB[[#This Row],[LeadTime]])</f>
        <v>0.2</v>
      </c>
      <c r="W803" s="51">
        <f>_xlfn.STDEV.S(GroDB[Daily Sales])</f>
        <v>5.1999899792654221</v>
      </c>
      <c r="X803" s="3">
        <v>13</v>
      </c>
      <c r="Y803" s="7">
        <v>-0.65</v>
      </c>
      <c r="Z803" s="4">
        <f>GroDB[[#This Row],[Unit_Price]]*GroDB[[#This Row],[Sales_Volume]]</f>
        <v>140</v>
      </c>
      <c r="AA803" s="22">
        <f>GroDB[[#This Row],[ADU]]/GroDB[[#Totals],[ADU]]</f>
        <v>4.0665834488775546E-4</v>
      </c>
      <c r="AB803" s="1">
        <f>GroDB[[#This Row],[Sales_Volume]]*GroDB[[#This Row],[Ordering Cost]]</f>
        <v>112.00000000000001</v>
      </c>
    </row>
    <row r="804" spans="1:28" x14ac:dyDescent="0.35">
      <c r="A804" s="5" t="s">
        <v>615</v>
      </c>
      <c r="B804" s="3" t="s">
        <v>32</v>
      </c>
      <c r="C804" s="3" t="s">
        <v>1568</v>
      </c>
      <c r="D804" s="3" t="s">
        <v>2875</v>
      </c>
      <c r="E804" s="3" t="s">
        <v>21</v>
      </c>
      <c r="F804" s="3" t="s">
        <v>2876</v>
      </c>
      <c r="G804" s="3" t="s">
        <v>2877</v>
      </c>
      <c r="H804" s="43">
        <v>45462</v>
      </c>
      <c r="I804" s="43">
        <v>45508</v>
      </c>
      <c r="J804" s="47" t="str">
        <f>IF(GroDB[[#This Row],[Last_Order_Date]]&lt;=GroDB[[#This Row],[Date_Received]], "Yes", "No")</f>
        <v>No</v>
      </c>
      <c r="K804" s="43">
        <f>IF(GroDB[[#This Row],[Column1]]="No",GroDB[[#This Row],[Last_Order_Date]],GroDB[[#This Row],[Date_Received]])</f>
        <v>45508</v>
      </c>
      <c r="L804" s="43">
        <f>IF(GroDB[[#This Row],[Column1]]="No",GroDB[[#This Row],[Date_Received]],GroDB[[#This Row],[Last_Order_Date]])</f>
        <v>45462</v>
      </c>
      <c r="M804" s="45">
        <f>GroDB[[#This Row],[Date_Received1]]-GroDB[[#This Row],[Procurement_Date]]</f>
        <v>46</v>
      </c>
      <c r="N804" s="43">
        <v>45575</v>
      </c>
      <c r="O804" s="91">
        <f>GroDB[[#This Row],[Expiration_Date]]-GroDB[[#This Row],[Date_Received1]]</f>
        <v>67</v>
      </c>
      <c r="P804" s="4">
        <v>1.52</v>
      </c>
      <c r="Q804" s="3">
        <v>64</v>
      </c>
      <c r="R804" s="3">
        <v>31</v>
      </c>
      <c r="S804" s="3">
        <v>91</v>
      </c>
      <c r="T804" s="4">
        <v>1.9</v>
      </c>
      <c r="U804" s="3">
        <v>85</v>
      </c>
      <c r="V804" s="51">
        <f>IF(GroDB[[#This Row],[LeadTime]]=0,GroDB[[#This Row],[Sales_Volume]],GroDB[[#This Row],[Sales_Volume]]/GroDB[[#This Row],[LeadTime]])</f>
        <v>1.8478260869565217</v>
      </c>
      <c r="W804" s="51">
        <f>_xlfn.STDEV.S(GroDB[Daily Sales])</f>
        <v>5.1999899792654221</v>
      </c>
      <c r="X804" s="3">
        <v>42</v>
      </c>
      <c r="Y804" s="7">
        <v>0.35</v>
      </c>
      <c r="Z804" s="4">
        <f>GroDB[[#This Row],[Unit_Price]]*GroDB[[#This Row],[Sales_Volume]]</f>
        <v>161.5</v>
      </c>
      <c r="AA804" s="22">
        <f>GroDB[[#This Row],[ADU]]/GroDB[[#Totals],[ADU]]</f>
        <v>4.6910944785266077E-4</v>
      </c>
      <c r="AB804" s="1">
        <f>GroDB[[#This Row],[Sales_Volume]]*GroDB[[#This Row],[Ordering Cost]]</f>
        <v>129.19999999999999</v>
      </c>
    </row>
    <row r="805" spans="1:28" x14ac:dyDescent="0.35">
      <c r="A805" s="5" t="s">
        <v>691</v>
      </c>
      <c r="B805" s="3" t="s">
        <v>32</v>
      </c>
      <c r="C805" s="3" t="s">
        <v>2856</v>
      </c>
      <c r="D805" s="3" t="s">
        <v>2878</v>
      </c>
      <c r="E805" s="3" t="s">
        <v>56</v>
      </c>
      <c r="F805" s="3" t="s">
        <v>2879</v>
      </c>
      <c r="G805" s="3" t="s">
        <v>2880</v>
      </c>
      <c r="H805" s="43">
        <v>45462</v>
      </c>
      <c r="I805" s="43">
        <v>45405</v>
      </c>
      <c r="J805" s="47" t="str">
        <f>IF(GroDB[[#This Row],[Last_Order_Date]]&lt;=GroDB[[#This Row],[Date_Received]], "Yes", "No")</f>
        <v>Yes</v>
      </c>
      <c r="K805" s="43">
        <f>IF(GroDB[[#This Row],[Column1]]="No",GroDB[[#This Row],[Last_Order_Date]],GroDB[[#This Row],[Date_Received]])</f>
        <v>45462</v>
      </c>
      <c r="L805" s="43">
        <f>IF(GroDB[[#This Row],[Column1]]="No",GroDB[[#This Row],[Date_Received]],GroDB[[#This Row],[Last_Order_Date]])</f>
        <v>45405</v>
      </c>
      <c r="M805" s="45">
        <f>GroDB[[#This Row],[Date_Received1]]-GroDB[[#This Row],[Procurement_Date]]</f>
        <v>57</v>
      </c>
      <c r="N805" s="43">
        <v>45399</v>
      </c>
      <c r="O805" s="91">
        <f>GroDB[[#This Row],[Expiration_Date]]-GroDB[[#This Row],[Date_Received1]]</f>
        <v>-63</v>
      </c>
      <c r="P805" s="4">
        <v>5.6000000000000005</v>
      </c>
      <c r="Q805" s="3">
        <v>41</v>
      </c>
      <c r="R805" s="3">
        <v>22</v>
      </c>
      <c r="S805" s="3">
        <v>11</v>
      </c>
      <c r="T805" s="4">
        <v>7</v>
      </c>
      <c r="U805" s="3">
        <v>86</v>
      </c>
      <c r="V805" s="51">
        <f>IF(GroDB[[#This Row],[LeadTime]]=0,GroDB[[#This Row],[Sales_Volume]],GroDB[[#This Row],[Sales_Volume]]/GroDB[[#This Row],[LeadTime]])</f>
        <v>1.5087719298245614</v>
      </c>
      <c r="W805" s="51">
        <f>_xlfn.STDEV.S(GroDB[Daily Sales])</f>
        <v>5.1999899792654221</v>
      </c>
      <c r="X805" s="3">
        <v>30</v>
      </c>
      <c r="Y805" s="7">
        <v>0.51</v>
      </c>
      <c r="Z805" s="4">
        <f>GroDB[[#This Row],[Unit_Price]]*GroDB[[#This Row],[Sales_Volume]]</f>
        <v>602</v>
      </c>
      <c r="AA805" s="22">
        <f>GroDB[[#This Row],[ADU]]/GroDB[[#Totals],[ADU]]</f>
        <v>1.7486308830173484E-3</v>
      </c>
      <c r="AB805" s="1">
        <f>GroDB[[#This Row],[Sales_Volume]]*GroDB[[#This Row],[Ordering Cost]]</f>
        <v>481.6</v>
      </c>
    </row>
    <row r="806" spans="1:28" x14ac:dyDescent="0.35">
      <c r="A806" s="5" t="s">
        <v>85</v>
      </c>
      <c r="B806" s="3" t="s">
        <v>18</v>
      </c>
      <c r="C806" s="3" t="s">
        <v>235</v>
      </c>
      <c r="D806" s="3" t="s">
        <v>2881</v>
      </c>
      <c r="E806" s="3" t="s">
        <v>21</v>
      </c>
      <c r="F806" s="3" t="s">
        <v>2882</v>
      </c>
      <c r="G806" s="3" t="s">
        <v>2883</v>
      </c>
      <c r="H806" s="43">
        <v>45463</v>
      </c>
      <c r="I806" s="43">
        <v>45426</v>
      </c>
      <c r="J806" s="47" t="str">
        <f>IF(GroDB[[#This Row],[Last_Order_Date]]&lt;=GroDB[[#This Row],[Date_Received]], "Yes", "No")</f>
        <v>Yes</v>
      </c>
      <c r="K806" s="43">
        <f>IF(GroDB[[#This Row],[Column1]]="No",GroDB[[#This Row],[Last_Order_Date]],GroDB[[#This Row],[Date_Received]])</f>
        <v>45463</v>
      </c>
      <c r="L806" s="43">
        <f>IF(GroDB[[#This Row],[Column1]]="No",GroDB[[#This Row],[Date_Received]],GroDB[[#This Row],[Last_Order_Date]])</f>
        <v>45426</v>
      </c>
      <c r="M806" s="45">
        <f>GroDB[[#This Row],[Date_Received1]]-GroDB[[#This Row],[Procurement_Date]]</f>
        <v>37</v>
      </c>
      <c r="N806" s="43">
        <v>45572</v>
      </c>
      <c r="O806" s="91">
        <f>GroDB[[#This Row],[Expiration_Date]]-GroDB[[#This Row],[Date_Received1]]</f>
        <v>109</v>
      </c>
      <c r="P806" s="4">
        <v>2.2800000000000002</v>
      </c>
      <c r="Q806" s="3">
        <v>84</v>
      </c>
      <c r="R806" s="3">
        <v>95</v>
      </c>
      <c r="S806" s="3">
        <v>22</v>
      </c>
      <c r="T806" s="4">
        <v>2.85</v>
      </c>
      <c r="U806" s="3">
        <v>48</v>
      </c>
      <c r="V806" s="51">
        <f>IF(GroDB[[#This Row],[LeadTime]]=0,GroDB[[#This Row],[Sales_Volume]],GroDB[[#This Row],[Sales_Volume]]/GroDB[[#This Row],[LeadTime]])</f>
        <v>1.2972972972972974</v>
      </c>
      <c r="W806" s="51">
        <f>_xlfn.STDEV.S(GroDB[Daily Sales])</f>
        <v>5.1999899792654221</v>
      </c>
      <c r="X806" s="3">
        <v>82</v>
      </c>
      <c r="Y806" s="7">
        <v>0.65</v>
      </c>
      <c r="Z806" s="4">
        <f>GroDB[[#This Row],[Unit_Price]]*GroDB[[#This Row],[Sales_Volume]]</f>
        <v>136.80000000000001</v>
      </c>
      <c r="AA806" s="22">
        <f>GroDB[[#This Row],[ADU]]/GroDB[[#Totals],[ADU]]</f>
        <v>3.973632970046068E-4</v>
      </c>
      <c r="AB806" s="1">
        <f>GroDB[[#This Row],[Sales_Volume]]*GroDB[[#This Row],[Ordering Cost]]</f>
        <v>109.44000000000001</v>
      </c>
    </row>
    <row r="807" spans="1:28" x14ac:dyDescent="0.35">
      <c r="A807" s="5" t="s">
        <v>90</v>
      </c>
      <c r="B807" s="3" t="s">
        <v>91</v>
      </c>
      <c r="C807" s="3" t="s">
        <v>199</v>
      </c>
      <c r="D807" s="3" t="s">
        <v>2884</v>
      </c>
      <c r="E807" s="3" t="s">
        <v>21</v>
      </c>
      <c r="F807" s="3" t="s">
        <v>2885</v>
      </c>
      <c r="G807" s="3" t="s">
        <v>2886</v>
      </c>
      <c r="H807" s="43">
        <v>45463</v>
      </c>
      <c r="I807" s="43">
        <v>45562</v>
      </c>
      <c r="J807" s="47" t="str">
        <f>IF(GroDB[[#This Row],[Last_Order_Date]]&lt;=GroDB[[#This Row],[Date_Received]], "Yes", "No")</f>
        <v>No</v>
      </c>
      <c r="K807" s="43">
        <f>IF(GroDB[[#This Row],[Column1]]="No",GroDB[[#This Row],[Last_Order_Date]],GroDB[[#This Row],[Date_Received]])</f>
        <v>45562</v>
      </c>
      <c r="L807" s="43">
        <f>IF(GroDB[[#This Row],[Column1]]="No",GroDB[[#This Row],[Date_Received]],GroDB[[#This Row],[Last_Order_Date]])</f>
        <v>45463</v>
      </c>
      <c r="M807" s="45">
        <f>GroDB[[#This Row],[Date_Received1]]-GroDB[[#This Row],[Procurement_Date]]</f>
        <v>99</v>
      </c>
      <c r="N807" s="43">
        <v>45552</v>
      </c>
      <c r="O807" s="91">
        <f>GroDB[[#This Row],[Expiration_Date]]-GroDB[[#This Row],[Date_Received1]]</f>
        <v>-10</v>
      </c>
      <c r="P807" s="4">
        <v>3.2</v>
      </c>
      <c r="Q807" s="3">
        <v>61</v>
      </c>
      <c r="R807" s="3">
        <v>8</v>
      </c>
      <c r="S807" s="3">
        <v>45</v>
      </c>
      <c r="T807" s="4">
        <v>4</v>
      </c>
      <c r="U807" s="3">
        <v>73</v>
      </c>
      <c r="V807" s="51">
        <f>IF(GroDB[[#This Row],[LeadTime]]=0,GroDB[[#This Row],[Sales_Volume]],GroDB[[#This Row],[Sales_Volume]]/GroDB[[#This Row],[LeadTime]])</f>
        <v>0.73737373737373735</v>
      </c>
      <c r="W807" s="51">
        <f>_xlfn.STDEV.S(GroDB[Daily Sales])</f>
        <v>5.1999899792654221</v>
      </c>
      <c r="X807" s="3">
        <v>64</v>
      </c>
      <c r="Y807" s="7">
        <v>-0.71</v>
      </c>
      <c r="Z807" s="4">
        <f>GroDB[[#This Row],[Unit_Price]]*GroDB[[#This Row],[Sales_Volume]]</f>
        <v>292</v>
      </c>
      <c r="AA807" s="22">
        <f>GroDB[[#This Row],[ADU]]/GroDB[[#Totals],[ADU]]</f>
        <v>8.4817311933731848E-4</v>
      </c>
      <c r="AB807" s="1">
        <f>GroDB[[#This Row],[Sales_Volume]]*GroDB[[#This Row],[Ordering Cost]]</f>
        <v>233.60000000000002</v>
      </c>
    </row>
    <row r="808" spans="1:28" x14ac:dyDescent="0.35">
      <c r="A808" s="5" t="s">
        <v>258</v>
      </c>
      <c r="B808" s="3" t="s">
        <v>25</v>
      </c>
      <c r="C808" s="3" t="s">
        <v>221</v>
      </c>
      <c r="D808" s="3" t="s">
        <v>2887</v>
      </c>
      <c r="E808" s="3" t="s">
        <v>56</v>
      </c>
      <c r="F808" s="3" t="s">
        <v>2888</v>
      </c>
      <c r="G808" s="3" t="s">
        <v>2889</v>
      </c>
      <c r="H808" s="43">
        <v>45463</v>
      </c>
      <c r="I808" s="43">
        <v>45381</v>
      </c>
      <c r="J808" s="47" t="str">
        <f>IF(GroDB[[#This Row],[Last_Order_Date]]&lt;=GroDB[[#This Row],[Date_Received]], "Yes", "No")</f>
        <v>Yes</v>
      </c>
      <c r="K808" s="43">
        <f>IF(GroDB[[#This Row],[Column1]]="No",GroDB[[#This Row],[Last_Order_Date]],GroDB[[#This Row],[Date_Received]])</f>
        <v>45463</v>
      </c>
      <c r="L808" s="43">
        <f>IF(GroDB[[#This Row],[Column1]]="No",GroDB[[#This Row],[Date_Received]],GroDB[[#This Row],[Last_Order_Date]])</f>
        <v>45381</v>
      </c>
      <c r="M808" s="45">
        <f>GroDB[[#This Row],[Date_Received1]]-GroDB[[#This Row],[Procurement_Date]]</f>
        <v>82</v>
      </c>
      <c r="N808" s="43">
        <v>45460</v>
      </c>
      <c r="O808" s="91">
        <f>GroDB[[#This Row],[Expiration_Date]]-GroDB[[#This Row],[Date_Received1]]</f>
        <v>-3</v>
      </c>
      <c r="P808" s="4">
        <v>3.2</v>
      </c>
      <c r="Q808" s="3">
        <v>24</v>
      </c>
      <c r="R808" s="3">
        <v>14</v>
      </c>
      <c r="S808" s="3">
        <v>5</v>
      </c>
      <c r="T808" s="4">
        <v>4</v>
      </c>
      <c r="U808" s="3">
        <v>98</v>
      </c>
      <c r="V808" s="51">
        <f>IF(GroDB[[#This Row],[LeadTime]]=0,GroDB[[#This Row],[Sales_Volume]],GroDB[[#This Row],[Sales_Volume]]/GroDB[[#This Row],[LeadTime]])</f>
        <v>1.1951219512195121</v>
      </c>
      <c r="W808" s="51">
        <f>_xlfn.STDEV.S(GroDB[Daily Sales])</f>
        <v>5.1999899792654221</v>
      </c>
      <c r="X808" s="3">
        <v>9</v>
      </c>
      <c r="Y808" s="7">
        <v>0.12</v>
      </c>
      <c r="Z808" s="4">
        <f>GroDB[[#This Row],[Unit_Price]]*GroDB[[#This Row],[Sales_Volume]]</f>
        <v>392</v>
      </c>
      <c r="AA808" s="22">
        <f>GroDB[[#This Row],[ADU]]/GroDB[[#Totals],[ADU]]</f>
        <v>1.1386433656857152E-3</v>
      </c>
      <c r="AB808" s="1">
        <f>GroDB[[#This Row],[Sales_Volume]]*GroDB[[#This Row],[Ordering Cost]]</f>
        <v>313.60000000000002</v>
      </c>
    </row>
    <row r="809" spans="1:28" x14ac:dyDescent="0.35">
      <c r="A809" s="5" t="s">
        <v>75</v>
      </c>
      <c r="B809" s="3" t="s">
        <v>32</v>
      </c>
      <c r="C809" s="3" t="s">
        <v>729</v>
      </c>
      <c r="D809" s="3" t="s">
        <v>2890</v>
      </c>
      <c r="E809" s="3" t="s">
        <v>28</v>
      </c>
      <c r="F809" s="3" t="s">
        <v>2891</v>
      </c>
      <c r="G809" s="3" t="s">
        <v>2892</v>
      </c>
      <c r="H809" s="43">
        <v>45463</v>
      </c>
      <c r="I809" s="43">
        <v>45431</v>
      </c>
      <c r="J809" s="47" t="str">
        <f>IF(GroDB[[#This Row],[Last_Order_Date]]&lt;=GroDB[[#This Row],[Date_Received]], "Yes", "No")</f>
        <v>Yes</v>
      </c>
      <c r="K809" s="43">
        <f>IF(GroDB[[#This Row],[Column1]]="No",GroDB[[#This Row],[Last_Order_Date]],GroDB[[#This Row],[Date_Received]])</f>
        <v>45463</v>
      </c>
      <c r="L809" s="43">
        <f>IF(GroDB[[#This Row],[Column1]]="No",GroDB[[#This Row],[Date_Received]],GroDB[[#This Row],[Last_Order_Date]])</f>
        <v>45431</v>
      </c>
      <c r="M809" s="45">
        <f>GroDB[[#This Row],[Date_Received1]]-GroDB[[#This Row],[Procurement_Date]]</f>
        <v>32</v>
      </c>
      <c r="N809" s="43">
        <v>45374</v>
      </c>
      <c r="O809" s="91">
        <f>GroDB[[#This Row],[Expiration_Date]]-GroDB[[#This Row],[Date_Received1]]</f>
        <v>-89</v>
      </c>
      <c r="P809" s="4">
        <v>7.2</v>
      </c>
      <c r="Q809" s="3">
        <v>86</v>
      </c>
      <c r="R809" s="3">
        <v>23</v>
      </c>
      <c r="S809" s="3">
        <v>1</v>
      </c>
      <c r="T809" s="4">
        <v>9</v>
      </c>
      <c r="U809" s="3">
        <v>100</v>
      </c>
      <c r="V809" s="51">
        <f>IF(GroDB[[#This Row],[LeadTime]]=0,GroDB[[#This Row],[Sales_Volume]],GroDB[[#This Row],[Sales_Volume]]/GroDB[[#This Row],[LeadTime]])</f>
        <v>3.125</v>
      </c>
      <c r="W809" s="51">
        <f>_xlfn.STDEV.S(GroDB[Daily Sales])</f>
        <v>5.1999899792654221</v>
      </c>
      <c r="X809" s="3">
        <v>86</v>
      </c>
      <c r="Y809" s="7">
        <v>0.91</v>
      </c>
      <c r="Z809" s="4">
        <f>GroDB[[#This Row],[Unit_Price]]*GroDB[[#This Row],[Sales_Volume]]</f>
        <v>900</v>
      </c>
      <c r="AA809" s="22">
        <f>GroDB[[#This Row],[ADU]]/GroDB[[#Totals],[ADU]]</f>
        <v>2.6142322171355706E-3</v>
      </c>
      <c r="AB809" s="1">
        <f>GroDB[[#This Row],[Sales_Volume]]*GroDB[[#This Row],[Ordering Cost]]</f>
        <v>720</v>
      </c>
    </row>
    <row r="810" spans="1:28" x14ac:dyDescent="0.35">
      <c r="A810" s="5" t="s">
        <v>165</v>
      </c>
      <c r="B810" s="3" t="s">
        <v>60</v>
      </c>
      <c r="C810" s="3" t="s">
        <v>2893</v>
      </c>
      <c r="D810" s="3" t="s">
        <v>2894</v>
      </c>
      <c r="E810" s="3" t="s">
        <v>28</v>
      </c>
      <c r="F810" s="3" t="s">
        <v>2895</v>
      </c>
      <c r="G810" s="3" t="s">
        <v>2896</v>
      </c>
      <c r="H810" s="43">
        <v>45464</v>
      </c>
      <c r="I810" s="43">
        <v>45521</v>
      </c>
      <c r="J810" s="47" t="str">
        <f>IF(GroDB[[#This Row],[Last_Order_Date]]&lt;=GroDB[[#This Row],[Date_Received]], "Yes", "No")</f>
        <v>No</v>
      </c>
      <c r="K810" s="43">
        <f>IF(GroDB[[#This Row],[Column1]]="No",GroDB[[#This Row],[Last_Order_Date]],GroDB[[#This Row],[Date_Received]])</f>
        <v>45521</v>
      </c>
      <c r="L810" s="43">
        <f>IF(GroDB[[#This Row],[Column1]]="No",GroDB[[#This Row],[Date_Received]],GroDB[[#This Row],[Last_Order_Date]])</f>
        <v>45464</v>
      </c>
      <c r="M810" s="45">
        <f>GroDB[[#This Row],[Date_Received1]]-GroDB[[#This Row],[Procurement_Date]]</f>
        <v>57</v>
      </c>
      <c r="N810" s="43">
        <v>45411</v>
      </c>
      <c r="O810" s="91">
        <f>GroDB[[#This Row],[Expiration_Date]]-GroDB[[#This Row],[Date_Received1]]</f>
        <v>-110</v>
      </c>
      <c r="P810" s="4">
        <v>5.6000000000000005</v>
      </c>
      <c r="Q810" s="3">
        <v>93</v>
      </c>
      <c r="R810" s="3">
        <v>25</v>
      </c>
      <c r="S810" s="3">
        <v>23</v>
      </c>
      <c r="T810" s="4">
        <v>7</v>
      </c>
      <c r="U810" s="3">
        <v>72</v>
      </c>
      <c r="V810" s="51">
        <f>IF(GroDB[[#This Row],[LeadTime]]=0,GroDB[[#This Row],[Sales_Volume]],GroDB[[#This Row],[Sales_Volume]]/GroDB[[#This Row],[LeadTime]])</f>
        <v>1.263157894736842</v>
      </c>
      <c r="W810" s="51">
        <f>_xlfn.STDEV.S(GroDB[Daily Sales])</f>
        <v>5.1999899792654221</v>
      </c>
      <c r="X810" s="3">
        <v>83</v>
      </c>
      <c r="Y810" s="7">
        <v>0.14000000000000001</v>
      </c>
      <c r="Z810" s="4">
        <f>GroDB[[#This Row],[Unit_Price]]*GroDB[[#This Row],[Sales_Volume]]</f>
        <v>504</v>
      </c>
      <c r="AA810" s="22">
        <f>GroDB[[#This Row],[ADU]]/GroDB[[#Totals],[ADU]]</f>
        <v>1.4639700415959196E-3</v>
      </c>
      <c r="AB810" s="1">
        <f>GroDB[[#This Row],[Sales_Volume]]*GroDB[[#This Row],[Ordering Cost]]</f>
        <v>403.20000000000005</v>
      </c>
    </row>
    <row r="811" spans="1:28" x14ac:dyDescent="0.35">
      <c r="A811" s="5" t="s">
        <v>80</v>
      </c>
      <c r="B811" s="3" t="s">
        <v>25</v>
      </c>
      <c r="C811" s="3" t="s">
        <v>2496</v>
      </c>
      <c r="D811" s="3" t="s">
        <v>2897</v>
      </c>
      <c r="E811" s="3" t="s">
        <v>28</v>
      </c>
      <c r="F811" s="3" t="s">
        <v>2898</v>
      </c>
      <c r="G811" s="3" t="s">
        <v>2899</v>
      </c>
      <c r="H811" s="43">
        <v>45465</v>
      </c>
      <c r="I811" s="43">
        <v>45462</v>
      </c>
      <c r="J811" s="47" t="str">
        <f>IF(GroDB[[#This Row],[Last_Order_Date]]&lt;=GroDB[[#This Row],[Date_Received]], "Yes", "No")</f>
        <v>Yes</v>
      </c>
      <c r="K811" s="43">
        <f>IF(GroDB[[#This Row],[Column1]]="No",GroDB[[#This Row],[Last_Order_Date]],GroDB[[#This Row],[Date_Received]])</f>
        <v>45465</v>
      </c>
      <c r="L811" s="43">
        <f>IF(GroDB[[#This Row],[Column1]]="No",GroDB[[#This Row],[Date_Received]],GroDB[[#This Row],[Last_Order_Date]])</f>
        <v>45462</v>
      </c>
      <c r="M811" s="45">
        <f>GroDB[[#This Row],[Date_Received1]]-GroDB[[#This Row],[Procurement_Date]]</f>
        <v>3</v>
      </c>
      <c r="N811" s="43">
        <v>45563</v>
      </c>
      <c r="O811" s="91">
        <f>GroDB[[#This Row],[Expiration_Date]]-GroDB[[#This Row],[Date_Received1]]</f>
        <v>98</v>
      </c>
      <c r="P811" s="4">
        <v>8</v>
      </c>
      <c r="Q811" s="3">
        <v>99</v>
      </c>
      <c r="R811" s="3">
        <v>96</v>
      </c>
      <c r="S811" s="3">
        <v>39</v>
      </c>
      <c r="T811" s="4">
        <v>10</v>
      </c>
      <c r="U811" s="3">
        <v>94</v>
      </c>
      <c r="V811" s="51">
        <f>IF(GroDB[[#This Row],[LeadTime]]=0,GroDB[[#This Row],[Sales_Volume]],GroDB[[#This Row],[Sales_Volume]]/GroDB[[#This Row],[LeadTime]])</f>
        <v>31.333333333333332</v>
      </c>
      <c r="W811" s="51">
        <f>_xlfn.STDEV.S(GroDB[Daily Sales])</f>
        <v>5.1999899792654221</v>
      </c>
      <c r="X811" s="3">
        <v>89</v>
      </c>
      <c r="Y811" s="7">
        <v>-0.15</v>
      </c>
      <c r="Z811" s="4">
        <f>GroDB[[#This Row],[Unit_Price]]*GroDB[[#This Row],[Sales_Volume]]</f>
        <v>940</v>
      </c>
      <c r="AA811" s="22">
        <f>GroDB[[#This Row],[ADU]]/GroDB[[#Totals],[ADU]]</f>
        <v>2.7304203156749292E-3</v>
      </c>
      <c r="AB811" s="1">
        <f>GroDB[[#This Row],[Sales_Volume]]*GroDB[[#This Row],[Ordering Cost]]</f>
        <v>752</v>
      </c>
    </row>
    <row r="812" spans="1:28" x14ac:dyDescent="0.35">
      <c r="A812" s="5" t="s">
        <v>1624</v>
      </c>
      <c r="B812" s="3" t="s">
        <v>60</v>
      </c>
      <c r="C812" s="3" t="s">
        <v>2900</v>
      </c>
      <c r="D812" s="3" t="s">
        <v>2901</v>
      </c>
      <c r="E812" s="3" t="s">
        <v>28</v>
      </c>
      <c r="F812" s="3" t="s">
        <v>2902</v>
      </c>
      <c r="G812" s="3" t="s">
        <v>2903</v>
      </c>
      <c r="H812" s="43">
        <v>45465</v>
      </c>
      <c r="I812" s="43">
        <v>45578</v>
      </c>
      <c r="J812" s="47" t="str">
        <f>IF(GroDB[[#This Row],[Last_Order_Date]]&lt;=GroDB[[#This Row],[Date_Received]], "Yes", "No")</f>
        <v>No</v>
      </c>
      <c r="K812" s="43">
        <f>IF(GroDB[[#This Row],[Column1]]="No",GroDB[[#This Row],[Last_Order_Date]],GroDB[[#This Row],[Date_Received]])</f>
        <v>45578</v>
      </c>
      <c r="L812" s="43">
        <f>IF(GroDB[[#This Row],[Column1]]="No",GroDB[[#This Row],[Date_Received]],GroDB[[#This Row],[Last_Order_Date]])</f>
        <v>45465</v>
      </c>
      <c r="M812" s="45">
        <f>GroDB[[#This Row],[Date_Received1]]-GroDB[[#This Row],[Procurement_Date]]</f>
        <v>113</v>
      </c>
      <c r="N812" s="43">
        <v>45555</v>
      </c>
      <c r="O812" s="91">
        <f>GroDB[[#This Row],[Expiration_Date]]-GroDB[[#This Row],[Date_Received1]]</f>
        <v>-23</v>
      </c>
      <c r="P812" s="4">
        <v>6</v>
      </c>
      <c r="Q812" s="3">
        <v>30</v>
      </c>
      <c r="R812" s="3">
        <v>29</v>
      </c>
      <c r="S812" s="3">
        <v>70</v>
      </c>
      <c r="T812" s="4">
        <v>7.5</v>
      </c>
      <c r="U812" s="3">
        <v>80</v>
      </c>
      <c r="V812" s="51">
        <f>IF(GroDB[[#This Row],[LeadTime]]=0,GroDB[[#This Row],[Sales_Volume]],GroDB[[#This Row],[Sales_Volume]]/GroDB[[#This Row],[LeadTime]])</f>
        <v>0.70796460176991149</v>
      </c>
      <c r="W812" s="51">
        <f>_xlfn.STDEV.S(GroDB[Daily Sales])</f>
        <v>5.1999899792654221</v>
      </c>
      <c r="X812" s="3">
        <v>43</v>
      </c>
      <c r="Y812" s="7">
        <v>0.05</v>
      </c>
      <c r="Z812" s="4">
        <f>GroDB[[#This Row],[Unit_Price]]*GroDB[[#This Row],[Sales_Volume]]</f>
        <v>600</v>
      </c>
      <c r="AA812" s="22">
        <f>GroDB[[#This Row],[ADU]]/GroDB[[#Totals],[ADU]]</f>
        <v>1.7428214780903805E-3</v>
      </c>
      <c r="AB812" s="1">
        <f>GroDB[[#This Row],[Sales_Volume]]*GroDB[[#This Row],[Ordering Cost]]</f>
        <v>480</v>
      </c>
    </row>
    <row r="813" spans="1:28" x14ac:dyDescent="0.35">
      <c r="A813" s="5" t="s">
        <v>1016</v>
      </c>
      <c r="B813" s="3" t="s">
        <v>25</v>
      </c>
      <c r="C813" s="3" t="s">
        <v>2542</v>
      </c>
      <c r="D813" s="3" t="s">
        <v>2904</v>
      </c>
      <c r="E813" s="3" t="s">
        <v>28</v>
      </c>
      <c r="F813" s="3" t="s">
        <v>2905</v>
      </c>
      <c r="G813" s="3" t="s">
        <v>2906</v>
      </c>
      <c r="H813" s="43">
        <v>45465</v>
      </c>
      <c r="I813" s="43">
        <v>45539</v>
      </c>
      <c r="J813" s="47" t="str">
        <f>IF(GroDB[[#This Row],[Last_Order_Date]]&lt;=GroDB[[#This Row],[Date_Received]], "Yes", "No")</f>
        <v>No</v>
      </c>
      <c r="K813" s="43">
        <f>IF(GroDB[[#This Row],[Column1]]="No",GroDB[[#This Row],[Last_Order_Date]],GroDB[[#This Row],[Date_Received]])</f>
        <v>45539</v>
      </c>
      <c r="L813" s="43">
        <f>IF(GroDB[[#This Row],[Column1]]="No",GroDB[[#This Row],[Date_Received]],GroDB[[#This Row],[Last_Order_Date]])</f>
        <v>45465</v>
      </c>
      <c r="M813" s="45">
        <f>GroDB[[#This Row],[Date_Received1]]-GroDB[[#This Row],[Procurement_Date]]</f>
        <v>74</v>
      </c>
      <c r="N813" s="43">
        <v>45477</v>
      </c>
      <c r="O813" s="91">
        <f>GroDB[[#This Row],[Expiration_Date]]-GroDB[[#This Row],[Date_Received1]]</f>
        <v>-62</v>
      </c>
      <c r="P813" s="4">
        <v>2</v>
      </c>
      <c r="Q813" s="3">
        <v>75</v>
      </c>
      <c r="R813" s="3">
        <v>23</v>
      </c>
      <c r="S813" s="3">
        <v>34</v>
      </c>
      <c r="T813" s="4">
        <v>2.5</v>
      </c>
      <c r="U813" s="3">
        <v>100</v>
      </c>
      <c r="V813" s="51">
        <f>IF(GroDB[[#This Row],[LeadTime]]=0,GroDB[[#This Row],[Sales_Volume]],GroDB[[#This Row],[Sales_Volume]]/GroDB[[#This Row],[LeadTime]])</f>
        <v>1.3513513513513513</v>
      </c>
      <c r="W813" s="51">
        <f>_xlfn.STDEV.S(GroDB[Daily Sales])</f>
        <v>5.1999899792654221</v>
      </c>
      <c r="X813" s="3">
        <v>54</v>
      </c>
      <c r="Y813" s="7">
        <v>0.46</v>
      </c>
      <c r="Z813" s="4">
        <f>GroDB[[#This Row],[Unit_Price]]*GroDB[[#This Row],[Sales_Volume]]</f>
        <v>250</v>
      </c>
      <c r="AA813" s="22">
        <f>GroDB[[#This Row],[ADU]]/GroDB[[#Totals],[ADU]]</f>
        <v>7.2617561587099192E-4</v>
      </c>
      <c r="AB813" s="1">
        <f>GroDB[[#This Row],[Sales_Volume]]*GroDB[[#This Row],[Ordering Cost]]</f>
        <v>200</v>
      </c>
    </row>
    <row r="814" spans="1:28" x14ac:dyDescent="0.35">
      <c r="A814" s="5" t="s">
        <v>121</v>
      </c>
      <c r="B814" s="3" t="s">
        <v>53</v>
      </c>
      <c r="C814" s="3" t="s">
        <v>2180</v>
      </c>
      <c r="D814" s="3" t="s">
        <v>2907</v>
      </c>
      <c r="E814" s="3" t="s">
        <v>56</v>
      </c>
      <c r="F814" s="3" t="s">
        <v>2908</v>
      </c>
      <c r="G814" s="3" t="s">
        <v>2909</v>
      </c>
      <c r="H814" s="43">
        <v>45465</v>
      </c>
      <c r="I814" s="43">
        <v>45475</v>
      </c>
      <c r="J814" s="47" t="str">
        <f>IF(GroDB[[#This Row],[Last_Order_Date]]&lt;=GroDB[[#This Row],[Date_Received]], "Yes", "No")</f>
        <v>No</v>
      </c>
      <c r="K814" s="43">
        <f>IF(GroDB[[#This Row],[Column1]]="No",GroDB[[#This Row],[Last_Order_Date]],GroDB[[#This Row],[Date_Received]])</f>
        <v>45475</v>
      </c>
      <c r="L814" s="43">
        <f>IF(GroDB[[#This Row],[Column1]]="No",GroDB[[#This Row],[Date_Received]],GroDB[[#This Row],[Last_Order_Date]])</f>
        <v>45465</v>
      </c>
      <c r="M814" s="45">
        <f>GroDB[[#This Row],[Date_Received1]]-GroDB[[#This Row],[Procurement_Date]]</f>
        <v>10</v>
      </c>
      <c r="N814" s="43">
        <v>45653</v>
      </c>
      <c r="O814" s="91">
        <f>GroDB[[#This Row],[Expiration_Date]]-GroDB[[#This Row],[Date_Received1]]</f>
        <v>178</v>
      </c>
      <c r="P814" s="4">
        <v>2.2000000000000002</v>
      </c>
      <c r="Q814" s="3">
        <v>39</v>
      </c>
      <c r="R814" s="3">
        <v>53</v>
      </c>
      <c r="S814" s="3">
        <v>64</v>
      </c>
      <c r="T814" s="4">
        <v>2.75</v>
      </c>
      <c r="U814" s="3">
        <v>92</v>
      </c>
      <c r="V814" s="51">
        <f>IF(GroDB[[#This Row],[LeadTime]]=0,GroDB[[#This Row],[Sales_Volume]],GroDB[[#This Row],[Sales_Volume]]/GroDB[[#This Row],[LeadTime]])</f>
        <v>9.1999999999999993</v>
      </c>
      <c r="W814" s="51">
        <f>_xlfn.STDEV.S(GroDB[Daily Sales])</f>
        <v>5.1999899792654221</v>
      </c>
      <c r="X814" s="3">
        <v>8</v>
      </c>
      <c r="Y814" s="7">
        <v>0.46</v>
      </c>
      <c r="Z814" s="4">
        <f>GroDB[[#This Row],[Unit_Price]]*GroDB[[#This Row],[Sales_Volume]]</f>
        <v>253</v>
      </c>
      <c r="AA814" s="22">
        <f>GroDB[[#This Row],[ADU]]/GroDB[[#Totals],[ADU]]</f>
        <v>7.3488972326144375E-4</v>
      </c>
      <c r="AB814" s="1">
        <f>GroDB[[#This Row],[Sales_Volume]]*GroDB[[#This Row],[Ordering Cost]]</f>
        <v>202.4</v>
      </c>
    </row>
    <row r="815" spans="1:28" x14ac:dyDescent="0.35">
      <c r="A815" s="5" t="s">
        <v>812</v>
      </c>
      <c r="B815" s="3" t="s">
        <v>18</v>
      </c>
      <c r="C815" s="3" t="s">
        <v>171</v>
      </c>
      <c r="D815" s="3" t="s">
        <v>2910</v>
      </c>
      <c r="E815" s="3" t="s">
        <v>21</v>
      </c>
      <c r="F815" s="3" t="s">
        <v>2911</v>
      </c>
      <c r="G815" s="3" t="s">
        <v>2912</v>
      </c>
      <c r="H815" s="43">
        <v>45465</v>
      </c>
      <c r="I815" s="43">
        <v>45435</v>
      </c>
      <c r="J815" s="47" t="str">
        <f>IF(GroDB[[#This Row],[Last_Order_Date]]&lt;=GroDB[[#This Row],[Date_Received]], "Yes", "No")</f>
        <v>Yes</v>
      </c>
      <c r="K815" s="43">
        <f>IF(GroDB[[#This Row],[Column1]]="No",GroDB[[#This Row],[Last_Order_Date]],GroDB[[#This Row],[Date_Received]])</f>
        <v>45465</v>
      </c>
      <c r="L815" s="43">
        <f>IF(GroDB[[#This Row],[Column1]]="No",GroDB[[#This Row],[Date_Received]],GroDB[[#This Row],[Last_Order_Date]])</f>
        <v>45435</v>
      </c>
      <c r="M815" s="45">
        <f>GroDB[[#This Row],[Date_Received1]]-GroDB[[#This Row],[Procurement_Date]]</f>
        <v>30</v>
      </c>
      <c r="N815" s="43">
        <v>45398</v>
      </c>
      <c r="O815" s="91">
        <f>GroDB[[#This Row],[Expiration_Date]]-GroDB[[#This Row],[Date_Received1]]</f>
        <v>-67</v>
      </c>
      <c r="P815" s="4">
        <v>2.8000000000000003</v>
      </c>
      <c r="Q815" s="3">
        <v>77</v>
      </c>
      <c r="R815" s="3">
        <v>58</v>
      </c>
      <c r="S815" s="3">
        <v>13</v>
      </c>
      <c r="T815" s="4">
        <v>3.5</v>
      </c>
      <c r="U815" s="3">
        <v>63</v>
      </c>
      <c r="V815" s="51">
        <f>IF(GroDB[[#This Row],[LeadTime]]=0,GroDB[[#This Row],[Sales_Volume]],GroDB[[#This Row],[Sales_Volume]]/GroDB[[#This Row],[LeadTime]])</f>
        <v>2.1</v>
      </c>
      <c r="W815" s="51">
        <f>_xlfn.STDEV.S(GroDB[Daily Sales])</f>
        <v>5.1999899792654221</v>
      </c>
      <c r="X815" s="3">
        <v>28</v>
      </c>
      <c r="Y815" s="7">
        <v>0.91</v>
      </c>
      <c r="Z815" s="4">
        <f>GroDB[[#This Row],[Unit_Price]]*GroDB[[#This Row],[Sales_Volume]]</f>
        <v>220.5</v>
      </c>
      <c r="AA815" s="22">
        <f>GroDB[[#This Row],[ADU]]/GroDB[[#Totals],[ADU]]</f>
        <v>6.4048689319821483E-4</v>
      </c>
      <c r="AB815" s="1">
        <f>GroDB[[#This Row],[Sales_Volume]]*GroDB[[#This Row],[Ordering Cost]]</f>
        <v>176.4</v>
      </c>
    </row>
    <row r="816" spans="1:28" x14ac:dyDescent="0.35">
      <c r="A816" s="5" t="s">
        <v>230</v>
      </c>
      <c r="B816" s="3" t="s">
        <v>25</v>
      </c>
      <c r="C816" s="3" t="s">
        <v>1756</v>
      </c>
      <c r="D816" s="3" t="s">
        <v>2913</v>
      </c>
      <c r="E816" s="3" t="s">
        <v>21</v>
      </c>
      <c r="F816" s="3" t="s">
        <v>2914</v>
      </c>
      <c r="G816" s="3" t="s">
        <v>2915</v>
      </c>
      <c r="H816" s="43">
        <v>45466</v>
      </c>
      <c r="I816" s="43">
        <v>45504</v>
      </c>
      <c r="J816" s="47" t="str">
        <f>IF(GroDB[[#This Row],[Last_Order_Date]]&lt;=GroDB[[#This Row],[Date_Received]], "Yes", "No")</f>
        <v>No</v>
      </c>
      <c r="K816" s="43">
        <f>IF(GroDB[[#This Row],[Column1]]="No",GroDB[[#This Row],[Last_Order_Date]],GroDB[[#This Row],[Date_Received]])</f>
        <v>45504</v>
      </c>
      <c r="L816" s="43">
        <f>IF(GroDB[[#This Row],[Column1]]="No",GroDB[[#This Row],[Date_Received]],GroDB[[#This Row],[Last_Order_Date]])</f>
        <v>45466</v>
      </c>
      <c r="M816" s="45">
        <f>GroDB[[#This Row],[Date_Received1]]-GroDB[[#This Row],[Procurement_Date]]</f>
        <v>38</v>
      </c>
      <c r="N816" s="43">
        <v>45699</v>
      </c>
      <c r="O816" s="91">
        <f>GroDB[[#This Row],[Expiration_Date]]-GroDB[[#This Row],[Date_Received1]]</f>
        <v>195</v>
      </c>
      <c r="P816" s="4">
        <v>1.4400000000000002</v>
      </c>
      <c r="Q816" s="3">
        <v>43</v>
      </c>
      <c r="R816" s="3">
        <v>63</v>
      </c>
      <c r="S816" s="3">
        <v>80</v>
      </c>
      <c r="T816" s="4">
        <v>1.8</v>
      </c>
      <c r="U816" s="3">
        <v>33</v>
      </c>
      <c r="V816" s="51">
        <f>IF(GroDB[[#This Row],[LeadTime]]=0,GroDB[[#This Row],[Sales_Volume]],GroDB[[#This Row],[Sales_Volume]]/GroDB[[#This Row],[LeadTime]])</f>
        <v>0.86842105263157898</v>
      </c>
      <c r="W816" s="51">
        <f>_xlfn.STDEV.S(GroDB[Daily Sales])</f>
        <v>5.1999899792654221</v>
      </c>
      <c r="X816" s="3">
        <v>96</v>
      </c>
      <c r="Y816" s="7">
        <v>0.56000000000000005</v>
      </c>
      <c r="Z816" s="4">
        <f>GroDB[[#This Row],[Unit_Price]]*GroDB[[#This Row],[Sales_Volume]]</f>
        <v>59.4</v>
      </c>
      <c r="AA816" s="22">
        <f>GroDB[[#This Row],[ADU]]/GroDB[[#Totals],[ADU]]</f>
        <v>1.7253932633094765E-4</v>
      </c>
      <c r="AB816" s="1">
        <f>GroDB[[#This Row],[Sales_Volume]]*GroDB[[#This Row],[Ordering Cost]]</f>
        <v>47.52</v>
      </c>
    </row>
    <row r="817" spans="1:28" x14ac:dyDescent="0.35">
      <c r="A817" s="5" t="s">
        <v>1516</v>
      </c>
      <c r="B817" s="3" t="s">
        <v>32</v>
      </c>
      <c r="C817" s="3" t="s">
        <v>1812</v>
      </c>
      <c r="D817" s="3" t="s">
        <v>2916</v>
      </c>
      <c r="E817" s="3" t="s">
        <v>28</v>
      </c>
      <c r="F817" s="3" t="s">
        <v>2917</v>
      </c>
      <c r="G817" s="3" t="s">
        <v>2918</v>
      </c>
      <c r="H817" s="43">
        <v>45466</v>
      </c>
      <c r="I817" s="43">
        <v>45480</v>
      </c>
      <c r="J817" s="47" t="str">
        <f>IF(GroDB[[#This Row],[Last_Order_Date]]&lt;=GroDB[[#This Row],[Date_Received]], "Yes", "No")</f>
        <v>No</v>
      </c>
      <c r="K817" s="43">
        <f>IF(GroDB[[#This Row],[Column1]]="No",GroDB[[#This Row],[Last_Order_Date]],GroDB[[#This Row],[Date_Received]])</f>
        <v>45480</v>
      </c>
      <c r="L817" s="43">
        <f>IF(GroDB[[#This Row],[Column1]]="No",GroDB[[#This Row],[Date_Received]],GroDB[[#This Row],[Last_Order_Date]])</f>
        <v>45466</v>
      </c>
      <c r="M817" s="45">
        <f>GroDB[[#This Row],[Date_Received1]]-GroDB[[#This Row],[Procurement_Date]]</f>
        <v>14</v>
      </c>
      <c r="N817" s="43">
        <v>45660</v>
      </c>
      <c r="O817" s="91">
        <f>GroDB[[#This Row],[Expiration_Date]]-GroDB[[#This Row],[Date_Received1]]</f>
        <v>180</v>
      </c>
      <c r="P817" s="4">
        <v>5.6000000000000005</v>
      </c>
      <c r="Q817" s="3">
        <v>58</v>
      </c>
      <c r="R817" s="3">
        <v>17</v>
      </c>
      <c r="S817" s="3">
        <v>26</v>
      </c>
      <c r="T817" s="4">
        <v>7</v>
      </c>
      <c r="U817" s="3">
        <v>62</v>
      </c>
      <c r="V817" s="51">
        <f>IF(GroDB[[#This Row],[LeadTime]]=0,GroDB[[#This Row],[Sales_Volume]],GroDB[[#This Row],[Sales_Volume]]/GroDB[[#This Row],[LeadTime]])</f>
        <v>4.4285714285714288</v>
      </c>
      <c r="W817" s="51">
        <f>_xlfn.STDEV.S(GroDB[Daily Sales])</f>
        <v>5.1999899792654221</v>
      </c>
      <c r="X817" s="3">
        <v>89</v>
      </c>
      <c r="Y817" s="7">
        <v>-1.91</v>
      </c>
      <c r="Z817" s="4">
        <f>GroDB[[#This Row],[Unit_Price]]*GroDB[[#This Row],[Sales_Volume]]</f>
        <v>434</v>
      </c>
      <c r="AA817" s="22">
        <f>GroDB[[#This Row],[ADU]]/GroDB[[#Totals],[ADU]]</f>
        <v>1.2606408691520419E-3</v>
      </c>
      <c r="AB817" s="1">
        <f>GroDB[[#This Row],[Sales_Volume]]*GroDB[[#This Row],[Ordering Cost]]</f>
        <v>347.20000000000005</v>
      </c>
    </row>
    <row r="818" spans="1:28" x14ac:dyDescent="0.35">
      <c r="A818" s="5" t="s">
        <v>1085</v>
      </c>
      <c r="B818" s="3" t="s">
        <v>32</v>
      </c>
      <c r="C818" s="3" t="s">
        <v>343</v>
      </c>
      <c r="D818" s="3" t="s">
        <v>2919</v>
      </c>
      <c r="E818" s="3" t="s">
        <v>56</v>
      </c>
      <c r="F818" s="3" t="s">
        <v>2920</v>
      </c>
      <c r="G818" s="3" t="s">
        <v>2921</v>
      </c>
      <c r="H818" s="43">
        <v>45466</v>
      </c>
      <c r="I818" s="43">
        <v>45428</v>
      </c>
      <c r="J818" s="47" t="str">
        <f>IF(GroDB[[#This Row],[Last_Order_Date]]&lt;=GroDB[[#This Row],[Date_Received]], "Yes", "No")</f>
        <v>Yes</v>
      </c>
      <c r="K818" s="43">
        <f>IF(GroDB[[#This Row],[Column1]]="No",GroDB[[#This Row],[Last_Order_Date]],GroDB[[#This Row],[Date_Received]])</f>
        <v>45466</v>
      </c>
      <c r="L818" s="43">
        <f>IF(GroDB[[#This Row],[Column1]]="No",GroDB[[#This Row],[Date_Received]],GroDB[[#This Row],[Last_Order_Date]])</f>
        <v>45428</v>
      </c>
      <c r="M818" s="45">
        <f>GroDB[[#This Row],[Date_Received1]]-GroDB[[#This Row],[Procurement_Date]]</f>
        <v>38</v>
      </c>
      <c r="N818" s="43">
        <v>45655</v>
      </c>
      <c r="O818" s="91">
        <f>GroDB[[#This Row],[Expiration_Date]]-GroDB[[#This Row],[Date_Received1]]</f>
        <v>189</v>
      </c>
      <c r="P818" s="4">
        <v>6.4</v>
      </c>
      <c r="Q818" s="3">
        <v>64</v>
      </c>
      <c r="R818" s="3">
        <v>14</v>
      </c>
      <c r="S818" s="3">
        <v>44</v>
      </c>
      <c r="T818" s="4">
        <v>8</v>
      </c>
      <c r="U818" s="3">
        <v>53</v>
      </c>
      <c r="V818" s="51">
        <f>IF(GroDB[[#This Row],[LeadTime]]=0,GroDB[[#This Row],[Sales_Volume]],GroDB[[#This Row],[Sales_Volume]]/GroDB[[#This Row],[LeadTime]])</f>
        <v>1.3947368421052631</v>
      </c>
      <c r="W818" s="51">
        <f>_xlfn.STDEV.S(GroDB[Daily Sales])</f>
        <v>5.1999899792654221</v>
      </c>
      <c r="X818" s="3">
        <v>33</v>
      </c>
      <c r="Y818" s="7">
        <v>-0.44</v>
      </c>
      <c r="Z818" s="4">
        <f>GroDB[[#This Row],[Unit_Price]]*GroDB[[#This Row],[Sales_Volume]]</f>
        <v>424</v>
      </c>
      <c r="AA818" s="22">
        <f>GroDB[[#This Row],[ADU]]/GroDB[[#Totals],[ADU]]</f>
        <v>1.2315938445172023E-3</v>
      </c>
      <c r="AB818" s="1">
        <f>GroDB[[#This Row],[Sales_Volume]]*GroDB[[#This Row],[Ordering Cost]]</f>
        <v>339.20000000000005</v>
      </c>
    </row>
    <row r="819" spans="1:28" x14ac:dyDescent="0.35">
      <c r="A819" s="5" t="s">
        <v>976</v>
      </c>
      <c r="B819" s="3" t="s">
        <v>60</v>
      </c>
      <c r="C819" s="3" t="s">
        <v>235</v>
      </c>
      <c r="D819" s="3" t="s">
        <v>2922</v>
      </c>
      <c r="E819" s="3" t="s">
        <v>56</v>
      </c>
      <c r="F819" s="3" t="s">
        <v>2923</v>
      </c>
      <c r="G819" s="3" t="s">
        <v>2924</v>
      </c>
      <c r="H819" s="43">
        <v>45466</v>
      </c>
      <c r="I819" s="43">
        <v>45625</v>
      </c>
      <c r="J819" s="47" t="str">
        <f>IF(GroDB[[#This Row],[Last_Order_Date]]&lt;=GroDB[[#This Row],[Date_Received]], "Yes", "No")</f>
        <v>No</v>
      </c>
      <c r="K819" s="43">
        <f>IF(GroDB[[#This Row],[Column1]]="No",GroDB[[#This Row],[Last_Order_Date]],GroDB[[#This Row],[Date_Received]])</f>
        <v>45625</v>
      </c>
      <c r="L819" s="43">
        <f>IF(GroDB[[#This Row],[Column1]]="No",GroDB[[#This Row],[Date_Received]],GroDB[[#This Row],[Last_Order_Date]])</f>
        <v>45466</v>
      </c>
      <c r="M819" s="45">
        <f>GroDB[[#This Row],[Date_Received1]]-GroDB[[#This Row],[Procurement_Date]]</f>
        <v>159</v>
      </c>
      <c r="N819" s="43">
        <v>45391</v>
      </c>
      <c r="O819" s="91">
        <f>GroDB[[#This Row],[Expiration_Date]]-GroDB[[#This Row],[Date_Received1]]</f>
        <v>-234</v>
      </c>
      <c r="P819" s="4">
        <v>16</v>
      </c>
      <c r="Q819" s="3">
        <v>88</v>
      </c>
      <c r="R819" s="3">
        <v>42</v>
      </c>
      <c r="S819" s="3">
        <v>68</v>
      </c>
      <c r="T819" s="4">
        <v>20</v>
      </c>
      <c r="U819" s="3">
        <v>92</v>
      </c>
      <c r="V819" s="51">
        <f>IF(GroDB[[#This Row],[LeadTime]]=0,GroDB[[#This Row],[Sales_Volume]],GroDB[[#This Row],[Sales_Volume]]/GroDB[[#This Row],[LeadTime]])</f>
        <v>0.57861635220125784</v>
      </c>
      <c r="W819" s="51">
        <f>_xlfn.STDEV.S(GroDB[Daily Sales])</f>
        <v>5.1999899792654221</v>
      </c>
      <c r="X819" s="3">
        <v>29</v>
      </c>
      <c r="Y819" s="7">
        <v>0.38</v>
      </c>
      <c r="Z819" s="4">
        <f>GroDB[[#This Row],[Unit_Price]]*GroDB[[#This Row],[Sales_Volume]]</f>
        <v>1840</v>
      </c>
      <c r="AA819" s="22">
        <f>GroDB[[#This Row],[ADU]]/GroDB[[#Totals],[ADU]]</f>
        <v>5.3446525328104998E-3</v>
      </c>
      <c r="AB819" s="1">
        <f>GroDB[[#This Row],[Sales_Volume]]*GroDB[[#This Row],[Ordering Cost]]</f>
        <v>1472</v>
      </c>
    </row>
    <row r="820" spans="1:28" x14ac:dyDescent="0.35">
      <c r="A820" s="5" t="s">
        <v>495</v>
      </c>
      <c r="B820" s="3" t="s">
        <v>18</v>
      </c>
      <c r="C820" s="3" t="s">
        <v>2925</v>
      </c>
      <c r="D820" s="3" t="s">
        <v>2926</v>
      </c>
      <c r="E820" s="3" t="s">
        <v>56</v>
      </c>
      <c r="F820" s="3" t="s">
        <v>2927</v>
      </c>
      <c r="G820" s="3" t="s">
        <v>2928</v>
      </c>
      <c r="H820" s="43">
        <v>45467</v>
      </c>
      <c r="I820" s="43">
        <v>45712</v>
      </c>
      <c r="J820" s="47" t="str">
        <f>IF(GroDB[[#This Row],[Last_Order_Date]]&lt;=GroDB[[#This Row],[Date_Received]], "Yes", "No")</f>
        <v>No</v>
      </c>
      <c r="K820" s="43">
        <f>IF(GroDB[[#This Row],[Column1]]="No",GroDB[[#This Row],[Last_Order_Date]],GroDB[[#This Row],[Date_Received]])</f>
        <v>45712</v>
      </c>
      <c r="L820" s="43">
        <f>IF(GroDB[[#This Row],[Column1]]="No",GroDB[[#This Row],[Date_Received]],GroDB[[#This Row],[Last_Order_Date]])</f>
        <v>45467</v>
      </c>
      <c r="M820" s="45">
        <f>GroDB[[#This Row],[Date_Received1]]-GroDB[[#This Row],[Procurement_Date]]</f>
        <v>245</v>
      </c>
      <c r="N820" s="43">
        <v>45368</v>
      </c>
      <c r="O820" s="91">
        <f>GroDB[[#This Row],[Expiration_Date]]-GroDB[[#This Row],[Date_Received1]]</f>
        <v>-344</v>
      </c>
      <c r="P820" s="4">
        <v>4.8000000000000007</v>
      </c>
      <c r="Q820" s="3">
        <v>72</v>
      </c>
      <c r="R820" s="3">
        <v>87</v>
      </c>
      <c r="S820" s="3">
        <v>39</v>
      </c>
      <c r="T820" s="4">
        <v>6</v>
      </c>
      <c r="U820" s="3">
        <v>94</v>
      </c>
      <c r="V820" s="51">
        <f>IF(GroDB[[#This Row],[LeadTime]]=0,GroDB[[#This Row],[Sales_Volume]],GroDB[[#This Row],[Sales_Volume]]/GroDB[[#This Row],[LeadTime]])</f>
        <v>0.3836734693877551</v>
      </c>
      <c r="W820" s="51">
        <f>_xlfn.STDEV.S(GroDB[Daily Sales])</f>
        <v>5.1999899792654221</v>
      </c>
      <c r="X820" s="3">
        <v>57</v>
      </c>
      <c r="Y820" s="7">
        <v>0.68</v>
      </c>
      <c r="Z820" s="4">
        <f>GroDB[[#This Row],[Unit_Price]]*GroDB[[#This Row],[Sales_Volume]]</f>
        <v>564</v>
      </c>
      <c r="AA820" s="22">
        <f>GroDB[[#This Row],[ADU]]/GroDB[[#Totals],[ADU]]</f>
        <v>1.6382521894049576E-3</v>
      </c>
      <c r="AB820" s="1">
        <f>GroDB[[#This Row],[Sales_Volume]]*GroDB[[#This Row],[Ordering Cost]]</f>
        <v>451.20000000000005</v>
      </c>
    </row>
    <row r="821" spans="1:28" x14ac:dyDescent="0.35">
      <c r="A821" s="5" t="s">
        <v>47</v>
      </c>
      <c r="B821" s="3" t="s">
        <v>18</v>
      </c>
      <c r="C821" s="3" t="s">
        <v>1073</v>
      </c>
      <c r="D821" s="3" t="s">
        <v>2929</v>
      </c>
      <c r="E821" s="3" t="s">
        <v>21</v>
      </c>
      <c r="F821" s="3" t="s">
        <v>2930</v>
      </c>
      <c r="G821" s="3" t="s">
        <v>2931</v>
      </c>
      <c r="H821" s="43">
        <v>45467</v>
      </c>
      <c r="I821" s="43">
        <v>45651</v>
      </c>
      <c r="J821" s="47" t="str">
        <f>IF(GroDB[[#This Row],[Last_Order_Date]]&lt;=GroDB[[#This Row],[Date_Received]], "Yes", "No")</f>
        <v>No</v>
      </c>
      <c r="K821" s="43">
        <f>IF(GroDB[[#This Row],[Column1]]="No",GroDB[[#This Row],[Last_Order_Date]],GroDB[[#This Row],[Date_Received]])</f>
        <v>45651</v>
      </c>
      <c r="L821" s="43">
        <f>IF(GroDB[[#This Row],[Column1]]="No",GroDB[[#This Row],[Date_Received]],GroDB[[#This Row],[Last_Order_Date]])</f>
        <v>45467</v>
      </c>
      <c r="M821" s="45">
        <f>GroDB[[#This Row],[Date_Received1]]-GroDB[[#This Row],[Procurement_Date]]</f>
        <v>184</v>
      </c>
      <c r="N821" s="43">
        <v>45448</v>
      </c>
      <c r="O821" s="91">
        <f>GroDB[[#This Row],[Expiration_Date]]-GroDB[[#This Row],[Date_Received1]]</f>
        <v>-203</v>
      </c>
      <c r="P821" s="4">
        <v>1.8399999999999999</v>
      </c>
      <c r="Q821" s="3">
        <v>12</v>
      </c>
      <c r="R821" s="3">
        <v>7</v>
      </c>
      <c r="S821" s="3">
        <v>48</v>
      </c>
      <c r="T821" s="4">
        <v>2.2999999999999998</v>
      </c>
      <c r="U821" s="3">
        <v>66</v>
      </c>
      <c r="V821" s="51">
        <f>IF(GroDB[[#This Row],[LeadTime]]=0,GroDB[[#This Row],[Sales_Volume]],GroDB[[#This Row],[Sales_Volume]]/GroDB[[#This Row],[LeadTime]])</f>
        <v>0.35869565217391303</v>
      </c>
      <c r="W821" s="51">
        <f>_xlfn.STDEV.S(GroDB[Daily Sales])</f>
        <v>5.1999899792654221</v>
      </c>
      <c r="X821" s="3">
        <v>4</v>
      </c>
      <c r="Y821" s="7">
        <v>0.39</v>
      </c>
      <c r="Z821" s="4">
        <f>GroDB[[#This Row],[Unit_Price]]*GroDB[[#This Row],[Sales_Volume]]</f>
        <v>151.79999999999998</v>
      </c>
      <c r="AA821" s="22">
        <f>GroDB[[#This Row],[ADU]]/GroDB[[#Totals],[ADU]]</f>
        <v>4.409338339568662E-4</v>
      </c>
      <c r="AB821" s="1">
        <f>GroDB[[#This Row],[Sales_Volume]]*GroDB[[#This Row],[Ordering Cost]]</f>
        <v>121.44</v>
      </c>
    </row>
    <row r="822" spans="1:28" x14ac:dyDescent="0.35">
      <c r="A822" s="5" t="s">
        <v>517</v>
      </c>
      <c r="B822" s="3" t="s">
        <v>127</v>
      </c>
      <c r="C822" s="3" t="s">
        <v>555</v>
      </c>
      <c r="D822" s="3" t="s">
        <v>2932</v>
      </c>
      <c r="E822" s="3" t="s">
        <v>56</v>
      </c>
      <c r="F822" s="3" t="s">
        <v>2933</v>
      </c>
      <c r="G822" s="3" t="s">
        <v>2934</v>
      </c>
      <c r="H822" s="43">
        <v>45467</v>
      </c>
      <c r="I822" s="43">
        <v>45701</v>
      </c>
      <c r="J822" s="47" t="str">
        <f>IF(GroDB[[#This Row],[Last_Order_Date]]&lt;=GroDB[[#This Row],[Date_Received]], "Yes", "No")</f>
        <v>No</v>
      </c>
      <c r="K822" s="43">
        <f>IF(GroDB[[#This Row],[Column1]]="No",GroDB[[#This Row],[Last_Order_Date]],GroDB[[#This Row],[Date_Received]])</f>
        <v>45701</v>
      </c>
      <c r="L822" s="43">
        <f>IF(GroDB[[#This Row],[Column1]]="No",GroDB[[#This Row],[Date_Received]],GroDB[[#This Row],[Last_Order_Date]])</f>
        <v>45467</v>
      </c>
      <c r="M822" s="45">
        <f>GroDB[[#This Row],[Date_Received1]]-GroDB[[#This Row],[Procurement_Date]]</f>
        <v>234</v>
      </c>
      <c r="N822" s="43">
        <v>45659</v>
      </c>
      <c r="O822" s="91">
        <f>GroDB[[#This Row],[Expiration_Date]]-GroDB[[#This Row],[Date_Received1]]</f>
        <v>-42</v>
      </c>
      <c r="P822" s="4">
        <v>20</v>
      </c>
      <c r="Q822" s="3">
        <v>58</v>
      </c>
      <c r="R822" s="3">
        <v>81</v>
      </c>
      <c r="S822" s="3">
        <v>66</v>
      </c>
      <c r="T822" s="4">
        <v>25</v>
      </c>
      <c r="U822" s="3">
        <v>85</v>
      </c>
      <c r="V822" s="51">
        <f>IF(GroDB[[#This Row],[LeadTime]]=0,GroDB[[#This Row],[Sales_Volume]],GroDB[[#This Row],[Sales_Volume]]/GroDB[[#This Row],[LeadTime]])</f>
        <v>0.36324786324786323</v>
      </c>
      <c r="W822" s="51">
        <f>_xlfn.STDEV.S(GroDB[Daily Sales])</f>
        <v>5.1999899792654221</v>
      </c>
      <c r="X822" s="3">
        <v>78</v>
      </c>
      <c r="Y822" s="7">
        <v>0.94</v>
      </c>
      <c r="Z822" s="4">
        <f>GroDB[[#This Row],[Unit_Price]]*GroDB[[#This Row],[Sales_Volume]]</f>
        <v>2125</v>
      </c>
      <c r="AA822" s="22">
        <f>GroDB[[#This Row],[ADU]]/GroDB[[#Totals],[ADU]]</f>
        <v>6.1724927349034306E-3</v>
      </c>
      <c r="AB822" s="1">
        <f>GroDB[[#This Row],[Sales_Volume]]*GroDB[[#This Row],[Ordering Cost]]</f>
        <v>1700</v>
      </c>
    </row>
    <row r="823" spans="1:28" x14ac:dyDescent="0.35">
      <c r="A823" s="5" t="s">
        <v>137</v>
      </c>
      <c r="B823" s="3" t="s">
        <v>18</v>
      </c>
      <c r="C823" s="3" t="s">
        <v>138</v>
      </c>
      <c r="D823" s="3" t="s">
        <v>2935</v>
      </c>
      <c r="E823" s="3" t="s">
        <v>28</v>
      </c>
      <c r="F823" s="3" t="s">
        <v>2936</v>
      </c>
      <c r="G823" s="3" t="s">
        <v>2937</v>
      </c>
      <c r="H823" s="43">
        <v>45467</v>
      </c>
      <c r="I823" s="43">
        <v>45555</v>
      </c>
      <c r="J823" s="47" t="str">
        <f>IF(GroDB[[#This Row],[Last_Order_Date]]&lt;=GroDB[[#This Row],[Date_Received]], "Yes", "No")</f>
        <v>No</v>
      </c>
      <c r="K823" s="43">
        <f>IF(GroDB[[#This Row],[Column1]]="No",GroDB[[#This Row],[Last_Order_Date]],GroDB[[#This Row],[Date_Received]])</f>
        <v>45555</v>
      </c>
      <c r="L823" s="43">
        <f>IF(GroDB[[#This Row],[Column1]]="No",GroDB[[#This Row],[Date_Received]],GroDB[[#This Row],[Last_Order_Date]])</f>
        <v>45467</v>
      </c>
      <c r="M823" s="45">
        <f>GroDB[[#This Row],[Date_Received1]]-GroDB[[#This Row],[Procurement_Date]]</f>
        <v>88</v>
      </c>
      <c r="N823" s="43">
        <v>45700</v>
      </c>
      <c r="O823" s="91">
        <f>GroDB[[#This Row],[Expiration_Date]]-GroDB[[#This Row],[Date_Received1]]</f>
        <v>145</v>
      </c>
      <c r="P823" s="4">
        <v>4</v>
      </c>
      <c r="Q823" s="3">
        <v>99</v>
      </c>
      <c r="R823" s="3">
        <v>59</v>
      </c>
      <c r="S823" s="3">
        <v>12</v>
      </c>
      <c r="T823" s="4">
        <v>5</v>
      </c>
      <c r="U823" s="3">
        <v>52</v>
      </c>
      <c r="V823" s="51">
        <f>IF(GroDB[[#This Row],[LeadTime]]=0,GroDB[[#This Row],[Sales_Volume]],GroDB[[#This Row],[Sales_Volume]]/GroDB[[#This Row],[LeadTime]])</f>
        <v>0.59090909090909094</v>
      </c>
      <c r="W823" s="51">
        <f>_xlfn.STDEV.S(GroDB[Daily Sales])</f>
        <v>5.1999899792654221</v>
      </c>
      <c r="X823" s="3">
        <v>57</v>
      </c>
      <c r="Y823" s="7">
        <v>0.08</v>
      </c>
      <c r="Z823" s="4">
        <f>GroDB[[#This Row],[Unit_Price]]*GroDB[[#This Row],[Sales_Volume]]</f>
        <v>260</v>
      </c>
      <c r="AA823" s="22">
        <f>GroDB[[#This Row],[ADU]]/GroDB[[#Totals],[ADU]]</f>
        <v>7.5522264050583159E-4</v>
      </c>
      <c r="AB823" s="1">
        <f>GroDB[[#This Row],[Sales_Volume]]*GroDB[[#This Row],[Ordering Cost]]</f>
        <v>208</v>
      </c>
    </row>
    <row r="824" spans="1:28" x14ac:dyDescent="0.35">
      <c r="A824" s="5" t="s">
        <v>198</v>
      </c>
      <c r="B824" s="3" t="s">
        <v>53</v>
      </c>
      <c r="C824" s="3" t="s">
        <v>1394</v>
      </c>
      <c r="D824" s="3" t="s">
        <v>2938</v>
      </c>
      <c r="E824" s="3" t="s">
        <v>28</v>
      </c>
      <c r="F824" s="3" t="s">
        <v>2939</v>
      </c>
      <c r="G824" s="3" t="s">
        <v>2940</v>
      </c>
      <c r="H824" s="43">
        <v>45468</v>
      </c>
      <c r="I824" s="43">
        <v>45482</v>
      </c>
      <c r="J824" s="47" t="str">
        <f>IF(GroDB[[#This Row],[Last_Order_Date]]&lt;=GroDB[[#This Row],[Date_Received]], "Yes", "No")</f>
        <v>No</v>
      </c>
      <c r="K824" s="43">
        <f>IF(GroDB[[#This Row],[Column1]]="No",GroDB[[#This Row],[Last_Order_Date]],GroDB[[#This Row],[Date_Received]])</f>
        <v>45482</v>
      </c>
      <c r="L824" s="43">
        <f>IF(GroDB[[#This Row],[Column1]]="No",GroDB[[#This Row],[Date_Received]],GroDB[[#This Row],[Last_Order_Date]])</f>
        <v>45468</v>
      </c>
      <c r="M824" s="45">
        <f>GroDB[[#This Row],[Date_Received1]]-GroDB[[#This Row],[Procurement_Date]]</f>
        <v>14</v>
      </c>
      <c r="N824" s="43">
        <v>45671</v>
      </c>
      <c r="O824" s="91">
        <f>GroDB[[#This Row],[Expiration_Date]]-GroDB[[#This Row],[Date_Received1]]</f>
        <v>189</v>
      </c>
      <c r="P824" s="4">
        <v>1.6</v>
      </c>
      <c r="Q824" s="3">
        <v>25</v>
      </c>
      <c r="R824" s="3">
        <v>95</v>
      </c>
      <c r="S824" s="3">
        <v>71</v>
      </c>
      <c r="T824" s="4">
        <v>2</v>
      </c>
      <c r="U824" s="3">
        <v>24</v>
      </c>
      <c r="V824" s="51">
        <f>IF(GroDB[[#This Row],[LeadTime]]=0,GroDB[[#This Row],[Sales_Volume]],GroDB[[#This Row],[Sales_Volume]]/GroDB[[#This Row],[LeadTime]])</f>
        <v>1.7142857142857142</v>
      </c>
      <c r="W824" s="51">
        <f>_xlfn.STDEV.S(GroDB[Daily Sales])</f>
        <v>5.1999899792654221</v>
      </c>
      <c r="X824" s="3">
        <v>76</v>
      </c>
      <c r="Y824" s="7">
        <v>-0.1</v>
      </c>
      <c r="Z824" s="4">
        <f>GroDB[[#This Row],[Unit_Price]]*GroDB[[#This Row],[Sales_Volume]]</f>
        <v>48</v>
      </c>
      <c r="AA824" s="22">
        <f>GroDB[[#This Row],[ADU]]/GroDB[[#Totals],[ADU]]</f>
        <v>1.3942571824723045E-4</v>
      </c>
      <c r="AB824" s="1">
        <f>GroDB[[#This Row],[Sales_Volume]]*GroDB[[#This Row],[Ordering Cost]]</f>
        <v>38.400000000000006</v>
      </c>
    </row>
    <row r="825" spans="1:28" x14ac:dyDescent="0.35">
      <c r="A825" s="5" t="s">
        <v>17</v>
      </c>
      <c r="B825" s="3" t="s">
        <v>18</v>
      </c>
      <c r="C825" s="3" t="s">
        <v>2941</v>
      </c>
      <c r="D825" s="3" t="s">
        <v>2942</v>
      </c>
      <c r="E825" s="3" t="s">
        <v>28</v>
      </c>
      <c r="F825" s="3" t="s">
        <v>2943</v>
      </c>
      <c r="G825" s="3" t="s">
        <v>2944</v>
      </c>
      <c r="H825" s="43">
        <v>45468</v>
      </c>
      <c r="I825" s="43">
        <v>45357</v>
      </c>
      <c r="J825" s="47" t="str">
        <f>IF(GroDB[[#This Row],[Last_Order_Date]]&lt;=GroDB[[#This Row],[Date_Received]], "Yes", "No")</f>
        <v>Yes</v>
      </c>
      <c r="K825" s="43">
        <f>IF(GroDB[[#This Row],[Column1]]="No",GroDB[[#This Row],[Last_Order_Date]],GroDB[[#This Row],[Date_Received]])</f>
        <v>45468</v>
      </c>
      <c r="L825" s="43">
        <f>IF(GroDB[[#This Row],[Column1]]="No",GroDB[[#This Row],[Date_Received]],GroDB[[#This Row],[Last_Order_Date]])</f>
        <v>45357</v>
      </c>
      <c r="M825" s="45">
        <f>GroDB[[#This Row],[Date_Received1]]-GroDB[[#This Row],[Procurement_Date]]</f>
        <v>111</v>
      </c>
      <c r="N825" s="43">
        <v>45655</v>
      </c>
      <c r="O825" s="91">
        <f>GroDB[[#This Row],[Expiration_Date]]-GroDB[[#This Row],[Date_Received1]]</f>
        <v>187</v>
      </c>
      <c r="P825" s="4">
        <v>3.6</v>
      </c>
      <c r="Q825" s="3">
        <v>98</v>
      </c>
      <c r="R825" s="3">
        <v>43</v>
      </c>
      <c r="S825" s="3">
        <v>9</v>
      </c>
      <c r="T825" s="4">
        <v>4.5</v>
      </c>
      <c r="U825" s="3">
        <v>86</v>
      </c>
      <c r="V825" s="51">
        <f>IF(GroDB[[#This Row],[LeadTime]]=0,GroDB[[#This Row],[Sales_Volume]],GroDB[[#This Row],[Sales_Volume]]/GroDB[[#This Row],[LeadTime]])</f>
        <v>0.77477477477477474</v>
      </c>
      <c r="W825" s="51">
        <f>_xlfn.STDEV.S(GroDB[Daily Sales])</f>
        <v>5.1999899792654221</v>
      </c>
      <c r="X825" s="3">
        <v>62</v>
      </c>
      <c r="Y825" s="7">
        <v>-2.17</v>
      </c>
      <c r="Z825" s="4">
        <f>GroDB[[#This Row],[Unit_Price]]*GroDB[[#This Row],[Sales_Volume]]</f>
        <v>387</v>
      </c>
      <c r="AA825" s="22">
        <f>GroDB[[#This Row],[ADU]]/GroDB[[#Totals],[ADU]]</f>
        <v>1.1241198533682953E-3</v>
      </c>
      <c r="AB825" s="1">
        <f>GroDB[[#This Row],[Sales_Volume]]*GroDB[[#This Row],[Ordering Cost]]</f>
        <v>309.60000000000002</v>
      </c>
    </row>
    <row r="826" spans="1:28" x14ac:dyDescent="0.35">
      <c r="A826" s="5" t="s">
        <v>156</v>
      </c>
      <c r="B826" s="3" t="s">
        <v>127</v>
      </c>
      <c r="C826" s="3" t="s">
        <v>1027</v>
      </c>
      <c r="D826" s="3" t="s">
        <v>2945</v>
      </c>
      <c r="E826" s="3" t="s">
        <v>21</v>
      </c>
      <c r="F826" s="3" t="s">
        <v>2946</v>
      </c>
      <c r="G826" s="3" t="s">
        <v>2947</v>
      </c>
      <c r="H826" s="43">
        <v>45469</v>
      </c>
      <c r="I826" s="43">
        <v>45635</v>
      </c>
      <c r="J826" s="47" t="str">
        <f>IF(GroDB[[#This Row],[Last_Order_Date]]&lt;=GroDB[[#This Row],[Date_Received]], "Yes", "No")</f>
        <v>No</v>
      </c>
      <c r="K826" s="43">
        <f>IF(GroDB[[#This Row],[Column1]]="No",GroDB[[#This Row],[Last_Order_Date]],GroDB[[#This Row],[Date_Received]])</f>
        <v>45635</v>
      </c>
      <c r="L826" s="43">
        <f>IF(GroDB[[#This Row],[Column1]]="No",GroDB[[#This Row],[Date_Received]],GroDB[[#This Row],[Last_Order_Date]])</f>
        <v>45469</v>
      </c>
      <c r="M826" s="45">
        <f>GroDB[[#This Row],[Date_Received1]]-GroDB[[#This Row],[Procurement_Date]]</f>
        <v>166</v>
      </c>
      <c r="N826" s="43">
        <v>45435</v>
      </c>
      <c r="O826" s="91">
        <f>GroDB[[#This Row],[Expiration_Date]]-GroDB[[#This Row],[Date_Received1]]</f>
        <v>-200</v>
      </c>
      <c r="P826" s="4">
        <v>10</v>
      </c>
      <c r="Q826" s="3">
        <v>75</v>
      </c>
      <c r="R826" s="3">
        <v>47</v>
      </c>
      <c r="S826" s="3">
        <v>33</v>
      </c>
      <c r="T826" s="4">
        <v>12.5</v>
      </c>
      <c r="U826" s="3">
        <v>33</v>
      </c>
      <c r="V826" s="51">
        <f>IF(GroDB[[#This Row],[LeadTime]]=0,GroDB[[#This Row],[Sales_Volume]],GroDB[[#This Row],[Sales_Volume]]/GroDB[[#This Row],[LeadTime]])</f>
        <v>0.19879518072289157</v>
      </c>
      <c r="W826" s="51">
        <f>_xlfn.STDEV.S(GroDB[Daily Sales])</f>
        <v>5.1999899792654221</v>
      </c>
      <c r="X826" s="3">
        <v>12</v>
      </c>
      <c r="Y826" s="7">
        <v>0.28000000000000003</v>
      </c>
      <c r="Z826" s="4">
        <f>GroDB[[#This Row],[Unit_Price]]*GroDB[[#This Row],[Sales_Volume]]</f>
        <v>412.5</v>
      </c>
      <c r="AA826" s="22">
        <f>GroDB[[#This Row],[ADU]]/GroDB[[#Totals],[ADU]]</f>
        <v>1.1981897661871366E-3</v>
      </c>
      <c r="AB826" s="1">
        <f>GroDB[[#This Row],[Sales_Volume]]*GroDB[[#This Row],[Ordering Cost]]</f>
        <v>330</v>
      </c>
    </row>
    <row r="827" spans="1:28" x14ac:dyDescent="0.35">
      <c r="A827" s="5" t="s">
        <v>248</v>
      </c>
      <c r="B827" s="3" t="s">
        <v>32</v>
      </c>
      <c r="C827" s="3" t="s">
        <v>616</v>
      </c>
      <c r="D827" s="3" t="s">
        <v>2948</v>
      </c>
      <c r="E827" s="3" t="s">
        <v>56</v>
      </c>
      <c r="F827" s="3" t="s">
        <v>2949</v>
      </c>
      <c r="G827" s="3" t="s">
        <v>2950</v>
      </c>
      <c r="H827" s="43">
        <v>45469</v>
      </c>
      <c r="I827" s="43">
        <v>45540</v>
      </c>
      <c r="J827" s="47" t="str">
        <f>IF(GroDB[[#This Row],[Last_Order_Date]]&lt;=GroDB[[#This Row],[Date_Received]], "Yes", "No")</f>
        <v>No</v>
      </c>
      <c r="K827" s="43">
        <f>IF(GroDB[[#This Row],[Column1]]="No",GroDB[[#This Row],[Last_Order_Date]],GroDB[[#This Row],[Date_Received]])</f>
        <v>45540</v>
      </c>
      <c r="L827" s="43">
        <f>IF(GroDB[[#This Row],[Column1]]="No",GroDB[[#This Row],[Date_Received]],GroDB[[#This Row],[Last_Order_Date]])</f>
        <v>45469</v>
      </c>
      <c r="M827" s="45">
        <f>GroDB[[#This Row],[Date_Received1]]-GroDB[[#This Row],[Procurement_Date]]</f>
        <v>71</v>
      </c>
      <c r="N827" s="43">
        <v>45394</v>
      </c>
      <c r="O827" s="91">
        <f>GroDB[[#This Row],[Expiration_Date]]-GroDB[[#This Row],[Date_Received1]]</f>
        <v>-146</v>
      </c>
      <c r="P827" s="4">
        <v>5.6000000000000005</v>
      </c>
      <c r="Q827" s="3">
        <v>80</v>
      </c>
      <c r="R827" s="3">
        <v>43</v>
      </c>
      <c r="S827" s="3">
        <v>80</v>
      </c>
      <c r="T827" s="4">
        <v>7</v>
      </c>
      <c r="U827" s="3">
        <v>64</v>
      </c>
      <c r="V827" s="51">
        <f>IF(GroDB[[#This Row],[LeadTime]]=0,GroDB[[#This Row],[Sales_Volume]],GroDB[[#This Row],[Sales_Volume]]/GroDB[[#This Row],[LeadTime]])</f>
        <v>0.90140845070422537</v>
      </c>
      <c r="W827" s="51">
        <f>_xlfn.STDEV.S(GroDB[Daily Sales])</f>
        <v>5.1999899792654221</v>
      </c>
      <c r="X827" s="3">
        <v>53</v>
      </c>
      <c r="Y827" s="7">
        <v>0.64</v>
      </c>
      <c r="Z827" s="4">
        <f>GroDB[[#This Row],[Unit_Price]]*GroDB[[#This Row],[Sales_Volume]]</f>
        <v>448</v>
      </c>
      <c r="AA827" s="22">
        <f>GroDB[[#This Row],[ADU]]/GroDB[[#Totals],[ADU]]</f>
        <v>1.3013067036408174E-3</v>
      </c>
      <c r="AB827" s="1">
        <f>GroDB[[#This Row],[Sales_Volume]]*GroDB[[#This Row],[Ordering Cost]]</f>
        <v>358.40000000000003</v>
      </c>
    </row>
    <row r="828" spans="1:28" x14ac:dyDescent="0.35">
      <c r="A828" s="5" t="s">
        <v>587</v>
      </c>
      <c r="B828" s="3" t="s">
        <v>127</v>
      </c>
      <c r="C828" s="3" t="s">
        <v>2951</v>
      </c>
      <c r="D828" s="3" t="s">
        <v>2952</v>
      </c>
      <c r="E828" s="3" t="s">
        <v>21</v>
      </c>
      <c r="F828" s="3" t="s">
        <v>2953</v>
      </c>
      <c r="G828" s="3" t="s">
        <v>2954</v>
      </c>
      <c r="H828" s="43">
        <v>45469</v>
      </c>
      <c r="I828" s="43">
        <v>45710</v>
      </c>
      <c r="J828" s="47" t="str">
        <f>IF(GroDB[[#This Row],[Last_Order_Date]]&lt;=GroDB[[#This Row],[Date_Received]], "Yes", "No")</f>
        <v>No</v>
      </c>
      <c r="K828" s="43">
        <f>IF(GroDB[[#This Row],[Column1]]="No",GroDB[[#This Row],[Last_Order_Date]],GroDB[[#This Row],[Date_Received]])</f>
        <v>45710</v>
      </c>
      <c r="L828" s="43">
        <f>IF(GroDB[[#This Row],[Column1]]="No",GroDB[[#This Row],[Date_Received]],GroDB[[#This Row],[Last_Order_Date]])</f>
        <v>45469</v>
      </c>
      <c r="M828" s="45">
        <f>GroDB[[#This Row],[Date_Received1]]-GroDB[[#This Row],[Procurement_Date]]</f>
        <v>241</v>
      </c>
      <c r="N828" s="43">
        <v>45367</v>
      </c>
      <c r="O828" s="91">
        <f>GroDB[[#This Row],[Expiration_Date]]-GroDB[[#This Row],[Date_Received1]]</f>
        <v>-343</v>
      </c>
      <c r="P828" s="4">
        <v>24.400000000000002</v>
      </c>
      <c r="Q828" s="3">
        <v>20</v>
      </c>
      <c r="R828" s="3">
        <v>9</v>
      </c>
      <c r="S828" s="3">
        <v>12</v>
      </c>
      <c r="T828" s="4">
        <v>30.5</v>
      </c>
      <c r="U828" s="3">
        <v>46</v>
      </c>
      <c r="V828" s="51">
        <f>IF(GroDB[[#This Row],[LeadTime]]=0,GroDB[[#This Row],[Sales_Volume]],GroDB[[#This Row],[Sales_Volume]]/GroDB[[#This Row],[LeadTime]])</f>
        <v>0.1908713692946058</v>
      </c>
      <c r="W828" s="51">
        <f>_xlfn.STDEV.S(GroDB[Daily Sales])</f>
        <v>5.1999899792654221</v>
      </c>
      <c r="X828" s="3">
        <v>32</v>
      </c>
      <c r="Y828" s="7">
        <v>0.17</v>
      </c>
      <c r="Z828" s="4">
        <f>GroDB[[#This Row],[Unit_Price]]*GroDB[[#This Row],[Sales_Volume]]</f>
        <v>1403</v>
      </c>
      <c r="AA828" s="22">
        <f>GroDB[[#This Row],[ADU]]/GroDB[[#Totals],[ADU]]</f>
        <v>4.0752975562680068E-3</v>
      </c>
      <c r="AB828" s="1">
        <f>GroDB[[#This Row],[Sales_Volume]]*GroDB[[#This Row],[Ordering Cost]]</f>
        <v>1122.4000000000001</v>
      </c>
    </row>
    <row r="829" spans="1:28" x14ac:dyDescent="0.35">
      <c r="A829" s="5" t="s">
        <v>736</v>
      </c>
      <c r="B829" s="3" t="s">
        <v>91</v>
      </c>
      <c r="C829" s="3" t="s">
        <v>962</v>
      </c>
      <c r="D829" s="3" t="s">
        <v>2955</v>
      </c>
      <c r="E829" s="3" t="s">
        <v>21</v>
      </c>
      <c r="F829" s="3" t="s">
        <v>2956</v>
      </c>
      <c r="G829" s="3" t="s">
        <v>2957</v>
      </c>
      <c r="H829" s="43">
        <v>45470</v>
      </c>
      <c r="I829" s="43">
        <v>45428</v>
      </c>
      <c r="J829" s="47" t="str">
        <f>IF(GroDB[[#This Row],[Last_Order_Date]]&lt;=GroDB[[#This Row],[Date_Received]], "Yes", "No")</f>
        <v>Yes</v>
      </c>
      <c r="K829" s="43">
        <f>IF(GroDB[[#This Row],[Column1]]="No",GroDB[[#This Row],[Last_Order_Date]],GroDB[[#This Row],[Date_Received]])</f>
        <v>45470</v>
      </c>
      <c r="L829" s="43">
        <f>IF(GroDB[[#This Row],[Column1]]="No",GroDB[[#This Row],[Date_Received]],GroDB[[#This Row],[Last_Order_Date]])</f>
        <v>45428</v>
      </c>
      <c r="M829" s="45">
        <f>GroDB[[#This Row],[Date_Received1]]-GroDB[[#This Row],[Procurement_Date]]</f>
        <v>42</v>
      </c>
      <c r="N829" s="43">
        <v>45574</v>
      </c>
      <c r="O829" s="91">
        <f>GroDB[[#This Row],[Expiration_Date]]-GroDB[[#This Row],[Date_Received1]]</f>
        <v>104</v>
      </c>
      <c r="P829" s="4">
        <v>4</v>
      </c>
      <c r="Q829" s="3">
        <v>93</v>
      </c>
      <c r="R829" s="3">
        <v>50</v>
      </c>
      <c r="S829" s="3">
        <v>43</v>
      </c>
      <c r="T829" s="4">
        <v>5</v>
      </c>
      <c r="U829" s="3">
        <v>76</v>
      </c>
      <c r="V829" s="51">
        <f>IF(GroDB[[#This Row],[LeadTime]]=0,GroDB[[#This Row],[Sales_Volume]],GroDB[[#This Row],[Sales_Volume]]/GroDB[[#This Row],[LeadTime]])</f>
        <v>1.8095238095238095</v>
      </c>
      <c r="W829" s="51">
        <f>_xlfn.STDEV.S(GroDB[Daily Sales])</f>
        <v>5.1999899792654221</v>
      </c>
      <c r="X829" s="3">
        <v>35</v>
      </c>
      <c r="Y829" s="7">
        <v>0.3</v>
      </c>
      <c r="Z829" s="4">
        <f>GroDB[[#This Row],[Unit_Price]]*GroDB[[#This Row],[Sales_Volume]]</f>
        <v>380</v>
      </c>
      <c r="AA829" s="22">
        <f>GroDB[[#This Row],[ADU]]/GroDB[[#Totals],[ADU]]</f>
        <v>1.1037869361239076E-3</v>
      </c>
      <c r="AB829" s="1">
        <f>GroDB[[#This Row],[Sales_Volume]]*GroDB[[#This Row],[Ordering Cost]]</f>
        <v>304</v>
      </c>
    </row>
    <row r="830" spans="1:28" x14ac:dyDescent="0.35">
      <c r="A830" s="5" t="s">
        <v>59</v>
      </c>
      <c r="B830" s="3" t="s">
        <v>60</v>
      </c>
      <c r="C830" s="3" t="s">
        <v>199</v>
      </c>
      <c r="D830" s="3" t="s">
        <v>2958</v>
      </c>
      <c r="E830" s="3" t="s">
        <v>21</v>
      </c>
      <c r="F830" s="3" t="s">
        <v>2959</v>
      </c>
      <c r="G830" s="3" t="s">
        <v>2960</v>
      </c>
      <c r="H830" s="43">
        <v>45470</v>
      </c>
      <c r="I830" s="43">
        <v>45573</v>
      </c>
      <c r="J830" s="47" t="str">
        <f>IF(GroDB[[#This Row],[Last_Order_Date]]&lt;=GroDB[[#This Row],[Date_Received]], "Yes", "No")</f>
        <v>No</v>
      </c>
      <c r="K830" s="43">
        <f>IF(GroDB[[#This Row],[Column1]]="No",GroDB[[#This Row],[Last_Order_Date]],GroDB[[#This Row],[Date_Received]])</f>
        <v>45573</v>
      </c>
      <c r="L830" s="43">
        <f>IF(GroDB[[#This Row],[Column1]]="No",GroDB[[#This Row],[Date_Received]],GroDB[[#This Row],[Last_Order_Date]])</f>
        <v>45470</v>
      </c>
      <c r="M830" s="45">
        <f>GroDB[[#This Row],[Date_Received1]]-GroDB[[#This Row],[Procurement_Date]]</f>
        <v>103</v>
      </c>
      <c r="N830" s="43">
        <v>45499</v>
      </c>
      <c r="O830" s="91">
        <f>GroDB[[#This Row],[Expiration_Date]]-GroDB[[#This Row],[Date_Received1]]</f>
        <v>-74</v>
      </c>
      <c r="P830" s="4">
        <v>8</v>
      </c>
      <c r="Q830" s="3">
        <v>66</v>
      </c>
      <c r="R830" s="3">
        <v>49</v>
      </c>
      <c r="S830" s="3">
        <v>41</v>
      </c>
      <c r="T830" s="4">
        <v>10</v>
      </c>
      <c r="U830" s="3">
        <v>27</v>
      </c>
      <c r="V830" s="51">
        <f>IF(GroDB[[#This Row],[LeadTime]]=0,GroDB[[#This Row],[Sales_Volume]],GroDB[[#This Row],[Sales_Volume]]/GroDB[[#This Row],[LeadTime]])</f>
        <v>0.26213592233009708</v>
      </c>
      <c r="W830" s="51">
        <f>_xlfn.STDEV.S(GroDB[Daily Sales])</f>
        <v>5.1999899792654221</v>
      </c>
      <c r="X830" s="3">
        <v>37</v>
      </c>
      <c r="Y830" s="7">
        <v>0.54</v>
      </c>
      <c r="Z830" s="4">
        <f>GroDB[[#This Row],[Unit_Price]]*GroDB[[#This Row],[Sales_Volume]]</f>
        <v>270</v>
      </c>
      <c r="AA830" s="22">
        <f>GroDB[[#This Row],[ADU]]/GroDB[[#Totals],[ADU]]</f>
        <v>7.8426966514067126E-4</v>
      </c>
      <c r="AB830" s="1">
        <f>GroDB[[#This Row],[Sales_Volume]]*GroDB[[#This Row],[Ordering Cost]]</f>
        <v>216</v>
      </c>
    </row>
    <row r="831" spans="1:28" x14ac:dyDescent="0.35">
      <c r="A831" s="5" t="s">
        <v>80</v>
      </c>
      <c r="B831" s="3" t="s">
        <v>25</v>
      </c>
      <c r="C831" s="3" t="s">
        <v>1536</v>
      </c>
      <c r="D831" s="3" t="s">
        <v>2961</v>
      </c>
      <c r="E831" s="3" t="s">
        <v>28</v>
      </c>
      <c r="F831" s="3" t="s">
        <v>2962</v>
      </c>
      <c r="G831" s="3" t="s">
        <v>2963</v>
      </c>
      <c r="H831" s="43">
        <v>45472</v>
      </c>
      <c r="I831" s="43">
        <v>45622</v>
      </c>
      <c r="J831" s="47" t="str">
        <f>IF(GroDB[[#This Row],[Last_Order_Date]]&lt;=GroDB[[#This Row],[Date_Received]], "Yes", "No")</f>
        <v>No</v>
      </c>
      <c r="K831" s="43">
        <f>IF(GroDB[[#This Row],[Column1]]="No",GroDB[[#This Row],[Last_Order_Date]],GroDB[[#This Row],[Date_Received]])</f>
        <v>45622</v>
      </c>
      <c r="L831" s="43">
        <f>IF(GroDB[[#This Row],[Column1]]="No",GroDB[[#This Row],[Date_Received]],GroDB[[#This Row],[Last_Order_Date]])</f>
        <v>45472</v>
      </c>
      <c r="M831" s="45">
        <f>GroDB[[#This Row],[Date_Received1]]-GroDB[[#This Row],[Procurement_Date]]</f>
        <v>150</v>
      </c>
      <c r="N831" s="43">
        <v>45639</v>
      </c>
      <c r="O831" s="91">
        <f>GroDB[[#This Row],[Expiration_Date]]-GroDB[[#This Row],[Date_Received1]]</f>
        <v>17</v>
      </c>
      <c r="P831" s="4">
        <v>8</v>
      </c>
      <c r="Q831" s="3">
        <v>10</v>
      </c>
      <c r="R831" s="3">
        <v>86</v>
      </c>
      <c r="S831" s="3">
        <v>23</v>
      </c>
      <c r="T831" s="4">
        <v>10</v>
      </c>
      <c r="U831" s="3">
        <v>24</v>
      </c>
      <c r="V831" s="51">
        <f>IF(GroDB[[#This Row],[LeadTime]]=0,GroDB[[#This Row],[Sales_Volume]],GroDB[[#This Row],[Sales_Volume]]/GroDB[[#This Row],[LeadTime]])</f>
        <v>0.16</v>
      </c>
      <c r="W831" s="51">
        <f>_xlfn.STDEV.S(GroDB[Daily Sales])</f>
        <v>5.1999899792654221</v>
      </c>
      <c r="X831" s="3">
        <v>52</v>
      </c>
      <c r="Y831" s="7">
        <v>-0.37</v>
      </c>
      <c r="Z831" s="4">
        <f>GroDB[[#This Row],[Unit_Price]]*GroDB[[#This Row],[Sales_Volume]]</f>
        <v>240</v>
      </c>
      <c r="AA831" s="22">
        <f>GroDB[[#This Row],[ADU]]/GroDB[[#Totals],[ADU]]</f>
        <v>6.9712859123615225E-4</v>
      </c>
      <c r="AB831" s="1">
        <f>GroDB[[#This Row],[Sales_Volume]]*GroDB[[#This Row],[Ordering Cost]]</f>
        <v>192</v>
      </c>
    </row>
    <row r="832" spans="1:28" x14ac:dyDescent="0.35">
      <c r="A832" s="5" t="s">
        <v>90</v>
      </c>
      <c r="B832" s="3" t="s">
        <v>91</v>
      </c>
      <c r="C832" s="3" t="s">
        <v>2964</v>
      </c>
      <c r="D832" s="3" t="s">
        <v>2965</v>
      </c>
      <c r="E832" s="3" t="s">
        <v>21</v>
      </c>
      <c r="F832" s="3" t="s">
        <v>2966</v>
      </c>
      <c r="G832" s="3" t="s">
        <v>2967</v>
      </c>
      <c r="H832" s="43">
        <v>45472</v>
      </c>
      <c r="I832" s="43">
        <v>45397</v>
      </c>
      <c r="J832" s="47" t="str">
        <f>IF(GroDB[[#This Row],[Last_Order_Date]]&lt;=GroDB[[#This Row],[Date_Received]], "Yes", "No")</f>
        <v>Yes</v>
      </c>
      <c r="K832" s="43">
        <f>IF(GroDB[[#This Row],[Column1]]="No",GroDB[[#This Row],[Last_Order_Date]],GroDB[[#This Row],[Date_Received]])</f>
        <v>45472</v>
      </c>
      <c r="L832" s="43">
        <f>IF(GroDB[[#This Row],[Column1]]="No",GroDB[[#This Row],[Date_Received]],GroDB[[#This Row],[Last_Order_Date]])</f>
        <v>45397</v>
      </c>
      <c r="M832" s="45">
        <f>GroDB[[#This Row],[Date_Received1]]-GroDB[[#This Row],[Procurement_Date]]</f>
        <v>75</v>
      </c>
      <c r="N832" s="43">
        <v>45419</v>
      </c>
      <c r="O832" s="91">
        <f>GroDB[[#This Row],[Expiration_Date]]-GroDB[[#This Row],[Date_Received1]]</f>
        <v>-53</v>
      </c>
      <c r="P832" s="4">
        <v>3.2</v>
      </c>
      <c r="Q832" s="3">
        <v>90</v>
      </c>
      <c r="R832" s="3">
        <v>52</v>
      </c>
      <c r="S832" s="3">
        <v>50</v>
      </c>
      <c r="T832" s="4">
        <v>4</v>
      </c>
      <c r="U832" s="3">
        <v>63</v>
      </c>
      <c r="V832" s="51">
        <f>IF(GroDB[[#This Row],[LeadTime]]=0,GroDB[[#This Row],[Sales_Volume]],GroDB[[#This Row],[Sales_Volume]]/GroDB[[#This Row],[LeadTime]])</f>
        <v>0.84</v>
      </c>
      <c r="W832" s="51">
        <f>_xlfn.STDEV.S(GroDB[Daily Sales])</f>
        <v>5.1999899792654221</v>
      </c>
      <c r="X832" s="3">
        <v>14</v>
      </c>
      <c r="Y832" s="7">
        <v>-1.17</v>
      </c>
      <c r="Z832" s="4">
        <f>GroDB[[#This Row],[Unit_Price]]*GroDB[[#This Row],[Sales_Volume]]</f>
        <v>252</v>
      </c>
      <c r="AA832" s="22">
        <f>GroDB[[#This Row],[ADU]]/GroDB[[#Totals],[ADU]]</f>
        <v>7.3198502079795981E-4</v>
      </c>
      <c r="AB832" s="1">
        <f>GroDB[[#This Row],[Sales_Volume]]*GroDB[[#This Row],[Ordering Cost]]</f>
        <v>201.60000000000002</v>
      </c>
    </row>
    <row r="833" spans="1:28" x14ac:dyDescent="0.35">
      <c r="A833" s="5" t="s">
        <v>2626</v>
      </c>
      <c r="B833" s="3" t="s">
        <v>53</v>
      </c>
      <c r="C833" s="3" t="s">
        <v>540</v>
      </c>
      <c r="D833" s="3" t="s">
        <v>2968</v>
      </c>
      <c r="E833" s="3" t="s">
        <v>28</v>
      </c>
      <c r="F833" s="3" t="s">
        <v>2969</v>
      </c>
      <c r="G833" s="3" t="s">
        <v>2970</v>
      </c>
      <c r="H833" s="43">
        <v>45472</v>
      </c>
      <c r="I833" s="43">
        <v>45710</v>
      </c>
      <c r="J833" s="47" t="str">
        <f>IF(GroDB[[#This Row],[Last_Order_Date]]&lt;=GroDB[[#This Row],[Date_Received]], "Yes", "No")</f>
        <v>No</v>
      </c>
      <c r="K833" s="43">
        <f>IF(GroDB[[#This Row],[Column1]]="No",GroDB[[#This Row],[Last_Order_Date]],GroDB[[#This Row],[Date_Received]])</f>
        <v>45710</v>
      </c>
      <c r="L833" s="43">
        <f>IF(GroDB[[#This Row],[Column1]]="No",GroDB[[#This Row],[Date_Received]],GroDB[[#This Row],[Last_Order_Date]])</f>
        <v>45472</v>
      </c>
      <c r="M833" s="45">
        <f>GroDB[[#This Row],[Date_Received1]]-GroDB[[#This Row],[Procurement_Date]]</f>
        <v>238</v>
      </c>
      <c r="N833" s="43">
        <v>45650</v>
      </c>
      <c r="O833" s="91">
        <f>GroDB[[#This Row],[Expiration_Date]]-GroDB[[#This Row],[Date_Received1]]</f>
        <v>-60</v>
      </c>
      <c r="P833" s="4">
        <v>1.2000000000000002</v>
      </c>
      <c r="Q833" s="3">
        <v>19</v>
      </c>
      <c r="R833" s="3">
        <v>81</v>
      </c>
      <c r="S833" s="3">
        <v>33</v>
      </c>
      <c r="T833" s="4">
        <v>1.5</v>
      </c>
      <c r="U833" s="3">
        <v>39</v>
      </c>
      <c r="V833" s="51">
        <f>IF(GroDB[[#This Row],[LeadTime]]=0,GroDB[[#This Row],[Sales_Volume]],GroDB[[#This Row],[Sales_Volume]]/GroDB[[#This Row],[LeadTime]])</f>
        <v>0.1638655462184874</v>
      </c>
      <c r="W833" s="51">
        <f>_xlfn.STDEV.S(GroDB[Daily Sales])</f>
        <v>5.1999899792654221</v>
      </c>
      <c r="X833" s="3">
        <v>85</v>
      </c>
      <c r="Y833" s="7">
        <v>0.78</v>
      </c>
      <c r="Z833" s="4">
        <f>GroDB[[#This Row],[Unit_Price]]*GroDB[[#This Row],[Sales_Volume]]</f>
        <v>58.5</v>
      </c>
      <c r="AA833" s="22">
        <f>GroDB[[#This Row],[ADU]]/GroDB[[#Totals],[ADU]]</f>
        <v>1.6992509411381209E-4</v>
      </c>
      <c r="AB833" s="1">
        <f>GroDB[[#This Row],[Sales_Volume]]*GroDB[[#This Row],[Ordering Cost]]</f>
        <v>46.800000000000004</v>
      </c>
    </row>
    <row r="834" spans="1:28" x14ac:dyDescent="0.35">
      <c r="A834" s="5" t="s">
        <v>1179</v>
      </c>
      <c r="B834" s="3" t="s">
        <v>91</v>
      </c>
      <c r="C834" s="3" t="s">
        <v>2713</v>
      </c>
      <c r="D834" s="3" t="s">
        <v>2971</v>
      </c>
      <c r="E834" s="3" t="s">
        <v>21</v>
      </c>
      <c r="F834" s="3" t="s">
        <v>2972</v>
      </c>
      <c r="G834" s="3" t="s">
        <v>2973</v>
      </c>
      <c r="H834" s="43">
        <v>45472</v>
      </c>
      <c r="I834" s="43">
        <v>45429</v>
      </c>
      <c r="J834" s="47" t="str">
        <f>IF(GroDB[[#This Row],[Last_Order_Date]]&lt;=GroDB[[#This Row],[Date_Received]], "Yes", "No")</f>
        <v>Yes</v>
      </c>
      <c r="K834" s="43">
        <f>IF(GroDB[[#This Row],[Column1]]="No",GroDB[[#This Row],[Last_Order_Date]],GroDB[[#This Row],[Date_Received]])</f>
        <v>45472</v>
      </c>
      <c r="L834" s="43">
        <f>IF(GroDB[[#This Row],[Column1]]="No",GroDB[[#This Row],[Date_Received]],GroDB[[#This Row],[Last_Order_Date]])</f>
        <v>45429</v>
      </c>
      <c r="M834" s="45">
        <f>GroDB[[#This Row],[Date_Received1]]-GroDB[[#This Row],[Procurement_Date]]</f>
        <v>43</v>
      </c>
      <c r="N834" s="43">
        <v>45594</v>
      </c>
      <c r="O834" s="91">
        <f>GroDB[[#This Row],[Expiration_Date]]-GroDB[[#This Row],[Date_Received1]]</f>
        <v>122</v>
      </c>
      <c r="P834" s="4">
        <v>2</v>
      </c>
      <c r="Q834" s="3">
        <v>72</v>
      </c>
      <c r="R834" s="3">
        <v>20</v>
      </c>
      <c r="S834" s="3">
        <v>71</v>
      </c>
      <c r="T834" s="4">
        <v>2.5</v>
      </c>
      <c r="U834" s="3">
        <v>87</v>
      </c>
      <c r="V834" s="51">
        <f>IF(GroDB[[#This Row],[LeadTime]]=0,GroDB[[#This Row],[Sales_Volume]],GroDB[[#This Row],[Sales_Volume]]/GroDB[[#This Row],[LeadTime]])</f>
        <v>2.0232558139534884</v>
      </c>
      <c r="W834" s="51">
        <f>_xlfn.STDEV.S(GroDB[Daily Sales])</f>
        <v>5.1999899792654221</v>
      </c>
      <c r="X834" s="3">
        <v>68</v>
      </c>
      <c r="Y834" s="7">
        <v>-1.18</v>
      </c>
      <c r="Z834" s="4">
        <f>GroDB[[#This Row],[Unit_Price]]*GroDB[[#This Row],[Sales_Volume]]</f>
        <v>217.5</v>
      </c>
      <c r="AA834" s="22">
        <f>GroDB[[#This Row],[ADU]]/GroDB[[#Totals],[ADU]]</f>
        <v>6.3177278580776289E-4</v>
      </c>
      <c r="AB834" s="1">
        <f>GroDB[[#This Row],[Sales_Volume]]*GroDB[[#This Row],[Ordering Cost]]</f>
        <v>174</v>
      </c>
    </row>
    <row r="835" spans="1:28" x14ac:dyDescent="0.35">
      <c r="A835" s="5" t="s">
        <v>137</v>
      </c>
      <c r="B835" s="3" t="s">
        <v>18</v>
      </c>
      <c r="C835" s="3" t="s">
        <v>1160</v>
      </c>
      <c r="D835" s="3" t="s">
        <v>2974</v>
      </c>
      <c r="E835" s="3" t="s">
        <v>56</v>
      </c>
      <c r="F835" s="3" t="s">
        <v>2975</v>
      </c>
      <c r="G835" s="3" t="s">
        <v>2976</v>
      </c>
      <c r="H835" s="43">
        <v>45473</v>
      </c>
      <c r="I835" s="43">
        <v>45553</v>
      </c>
      <c r="J835" s="47" t="str">
        <f>IF(GroDB[[#This Row],[Last_Order_Date]]&lt;=GroDB[[#This Row],[Date_Received]], "Yes", "No")</f>
        <v>No</v>
      </c>
      <c r="K835" s="43">
        <f>IF(GroDB[[#This Row],[Column1]]="No",GroDB[[#This Row],[Last_Order_Date]],GroDB[[#This Row],[Date_Received]])</f>
        <v>45553</v>
      </c>
      <c r="L835" s="43">
        <f>IF(GroDB[[#This Row],[Column1]]="No",GroDB[[#This Row],[Date_Received]],GroDB[[#This Row],[Last_Order_Date]])</f>
        <v>45473</v>
      </c>
      <c r="M835" s="45">
        <f>GroDB[[#This Row],[Date_Received1]]-GroDB[[#This Row],[Procurement_Date]]</f>
        <v>80</v>
      </c>
      <c r="N835" s="43">
        <v>45646</v>
      </c>
      <c r="O835" s="91">
        <f>GroDB[[#This Row],[Expiration_Date]]-GroDB[[#This Row],[Date_Received1]]</f>
        <v>93</v>
      </c>
      <c r="P835" s="4">
        <v>3.6</v>
      </c>
      <c r="Q835" s="3">
        <v>60</v>
      </c>
      <c r="R835" s="3">
        <v>36</v>
      </c>
      <c r="S835" s="3">
        <v>28</v>
      </c>
      <c r="T835" s="4">
        <v>4.5</v>
      </c>
      <c r="U835" s="3">
        <v>26</v>
      </c>
      <c r="V835" s="51">
        <f>IF(GroDB[[#This Row],[LeadTime]]=0,GroDB[[#This Row],[Sales_Volume]],GroDB[[#This Row],[Sales_Volume]]/GroDB[[#This Row],[LeadTime]])</f>
        <v>0.32500000000000001</v>
      </c>
      <c r="W835" s="51">
        <f>_xlfn.STDEV.S(GroDB[Daily Sales])</f>
        <v>5.1999899792654221</v>
      </c>
      <c r="X835" s="3">
        <v>29</v>
      </c>
      <c r="Y835" s="7">
        <v>0.22</v>
      </c>
      <c r="Z835" s="4">
        <f>GroDB[[#This Row],[Unit_Price]]*GroDB[[#This Row],[Sales_Volume]]</f>
        <v>117</v>
      </c>
      <c r="AA835" s="22">
        <f>GroDB[[#This Row],[ADU]]/GroDB[[#Totals],[ADU]]</f>
        <v>3.3985018822762418E-4</v>
      </c>
      <c r="AB835" s="1">
        <f>GroDB[[#This Row],[Sales_Volume]]*GroDB[[#This Row],[Ordering Cost]]</f>
        <v>93.600000000000009</v>
      </c>
    </row>
    <row r="836" spans="1:28" x14ac:dyDescent="0.35">
      <c r="A836" s="5" t="s">
        <v>947</v>
      </c>
      <c r="B836" s="3" t="s">
        <v>18</v>
      </c>
      <c r="C836" s="3" t="s">
        <v>2233</v>
      </c>
      <c r="D836" s="3" t="s">
        <v>2977</v>
      </c>
      <c r="E836" s="3" t="s">
        <v>21</v>
      </c>
      <c r="F836" s="3" t="s">
        <v>2978</v>
      </c>
      <c r="G836" s="3" t="s">
        <v>2979</v>
      </c>
      <c r="H836" s="43">
        <v>45473</v>
      </c>
      <c r="I836" s="43">
        <v>45377</v>
      </c>
      <c r="J836" s="47" t="str">
        <f>IF(GroDB[[#This Row],[Last_Order_Date]]&lt;=GroDB[[#This Row],[Date_Received]], "Yes", "No")</f>
        <v>Yes</v>
      </c>
      <c r="K836" s="43">
        <f>IF(GroDB[[#This Row],[Column1]]="No",GroDB[[#This Row],[Last_Order_Date]],GroDB[[#This Row],[Date_Received]])</f>
        <v>45473</v>
      </c>
      <c r="L836" s="43">
        <f>IF(GroDB[[#This Row],[Column1]]="No",GroDB[[#This Row],[Date_Received]],GroDB[[#This Row],[Last_Order_Date]])</f>
        <v>45377</v>
      </c>
      <c r="M836" s="45">
        <f>GroDB[[#This Row],[Date_Received1]]-GroDB[[#This Row],[Procurement_Date]]</f>
        <v>96</v>
      </c>
      <c r="N836" s="43">
        <v>45523</v>
      </c>
      <c r="O836" s="91">
        <f>GroDB[[#This Row],[Expiration_Date]]-GroDB[[#This Row],[Date_Received1]]</f>
        <v>50</v>
      </c>
      <c r="P836" s="4">
        <v>0.96</v>
      </c>
      <c r="Q836" s="3">
        <v>26</v>
      </c>
      <c r="R836" s="3">
        <v>16</v>
      </c>
      <c r="S836" s="3">
        <v>69</v>
      </c>
      <c r="T836" s="4">
        <v>1.2</v>
      </c>
      <c r="U836" s="3">
        <v>64</v>
      </c>
      <c r="V836" s="51">
        <f>IF(GroDB[[#This Row],[LeadTime]]=0,GroDB[[#This Row],[Sales_Volume]],GroDB[[#This Row],[Sales_Volume]]/GroDB[[#This Row],[LeadTime]])</f>
        <v>0.66666666666666663</v>
      </c>
      <c r="W836" s="51">
        <f>_xlfn.STDEV.S(GroDB[Daily Sales])</f>
        <v>5.1999899792654221</v>
      </c>
      <c r="X836" s="3">
        <v>79</v>
      </c>
      <c r="Y836" s="7">
        <v>-0.12</v>
      </c>
      <c r="Z836" s="4">
        <f>GroDB[[#This Row],[Unit_Price]]*GroDB[[#This Row],[Sales_Volume]]</f>
        <v>76.8</v>
      </c>
      <c r="AA836" s="22">
        <f>GroDB[[#This Row],[ADU]]/GroDB[[#Totals],[ADU]]</f>
        <v>2.2308114919556869E-4</v>
      </c>
      <c r="AB836" s="1">
        <f>GroDB[[#This Row],[Sales_Volume]]*GroDB[[#This Row],[Ordering Cost]]</f>
        <v>61.44</v>
      </c>
    </row>
    <row r="837" spans="1:28" x14ac:dyDescent="0.35">
      <c r="A837" s="5" t="s">
        <v>239</v>
      </c>
      <c r="B837" s="3" t="s">
        <v>25</v>
      </c>
      <c r="C837" s="3" t="s">
        <v>2980</v>
      </c>
      <c r="D837" s="3" t="s">
        <v>2981</v>
      </c>
      <c r="E837" s="3" t="s">
        <v>28</v>
      </c>
      <c r="F837" s="3" t="s">
        <v>2982</v>
      </c>
      <c r="G837" s="3" t="s">
        <v>2983</v>
      </c>
      <c r="H837" s="43">
        <v>45473</v>
      </c>
      <c r="I837" s="43">
        <v>45497</v>
      </c>
      <c r="J837" s="47" t="str">
        <f>IF(GroDB[[#This Row],[Last_Order_Date]]&lt;=GroDB[[#This Row],[Date_Received]], "Yes", "No")</f>
        <v>No</v>
      </c>
      <c r="K837" s="43">
        <f>IF(GroDB[[#This Row],[Column1]]="No",GroDB[[#This Row],[Last_Order_Date]],GroDB[[#This Row],[Date_Received]])</f>
        <v>45497</v>
      </c>
      <c r="L837" s="43">
        <f>IF(GroDB[[#This Row],[Column1]]="No",GroDB[[#This Row],[Date_Received]],GroDB[[#This Row],[Last_Order_Date]])</f>
        <v>45473</v>
      </c>
      <c r="M837" s="45">
        <f>GroDB[[#This Row],[Date_Received1]]-GroDB[[#This Row],[Procurement_Date]]</f>
        <v>24</v>
      </c>
      <c r="N837" s="43">
        <v>45491</v>
      </c>
      <c r="O837" s="91">
        <f>GroDB[[#This Row],[Expiration_Date]]-GroDB[[#This Row],[Date_Received1]]</f>
        <v>-6</v>
      </c>
      <c r="P837" s="4">
        <v>5.2</v>
      </c>
      <c r="Q837" s="3">
        <v>85</v>
      </c>
      <c r="R837" s="3">
        <v>86</v>
      </c>
      <c r="S837" s="3">
        <v>21</v>
      </c>
      <c r="T837" s="4">
        <v>6.5</v>
      </c>
      <c r="U837" s="3">
        <v>78</v>
      </c>
      <c r="V837" s="51">
        <f>IF(GroDB[[#This Row],[LeadTime]]=0,GroDB[[#This Row],[Sales_Volume]],GroDB[[#This Row],[Sales_Volume]]/GroDB[[#This Row],[LeadTime]])</f>
        <v>3.25</v>
      </c>
      <c r="W837" s="51">
        <f>_xlfn.STDEV.S(GroDB[Daily Sales])</f>
        <v>5.1999899792654221</v>
      </c>
      <c r="X837" s="3">
        <v>53</v>
      </c>
      <c r="Y837" s="7">
        <v>-0.23</v>
      </c>
      <c r="Z837" s="4">
        <f>GroDB[[#This Row],[Unit_Price]]*GroDB[[#This Row],[Sales_Volume]]</f>
        <v>507</v>
      </c>
      <c r="AA837" s="22">
        <f>GroDB[[#This Row],[ADU]]/GroDB[[#Totals],[ADU]]</f>
        <v>1.4726841489863716E-3</v>
      </c>
      <c r="AB837" s="1">
        <f>GroDB[[#This Row],[Sales_Volume]]*GroDB[[#This Row],[Ordering Cost]]</f>
        <v>405.6</v>
      </c>
    </row>
    <row r="838" spans="1:28" x14ac:dyDescent="0.35">
      <c r="A838" s="5" t="s">
        <v>17</v>
      </c>
      <c r="B838" s="3" t="s">
        <v>18</v>
      </c>
      <c r="C838" s="3" t="s">
        <v>2984</v>
      </c>
      <c r="D838" s="3" t="s">
        <v>2985</v>
      </c>
      <c r="E838" s="3" t="s">
        <v>28</v>
      </c>
      <c r="F838" s="3" t="s">
        <v>2986</v>
      </c>
      <c r="G838" s="3" t="s">
        <v>2987</v>
      </c>
      <c r="H838" s="43">
        <v>45473</v>
      </c>
      <c r="I838" s="43">
        <v>45710</v>
      </c>
      <c r="J838" s="47" t="str">
        <f>IF(GroDB[[#This Row],[Last_Order_Date]]&lt;=GroDB[[#This Row],[Date_Received]], "Yes", "No")</f>
        <v>No</v>
      </c>
      <c r="K838" s="43">
        <f>IF(GroDB[[#This Row],[Column1]]="No",GroDB[[#This Row],[Last_Order_Date]],GroDB[[#This Row],[Date_Received]])</f>
        <v>45710</v>
      </c>
      <c r="L838" s="43">
        <f>IF(GroDB[[#This Row],[Column1]]="No",GroDB[[#This Row],[Date_Received]],GroDB[[#This Row],[Last_Order_Date]])</f>
        <v>45473</v>
      </c>
      <c r="M838" s="45">
        <f>GroDB[[#This Row],[Date_Received1]]-GroDB[[#This Row],[Procurement_Date]]</f>
        <v>237</v>
      </c>
      <c r="N838" s="43">
        <v>45670</v>
      </c>
      <c r="O838" s="91">
        <f>GroDB[[#This Row],[Expiration_Date]]-GroDB[[#This Row],[Date_Received1]]</f>
        <v>-40</v>
      </c>
      <c r="P838" s="4">
        <v>3.6</v>
      </c>
      <c r="Q838" s="3">
        <v>90</v>
      </c>
      <c r="R838" s="3">
        <v>22</v>
      </c>
      <c r="S838" s="3">
        <v>20</v>
      </c>
      <c r="T838" s="4">
        <v>4.5</v>
      </c>
      <c r="U838" s="3">
        <v>81</v>
      </c>
      <c r="V838" s="51">
        <f>IF(GroDB[[#This Row],[LeadTime]]=0,GroDB[[#This Row],[Sales_Volume]],GroDB[[#This Row],[Sales_Volume]]/GroDB[[#This Row],[LeadTime]])</f>
        <v>0.34177215189873417</v>
      </c>
      <c r="W838" s="51">
        <f>_xlfn.STDEV.S(GroDB[Daily Sales])</f>
        <v>5.1999899792654221</v>
      </c>
      <c r="X838" s="3">
        <v>88</v>
      </c>
      <c r="Y838" s="7">
        <v>0.32</v>
      </c>
      <c r="Z838" s="4">
        <f>GroDB[[#This Row],[Unit_Price]]*GroDB[[#This Row],[Sales_Volume]]</f>
        <v>364.5</v>
      </c>
      <c r="AA838" s="22">
        <f>GroDB[[#This Row],[ADU]]/GroDB[[#Totals],[ADU]]</f>
        <v>1.0587640479399062E-3</v>
      </c>
      <c r="AB838" s="1">
        <f>GroDB[[#This Row],[Sales_Volume]]*GroDB[[#This Row],[Ordering Cost]]</f>
        <v>291.60000000000002</v>
      </c>
    </row>
    <row r="839" spans="1:28" x14ac:dyDescent="0.35">
      <c r="A839" s="5" t="s">
        <v>517</v>
      </c>
      <c r="B839" s="3" t="s">
        <v>127</v>
      </c>
      <c r="C839" s="3" t="s">
        <v>2504</v>
      </c>
      <c r="D839" s="3" t="s">
        <v>2988</v>
      </c>
      <c r="E839" s="3" t="s">
        <v>21</v>
      </c>
      <c r="F839" s="3" t="s">
        <v>2989</v>
      </c>
      <c r="G839" s="3" t="s">
        <v>2990</v>
      </c>
      <c r="H839" s="43">
        <v>45473</v>
      </c>
      <c r="I839" s="43">
        <v>45509</v>
      </c>
      <c r="J839" s="47" t="str">
        <f>IF(GroDB[[#This Row],[Last_Order_Date]]&lt;=GroDB[[#This Row],[Date_Received]], "Yes", "No")</f>
        <v>No</v>
      </c>
      <c r="K839" s="43">
        <f>IF(GroDB[[#This Row],[Column1]]="No",GroDB[[#This Row],[Last_Order_Date]],GroDB[[#This Row],[Date_Received]])</f>
        <v>45509</v>
      </c>
      <c r="L839" s="43">
        <f>IF(GroDB[[#This Row],[Column1]]="No",GroDB[[#This Row],[Date_Received]],GroDB[[#This Row],[Last_Order_Date]])</f>
        <v>45473</v>
      </c>
      <c r="M839" s="45">
        <f>GroDB[[#This Row],[Date_Received1]]-GroDB[[#This Row],[Procurement_Date]]</f>
        <v>36</v>
      </c>
      <c r="N839" s="43">
        <v>45665</v>
      </c>
      <c r="O839" s="91">
        <f>GroDB[[#This Row],[Expiration_Date]]-GroDB[[#This Row],[Date_Received1]]</f>
        <v>156</v>
      </c>
      <c r="P839" s="4">
        <v>20.200000000000003</v>
      </c>
      <c r="Q839" s="3">
        <v>35</v>
      </c>
      <c r="R839" s="3">
        <v>20</v>
      </c>
      <c r="S839" s="3">
        <v>42</v>
      </c>
      <c r="T839" s="4">
        <v>25.25</v>
      </c>
      <c r="U839" s="3">
        <v>53</v>
      </c>
      <c r="V839" s="51">
        <f>IF(GroDB[[#This Row],[LeadTime]]=0,GroDB[[#This Row],[Sales_Volume]],GroDB[[#This Row],[Sales_Volume]]/GroDB[[#This Row],[LeadTime]])</f>
        <v>1.4722222222222223</v>
      </c>
      <c r="W839" s="51">
        <f>_xlfn.STDEV.S(GroDB[Daily Sales])</f>
        <v>5.1999899792654221</v>
      </c>
      <c r="X839" s="3">
        <v>56</v>
      </c>
      <c r="Y839" s="7">
        <v>-0.09</v>
      </c>
      <c r="Z839" s="4">
        <f>GroDB[[#This Row],[Unit_Price]]*GroDB[[#This Row],[Sales_Volume]]</f>
        <v>1338.25</v>
      </c>
      <c r="AA839" s="22">
        <f>GroDB[[#This Row],[ADU]]/GroDB[[#Totals],[ADU]]</f>
        <v>3.8872180717574195E-3</v>
      </c>
      <c r="AB839" s="1">
        <f>GroDB[[#This Row],[Sales_Volume]]*GroDB[[#This Row],[Ordering Cost]]</f>
        <v>1070.6000000000001</v>
      </c>
    </row>
    <row r="840" spans="1:28" x14ac:dyDescent="0.35">
      <c r="A840" s="5" t="s">
        <v>1016</v>
      </c>
      <c r="B840" s="3" t="s">
        <v>25</v>
      </c>
      <c r="C840" s="3" t="s">
        <v>922</v>
      </c>
      <c r="D840" s="3" t="s">
        <v>2991</v>
      </c>
      <c r="E840" s="3" t="s">
        <v>56</v>
      </c>
      <c r="F840" s="3" t="s">
        <v>2992</v>
      </c>
      <c r="G840" s="3" t="s">
        <v>2993</v>
      </c>
      <c r="H840" s="43">
        <v>45473</v>
      </c>
      <c r="I840" s="43">
        <v>45382</v>
      </c>
      <c r="J840" s="47" t="str">
        <f>IF(GroDB[[#This Row],[Last_Order_Date]]&lt;=GroDB[[#This Row],[Date_Received]], "Yes", "No")</f>
        <v>Yes</v>
      </c>
      <c r="K840" s="43">
        <f>IF(GroDB[[#This Row],[Column1]]="No",GroDB[[#This Row],[Last_Order_Date]],GroDB[[#This Row],[Date_Received]])</f>
        <v>45473</v>
      </c>
      <c r="L840" s="43">
        <f>IF(GroDB[[#This Row],[Column1]]="No",GroDB[[#This Row],[Date_Received]],GroDB[[#This Row],[Last_Order_Date]])</f>
        <v>45382</v>
      </c>
      <c r="M840" s="45">
        <f>GroDB[[#This Row],[Date_Received1]]-GroDB[[#This Row],[Procurement_Date]]</f>
        <v>91</v>
      </c>
      <c r="N840" s="43">
        <v>45530</v>
      </c>
      <c r="O840" s="91">
        <f>GroDB[[#This Row],[Expiration_Date]]-GroDB[[#This Row],[Date_Received1]]</f>
        <v>57</v>
      </c>
      <c r="P840" s="4">
        <v>2</v>
      </c>
      <c r="Q840" s="3">
        <v>50</v>
      </c>
      <c r="R840" s="3">
        <v>40</v>
      </c>
      <c r="S840" s="3">
        <v>69</v>
      </c>
      <c r="T840" s="4">
        <v>2.5</v>
      </c>
      <c r="U840" s="3">
        <v>28</v>
      </c>
      <c r="V840" s="51">
        <f>IF(GroDB[[#This Row],[LeadTime]]=0,GroDB[[#This Row],[Sales_Volume]],GroDB[[#This Row],[Sales_Volume]]/GroDB[[#This Row],[LeadTime]])</f>
        <v>0.30769230769230771</v>
      </c>
      <c r="W840" s="51">
        <f>_xlfn.STDEV.S(GroDB[Daily Sales])</f>
        <v>5.1999899792654221</v>
      </c>
      <c r="X840" s="3">
        <v>98</v>
      </c>
      <c r="Y840" s="7">
        <v>-0.06</v>
      </c>
      <c r="Z840" s="4">
        <f>GroDB[[#This Row],[Unit_Price]]*GroDB[[#This Row],[Sales_Volume]]</f>
        <v>70</v>
      </c>
      <c r="AA840" s="22">
        <f>GroDB[[#This Row],[ADU]]/GroDB[[#Totals],[ADU]]</f>
        <v>2.0332917244387773E-4</v>
      </c>
      <c r="AB840" s="1">
        <f>GroDB[[#This Row],[Sales_Volume]]*GroDB[[#This Row],[Ordering Cost]]</f>
        <v>56</v>
      </c>
    </row>
    <row r="841" spans="1:28" x14ac:dyDescent="0.35">
      <c r="A841" s="5" t="s">
        <v>42</v>
      </c>
      <c r="B841" s="3" t="s">
        <v>18</v>
      </c>
      <c r="C841" s="3" t="s">
        <v>2994</v>
      </c>
      <c r="D841" s="3" t="s">
        <v>2995</v>
      </c>
      <c r="E841" s="3" t="s">
        <v>56</v>
      </c>
      <c r="F841" s="3" t="s">
        <v>2996</v>
      </c>
      <c r="G841" s="3" t="s">
        <v>2997</v>
      </c>
      <c r="H841" s="43">
        <v>45486</v>
      </c>
      <c r="I841" s="43">
        <v>45567</v>
      </c>
      <c r="J841" s="47" t="str">
        <f>IF(GroDB[[#This Row],[Last_Order_Date]]&lt;=GroDB[[#This Row],[Date_Received]], "Yes", "No")</f>
        <v>No</v>
      </c>
      <c r="K841" s="43">
        <f>IF(GroDB[[#This Row],[Column1]]="No",GroDB[[#This Row],[Last_Order_Date]],GroDB[[#This Row],[Date_Received]])</f>
        <v>45567</v>
      </c>
      <c r="L841" s="43">
        <f>IF(GroDB[[#This Row],[Column1]]="No",GroDB[[#This Row],[Date_Received]],GroDB[[#This Row],[Last_Order_Date]])</f>
        <v>45486</v>
      </c>
      <c r="M841" s="45">
        <f>GroDB[[#This Row],[Date_Received1]]-GroDB[[#This Row],[Procurement_Date]]</f>
        <v>81</v>
      </c>
      <c r="N841" s="43">
        <v>45645</v>
      </c>
      <c r="O841" s="91">
        <f>GroDB[[#This Row],[Expiration_Date]]-GroDB[[#This Row],[Date_Received1]]</f>
        <v>78</v>
      </c>
      <c r="P841" s="4">
        <v>5.6000000000000005</v>
      </c>
      <c r="Q841" s="3">
        <v>43</v>
      </c>
      <c r="R841" s="3">
        <v>40</v>
      </c>
      <c r="S841" s="3">
        <v>30</v>
      </c>
      <c r="T841" s="4">
        <v>7</v>
      </c>
      <c r="U841" s="3">
        <v>95</v>
      </c>
      <c r="V841" s="51">
        <f>IF(GroDB[[#This Row],[LeadTime]]=0,GroDB[[#This Row],[Sales_Volume]],GroDB[[#This Row],[Sales_Volume]]/GroDB[[#This Row],[LeadTime]])</f>
        <v>1.1728395061728396</v>
      </c>
      <c r="W841" s="51">
        <f>_xlfn.STDEV.S(GroDB[Daily Sales])</f>
        <v>5.1999899792654221</v>
      </c>
      <c r="X841" s="3">
        <v>26</v>
      </c>
      <c r="Y841" s="7">
        <v>-2.5</v>
      </c>
      <c r="Z841" s="4">
        <f>GroDB[[#This Row],[Unit_Price]]*GroDB[[#This Row],[Sales_Volume]]</f>
        <v>665</v>
      </c>
      <c r="AA841" s="22">
        <f>GroDB[[#This Row],[ADU]]/GroDB[[#Totals],[ADU]]</f>
        <v>1.9316271382168384E-3</v>
      </c>
      <c r="AB841" s="1">
        <f>GroDB[[#This Row],[Sales_Volume]]*GroDB[[#This Row],[Ordering Cost]]</f>
        <v>532</v>
      </c>
    </row>
    <row r="842" spans="1:28" x14ac:dyDescent="0.35">
      <c r="A842" s="5" t="s">
        <v>392</v>
      </c>
      <c r="B842" s="3" t="s">
        <v>18</v>
      </c>
      <c r="C842" s="3" t="s">
        <v>1311</v>
      </c>
      <c r="D842" s="3" t="s">
        <v>2998</v>
      </c>
      <c r="E842" s="3" t="s">
        <v>21</v>
      </c>
      <c r="F842" s="3" t="s">
        <v>2999</v>
      </c>
      <c r="G842" s="3" t="s">
        <v>3000</v>
      </c>
      <c r="H842" s="43">
        <v>45486</v>
      </c>
      <c r="I842" s="43">
        <v>45347</v>
      </c>
      <c r="J842" s="47" t="str">
        <f>IF(GroDB[[#This Row],[Last_Order_Date]]&lt;=GroDB[[#This Row],[Date_Received]], "Yes", "No")</f>
        <v>Yes</v>
      </c>
      <c r="K842" s="43">
        <f>IF(GroDB[[#This Row],[Column1]]="No",GroDB[[#This Row],[Last_Order_Date]],GroDB[[#This Row],[Date_Received]])</f>
        <v>45486</v>
      </c>
      <c r="L842" s="43">
        <f>IF(GroDB[[#This Row],[Column1]]="No",GroDB[[#This Row],[Date_Received]],GroDB[[#This Row],[Last_Order_Date]])</f>
        <v>45347</v>
      </c>
      <c r="M842" s="45">
        <f>GroDB[[#This Row],[Date_Received1]]-GroDB[[#This Row],[Procurement_Date]]</f>
        <v>139</v>
      </c>
      <c r="N842" s="43">
        <v>45543</v>
      </c>
      <c r="O842" s="91">
        <f>GroDB[[#This Row],[Expiration_Date]]-GroDB[[#This Row],[Date_Received1]]</f>
        <v>57</v>
      </c>
      <c r="P842" s="4">
        <v>4.4000000000000004</v>
      </c>
      <c r="Q842" s="3">
        <v>99</v>
      </c>
      <c r="R842" s="3">
        <v>68</v>
      </c>
      <c r="S842" s="3">
        <v>1</v>
      </c>
      <c r="T842" s="4">
        <v>5.5</v>
      </c>
      <c r="U842" s="3">
        <v>59</v>
      </c>
      <c r="V842" s="51">
        <f>IF(GroDB[[#This Row],[LeadTime]]=0,GroDB[[#This Row],[Sales_Volume]],GroDB[[#This Row],[Sales_Volume]]/GroDB[[#This Row],[LeadTime]])</f>
        <v>0.42446043165467628</v>
      </c>
      <c r="W842" s="51">
        <f>_xlfn.STDEV.S(GroDB[Daily Sales])</f>
        <v>5.1999899792654221</v>
      </c>
      <c r="X842" s="3">
        <v>16</v>
      </c>
      <c r="Y842" s="7">
        <v>0.73</v>
      </c>
      <c r="Z842" s="4">
        <f>GroDB[[#This Row],[Unit_Price]]*GroDB[[#This Row],[Sales_Volume]]</f>
        <v>324.5</v>
      </c>
      <c r="AA842" s="22">
        <f>GroDB[[#This Row],[ADU]]/GroDB[[#Totals],[ADU]]</f>
        <v>9.425759494005474E-4</v>
      </c>
      <c r="AB842" s="1">
        <f>GroDB[[#This Row],[Sales_Volume]]*GroDB[[#This Row],[Ordering Cost]]</f>
        <v>259.60000000000002</v>
      </c>
    </row>
    <row r="843" spans="1:28" x14ac:dyDescent="0.35">
      <c r="A843" s="5" t="s">
        <v>31</v>
      </c>
      <c r="B843" s="3" t="s">
        <v>32</v>
      </c>
      <c r="C843" s="3" t="s">
        <v>1578</v>
      </c>
      <c r="D843" s="3" t="s">
        <v>3001</v>
      </c>
      <c r="E843" s="3" t="s">
        <v>56</v>
      </c>
      <c r="F843" s="3" t="s">
        <v>3002</v>
      </c>
      <c r="G843" s="3" t="s">
        <v>3003</v>
      </c>
      <c r="H843" s="43">
        <v>45487</v>
      </c>
      <c r="I843" s="43">
        <v>45631</v>
      </c>
      <c r="J843" s="47" t="str">
        <f>IF(GroDB[[#This Row],[Last_Order_Date]]&lt;=GroDB[[#This Row],[Date_Received]], "Yes", "No")</f>
        <v>No</v>
      </c>
      <c r="K843" s="43">
        <f>IF(GroDB[[#This Row],[Column1]]="No",GroDB[[#This Row],[Last_Order_Date]],GroDB[[#This Row],[Date_Received]])</f>
        <v>45631</v>
      </c>
      <c r="L843" s="43">
        <f>IF(GroDB[[#This Row],[Column1]]="No",GroDB[[#This Row],[Date_Received]],GroDB[[#This Row],[Last_Order_Date]])</f>
        <v>45487</v>
      </c>
      <c r="M843" s="45">
        <f>GroDB[[#This Row],[Date_Received1]]-GroDB[[#This Row],[Procurement_Date]]</f>
        <v>144</v>
      </c>
      <c r="N843" s="43">
        <v>45677</v>
      </c>
      <c r="O843" s="91">
        <f>GroDB[[#This Row],[Expiration_Date]]-GroDB[[#This Row],[Date_Received1]]</f>
        <v>46</v>
      </c>
      <c r="P843" s="4">
        <v>9.6000000000000014</v>
      </c>
      <c r="Q843" s="3">
        <v>99</v>
      </c>
      <c r="R843" s="3">
        <v>10</v>
      </c>
      <c r="S843" s="3">
        <v>88</v>
      </c>
      <c r="T843" s="4">
        <v>12</v>
      </c>
      <c r="U843" s="3">
        <v>69</v>
      </c>
      <c r="V843" s="51">
        <f>IF(GroDB[[#This Row],[LeadTime]]=0,GroDB[[#This Row],[Sales_Volume]],GroDB[[#This Row],[Sales_Volume]]/GroDB[[#This Row],[LeadTime]])</f>
        <v>0.47916666666666669</v>
      </c>
      <c r="W843" s="51">
        <f>_xlfn.STDEV.S(GroDB[Daily Sales])</f>
        <v>5.1999899792654221</v>
      </c>
      <c r="X843" s="3">
        <v>98</v>
      </c>
      <c r="Y843" s="7">
        <v>0.73</v>
      </c>
      <c r="Z843" s="4">
        <f>GroDB[[#This Row],[Unit_Price]]*GroDB[[#This Row],[Sales_Volume]]</f>
        <v>828</v>
      </c>
      <c r="AA843" s="22">
        <f>GroDB[[#This Row],[ADU]]/GroDB[[#Totals],[ADU]]</f>
        <v>2.4050936397647252E-3</v>
      </c>
      <c r="AB843" s="1">
        <f>GroDB[[#This Row],[Sales_Volume]]*GroDB[[#This Row],[Ordering Cost]]</f>
        <v>662.40000000000009</v>
      </c>
    </row>
    <row r="844" spans="1:28" x14ac:dyDescent="0.35">
      <c r="A844" s="5" t="s">
        <v>1624</v>
      </c>
      <c r="B844" s="3" t="s">
        <v>60</v>
      </c>
      <c r="C844" s="3" t="s">
        <v>740</v>
      </c>
      <c r="D844" s="3" t="s">
        <v>3004</v>
      </c>
      <c r="E844" s="3" t="s">
        <v>21</v>
      </c>
      <c r="F844" s="3" t="s">
        <v>3005</v>
      </c>
      <c r="G844" s="3" t="s">
        <v>3006</v>
      </c>
      <c r="H844" s="43">
        <v>45487</v>
      </c>
      <c r="I844" s="43">
        <v>45530</v>
      </c>
      <c r="J844" s="47" t="str">
        <f>IF(GroDB[[#This Row],[Last_Order_Date]]&lt;=GroDB[[#This Row],[Date_Received]], "Yes", "No")</f>
        <v>No</v>
      </c>
      <c r="K844" s="43">
        <f>IF(GroDB[[#This Row],[Column1]]="No",GroDB[[#This Row],[Last_Order_Date]],GroDB[[#This Row],[Date_Received]])</f>
        <v>45530</v>
      </c>
      <c r="L844" s="43">
        <f>IF(GroDB[[#This Row],[Column1]]="No",GroDB[[#This Row],[Date_Received]],GroDB[[#This Row],[Last_Order_Date]])</f>
        <v>45487</v>
      </c>
      <c r="M844" s="45">
        <f>GroDB[[#This Row],[Date_Received1]]-GroDB[[#This Row],[Procurement_Date]]</f>
        <v>43</v>
      </c>
      <c r="N844" s="43">
        <v>45478</v>
      </c>
      <c r="O844" s="91">
        <f>GroDB[[#This Row],[Expiration_Date]]-GroDB[[#This Row],[Date_Received1]]</f>
        <v>-52</v>
      </c>
      <c r="P844" s="4">
        <v>6</v>
      </c>
      <c r="Q844" s="3">
        <v>45</v>
      </c>
      <c r="R844" s="3">
        <v>56</v>
      </c>
      <c r="S844" s="3">
        <v>64</v>
      </c>
      <c r="T844" s="4">
        <v>7.5</v>
      </c>
      <c r="U844" s="3">
        <v>35</v>
      </c>
      <c r="V844" s="51">
        <f>IF(GroDB[[#This Row],[LeadTime]]=0,GroDB[[#This Row],[Sales_Volume]],GroDB[[#This Row],[Sales_Volume]]/GroDB[[#This Row],[LeadTime]])</f>
        <v>0.81395348837209303</v>
      </c>
      <c r="W844" s="51">
        <f>_xlfn.STDEV.S(GroDB[Daily Sales])</f>
        <v>5.1999899792654221</v>
      </c>
      <c r="X844" s="3">
        <v>82</v>
      </c>
      <c r="Y844" s="7">
        <v>-0.42</v>
      </c>
      <c r="Z844" s="4">
        <f>GroDB[[#This Row],[Unit_Price]]*GroDB[[#This Row],[Sales_Volume]]</f>
        <v>262.5</v>
      </c>
      <c r="AA844" s="22">
        <f>GroDB[[#This Row],[ADU]]/GroDB[[#Totals],[ADU]]</f>
        <v>7.624843966645415E-4</v>
      </c>
      <c r="AB844" s="1">
        <f>GroDB[[#This Row],[Sales_Volume]]*GroDB[[#This Row],[Ordering Cost]]</f>
        <v>210</v>
      </c>
    </row>
    <row r="845" spans="1:28" x14ac:dyDescent="0.35">
      <c r="A845" s="5" t="s">
        <v>554</v>
      </c>
      <c r="B845" s="3" t="s">
        <v>53</v>
      </c>
      <c r="C845" s="3" t="s">
        <v>1365</v>
      </c>
      <c r="D845" s="3" t="s">
        <v>3007</v>
      </c>
      <c r="E845" s="3" t="s">
        <v>21</v>
      </c>
      <c r="F845" s="3" t="s">
        <v>3008</v>
      </c>
      <c r="G845" s="3" t="s">
        <v>3009</v>
      </c>
      <c r="H845" s="43">
        <v>45487</v>
      </c>
      <c r="I845" s="43">
        <v>45369</v>
      </c>
      <c r="J845" s="47" t="str">
        <f>IF(GroDB[[#This Row],[Last_Order_Date]]&lt;=GroDB[[#This Row],[Date_Received]], "Yes", "No")</f>
        <v>Yes</v>
      </c>
      <c r="K845" s="43">
        <f>IF(GroDB[[#This Row],[Column1]]="No",GroDB[[#This Row],[Last_Order_Date]],GroDB[[#This Row],[Date_Received]])</f>
        <v>45487</v>
      </c>
      <c r="L845" s="43">
        <f>IF(GroDB[[#This Row],[Column1]]="No",GroDB[[#This Row],[Date_Received]],GroDB[[#This Row],[Last_Order_Date]])</f>
        <v>45369</v>
      </c>
      <c r="M845" s="45">
        <f>GroDB[[#This Row],[Date_Received1]]-GroDB[[#This Row],[Procurement_Date]]</f>
        <v>118</v>
      </c>
      <c r="N845" s="43">
        <v>45448</v>
      </c>
      <c r="O845" s="91">
        <f>GroDB[[#This Row],[Expiration_Date]]-GroDB[[#This Row],[Date_Received1]]</f>
        <v>-39</v>
      </c>
      <c r="P845" s="4">
        <v>2</v>
      </c>
      <c r="Q845" s="3">
        <v>44</v>
      </c>
      <c r="R845" s="3">
        <v>67</v>
      </c>
      <c r="S845" s="3">
        <v>31</v>
      </c>
      <c r="T845" s="4">
        <v>2.5</v>
      </c>
      <c r="U845" s="3">
        <v>44</v>
      </c>
      <c r="V845" s="51">
        <f>IF(GroDB[[#This Row],[LeadTime]]=0,GroDB[[#This Row],[Sales_Volume]],GroDB[[#This Row],[Sales_Volume]]/GroDB[[#This Row],[LeadTime]])</f>
        <v>0.3728813559322034</v>
      </c>
      <c r="W845" s="51">
        <f>_xlfn.STDEV.S(GroDB[Daily Sales])</f>
        <v>5.1999899792654221</v>
      </c>
      <c r="X845" s="3">
        <v>72</v>
      </c>
      <c r="Y845" s="7">
        <v>-1.34</v>
      </c>
      <c r="Z845" s="4">
        <f>GroDB[[#This Row],[Unit_Price]]*GroDB[[#This Row],[Sales_Volume]]</f>
        <v>110</v>
      </c>
      <c r="AA845" s="22">
        <f>GroDB[[#This Row],[ADU]]/GroDB[[#Totals],[ADU]]</f>
        <v>3.195172709832364E-4</v>
      </c>
      <c r="AB845" s="1">
        <f>GroDB[[#This Row],[Sales_Volume]]*GroDB[[#This Row],[Ordering Cost]]</f>
        <v>88</v>
      </c>
    </row>
    <row r="846" spans="1:28" x14ac:dyDescent="0.35">
      <c r="A846" s="5" t="s">
        <v>342</v>
      </c>
      <c r="B846" s="3" t="s">
        <v>18</v>
      </c>
      <c r="C846" s="3" t="s">
        <v>2652</v>
      </c>
      <c r="D846" s="3" t="s">
        <v>3010</v>
      </c>
      <c r="E846" s="3" t="s">
        <v>28</v>
      </c>
      <c r="F846" s="3" t="s">
        <v>3011</v>
      </c>
      <c r="G846" s="3" t="s">
        <v>3012</v>
      </c>
      <c r="H846" s="43">
        <v>45488</v>
      </c>
      <c r="I846" s="43">
        <v>45612</v>
      </c>
      <c r="J846" s="47" t="str">
        <f>IF(GroDB[[#This Row],[Last_Order_Date]]&lt;=GroDB[[#This Row],[Date_Received]], "Yes", "No")</f>
        <v>No</v>
      </c>
      <c r="K846" s="43">
        <f>IF(GroDB[[#This Row],[Column1]]="No",GroDB[[#This Row],[Last_Order_Date]],GroDB[[#This Row],[Date_Received]])</f>
        <v>45612</v>
      </c>
      <c r="L846" s="43">
        <f>IF(GroDB[[#This Row],[Column1]]="No",GroDB[[#This Row],[Date_Received]],GroDB[[#This Row],[Last_Order_Date]])</f>
        <v>45488</v>
      </c>
      <c r="M846" s="45">
        <f>GroDB[[#This Row],[Date_Received1]]-GroDB[[#This Row],[Procurement_Date]]</f>
        <v>124</v>
      </c>
      <c r="N846" s="43">
        <v>45448</v>
      </c>
      <c r="O846" s="91">
        <f>GroDB[[#This Row],[Expiration_Date]]-GroDB[[#This Row],[Date_Received1]]</f>
        <v>-164</v>
      </c>
      <c r="P846" s="4">
        <v>4.8000000000000007</v>
      </c>
      <c r="Q846" s="3">
        <v>62</v>
      </c>
      <c r="R846" s="3">
        <v>40</v>
      </c>
      <c r="S846" s="3">
        <v>86</v>
      </c>
      <c r="T846" s="4">
        <v>6</v>
      </c>
      <c r="U846" s="3">
        <v>45</v>
      </c>
      <c r="V846" s="51">
        <f>IF(GroDB[[#This Row],[LeadTime]]=0,GroDB[[#This Row],[Sales_Volume]],GroDB[[#This Row],[Sales_Volume]]/GroDB[[#This Row],[LeadTime]])</f>
        <v>0.36290322580645162</v>
      </c>
      <c r="W846" s="51">
        <f>_xlfn.STDEV.S(GroDB[Daily Sales])</f>
        <v>5.1999899792654221</v>
      </c>
      <c r="X846" s="3">
        <v>86</v>
      </c>
      <c r="Y846" s="7">
        <v>-0.64</v>
      </c>
      <c r="Z846" s="4">
        <f>GroDB[[#This Row],[Unit_Price]]*GroDB[[#This Row],[Sales_Volume]]</f>
        <v>270</v>
      </c>
      <c r="AA846" s="22">
        <f>GroDB[[#This Row],[ADU]]/GroDB[[#Totals],[ADU]]</f>
        <v>7.8426966514067126E-4</v>
      </c>
      <c r="AB846" s="1">
        <f>GroDB[[#This Row],[Sales_Volume]]*GroDB[[#This Row],[Ordering Cost]]</f>
        <v>216.00000000000003</v>
      </c>
    </row>
    <row r="847" spans="1:28" x14ac:dyDescent="0.35">
      <c r="A847" s="5" t="s">
        <v>736</v>
      </c>
      <c r="B847" s="3" t="s">
        <v>91</v>
      </c>
      <c r="C847" s="3" t="s">
        <v>2856</v>
      </c>
      <c r="D847" s="3" t="s">
        <v>3013</v>
      </c>
      <c r="E847" s="3" t="s">
        <v>28</v>
      </c>
      <c r="F847" s="3" t="s">
        <v>3014</v>
      </c>
      <c r="G847" s="3" t="s">
        <v>3015</v>
      </c>
      <c r="H847" s="43">
        <v>45489</v>
      </c>
      <c r="I847" s="43">
        <v>45525</v>
      </c>
      <c r="J847" s="47" t="str">
        <f>IF(GroDB[[#This Row],[Last_Order_Date]]&lt;=GroDB[[#This Row],[Date_Received]], "Yes", "No")</f>
        <v>No</v>
      </c>
      <c r="K847" s="43">
        <f>IF(GroDB[[#This Row],[Column1]]="No",GroDB[[#This Row],[Last_Order_Date]],GroDB[[#This Row],[Date_Received]])</f>
        <v>45525</v>
      </c>
      <c r="L847" s="43">
        <f>IF(GroDB[[#This Row],[Column1]]="No",GroDB[[#This Row],[Date_Received]],GroDB[[#This Row],[Last_Order_Date]])</f>
        <v>45489</v>
      </c>
      <c r="M847" s="45">
        <f>GroDB[[#This Row],[Date_Received1]]-GroDB[[#This Row],[Procurement_Date]]</f>
        <v>36</v>
      </c>
      <c r="N847" s="43">
        <v>45695</v>
      </c>
      <c r="O847" s="91">
        <f>GroDB[[#This Row],[Expiration_Date]]-GroDB[[#This Row],[Date_Received1]]</f>
        <v>170</v>
      </c>
      <c r="P847" s="4">
        <v>4</v>
      </c>
      <c r="Q847" s="3">
        <v>16</v>
      </c>
      <c r="R847" s="3">
        <v>9</v>
      </c>
      <c r="S847" s="3">
        <v>32</v>
      </c>
      <c r="T847" s="4">
        <v>5</v>
      </c>
      <c r="U847" s="3">
        <v>50</v>
      </c>
      <c r="V847" s="51">
        <f>IF(GroDB[[#This Row],[LeadTime]]=0,GroDB[[#This Row],[Sales_Volume]],GroDB[[#This Row],[Sales_Volume]]/GroDB[[#This Row],[LeadTime]])</f>
        <v>1.3888888888888888</v>
      </c>
      <c r="W847" s="51">
        <f>_xlfn.STDEV.S(GroDB[Daily Sales])</f>
        <v>5.1999899792654221</v>
      </c>
      <c r="X847" s="3">
        <v>98</v>
      </c>
      <c r="Y847" s="7">
        <v>-0.91</v>
      </c>
      <c r="Z847" s="4">
        <f>GroDB[[#This Row],[Unit_Price]]*GroDB[[#This Row],[Sales_Volume]]</f>
        <v>250</v>
      </c>
      <c r="AA847" s="22">
        <f>GroDB[[#This Row],[ADU]]/GroDB[[#Totals],[ADU]]</f>
        <v>7.2617561587099192E-4</v>
      </c>
      <c r="AB847" s="1">
        <f>GroDB[[#This Row],[Sales_Volume]]*GroDB[[#This Row],[Ordering Cost]]</f>
        <v>200</v>
      </c>
    </row>
    <row r="848" spans="1:28" x14ac:dyDescent="0.35">
      <c r="A848" s="5" t="s">
        <v>438</v>
      </c>
      <c r="B848" s="3" t="s">
        <v>18</v>
      </c>
      <c r="C848" s="3" t="s">
        <v>808</v>
      </c>
      <c r="D848" s="3" t="s">
        <v>3016</v>
      </c>
      <c r="E848" s="3" t="s">
        <v>21</v>
      </c>
      <c r="F848" s="3" t="s">
        <v>3017</v>
      </c>
      <c r="G848" s="3" t="s">
        <v>3018</v>
      </c>
      <c r="H848" s="43">
        <v>45489</v>
      </c>
      <c r="I848" s="43">
        <v>45486</v>
      </c>
      <c r="J848" s="47" t="str">
        <f>IF(GroDB[[#This Row],[Last_Order_Date]]&lt;=GroDB[[#This Row],[Date_Received]], "Yes", "No")</f>
        <v>Yes</v>
      </c>
      <c r="K848" s="43">
        <f>IF(GroDB[[#This Row],[Column1]]="No",GroDB[[#This Row],[Last_Order_Date]],GroDB[[#This Row],[Date_Received]])</f>
        <v>45489</v>
      </c>
      <c r="L848" s="43">
        <f>IF(GroDB[[#This Row],[Column1]]="No",GroDB[[#This Row],[Date_Received]],GroDB[[#This Row],[Last_Order_Date]])</f>
        <v>45486</v>
      </c>
      <c r="M848" s="45">
        <f>GroDB[[#This Row],[Date_Received1]]-GroDB[[#This Row],[Procurement_Date]]</f>
        <v>3</v>
      </c>
      <c r="N848" s="43">
        <v>45514</v>
      </c>
      <c r="O848" s="91">
        <f>GroDB[[#This Row],[Expiration_Date]]-GroDB[[#This Row],[Date_Received1]]</f>
        <v>25</v>
      </c>
      <c r="P848" s="4">
        <v>4</v>
      </c>
      <c r="Q848" s="3">
        <v>99</v>
      </c>
      <c r="R848" s="3">
        <v>8</v>
      </c>
      <c r="S848" s="3">
        <v>27</v>
      </c>
      <c r="T848" s="4">
        <v>5</v>
      </c>
      <c r="U848" s="3">
        <v>41</v>
      </c>
      <c r="V848" s="51">
        <f>IF(GroDB[[#This Row],[LeadTime]]=0,GroDB[[#This Row],[Sales_Volume]],GroDB[[#This Row],[Sales_Volume]]/GroDB[[#This Row],[LeadTime]])</f>
        <v>13.666666666666666</v>
      </c>
      <c r="W848" s="51">
        <f>_xlfn.STDEV.S(GroDB[Daily Sales])</f>
        <v>5.1999899792654221</v>
      </c>
      <c r="X848" s="3">
        <v>50</v>
      </c>
      <c r="Y848" s="7">
        <v>-0.96</v>
      </c>
      <c r="Z848" s="4">
        <f>GroDB[[#This Row],[Unit_Price]]*GroDB[[#This Row],[Sales_Volume]]</f>
        <v>205</v>
      </c>
      <c r="AA848" s="22">
        <f>GroDB[[#This Row],[ADU]]/GroDB[[#Totals],[ADU]]</f>
        <v>5.954640050142133E-4</v>
      </c>
      <c r="AB848" s="1">
        <f>GroDB[[#This Row],[Sales_Volume]]*GroDB[[#This Row],[Ordering Cost]]</f>
        <v>164</v>
      </c>
    </row>
    <row r="849" spans="1:28" x14ac:dyDescent="0.35">
      <c r="A849" s="5" t="s">
        <v>175</v>
      </c>
      <c r="B849" s="3" t="s">
        <v>53</v>
      </c>
      <c r="C849" s="3" t="s">
        <v>2455</v>
      </c>
      <c r="D849" s="3" t="s">
        <v>3019</v>
      </c>
      <c r="E849" s="3" t="s">
        <v>28</v>
      </c>
      <c r="F849" s="3" t="s">
        <v>3020</v>
      </c>
      <c r="G849" s="3" t="s">
        <v>3021</v>
      </c>
      <c r="H849" s="43">
        <v>45490</v>
      </c>
      <c r="I849" s="43">
        <v>45605</v>
      </c>
      <c r="J849" s="47" t="str">
        <f>IF(GroDB[[#This Row],[Last_Order_Date]]&lt;=GroDB[[#This Row],[Date_Received]], "Yes", "No")</f>
        <v>No</v>
      </c>
      <c r="K849" s="43">
        <f>IF(GroDB[[#This Row],[Column1]]="No",GroDB[[#This Row],[Last_Order_Date]],GroDB[[#This Row],[Date_Received]])</f>
        <v>45605</v>
      </c>
      <c r="L849" s="43">
        <f>IF(GroDB[[#This Row],[Column1]]="No",GroDB[[#This Row],[Date_Received]],GroDB[[#This Row],[Last_Order_Date]])</f>
        <v>45490</v>
      </c>
      <c r="M849" s="45">
        <f>GroDB[[#This Row],[Date_Received1]]-GroDB[[#This Row],[Procurement_Date]]</f>
        <v>115</v>
      </c>
      <c r="N849" s="43">
        <v>45677</v>
      </c>
      <c r="O849" s="91">
        <f>GroDB[[#This Row],[Expiration_Date]]-GroDB[[#This Row],[Date_Received1]]</f>
        <v>72</v>
      </c>
      <c r="P849" s="4">
        <v>1.2000000000000002</v>
      </c>
      <c r="Q849" s="3">
        <v>71</v>
      </c>
      <c r="R849" s="3">
        <v>77</v>
      </c>
      <c r="S849" s="3">
        <v>30</v>
      </c>
      <c r="T849" s="4">
        <v>1.5</v>
      </c>
      <c r="U849" s="3">
        <v>34</v>
      </c>
      <c r="V849" s="51">
        <f>IF(GroDB[[#This Row],[LeadTime]]=0,GroDB[[#This Row],[Sales_Volume]],GroDB[[#This Row],[Sales_Volume]]/GroDB[[#This Row],[LeadTime]])</f>
        <v>0.29565217391304349</v>
      </c>
      <c r="W849" s="51">
        <f>_xlfn.STDEV.S(GroDB[Daily Sales])</f>
        <v>5.1999899792654221</v>
      </c>
      <c r="X849" s="3">
        <v>57</v>
      </c>
      <c r="Y849" s="7">
        <v>-0.22</v>
      </c>
      <c r="Z849" s="4">
        <f>GroDB[[#This Row],[Unit_Price]]*GroDB[[#This Row],[Sales_Volume]]</f>
        <v>51</v>
      </c>
      <c r="AA849" s="22">
        <f>GroDB[[#This Row],[ADU]]/GroDB[[#Totals],[ADU]]</f>
        <v>1.4813982563768234E-4</v>
      </c>
      <c r="AB849" s="1">
        <f>GroDB[[#This Row],[Sales_Volume]]*GroDB[[#This Row],[Ordering Cost]]</f>
        <v>40.800000000000004</v>
      </c>
    </row>
    <row r="850" spans="1:28" x14ac:dyDescent="0.35">
      <c r="A850" s="5" t="s">
        <v>180</v>
      </c>
      <c r="B850" s="3" t="s">
        <v>18</v>
      </c>
      <c r="C850" s="3" t="s">
        <v>2856</v>
      </c>
      <c r="D850" s="3" t="s">
        <v>3022</v>
      </c>
      <c r="E850" s="3" t="s">
        <v>28</v>
      </c>
      <c r="F850" s="3" t="s">
        <v>3023</v>
      </c>
      <c r="G850" s="3" t="s">
        <v>3024</v>
      </c>
      <c r="H850" s="43">
        <v>45491</v>
      </c>
      <c r="I850" s="43">
        <v>45673</v>
      </c>
      <c r="J850" s="47" t="str">
        <f>IF(GroDB[[#This Row],[Last_Order_Date]]&lt;=GroDB[[#This Row],[Date_Received]], "Yes", "No")</f>
        <v>No</v>
      </c>
      <c r="K850" s="43">
        <f>IF(GroDB[[#This Row],[Column1]]="No",GroDB[[#This Row],[Last_Order_Date]],GroDB[[#This Row],[Date_Received]])</f>
        <v>45673</v>
      </c>
      <c r="L850" s="43">
        <f>IF(GroDB[[#This Row],[Column1]]="No",GroDB[[#This Row],[Date_Received]],GroDB[[#This Row],[Last_Order_Date]])</f>
        <v>45491</v>
      </c>
      <c r="M850" s="45">
        <f>GroDB[[#This Row],[Date_Received1]]-GroDB[[#This Row],[Procurement_Date]]</f>
        <v>182</v>
      </c>
      <c r="N850" s="43">
        <v>45467</v>
      </c>
      <c r="O850" s="91">
        <f>GroDB[[#This Row],[Expiration_Date]]-GroDB[[#This Row],[Date_Received1]]</f>
        <v>-206</v>
      </c>
      <c r="P850" s="4">
        <v>1.4400000000000002</v>
      </c>
      <c r="Q850" s="3">
        <v>13</v>
      </c>
      <c r="R850" s="3">
        <v>60</v>
      </c>
      <c r="S850" s="3">
        <v>100</v>
      </c>
      <c r="T850" s="4">
        <v>1.8</v>
      </c>
      <c r="U850" s="3">
        <v>44</v>
      </c>
      <c r="V850" s="51">
        <f>IF(GroDB[[#This Row],[LeadTime]]=0,GroDB[[#This Row],[Sales_Volume]],GroDB[[#This Row],[Sales_Volume]]/GroDB[[#This Row],[LeadTime]])</f>
        <v>0.24175824175824176</v>
      </c>
      <c r="W850" s="51">
        <f>_xlfn.STDEV.S(GroDB[Daily Sales])</f>
        <v>5.1999899792654221</v>
      </c>
      <c r="X850" s="3">
        <v>32</v>
      </c>
      <c r="Y850" s="7">
        <v>-0.68</v>
      </c>
      <c r="Z850" s="4">
        <f>GroDB[[#This Row],[Unit_Price]]*GroDB[[#This Row],[Sales_Volume]]</f>
        <v>79.2</v>
      </c>
      <c r="AA850" s="22">
        <f>GroDB[[#This Row],[ADU]]/GroDB[[#Totals],[ADU]]</f>
        <v>2.3005243510793022E-4</v>
      </c>
      <c r="AB850" s="1">
        <f>GroDB[[#This Row],[Sales_Volume]]*GroDB[[#This Row],[Ordering Cost]]</f>
        <v>63.360000000000007</v>
      </c>
    </row>
    <row r="851" spans="1:28" x14ac:dyDescent="0.35">
      <c r="A851" s="5" t="s">
        <v>188</v>
      </c>
      <c r="B851" s="3" t="s">
        <v>32</v>
      </c>
      <c r="C851" s="3" t="s">
        <v>3025</v>
      </c>
      <c r="D851" s="3" t="s">
        <v>3026</v>
      </c>
      <c r="E851" s="3" t="s">
        <v>21</v>
      </c>
      <c r="F851" s="3" t="s">
        <v>3027</v>
      </c>
      <c r="G851" s="3" t="s">
        <v>3028</v>
      </c>
      <c r="H851" s="43">
        <v>45492</v>
      </c>
      <c r="I851" s="43">
        <v>45691</v>
      </c>
      <c r="J851" s="47" t="str">
        <f>IF(GroDB[[#This Row],[Last_Order_Date]]&lt;=GroDB[[#This Row],[Date_Received]], "Yes", "No")</f>
        <v>No</v>
      </c>
      <c r="K851" s="43">
        <f>IF(GroDB[[#This Row],[Column1]]="No",GroDB[[#This Row],[Last_Order_Date]],GroDB[[#This Row],[Date_Received]])</f>
        <v>45691</v>
      </c>
      <c r="L851" s="43">
        <f>IF(GroDB[[#This Row],[Column1]]="No",GroDB[[#This Row],[Date_Received]],GroDB[[#This Row],[Last_Order_Date]])</f>
        <v>45492</v>
      </c>
      <c r="M851" s="45">
        <f>GroDB[[#This Row],[Date_Received1]]-GroDB[[#This Row],[Procurement_Date]]</f>
        <v>199</v>
      </c>
      <c r="N851" s="43">
        <v>45649</v>
      </c>
      <c r="O851" s="91">
        <f>GroDB[[#This Row],[Expiration_Date]]-GroDB[[#This Row],[Date_Received1]]</f>
        <v>-42</v>
      </c>
      <c r="P851" s="4">
        <v>0.8</v>
      </c>
      <c r="Q851" s="3">
        <v>43</v>
      </c>
      <c r="R851" s="3">
        <v>88</v>
      </c>
      <c r="S851" s="3">
        <v>33</v>
      </c>
      <c r="T851" s="4">
        <v>1</v>
      </c>
      <c r="U851" s="3">
        <v>84</v>
      </c>
      <c r="V851" s="51">
        <f>IF(GroDB[[#This Row],[LeadTime]]=0,GroDB[[#This Row],[Sales_Volume]],GroDB[[#This Row],[Sales_Volume]]/GroDB[[#This Row],[LeadTime]])</f>
        <v>0.42211055276381909</v>
      </c>
      <c r="W851" s="51">
        <f>_xlfn.STDEV.S(GroDB[Daily Sales])</f>
        <v>5.1999899792654221</v>
      </c>
      <c r="X851" s="3">
        <v>75</v>
      </c>
      <c r="Y851" s="7">
        <v>0.27</v>
      </c>
      <c r="Z851" s="4">
        <f>GroDB[[#This Row],[Unit_Price]]*GroDB[[#This Row],[Sales_Volume]]</f>
        <v>84</v>
      </c>
      <c r="AA851" s="22">
        <f>GroDB[[#This Row],[ADU]]/GroDB[[#Totals],[ADU]]</f>
        <v>2.4399500693265326E-4</v>
      </c>
      <c r="AB851" s="1">
        <f>GroDB[[#This Row],[Sales_Volume]]*GroDB[[#This Row],[Ordering Cost]]</f>
        <v>67.2</v>
      </c>
    </row>
    <row r="852" spans="1:28" x14ac:dyDescent="0.35">
      <c r="A852" s="5" t="s">
        <v>1117</v>
      </c>
      <c r="B852" s="3" t="s">
        <v>91</v>
      </c>
      <c r="C852" s="3" t="s">
        <v>199</v>
      </c>
      <c r="D852" s="3" t="s">
        <v>3029</v>
      </c>
      <c r="E852" s="3" t="s">
        <v>56</v>
      </c>
      <c r="F852" s="3" t="s">
        <v>3030</v>
      </c>
      <c r="G852" s="3" t="s">
        <v>3031</v>
      </c>
      <c r="H852" s="43">
        <v>45492</v>
      </c>
      <c r="I852" s="43">
        <v>45494</v>
      </c>
      <c r="J852" s="47" t="str">
        <f>IF(GroDB[[#This Row],[Last_Order_Date]]&lt;=GroDB[[#This Row],[Date_Received]], "Yes", "No")</f>
        <v>No</v>
      </c>
      <c r="K852" s="43">
        <f>IF(GroDB[[#This Row],[Column1]]="No",GroDB[[#This Row],[Last_Order_Date]],GroDB[[#This Row],[Date_Received]])</f>
        <v>45494</v>
      </c>
      <c r="L852" s="43">
        <f>IF(GroDB[[#This Row],[Column1]]="No",GroDB[[#This Row],[Date_Received]],GroDB[[#This Row],[Last_Order_Date]])</f>
        <v>45492</v>
      </c>
      <c r="M852" s="45">
        <f>GroDB[[#This Row],[Date_Received1]]-GroDB[[#This Row],[Procurement_Date]]</f>
        <v>2</v>
      </c>
      <c r="N852" s="43">
        <v>45609</v>
      </c>
      <c r="O852" s="91">
        <f>GroDB[[#This Row],[Expiration_Date]]-GroDB[[#This Row],[Date_Received1]]</f>
        <v>115</v>
      </c>
      <c r="P852" s="4">
        <v>4.8000000000000007</v>
      </c>
      <c r="Q852" s="3">
        <v>22</v>
      </c>
      <c r="R852" s="3">
        <v>24</v>
      </c>
      <c r="S852" s="3">
        <v>94</v>
      </c>
      <c r="T852" s="4">
        <v>6</v>
      </c>
      <c r="U852" s="3">
        <v>47</v>
      </c>
      <c r="V852" s="51">
        <f>IF(GroDB[[#This Row],[LeadTime]]=0,GroDB[[#This Row],[Sales_Volume]],GroDB[[#This Row],[Sales_Volume]]/GroDB[[#This Row],[LeadTime]])</f>
        <v>23.5</v>
      </c>
      <c r="W852" s="51">
        <f>_xlfn.STDEV.S(GroDB[Daily Sales])</f>
        <v>5.1999899792654221</v>
      </c>
      <c r="X852" s="3">
        <v>71</v>
      </c>
      <c r="Y852" s="7">
        <v>0.11</v>
      </c>
      <c r="Z852" s="4">
        <f>GroDB[[#This Row],[Unit_Price]]*GroDB[[#This Row],[Sales_Volume]]</f>
        <v>282</v>
      </c>
      <c r="AA852" s="22">
        <f>GroDB[[#This Row],[ADU]]/GroDB[[#Totals],[ADU]]</f>
        <v>8.1912609470247881E-4</v>
      </c>
      <c r="AB852" s="1">
        <f>GroDB[[#This Row],[Sales_Volume]]*GroDB[[#This Row],[Ordering Cost]]</f>
        <v>225.60000000000002</v>
      </c>
    </row>
    <row r="853" spans="1:28" x14ac:dyDescent="0.35">
      <c r="A853" s="5" t="s">
        <v>582</v>
      </c>
      <c r="B853" s="3" t="s">
        <v>32</v>
      </c>
      <c r="C853" s="3" t="s">
        <v>360</v>
      </c>
      <c r="D853" s="3" t="s">
        <v>3032</v>
      </c>
      <c r="E853" s="3" t="s">
        <v>21</v>
      </c>
      <c r="F853" s="3" t="s">
        <v>3033</v>
      </c>
      <c r="G853" s="3" t="s">
        <v>3034</v>
      </c>
      <c r="H853" s="43">
        <v>45492</v>
      </c>
      <c r="I853" s="43">
        <v>45527</v>
      </c>
      <c r="J853" s="47" t="str">
        <f>IF(GroDB[[#This Row],[Last_Order_Date]]&lt;=GroDB[[#This Row],[Date_Received]], "Yes", "No")</f>
        <v>No</v>
      </c>
      <c r="K853" s="43">
        <f>IF(GroDB[[#This Row],[Column1]]="No",GroDB[[#This Row],[Last_Order_Date]],GroDB[[#This Row],[Date_Received]])</f>
        <v>45527</v>
      </c>
      <c r="L853" s="43">
        <f>IF(GroDB[[#This Row],[Column1]]="No",GroDB[[#This Row],[Date_Received]],GroDB[[#This Row],[Last_Order_Date]])</f>
        <v>45492</v>
      </c>
      <c r="M853" s="45">
        <f>GroDB[[#This Row],[Date_Received1]]-GroDB[[#This Row],[Procurement_Date]]</f>
        <v>35</v>
      </c>
      <c r="N853" s="43">
        <v>45427</v>
      </c>
      <c r="O853" s="91">
        <f>GroDB[[#This Row],[Expiration_Date]]-GroDB[[#This Row],[Date_Received1]]</f>
        <v>-100</v>
      </c>
      <c r="P853" s="4">
        <v>0.64000000000000012</v>
      </c>
      <c r="Q853" s="3">
        <v>29</v>
      </c>
      <c r="R853" s="3">
        <v>33</v>
      </c>
      <c r="S853" s="3">
        <v>88</v>
      </c>
      <c r="T853" s="4">
        <v>0.8</v>
      </c>
      <c r="U853" s="3">
        <v>50</v>
      </c>
      <c r="V853" s="51">
        <f>IF(GroDB[[#This Row],[LeadTime]]=0,GroDB[[#This Row],[Sales_Volume]],GroDB[[#This Row],[Sales_Volume]]/GroDB[[#This Row],[LeadTime]])</f>
        <v>1.4285714285714286</v>
      </c>
      <c r="W853" s="51">
        <f>_xlfn.STDEV.S(GroDB[Daily Sales])</f>
        <v>5.1999899792654221</v>
      </c>
      <c r="X853" s="3">
        <v>35</v>
      </c>
      <c r="Y853" s="7">
        <v>-0.51</v>
      </c>
      <c r="Z853" s="4">
        <f>GroDB[[#This Row],[Unit_Price]]*GroDB[[#This Row],[Sales_Volume]]</f>
        <v>40</v>
      </c>
      <c r="AA853" s="22">
        <f>GroDB[[#This Row],[ADU]]/GroDB[[#Totals],[ADU]]</f>
        <v>1.161880985393587E-4</v>
      </c>
      <c r="AB853" s="1">
        <f>GroDB[[#This Row],[Sales_Volume]]*GroDB[[#This Row],[Ordering Cost]]</f>
        <v>32.000000000000007</v>
      </c>
    </row>
    <row r="854" spans="1:28" x14ac:dyDescent="0.35">
      <c r="A854" s="5" t="s">
        <v>446</v>
      </c>
      <c r="B854" s="3" t="s">
        <v>53</v>
      </c>
      <c r="C854" s="3" t="s">
        <v>3035</v>
      </c>
      <c r="D854" s="3" t="s">
        <v>3036</v>
      </c>
      <c r="E854" s="3" t="s">
        <v>21</v>
      </c>
      <c r="F854" s="3" t="s">
        <v>3037</v>
      </c>
      <c r="G854" s="3" t="s">
        <v>3038</v>
      </c>
      <c r="H854" s="43">
        <v>45492</v>
      </c>
      <c r="I854" s="43">
        <v>45704</v>
      </c>
      <c r="J854" s="47" t="str">
        <f>IF(GroDB[[#This Row],[Last_Order_Date]]&lt;=GroDB[[#This Row],[Date_Received]], "Yes", "No")</f>
        <v>No</v>
      </c>
      <c r="K854" s="43">
        <f>IF(GroDB[[#This Row],[Column1]]="No",GroDB[[#This Row],[Last_Order_Date]],GroDB[[#This Row],[Date_Received]])</f>
        <v>45704</v>
      </c>
      <c r="L854" s="43">
        <f>IF(GroDB[[#This Row],[Column1]]="No",GroDB[[#This Row],[Date_Received]],GroDB[[#This Row],[Last_Order_Date]])</f>
        <v>45492</v>
      </c>
      <c r="M854" s="45">
        <f>GroDB[[#This Row],[Date_Received1]]-GroDB[[#This Row],[Procurement_Date]]</f>
        <v>212</v>
      </c>
      <c r="N854" s="43">
        <v>45685</v>
      </c>
      <c r="O854" s="91">
        <f>GroDB[[#This Row],[Expiration_Date]]-GroDB[[#This Row],[Date_Received1]]</f>
        <v>-19</v>
      </c>
      <c r="P854" s="4">
        <v>7.6000000000000005</v>
      </c>
      <c r="Q854" s="3">
        <v>79</v>
      </c>
      <c r="R854" s="3">
        <v>47</v>
      </c>
      <c r="S854" s="3">
        <v>51</v>
      </c>
      <c r="T854" s="4">
        <v>9.5</v>
      </c>
      <c r="U854" s="3">
        <v>83</v>
      </c>
      <c r="V854" s="51">
        <f>IF(GroDB[[#This Row],[LeadTime]]=0,GroDB[[#This Row],[Sales_Volume]],GroDB[[#This Row],[Sales_Volume]]/GroDB[[#This Row],[LeadTime]])</f>
        <v>0.39150943396226418</v>
      </c>
      <c r="W854" s="51">
        <f>_xlfn.STDEV.S(GroDB[Daily Sales])</f>
        <v>5.1999899792654221</v>
      </c>
      <c r="X854" s="3">
        <v>69</v>
      </c>
      <c r="Y854" s="7">
        <v>0.3</v>
      </c>
      <c r="Z854" s="4">
        <f>GroDB[[#This Row],[Unit_Price]]*GroDB[[#This Row],[Sales_Volume]]</f>
        <v>788.5</v>
      </c>
      <c r="AA854" s="22">
        <f>GroDB[[#This Row],[ADU]]/GroDB[[#Totals],[ADU]]</f>
        <v>2.2903578924571085E-3</v>
      </c>
      <c r="AB854" s="1">
        <f>GroDB[[#This Row],[Sales_Volume]]*GroDB[[#This Row],[Ordering Cost]]</f>
        <v>630.80000000000007</v>
      </c>
    </row>
    <row r="855" spans="1:28" x14ac:dyDescent="0.35">
      <c r="A855" s="5" t="s">
        <v>984</v>
      </c>
      <c r="B855" s="3" t="s">
        <v>18</v>
      </c>
      <c r="C855" s="3" t="s">
        <v>2677</v>
      </c>
      <c r="D855" s="3" t="s">
        <v>3039</v>
      </c>
      <c r="E855" s="3" t="s">
        <v>21</v>
      </c>
      <c r="F855" s="3" t="s">
        <v>3040</v>
      </c>
      <c r="G855" s="3" t="s">
        <v>3041</v>
      </c>
      <c r="H855" s="43">
        <v>45493</v>
      </c>
      <c r="I855" s="43">
        <v>45673</v>
      </c>
      <c r="J855" s="47" t="str">
        <f>IF(GroDB[[#This Row],[Last_Order_Date]]&lt;=GroDB[[#This Row],[Date_Received]], "Yes", "No")</f>
        <v>No</v>
      </c>
      <c r="K855" s="43">
        <f>IF(GroDB[[#This Row],[Column1]]="No",GroDB[[#This Row],[Last_Order_Date]],GroDB[[#This Row],[Date_Received]])</f>
        <v>45673</v>
      </c>
      <c r="L855" s="43">
        <f>IF(GroDB[[#This Row],[Column1]]="No",GroDB[[#This Row],[Date_Received]],GroDB[[#This Row],[Last_Order_Date]])</f>
        <v>45493</v>
      </c>
      <c r="M855" s="45">
        <f>GroDB[[#This Row],[Date_Received1]]-GroDB[[#This Row],[Procurement_Date]]</f>
        <v>180</v>
      </c>
      <c r="N855" s="43">
        <v>45432</v>
      </c>
      <c r="O855" s="91">
        <f>GroDB[[#This Row],[Expiration_Date]]-GroDB[[#This Row],[Date_Received1]]</f>
        <v>-241</v>
      </c>
      <c r="P855" s="4">
        <v>3.2</v>
      </c>
      <c r="Q855" s="3">
        <v>95</v>
      </c>
      <c r="R855" s="3">
        <v>29</v>
      </c>
      <c r="S855" s="3">
        <v>28</v>
      </c>
      <c r="T855" s="4">
        <v>4</v>
      </c>
      <c r="U855" s="3">
        <v>52</v>
      </c>
      <c r="V855" s="51">
        <f>IF(GroDB[[#This Row],[LeadTime]]=0,GroDB[[#This Row],[Sales_Volume]],GroDB[[#This Row],[Sales_Volume]]/GroDB[[#This Row],[LeadTime]])</f>
        <v>0.28888888888888886</v>
      </c>
      <c r="W855" s="51">
        <f>_xlfn.STDEV.S(GroDB[Daily Sales])</f>
        <v>5.1999899792654221</v>
      </c>
      <c r="X855" s="3">
        <v>46</v>
      </c>
      <c r="Y855" s="7">
        <v>0.17</v>
      </c>
      <c r="Z855" s="4">
        <f>GroDB[[#This Row],[Unit_Price]]*GroDB[[#This Row],[Sales_Volume]]</f>
        <v>208</v>
      </c>
      <c r="AA855" s="22">
        <f>GroDB[[#This Row],[ADU]]/GroDB[[#Totals],[ADU]]</f>
        <v>6.0417811240466525E-4</v>
      </c>
      <c r="AB855" s="1">
        <f>GroDB[[#This Row],[Sales_Volume]]*GroDB[[#This Row],[Ordering Cost]]</f>
        <v>166.4</v>
      </c>
    </row>
    <row r="856" spans="1:28" x14ac:dyDescent="0.35">
      <c r="A856" s="5" t="s">
        <v>1085</v>
      </c>
      <c r="B856" s="3" t="s">
        <v>32</v>
      </c>
      <c r="C856" s="3" t="s">
        <v>388</v>
      </c>
      <c r="D856" s="3" t="s">
        <v>3042</v>
      </c>
      <c r="E856" s="3" t="s">
        <v>56</v>
      </c>
      <c r="F856" s="3" t="s">
        <v>3043</v>
      </c>
      <c r="G856" s="3" t="s">
        <v>3044</v>
      </c>
      <c r="H856" s="43">
        <v>45493</v>
      </c>
      <c r="I856" s="43">
        <v>45634</v>
      </c>
      <c r="J856" s="47" t="str">
        <f>IF(GroDB[[#This Row],[Last_Order_Date]]&lt;=GroDB[[#This Row],[Date_Received]], "Yes", "No")</f>
        <v>No</v>
      </c>
      <c r="K856" s="43">
        <f>IF(GroDB[[#This Row],[Column1]]="No",GroDB[[#This Row],[Last_Order_Date]],GroDB[[#This Row],[Date_Received]])</f>
        <v>45634</v>
      </c>
      <c r="L856" s="43">
        <f>IF(GroDB[[#This Row],[Column1]]="No",GroDB[[#This Row],[Date_Received]],GroDB[[#This Row],[Last_Order_Date]])</f>
        <v>45493</v>
      </c>
      <c r="M856" s="45">
        <f>GroDB[[#This Row],[Date_Received1]]-GroDB[[#This Row],[Procurement_Date]]</f>
        <v>141</v>
      </c>
      <c r="N856" s="43">
        <v>45487</v>
      </c>
      <c r="O856" s="91">
        <f>GroDB[[#This Row],[Expiration_Date]]-GroDB[[#This Row],[Date_Received1]]</f>
        <v>-147</v>
      </c>
      <c r="P856" s="4">
        <v>6.4</v>
      </c>
      <c r="Q856" s="3">
        <v>70</v>
      </c>
      <c r="R856" s="3">
        <v>84</v>
      </c>
      <c r="S856" s="3">
        <v>72</v>
      </c>
      <c r="T856" s="4">
        <v>8</v>
      </c>
      <c r="U856" s="3">
        <v>71</v>
      </c>
      <c r="V856" s="51">
        <f>IF(GroDB[[#This Row],[LeadTime]]=0,GroDB[[#This Row],[Sales_Volume]],GroDB[[#This Row],[Sales_Volume]]/GroDB[[#This Row],[LeadTime]])</f>
        <v>0.50354609929078009</v>
      </c>
      <c r="W856" s="51">
        <f>_xlfn.STDEV.S(GroDB[Daily Sales])</f>
        <v>5.1999899792654221</v>
      </c>
      <c r="X856" s="3">
        <v>20</v>
      </c>
      <c r="Y856" s="7">
        <v>0.12</v>
      </c>
      <c r="Z856" s="4">
        <f>GroDB[[#This Row],[Unit_Price]]*GroDB[[#This Row],[Sales_Volume]]</f>
        <v>568</v>
      </c>
      <c r="AA856" s="22">
        <f>GroDB[[#This Row],[ADU]]/GroDB[[#Totals],[ADU]]</f>
        <v>1.6498709992588936E-3</v>
      </c>
      <c r="AB856" s="1">
        <f>GroDB[[#This Row],[Sales_Volume]]*GroDB[[#This Row],[Ordering Cost]]</f>
        <v>454.40000000000003</v>
      </c>
    </row>
    <row r="857" spans="1:28" x14ac:dyDescent="0.35">
      <c r="A857" s="5" t="s">
        <v>142</v>
      </c>
      <c r="B857" s="3" t="s">
        <v>18</v>
      </c>
      <c r="C857" s="3" t="s">
        <v>518</v>
      </c>
      <c r="D857" s="3" t="s">
        <v>3045</v>
      </c>
      <c r="E857" s="3" t="s">
        <v>28</v>
      </c>
      <c r="F857" s="3" t="s">
        <v>3046</v>
      </c>
      <c r="G857" s="3" t="s">
        <v>3047</v>
      </c>
      <c r="H857" s="43">
        <v>45493</v>
      </c>
      <c r="I857" s="43">
        <v>45671</v>
      </c>
      <c r="J857" s="47" t="str">
        <f>IF(GroDB[[#This Row],[Last_Order_Date]]&lt;=GroDB[[#This Row],[Date_Received]], "Yes", "No")</f>
        <v>No</v>
      </c>
      <c r="K857" s="43">
        <f>IF(GroDB[[#This Row],[Column1]]="No",GroDB[[#This Row],[Last_Order_Date]],GroDB[[#This Row],[Date_Received]])</f>
        <v>45671</v>
      </c>
      <c r="L857" s="43">
        <f>IF(GroDB[[#This Row],[Column1]]="No",GroDB[[#This Row],[Date_Received]],GroDB[[#This Row],[Last_Order_Date]])</f>
        <v>45493</v>
      </c>
      <c r="M857" s="45">
        <f>GroDB[[#This Row],[Date_Received1]]-GroDB[[#This Row],[Procurement_Date]]</f>
        <v>178</v>
      </c>
      <c r="N857" s="43">
        <v>45569</v>
      </c>
      <c r="O857" s="91">
        <f>GroDB[[#This Row],[Expiration_Date]]-GroDB[[#This Row],[Date_Received1]]</f>
        <v>-102</v>
      </c>
      <c r="P857" s="4">
        <v>3.2</v>
      </c>
      <c r="Q857" s="3">
        <v>61</v>
      </c>
      <c r="R857" s="3">
        <v>100</v>
      </c>
      <c r="S857" s="3">
        <v>94</v>
      </c>
      <c r="T857" s="4">
        <v>4</v>
      </c>
      <c r="U857" s="3">
        <v>76</v>
      </c>
      <c r="V857" s="51">
        <f>IF(GroDB[[#This Row],[LeadTime]]=0,GroDB[[#This Row],[Sales_Volume]],GroDB[[#This Row],[Sales_Volume]]/GroDB[[#This Row],[LeadTime]])</f>
        <v>0.42696629213483145</v>
      </c>
      <c r="W857" s="51">
        <f>_xlfn.STDEV.S(GroDB[Daily Sales])</f>
        <v>5.1999899792654221</v>
      </c>
      <c r="X857" s="3">
        <v>2</v>
      </c>
      <c r="Y857" s="7">
        <v>0.72</v>
      </c>
      <c r="Z857" s="4">
        <f>GroDB[[#This Row],[Unit_Price]]*GroDB[[#This Row],[Sales_Volume]]</f>
        <v>304</v>
      </c>
      <c r="AA857" s="22">
        <f>GroDB[[#This Row],[ADU]]/GroDB[[#Totals],[ADU]]</f>
        <v>8.8302954889912615E-4</v>
      </c>
      <c r="AB857" s="1">
        <f>GroDB[[#This Row],[Sales_Volume]]*GroDB[[#This Row],[Ordering Cost]]</f>
        <v>243.20000000000002</v>
      </c>
    </row>
    <row r="858" spans="1:28" x14ac:dyDescent="0.35">
      <c r="A858" s="5" t="s">
        <v>303</v>
      </c>
      <c r="B858" s="3" t="s">
        <v>60</v>
      </c>
      <c r="C858" s="3" t="s">
        <v>166</v>
      </c>
      <c r="D858" s="3" t="s">
        <v>3048</v>
      </c>
      <c r="E858" s="3" t="s">
        <v>28</v>
      </c>
      <c r="F858" s="3" t="s">
        <v>3049</v>
      </c>
      <c r="G858" s="3" t="s">
        <v>3050</v>
      </c>
      <c r="H858" s="43">
        <v>45493</v>
      </c>
      <c r="I858" s="43">
        <v>45378</v>
      </c>
      <c r="J858" s="47" t="str">
        <f>IF(GroDB[[#This Row],[Last_Order_Date]]&lt;=GroDB[[#This Row],[Date_Received]], "Yes", "No")</f>
        <v>Yes</v>
      </c>
      <c r="K858" s="43">
        <f>IF(GroDB[[#This Row],[Column1]]="No",GroDB[[#This Row],[Last_Order_Date]],GroDB[[#This Row],[Date_Received]])</f>
        <v>45493</v>
      </c>
      <c r="L858" s="43">
        <f>IF(GroDB[[#This Row],[Column1]]="No",GroDB[[#This Row],[Date_Received]],GroDB[[#This Row],[Last_Order_Date]])</f>
        <v>45378</v>
      </c>
      <c r="M858" s="45">
        <f>GroDB[[#This Row],[Date_Received1]]-GroDB[[#This Row],[Procurement_Date]]</f>
        <v>115</v>
      </c>
      <c r="N858" s="43">
        <v>45390</v>
      </c>
      <c r="O858" s="91">
        <f>GroDB[[#This Row],[Expiration_Date]]-GroDB[[#This Row],[Date_Received1]]</f>
        <v>-103</v>
      </c>
      <c r="P858" s="4">
        <v>4.8000000000000007</v>
      </c>
      <c r="Q858" s="3">
        <v>11</v>
      </c>
      <c r="R858" s="3">
        <v>17</v>
      </c>
      <c r="S858" s="3">
        <v>59</v>
      </c>
      <c r="T858" s="4">
        <v>6</v>
      </c>
      <c r="U858" s="3">
        <v>69</v>
      </c>
      <c r="V858" s="51">
        <f>IF(GroDB[[#This Row],[LeadTime]]=0,GroDB[[#This Row],[Sales_Volume]],GroDB[[#This Row],[Sales_Volume]]/GroDB[[#This Row],[LeadTime]])</f>
        <v>0.6</v>
      </c>
      <c r="W858" s="51">
        <f>_xlfn.STDEV.S(GroDB[Daily Sales])</f>
        <v>5.1999899792654221</v>
      </c>
      <c r="X858" s="3">
        <v>100</v>
      </c>
      <c r="Y858" s="7">
        <v>0.97</v>
      </c>
      <c r="Z858" s="4">
        <f>GroDB[[#This Row],[Unit_Price]]*GroDB[[#This Row],[Sales_Volume]]</f>
        <v>414</v>
      </c>
      <c r="AA858" s="22">
        <f>GroDB[[#This Row],[ADU]]/GroDB[[#Totals],[ADU]]</f>
        <v>1.2025468198823626E-3</v>
      </c>
      <c r="AB858" s="1">
        <f>GroDB[[#This Row],[Sales_Volume]]*GroDB[[#This Row],[Ordering Cost]]</f>
        <v>331.20000000000005</v>
      </c>
    </row>
    <row r="859" spans="1:28" x14ac:dyDescent="0.35">
      <c r="A859" s="5" t="s">
        <v>600</v>
      </c>
      <c r="B859" s="3" t="s">
        <v>32</v>
      </c>
      <c r="C859" s="3" t="s">
        <v>1207</v>
      </c>
      <c r="D859" s="3" t="s">
        <v>3051</v>
      </c>
      <c r="E859" s="3" t="s">
        <v>21</v>
      </c>
      <c r="F859" s="3" t="s">
        <v>3052</v>
      </c>
      <c r="G859" s="3" t="s">
        <v>3053</v>
      </c>
      <c r="H859" s="43">
        <v>45493</v>
      </c>
      <c r="I859" s="43">
        <v>45510</v>
      </c>
      <c r="J859" s="47" t="str">
        <f>IF(GroDB[[#This Row],[Last_Order_Date]]&lt;=GroDB[[#This Row],[Date_Received]], "Yes", "No")</f>
        <v>No</v>
      </c>
      <c r="K859" s="43">
        <f>IF(GroDB[[#This Row],[Column1]]="No",GroDB[[#This Row],[Last_Order_Date]],GroDB[[#This Row],[Date_Received]])</f>
        <v>45510</v>
      </c>
      <c r="L859" s="43">
        <f>IF(GroDB[[#This Row],[Column1]]="No",GroDB[[#This Row],[Date_Received]],GroDB[[#This Row],[Last_Order_Date]])</f>
        <v>45493</v>
      </c>
      <c r="M859" s="45">
        <f>GroDB[[#This Row],[Date_Received1]]-GroDB[[#This Row],[Procurement_Date]]</f>
        <v>17</v>
      </c>
      <c r="N859" s="43">
        <v>45519</v>
      </c>
      <c r="O859" s="91">
        <f>GroDB[[#This Row],[Expiration_Date]]-GroDB[[#This Row],[Date_Received1]]</f>
        <v>9</v>
      </c>
      <c r="P859" s="4">
        <v>2</v>
      </c>
      <c r="Q859" s="3">
        <v>39</v>
      </c>
      <c r="R859" s="3">
        <v>80</v>
      </c>
      <c r="S859" s="3">
        <v>68</v>
      </c>
      <c r="T859" s="4">
        <v>2.5</v>
      </c>
      <c r="U859" s="3">
        <v>46</v>
      </c>
      <c r="V859" s="51">
        <f>IF(GroDB[[#This Row],[LeadTime]]=0,GroDB[[#This Row],[Sales_Volume]],GroDB[[#This Row],[Sales_Volume]]/GroDB[[#This Row],[LeadTime]])</f>
        <v>2.7058823529411766</v>
      </c>
      <c r="W859" s="51">
        <f>_xlfn.STDEV.S(GroDB[Daily Sales])</f>
        <v>5.1999899792654221</v>
      </c>
      <c r="X859" s="3">
        <v>54</v>
      </c>
      <c r="Y859" s="7">
        <v>-0.45</v>
      </c>
      <c r="Z859" s="4">
        <f>GroDB[[#This Row],[Unit_Price]]*GroDB[[#This Row],[Sales_Volume]]</f>
        <v>115</v>
      </c>
      <c r="AA859" s="22">
        <f>GroDB[[#This Row],[ADU]]/GroDB[[#Totals],[ADU]]</f>
        <v>3.3404078330065624E-4</v>
      </c>
      <c r="AB859" s="1">
        <f>GroDB[[#This Row],[Sales_Volume]]*GroDB[[#This Row],[Ordering Cost]]</f>
        <v>92</v>
      </c>
    </row>
    <row r="860" spans="1:28" x14ac:dyDescent="0.35">
      <c r="A860" s="5" t="s">
        <v>17</v>
      </c>
      <c r="B860" s="3" t="s">
        <v>18</v>
      </c>
      <c r="C860" s="3" t="s">
        <v>112</v>
      </c>
      <c r="D860" s="3" t="s">
        <v>3054</v>
      </c>
      <c r="E860" s="3" t="s">
        <v>21</v>
      </c>
      <c r="F860" s="3" t="s">
        <v>3055</v>
      </c>
      <c r="G860" s="3" t="s">
        <v>3056</v>
      </c>
      <c r="H860" s="43">
        <v>45494</v>
      </c>
      <c r="I860" s="43">
        <v>45473</v>
      </c>
      <c r="J860" s="47" t="str">
        <f>IF(GroDB[[#This Row],[Last_Order_Date]]&lt;=GroDB[[#This Row],[Date_Received]], "Yes", "No")</f>
        <v>Yes</v>
      </c>
      <c r="K860" s="43">
        <f>IF(GroDB[[#This Row],[Column1]]="No",GroDB[[#This Row],[Last_Order_Date]],GroDB[[#This Row],[Date_Received]])</f>
        <v>45494</v>
      </c>
      <c r="L860" s="43">
        <f>IF(GroDB[[#This Row],[Column1]]="No",GroDB[[#This Row],[Date_Received]],GroDB[[#This Row],[Last_Order_Date]])</f>
        <v>45473</v>
      </c>
      <c r="M860" s="45">
        <f>GroDB[[#This Row],[Date_Received1]]-GroDB[[#This Row],[Procurement_Date]]</f>
        <v>21</v>
      </c>
      <c r="N860" s="43">
        <v>45557</v>
      </c>
      <c r="O860" s="91">
        <f>GroDB[[#This Row],[Expiration_Date]]-GroDB[[#This Row],[Date_Received1]]</f>
        <v>63</v>
      </c>
      <c r="P860" s="4">
        <v>3.6</v>
      </c>
      <c r="Q860" s="3">
        <v>50</v>
      </c>
      <c r="R860" s="3">
        <v>3</v>
      </c>
      <c r="S860" s="3">
        <v>88</v>
      </c>
      <c r="T860" s="4">
        <v>4.5</v>
      </c>
      <c r="U860" s="3">
        <v>69</v>
      </c>
      <c r="V860" s="51">
        <f>IF(GroDB[[#This Row],[LeadTime]]=0,GroDB[[#This Row],[Sales_Volume]],GroDB[[#This Row],[Sales_Volume]]/GroDB[[#This Row],[LeadTime]])</f>
        <v>3.2857142857142856</v>
      </c>
      <c r="W860" s="51">
        <f>_xlfn.STDEV.S(GroDB[Daily Sales])</f>
        <v>5.1999899792654221</v>
      </c>
      <c r="X860" s="3">
        <v>73</v>
      </c>
      <c r="Y860" s="7">
        <v>-0.17</v>
      </c>
      <c r="Z860" s="4">
        <f>GroDB[[#This Row],[Unit_Price]]*GroDB[[#This Row],[Sales_Volume]]</f>
        <v>310.5</v>
      </c>
      <c r="AA860" s="22">
        <f>GroDB[[#This Row],[ADU]]/GroDB[[#Totals],[ADU]]</f>
        <v>9.0191011491177195E-4</v>
      </c>
      <c r="AB860" s="1">
        <f>GroDB[[#This Row],[Sales_Volume]]*GroDB[[#This Row],[Ordering Cost]]</f>
        <v>248.4</v>
      </c>
    </row>
    <row r="861" spans="1:28" x14ac:dyDescent="0.35">
      <c r="A861" s="5" t="s">
        <v>587</v>
      </c>
      <c r="B861" s="3" t="s">
        <v>127</v>
      </c>
      <c r="C861" s="3" t="s">
        <v>2008</v>
      </c>
      <c r="D861" s="3" t="s">
        <v>3057</v>
      </c>
      <c r="E861" s="3" t="s">
        <v>56</v>
      </c>
      <c r="F861" s="3" t="s">
        <v>3058</v>
      </c>
      <c r="G861" s="3" t="s">
        <v>3059</v>
      </c>
      <c r="H861" s="43">
        <v>45494</v>
      </c>
      <c r="I861" s="43">
        <v>45530</v>
      </c>
      <c r="J861" s="47" t="str">
        <f>IF(GroDB[[#This Row],[Last_Order_Date]]&lt;=GroDB[[#This Row],[Date_Received]], "Yes", "No")</f>
        <v>No</v>
      </c>
      <c r="K861" s="43">
        <f>IF(GroDB[[#This Row],[Column1]]="No",GroDB[[#This Row],[Last_Order_Date]],GroDB[[#This Row],[Date_Received]])</f>
        <v>45530</v>
      </c>
      <c r="L861" s="43">
        <f>IF(GroDB[[#This Row],[Column1]]="No",GroDB[[#This Row],[Date_Received]],GroDB[[#This Row],[Last_Order_Date]])</f>
        <v>45494</v>
      </c>
      <c r="M861" s="45">
        <f>GroDB[[#This Row],[Date_Received1]]-GroDB[[#This Row],[Procurement_Date]]</f>
        <v>36</v>
      </c>
      <c r="N861" s="43">
        <v>45629</v>
      </c>
      <c r="O861" s="91">
        <f>GroDB[[#This Row],[Expiration_Date]]-GroDB[[#This Row],[Date_Received1]]</f>
        <v>99</v>
      </c>
      <c r="P861" s="4">
        <v>24</v>
      </c>
      <c r="Q861" s="3">
        <v>59</v>
      </c>
      <c r="R861" s="3">
        <v>17</v>
      </c>
      <c r="S861" s="3">
        <v>1</v>
      </c>
      <c r="T861" s="4">
        <v>30</v>
      </c>
      <c r="U861" s="3">
        <v>69</v>
      </c>
      <c r="V861" s="51">
        <f>IF(GroDB[[#This Row],[LeadTime]]=0,GroDB[[#This Row],[Sales_Volume]],GroDB[[#This Row],[Sales_Volume]]/GroDB[[#This Row],[LeadTime]])</f>
        <v>1.9166666666666667</v>
      </c>
      <c r="W861" s="51">
        <f>_xlfn.STDEV.S(GroDB[Daily Sales])</f>
        <v>5.1999899792654221</v>
      </c>
      <c r="X861" s="3">
        <v>82</v>
      </c>
      <c r="Y861" s="7">
        <v>-0.06</v>
      </c>
      <c r="Z861" s="4">
        <f>GroDB[[#This Row],[Unit_Price]]*GroDB[[#This Row],[Sales_Volume]]</f>
        <v>2070</v>
      </c>
      <c r="AA861" s="22">
        <f>GroDB[[#This Row],[ADU]]/GroDB[[#Totals],[ADU]]</f>
        <v>6.0127340994118126E-3</v>
      </c>
      <c r="AB861" s="1">
        <f>GroDB[[#This Row],[Sales_Volume]]*GroDB[[#This Row],[Ordering Cost]]</f>
        <v>1656</v>
      </c>
    </row>
    <row r="862" spans="1:28" x14ac:dyDescent="0.35">
      <c r="A862" s="5" t="s">
        <v>1069</v>
      </c>
      <c r="B862" s="3" t="s">
        <v>18</v>
      </c>
      <c r="C862" s="3" t="s">
        <v>2077</v>
      </c>
      <c r="D862" s="3" t="s">
        <v>3060</v>
      </c>
      <c r="E862" s="3" t="s">
        <v>28</v>
      </c>
      <c r="F862" s="3" t="s">
        <v>3061</v>
      </c>
      <c r="G862" s="3" t="s">
        <v>3062</v>
      </c>
      <c r="H862" s="43">
        <v>45494</v>
      </c>
      <c r="I862" s="43">
        <v>45697</v>
      </c>
      <c r="J862" s="47" t="str">
        <f>IF(GroDB[[#This Row],[Last_Order_Date]]&lt;=GroDB[[#This Row],[Date_Received]], "Yes", "No")</f>
        <v>No</v>
      </c>
      <c r="K862" s="43">
        <f>IF(GroDB[[#This Row],[Column1]]="No",GroDB[[#This Row],[Last_Order_Date]],GroDB[[#This Row],[Date_Received]])</f>
        <v>45697</v>
      </c>
      <c r="L862" s="43">
        <f>IF(GroDB[[#This Row],[Column1]]="No",GroDB[[#This Row],[Date_Received]],GroDB[[#This Row],[Last_Order_Date]])</f>
        <v>45494</v>
      </c>
      <c r="M862" s="45">
        <f>GroDB[[#This Row],[Date_Received1]]-GroDB[[#This Row],[Procurement_Date]]</f>
        <v>203</v>
      </c>
      <c r="N862" s="43">
        <v>45696</v>
      </c>
      <c r="O862" s="91">
        <f>GroDB[[#This Row],[Expiration_Date]]-GroDB[[#This Row],[Date_Received1]]</f>
        <v>-1</v>
      </c>
      <c r="P862" s="4">
        <v>4.88</v>
      </c>
      <c r="Q862" s="3">
        <v>16</v>
      </c>
      <c r="R862" s="3">
        <v>23</v>
      </c>
      <c r="S862" s="3">
        <v>76</v>
      </c>
      <c r="T862" s="4">
        <v>6.1</v>
      </c>
      <c r="U862" s="3">
        <v>50</v>
      </c>
      <c r="V862" s="51">
        <f>IF(GroDB[[#This Row],[LeadTime]]=0,GroDB[[#This Row],[Sales_Volume]],GroDB[[#This Row],[Sales_Volume]]/GroDB[[#This Row],[LeadTime]])</f>
        <v>0.24630541871921183</v>
      </c>
      <c r="W862" s="51">
        <f>_xlfn.STDEV.S(GroDB[Daily Sales])</f>
        <v>5.1999899792654221</v>
      </c>
      <c r="X862" s="3">
        <v>27</v>
      </c>
      <c r="Y862" s="7">
        <v>-0.19</v>
      </c>
      <c r="Z862" s="4">
        <f>GroDB[[#This Row],[Unit_Price]]*GroDB[[#This Row],[Sales_Volume]]</f>
        <v>305</v>
      </c>
      <c r="AA862" s="22">
        <f>GroDB[[#This Row],[ADU]]/GroDB[[#Totals],[ADU]]</f>
        <v>8.8593425136261009E-4</v>
      </c>
      <c r="AB862" s="1">
        <f>GroDB[[#This Row],[Sales_Volume]]*GroDB[[#This Row],[Ordering Cost]]</f>
        <v>244</v>
      </c>
    </row>
    <row r="863" spans="1:28" x14ac:dyDescent="0.35">
      <c r="A863" s="5" t="s">
        <v>175</v>
      </c>
      <c r="B863" s="3" t="s">
        <v>53</v>
      </c>
      <c r="C863" s="3" t="s">
        <v>157</v>
      </c>
      <c r="D863" s="3" t="s">
        <v>3063</v>
      </c>
      <c r="E863" s="3" t="s">
        <v>56</v>
      </c>
      <c r="F863" s="3" t="s">
        <v>3064</v>
      </c>
      <c r="G863" s="3" t="s">
        <v>3065</v>
      </c>
      <c r="H863" s="43">
        <v>45495</v>
      </c>
      <c r="I863" s="43">
        <v>45350</v>
      </c>
      <c r="J863" s="47" t="str">
        <f>IF(GroDB[[#This Row],[Last_Order_Date]]&lt;=GroDB[[#This Row],[Date_Received]], "Yes", "No")</f>
        <v>Yes</v>
      </c>
      <c r="K863" s="43">
        <f>IF(GroDB[[#This Row],[Column1]]="No",GroDB[[#This Row],[Last_Order_Date]],GroDB[[#This Row],[Date_Received]])</f>
        <v>45495</v>
      </c>
      <c r="L863" s="43">
        <f>IF(GroDB[[#This Row],[Column1]]="No",GroDB[[#This Row],[Date_Received]],GroDB[[#This Row],[Last_Order_Date]])</f>
        <v>45350</v>
      </c>
      <c r="M863" s="45">
        <f>GroDB[[#This Row],[Date_Received1]]-GroDB[[#This Row],[Procurement_Date]]</f>
        <v>145</v>
      </c>
      <c r="N863" s="43">
        <v>45583</v>
      </c>
      <c r="O863" s="91">
        <f>GroDB[[#This Row],[Expiration_Date]]-GroDB[[#This Row],[Date_Received1]]</f>
        <v>88</v>
      </c>
      <c r="P863" s="4">
        <v>1.2000000000000002</v>
      </c>
      <c r="Q863" s="3">
        <v>62</v>
      </c>
      <c r="R863" s="3">
        <v>79</v>
      </c>
      <c r="S863" s="3">
        <v>23</v>
      </c>
      <c r="T863" s="4">
        <v>1.5</v>
      </c>
      <c r="U863" s="3">
        <v>32</v>
      </c>
      <c r="V863" s="51">
        <f>IF(GroDB[[#This Row],[LeadTime]]=0,GroDB[[#This Row],[Sales_Volume]],GroDB[[#This Row],[Sales_Volume]]/GroDB[[#This Row],[LeadTime]])</f>
        <v>0.22068965517241379</v>
      </c>
      <c r="W863" s="51">
        <f>_xlfn.STDEV.S(GroDB[Daily Sales])</f>
        <v>5.1999899792654221</v>
      </c>
      <c r="X863" s="3">
        <v>80</v>
      </c>
      <c r="Y863" s="7">
        <v>0.46</v>
      </c>
      <c r="Z863" s="4">
        <f>GroDB[[#This Row],[Unit_Price]]*GroDB[[#This Row],[Sales_Volume]]</f>
        <v>48</v>
      </c>
      <c r="AA863" s="22">
        <f>GroDB[[#This Row],[ADU]]/GroDB[[#Totals],[ADU]]</f>
        <v>1.3942571824723045E-4</v>
      </c>
      <c r="AB863" s="1">
        <f>GroDB[[#This Row],[Sales_Volume]]*GroDB[[#This Row],[Ordering Cost]]</f>
        <v>38.400000000000006</v>
      </c>
    </row>
    <row r="864" spans="1:28" x14ac:dyDescent="0.35">
      <c r="A864" s="5" t="s">
        <v>674</v>
      </c>
      <c r="B864" s="3" t="s">
        <v>60</v>
      </c>
      <c r="C864" s="3" t="s">
        <v>1004</v>
      </c>
      <c r="D864" s="3" t="s">
        <v>3066</v>
      </c>
      <c r="E864" s="3" t="s">
        <v>28</v>
      </c>
      <c r="F864" s="3" t="s">
        <v>3067</v>
      </c>
      <c r="G864" s="3" t="s">
        <v>3068</v>
      </c>
      <c r="H864" s="43">
        <v>45495</v>
      </c>
      <c r="I864" s="43">
        <v>45687</v>
      </c>
      <c r="J864" s="47" t="str">
        <f>IF(GroDB[[#This Row],[Last_Order_Date]]&lt;=GroDB[[#This Row],[Date_Received]], "Yes", "No")</f>
        <v>No</v>
      </c>
      <c r="K864" s="43">
        <f>IF(GroDB[[#This Row],[Column1]]="No",GroDB[[#This Row],[Last_Order_Date]],GroDB[[#This Row],[Date_Received]])</f>
        <v>45687</v>
      </c>
      <c r="L864" s="43">
        <f>IF(GroDB[[#This Row],[Column1]]="No",GroDB[[#This Row],[Date_Received]],GroDB[[#This Row],[Last_Order_Date]])</f>
        <v>45495</v>
      </c>
      <c r="M864" s="45">
        <f>GroDB[[#This Row],[Date_Received1]]-GroDB[[#This Row],[Procurement_Date]]</f>
        <v>192</v>
      </c>
      <c r="N864" s="43">
        <v>45458</v>
      </c>
      <c r="O864" s="91">
        <f>GroDB[[#This Row],[Expiration_Date]]-GroDB[[#This Row],[Date_Received1]]</f>
        <v>-229</v>
      </c>
      <c r="P864" s="4">
        <v>7.2</v>
      </c>
      <c r="Q864" s="3">
        <v>30</v>
      </c>
      <c r="R864" s="3">
        <v>81</v>
      </c>
      <c r="S864" s="3">
        <v>99</v>
      </c>
      <c r="T864" s="4">
        <v>9</v>
      </c>
      <c r="U864" s="3">
        <v>99</v>
      </c>
      <c r="V864" s="51">
        <f>IF(GroDB[[#This Row],[LeadTime]]=0,GroDB[[#This Row],[Sales_Volume]],GroDB[[#This Row],[Sales_Volume]]/GroDB[[#This Row],[LeadTime]])</f>
        <v>0.515625</v>
      </c>
      <c r="W864" s="51">
        <f>_xlfn.STDEV.S(GroDB[Daily Sales])</f>
        <v>5.1999899792654221</v>
      </c>
      <c r="X864" s="3">
        <v>3</v>
      </c>
      <c r="Y864" s="7">
        <v>-1.5</v>
      </c>
      <c r="Z864" s="4">
        <f>GroDB[[#This Row],[Unit_Price]]*GroDB[[#This Row],[Sales_Volume]]</f>
        <v>891</v>
      </c>
      <c r="AA864" s="22">
        <f>GroDB[[#This Row],[ADU]]/GroDB[[#Totals],[ADU]]</f>
        <v>2.5880898949642152E-3</v>
      </c>
      <c r="AB864" s="1">
        <f>GroDB[[#This Row],[Sales_Volume]]*GroDB[[#This Row],[Ordering Cost]]</f>
        <v>712.80000000000007</v>
      </c>
    </row>
    <row r="865" spans="1:28" x14ac:dyDescent="0.35">
      <c r="A865" s="5" t="s">
        <v>392</v>
      </c>
      <c r="B865" s="3" t="s">
        <v>18</v>
      </c>
      <c r="C865" s="3" t="s">
        <v>249</v>
      </c>
      <c r="D865" s="3" t="s">
        <v>3069</v>
      </c>
      <c r="E865" s="3" t="s">
        <v>28</v>
      </c>
      <c r="F865" s="3" t="s">
        <v>3070</v>
      </c>
      <c r="G865" s="3" t="s">
        <v>3071</v>
      </c>
      <c r="H865" s="43">
        <v>45495</v>
      </c>
      <c r="I865" s="43">
        <v>45709</v>
      </c>
      <c r="J865" s="47" t="str">
        <f>IF(GroDB[[#This Row],[Last_Order_Date]]&lt;=GroDB[[#This Row],[Date_Received]], "Yes", "No")</f>
        <v>No</v>
      </c>
      <c r="K865" s="43">
        <f>IF(GroDB[[#This Row],[Column1]]="No",GroDB[[#This Row],[Last_Order_Date]],GroDB[[#This Row],[Date_Received]])</f>
        <v>45709</v>
      </c>
      <c r="L865" s="43">
        <f>IF(GroDB[[#This Row],[Column1]]="No",GroDB[[#This Row],[Date_Received]],GroDB[[#This Row],[Last_Order_Date]])</f>
        <v>45495</v>
      </c>
      <c r="M865" s="45">
        <f>GroDB[[#This Row],[Date_Received1]]-GroDB[[#This Row],[Procurement_Date]]</f>
        <v>214</v>
      </c>
      <c r="N865" s="43">
        <v>45686</v>
      </c>
      <c r="O865" s="91">
        <f>GroDB[[#This Row],[Expiration_Date]]-GroDB[[#This Row],[Date_Received1]]</f>
        <v>-23</v>
      </c>
      <c r="P865" s="4">
        <v>4.4000000000000004</v>
      </c>
      <c r="Q865" s="3">
        <v>13</v>
      </c>
      <c r="R865" s="3">
        <v>61</v>
      </c>
      <c r="S865" s="3">
        <v>77</v>
      </c>
      <c r="T865" s="4">
        <v>5.5</v>
      </c>
      <c r="U865" s="3">
        <v>42</v>
      </c>
      <c r="V865" s="51">
        <f>IF(GroDB[[#This Row],[LeadTime]]=0,GroDB[[#This Row],[Sales_Volume]],GroDB[[#This Row],[Sales_Volume]]/GroDB[[#This Row],[LeadTime]])</f>
        <v>0.19626168224299065</v>
      </c>
      <c r="W865" s="51">
        <f>_xlfn.STDEV.S(GroDB[Daily Sales])</f>
        <v>5.1999899792654221</v>
      </c>
      <c r="X865" s="3">
        <v>18</v>
      </c>
      <c r="Y865" s="7">
        <v>0.97</v>
      </c>
      <c r="Z865" s="4">
        <f>GroDB[[#This Row],[Unit_Price]]*GroDB[[#This Row],[Sales_Volume]]</f>
        <v>231</v>
      </c>
      <c r="AA865" s="22">
        <f>GroDB[[#This Row],[ADU]]/GroDB[[#Totals],[ADU]]</f>
        <v>6.7098626906479653E-4</v>
      </c>
      <c r="AB865" s="1">
        <f>GroDB[[#This Row],[Sales_Volume]]*GroDB[[#This Row],[Ordering Cost]]</f>
        <v>184.8</v>
      </c>
    </row>
    <row r="866" spans="1:28" x14ac:dyDescent="0.35">
      <c r="A866" s="5" t="s">
        <v>574</v>
      </c>
      <c r="B866" s="3" t="s">
        <v>53</v>
      </c>
      <c r="C866" s="3" t="s">
        <v>281</v>
      </c>
      <c r="D866" s="3" t="s">
        <v>3072</v>
      </c>
      <c r="E866" s="3" t="s">
        <v>56</v>
      </c>
      <c r="F866" s="3" t="s">
        <v>3073</v>
      </c>
      <c r="G866" s="3" t="s">
        <v>3074</v>
      </c>
      <c r="H866" s="43">
        <v>45496</v>
      </c>
      <c r="I866" s="43">
        <v>45354</v>
      </c>
      <c r="J866" s="47" t="str">
        <f>IF(GroDB[[#This Row],[Last_Order_Date]]&lt;=GroDB[[#This Row],[Date_Received]], "Yes", "No")</f>
        <v>Yes</v>
      </c>
      <c r="K866" s="43">
        <f>IF(GroDB[[#This Row],[Column1]]="No",GroDB[[#This Row],[Last_Order_Date]],GroDB[[#This Row],[Date_Received]])</f>
        <v>45496</v>
      </c>
      <c r="L866" s="43">
        <f>IF(GroDB[[#This Row],[Column1]]="No",GroDB[[#This Row],[Date_Received]],GroDB[[#This Row],[Last_Order_Date]])</f>
        <v>45354</v>
      </c>
      <c r="M866" s="45">
        <f>GroDB[[#This Row],[Date_Received1]]-GroDB[[#This Row],[Procurement_Date]]</f>
        <v>142</v>
      </c>
      <c r="N866" s="43">
        <v>45464</v>
      </c>
      <c r="O866" s="91">
        <f>GroDB[[#This Row],[Expiration_Date]]-GroDB[[#This Row],[Date_Received1]]</f>
        <v>-32</v>
      </c>
      <c r="P866" s="4">
        <v>1.6</v>
      </c>
      <c r="Q866" s="3">
        <v>14</v>
      </c>
      <c r="R866" s="3">
        <v>16</v>
      </c>
      <c r="S866" s="3">
        <v>93</v>
      </c>
      <c r="T866" s="4">
        <v>2</v>
      </c>
      <c r="U866" s="3">
        <v>39</v>
      </c>
      <c r="V866" s="51">
        <f>IF(GroDB[[#This Row],[LeadTime]]=0,GroDB[[#This Row],[Sales_Volume]],GroDB[[#This Row],[Sales_Volume]]/GroDB[[#This Row],[LeadTime]])</f>
        <v>0.27464788732394368</v>
      </c>
      <c r="W866" s="51">
        <f>_xlfn.STDEV.S(GroDB[Daily Sales])</f>
        <v>5.1999899792654221</v>
      </c>
      <c r="X866" s="3">
        <v>30</v>
      </c>
      <c r="Y866" s="7">
        <v>0.56999999999999995</v>
      </c>
      <c r="Z866" s="4">
        <f>GroDB[[#This Row],[Unit_Price]]*GroDB[[#This Row],[Sales_Volume]]</f>
        <v>78</v>
      </c>
      <c r="AA866" s="22">
        <f>GroDB[[#This Row],[ADU]]/GroDB[[#Totals],[ADU]]</f>
        <v>2.2656679215174945E-4</v>
      </c>
      <c r="AB866" s="1">
        <f>GroDB[[#This Row],[Sales_Volume]]*GroDB[[#This Row],[Ordering Cost]]</f>
        <v>62.400000000000006</v>
      </c>
    </row>
    <row r="867" spans="1:28" x14ac:dyDescent="0.35">
      <c r="A867" s="5" t="s">
        <v>333</v>
      </c>
      <c r="B867" s="3" t="s">
        <v>53</v>
      </c>
      <c r="C867" s="3" t="s">
        <v>628</v>
      </c>
      <c r="D867" s="3" t="s">
        <v>3075</v>
      </c>
      <c r="E867" s="3" t="s">
        <v>21</v>
      </c>
      <c r="F867" s="3" t="s">
        <v>3076</v>
      </c>
      <c r="G867" s="3" t="s">
        <v>3077</v>
      </c>
      <c r="H867" s="43">
        <v>45496</v>
      </c>
      <c r="I867" s="43">
        <v>45466</v>
      </c>
      <c r="J867" s="47" t="str">
        <f>IF(GroDB[[#This Row],[Last_Order_Date]]&lt;=GroDB[[#This Row],[Date_Received]], "Yes", "No")</f>
        <v>Yes</v>
      </c>
      <c r="K867" s="43">
        <f>IF(GroDB[[#This Row],[Column1]]="No",GroDB[[#This Row],[Last_Order_Date]],GroDB[[#This Row],[Date_Received]])</f>
        <v>45496</v>
      </c>
      <c r="L867" s="43">
        <f>IF(GroDB[[#This Row],[Column1]]="No",GroDB[[#This Row],[Date_Received]],GroDB[[#This Row],[Last_Order_Date]])</f>
        <v>45466</v>
      </c>
      <c r="M867" s="45">
        <f>GroDB[[#This Row],[Date_Received1]]-GroDB[[#This Row],[Procurement_Date]]</f>
        <v>30</v>
      </c>
      <c r="N867" s="43">
        <v>45648</v>
      </c>
      <c r="O867" s="91">
        <f>GroDB[[#This Row],[Expiration_Date]]-GroDB[[#This Row],[Date_Received1]]</f>
        <v>152</v>
      </c>
      <c r="P867" s="4">
        <v>8</v>
      </c>
      <c r="Q867" s="3">
        <v>46</v>
      </c>
      <c r="R867" s="3">
        <v>6</v>
      </c>
      <c r="S867" s="3">
        <v>64</v>
      </c>
      <c r="T867" s="4">
        <v>10</v>
      </c>
      <c r="U867" s="3">
        <v>63</v>
      </c>
      <c r="V867" s="51">
        <f>IF(GroDB[[#This Row],[LeadTime]]=0,GroDB[[#This Row],[Sales_Volume]],GroDB[[#This Row],[Sales_Volume]]/GroDB[[#This Row],[LeadTime]])</f>
        <v>2.1</v>
      </c>
      <c r="W867" s="51">
        <f>_xlfn.STDEV.S(GroDB[Daily Sales])</f>
        <v>5.1999899792654221</v>
      </c>
      <c r="X867" s="3">
        <v>29</v>
      </c>
      <c r="Y867" s="7">
        <v>0.23</v>
      </c>
      <c r="Z867" s="4">
        <f>GroDB[[#This Row],[Unit_Price]]*GroDB[[#This Row],[Sales_Volume]]</f>
        <v>630</v>
      </c>
      <c r="AA867" s="22">
        <f>GroDB[[#This Row],[ADU]]/GroDB[[#Totals],[ADU]]</f>
        <v>1.8299625519948995E-3</v>
      </c>
      <c r="AB867" s="1">
        <f>GroDB[[#This Row],[Sales_Volume]]*GroDB[[#This Row],[Ordering Cost]]</f>
        <v>504</v>
      </c>
    </row>
    <row r="868" spans="1:28" x14ac:dyDescent="0.35">
      <c r="A868" s="5" t="s">
        <v>566</v>
      </c>
      <c r="B868" s="3" t="s">
        <v>127</v>
      </c>
      <c r="C868" s="3" t="s">
        <v>3078</v>
      </c>
      <c r="D868" s="3" t="s">
        <v>3079</v>
      </c>
      <c r="E868" s="3" t="s">
        <v>21</v>
      </c>
      <c r="F868" s="3" t="s">
        <v>3080</v>
      </c>
      <c r="G868" s="3" t="s">
        <v>3081</v>
      </c>
      <c r="H868" s="43">
        <v>45496</v>
      </c>
      <c r="I868" s="43">
        <v>45411</v>
      </c>
      <c r="J868" s="47" t="str">
        <f>IF(GroDB[[#This Row],[Last_Order_Date]]&lt;=GroDB[[#This Row],[Date_Received]], "Yes", "No")</f>
        <v>Yes</v>
      </c>
      <c r="K868" s="43">
        <f>IF(GroDB[[#This Row],[Column1]]="No",GroDB[[#This Row],[Last_Order_Date]],GroDB[[#This Row],[Date_Received]])</f>
        <v>45496</v>
      </c>
      <c r="L868" s="43">
        <f>IF(GroDB[[#This Row],[Column1]]="No",GroDB[[#This Row],[Date_Received]],GroDB[[#This Row],[Last_Order_Date]])</f>
        <v>45411</v>
      </c>
      <c r="M868" s="45">
        <f>GroDB[[#This Row],[Date_Received1]]-GroDB[[#This Row],[Procurement_Date]]</f>
        <v>85</v>
      </c>
      <c r="N868" s="43">
        <v>45359</v>
      </c>
      <c r="O868" s="91">
        <f>GroDB[[#This Row],[Expiration_Date]]-GroDB[[#This Row],[Date_Received1]]</f>
        <v>-137</v>
      </c>
      <c r="P868" s="4">
        <v>12.4</v>
      </c>
      <c r="Q868" s="3">
        <v>62</v>
      </c>
      <c r="R868" s="3">
        <v>23</v>
      </c>
      <c r="S868" s="3">
        <v>25</v>
      </c>
      <c r="T868" s="4">
        <v>15.5</v>
      </c>
      <c r="U868" s="3">
        <v>34</v>
      </c>
      <c r="V868" s="51">
        <f>IF(GroDB[[#This Row],[LeadTime]]=0,GroDB[[#This Row],[Sales_Volume]],GroDB[[#This Row],[Sales_Volume]]/GroDB[[#This Row],[LeadTime]])</f>
        <v>0.4</v>
      </c>
      <c r="W868" s="51">
        <f>_xlfn.STDEV.S(GroDB[Daily Sales])</f>
        <v>5.1999899792654221</v>
      </c>
      <c r="X868" s="3">
        <v>68</v>
      </c>
      <c r="Y868" s="7">
        <v>0.54</v>
      </c>
      <c r="Z868" s="4">
        <f>GroDB[[#This Row],[Unit_Price]]*GroDB[[#This Row],[Sales_Volume]]</f>
        <v>527</v>
      </c>
      <c r="AA868" s="22">
        <f>GroDB[[#This Row],[ADU]]/GroDB[[#Totals],[ADU]]</f>
        <v>1.5307781982560509E-3</v>
      </c>
      <c r="AB868" s="1">
        <f>GroDB[[#This Row],[Sales_Volume]]*GroDB[[#This Row],[Ordering Cost]]</f>
        <v>421.6</v>
      </c>
    </row>
    <row r="869" spans="1:28" x14ac:dyDescent="0.35">
      <c r="A869" s="5" t="s">
        <v>293</v>
      </c>
      <c r="B869" s="3" t="s">
        <v>18</v>
      </c>
      <c r="C869" s="3" t="s">
        <v>1050</v>
      </c>
      <c r="D869" s="3" t="s">
        <v>3082</v>
      </c>
      <c r="E869" s="3" t="s">
        <v>56</v>
      </c>
      <c r="F869" s="3" t="s">
        <v>3083</v>
      </c>
      <c r="G869" s="3" t="s">
        <v>3084</v>
      </c>
      <c r="H869" s="43">
        <v>45496</v>
      </c>
      <c r="I869" s="43">
        <v>45372</v>
      </c>
      <c r="J869" s="47" t="str">
        <f>IF(GroDB[[#This Row],[Last_Order_Date]]&lt;=GroDB[[#This Row],[Date_Received]], "Yes", "No")</f>
        <v>Yes</v>
      </c>
      <c r="K869" s="43">
        <f>IF(GroDB[[#This Row],[Column1]]="No",GroDB[[#This Row],[Last_Order_Date]],GroDB[[#This Row],[Date_Received]])</f>
        <v>45496</v>
      </c>
      <c r="L869" s="43">
        <f>IF(GroDB[[#This Row],[Column1]]="No",GroDB[[#This Row],[Date_Received]],GroDB[[#This Row],[Last_Order_Date]])</f>
        <v>45372</v>
      </c>
      <c r="M869" s="45">
        <f>GroDB[[#This Row],[Date_Received1]]-GroDB[[#This Row],[Procurement_Date]]</f>
        <v>124</v>
      </c>
      <c r="N869" s="43">
        <v>45436</v>
      </c>
      <c r="O869" s="91">
        <f>GroDB[[#This Row],[Expiration_Date]]-GroDB[[#This Row],[Date_Received1]]</f>
        <v>-60</v>
      </c>
      <c r="P869" s="4">
        <v>1.6</v>
      </c>
      <c r="Q869" s="3">
        <v>16</v>
      </c>
      <c r="R869" s="3">
        <v>75</v>
      </c>
      <c r="S869" s="3">
        <v>42</v>
      </c>
      <c r="T869" s="4">
        <v>2</v>
      </c>
      <c r="U869" s="3">
        <v>22</v>
      </c>
      <c r="V869" s="51">
        <f>IF(GroDB[[#This Row],[LeadTime]]=0,GroDB[[#This Row],[Sales_Volume]],GroDB[[#This Row],[Sales_Volume]]/GroDB[[#This Row],[LeadTime]])</f>
        <v>0.17741935483870969</v>
      </c>
      <c r="W869" s="51">
        <f>_xlfn.STDEV.S(GroDB[Daily Sales])</f>
        <v>5.1999899792654221</v>
      </c>
      <c r="X869" s="3">
        <v>46</v>
      </c>
      <c r="Y869" s="7">
        <v>-1</v>
      </c>
      <c r="Z869" s="4">
        <f>GroDB[[#This Row],[Unit_Price]]*GroDB[[#This Row],[Sales_Volume]]</f>
        <v>44</v>
      </c>
      <c r="AA869" s="22">
        <f>GroDB[[#This Row],[ADU]]/GroDB[[#Totals],[ADU]]</f>
        <v>1.2780690839329456E-4</v>
      </c>
      <c r="AB869" s="1">
        <f>GroDB[[#This Row],[Sales_Volume]]*GroDB[[#This Row],[Ordering Cost]]</f>
        <v>35.200000000000003</v>
      </c>
    </row>
    <row r="870" spans="1:28" x14ac:dyDescent="0.35">
      <c r="A870" s="5" t="s">
        <v>368</v>
      </c>
      <c r="B870" s="3" t="s">
        <v>53</v>
      </c>
      <c r="C870" s="3" t="s">
        <v>747</v>
      </c>
      <c r="D870" s="3" t="s">
        <v>3085</v>
      </c>
      <c r="E870" s="3" t="s">
        <v>21</v>
      </c>
      <c r="F870" s="3" t="s">
        <v>3086</v>
      </c>
      <c r="G870" s="3" t="s">
        <v>3087</v>
      </c>
      <c r="H870" s="43">
        <v>45497</v>
      </c>
      <c r="I870" s="43">
        <v>45601</v>
      </c>
      <c r="J870" s="47" t="str">
        <f>IF(GroDB[[#This Row],[Last_Order_Date]]&lt;=GroDB[[#This Row],[Date_Received]], "Yes", "No")</f>
        <v>No</v>
      </c>
      <c r="K870" s="43">
        <f>IF(GroDB[[#This Row],[Column1]]="No",GroDB[[#This Row],[Last_Order_Date]],GroDB[[#This Row],[Date_Received]])</f>
        <v>45601</v>
      </c>
      <c r="L870" s="43">
        <f>IF(GroDB[[#This Row],[Column1]]="No",GroDB[[#This Row],[Date_Received]],GroDB[[#This Row],[Last_Order_Date]])</f>
        <v>45497</v>
      </c>
      <c r="M870" s="45">
        <f>GroDB[[#This Row],[Date_Received1]]-GroDB[[#This Row],[Procurement_Date]]</f>
        <v>104</v>
      </c>
      <c r="N870" s="43">
        <v>45425</v>
      </c>
      <c r="O870" s="91">
        <f>GroDB[[#This Row],[Expiration_Date]]-GroDB[[#This Row],[Date_Received1]]</f>
        <v>-176</v>
      </c>
      <c r="P870" s="4">
        <v>1.4000000000000001</v>
      </c>
      <c r="Q870" s="3">
        <v>54</v>
      </c>
      <c r="R870" s="3">
        <v>69</v>
      </c>
      <c r="S870" s="3">
        <v>68</v>
      </c>
      <c r="T870" s="4">
        <v>1.75</v>
      </c>
      <c r="U870" s="3">
        <v>77</v>
      </c>
      <c r="V870" s="51">
        <f>IF(GroDB[[#This Row],[LeadTime]]=0,GroDB[[#This Row],[Sales_Volume]],GroDB[[#This Row],[Sales_Volume]]/GroDB[[#This Row],[LeadTime]])</f>
        <v>0.74038461538461542</v>
      </c>
      <c r="W870" s="51">
        <f>_xlfn.STDEV.S(GroDB[Daily Sales])</f>
        <v>5.1999899792654221</v>
      </c>
      <c r="X870" s="3">
        <v>56</v>
      </c>
      <c r="Y870" s="7">
        <v>-1.0900000000000001</v>
      </c>
      <c r="Z870" s="4">
        <f>GroDB[[#This Row],[Unit_Price]]*GroDB[[#This Row],[Sales_Volume]]</f>
        <v>134.75</v>
      </c>
      <c r="AA870" s="22">
        <f>GroDB[[#This Row],[ADU]]/GroDB[[#Totals],[ADU]]</f>
        <v>3.9140865695446461E-4</v>
      </c>
      <c r="AB870" s="1">
        <f>GroDB[[#This Row],[Sales_Volume]]*GroDB[[#This Row],[Ordering Cost]]</f>
        <v>107.80000000000001</v>
      </c>
    </row>
    <row r="871" spans="1:28" x14ac:dyDescent="0.35">
      <c r="A871" s="5" t="s">
        <v>24</v>
      </c>
      <c r="B871" s="3" t="s">
        <v>25</v>
      </c>
      <c r="C871" s="3" t="s">
        <v>1164</v>
      </c>
      <c r="D871" s="3" t="s">
        <v>3088</v>
      </c>
      <c r="E871" s="3" t="s">
        <v>28</v>
      </c>
      <c r="F871" s="3" t="s">
        <v>3089</v>
      </c>
      <c r="G871" s="3" t="s">
        <v>3090</v>
      </c>
      <c r="H871" s="43">
        <v>45498</v>
      </c>
      <c r="I871" s="43">
        <v>45437</v>
      </c>
      <c r="J871" s="47" t="str">
        <f>IF(GroDB[[#This Row],[Last_Order_Date]]&lt;=GroDB[[#This Row],[Date_Received]], "Yes", "No")</f>
        <v>Yes</v>
      </c>
      <c r="K871" s="43">
        <f>IF(GroDB[[#This Row],[Column1]]="No",GroDB[[#This Row],[Last_Order_Date]],GroDB[[#This Row],[Date_Received]])</f>
        <v>45498</v>
      </c>
      <c r="L871" s="43">
        <f>IF(GroDB[[#This Row],[Column1]]="No",GroDB[[#This Row],[Date_Received]],GroDB[[#This Row],[Last_Order_Date]])</f>
        <v>45437</v>
      </c>
      <c r="M871" s="45">
        <f>GroDB[[#This Row],[Date_Received1]]-GroDB[[#This Row],[Procurement_Date]]</f>
        <v>61</v>
      </c>
      <c r="N871" s="43">
        <v>45401</v>
      </c>
      <c r="O871" s="91">
        <f>GroDB[[#This Row],[Expiration_Date]]-GroDB[[#This Row],[Date_Received1]]</f>
        <v>-97</v>
      </c>
      <c r="P871" s="4">
        <v>1.6</v>
      </c>
      <c r="Q871" s="3">
        <v>57</v>
      </c>
      <c r="R871" s="3">
        <v>99</v>
      </c>
      <c r="S871" s="3">
        <v>23</v>
      </c>
      <c r="T871" s="4">
        <v>2</v>
      </c>
      <c r="U871" s="3">
        <v>89</v>
      </c>
      <c r="V871" s="51">
        <f>IF(GroDB[[#This Row],[LeadTime]]=0,GroDB[[#This Row],[Sales_Volume]],GroDB[[#This Row],[Sales_Volume]]/GroDB[[#This Row],[LeadTime]])</f>
        <v>1.459016393442623</v>
      </c>
      <c r="W871" s="51">
        <f>_xlfn.STDEV.S(GroDB[Daily Sales])</f>
        <v>5.1999899792654221</v>
      </c>
      <c r="X871" s="3">
        <v>21</v>
      </c>
      <c r="Y871" s="7">
        <v>0.27</v>
      </c>
      <c r="Z871" s="4">
        <f>GroDB[[#This Row],[Unit_Price]]*GroDB[[#This Row],[Sales_Volume]]</f>
        <v>178</v>
      </c>
      <c r="AA871" s="22">
        <f>GroDB[[#This Row],[ADU]]/GroDB[[#Totals],[ADU]]</f>
        <v>5.1703703850014624E-4</v>
      </c>
      <c r="AB871" s="1">
        <f>GroDB[[#This Row],[Sales_Volume]]*GroDB[[#This Row],[Ordering Cost]]</f>
        <v>142.4</v>
      </c>
    </row>
    <row r="872" spans="1:28" x14ac:dyDescent="0.35">
      <c r="A872" s="5" t="s">
        <v>342</v>
      </c>
      <c r="B872" s="3" t="s">
        <v>18</v>
      </c>
      <c r="C872" s="3" t="s">
        <v>3091</v>
      </c>
      <c r="D872" s="3" t="s">
        <v>3092</v>
      </c>
      <c r="E872" s="3" t="s">
        <v>56</v>
      </c>
      <c r="F872" s="3" t="s">
        <v>3093</v>
      </c>
      <c r="G872" s="3" t="s">
        <v>3094</v>
      </c>
      <c r="H872" s="43">
        <v>45498</v>
      </c>
      <c r="I872" s="43">
        <v>45385</v>
      </c>
      <c r="J872" s="47" t="str">
        <f>IF(GroDB[[#This Row],[Last_Order_Date]]&lt;=GroDB[[#This Row],[Date_Received]], "Yes", "No")</f>
        <v>Yes</v>
      </c>
      <c r="K872" s="43">
        <f>IF(GroDB[[#This Row],[Column1]]="No",GroDB[[#This Row],[Last_Order_Date]],GroDB[[#This Row],[Date_Received]])</f>
        <v>45498</v>
      </c>
      <c r="L872" s="43">
        <f>IF(GroDB[[#This Row],[Column1]]="No",GroDB[[#This Row],[Date_Received]],GroDB[[#This Row],[Last_Order_Date]])</f>
        <v>45385</v>
      </c>
      <c r="M872" s="45">
        <f>GroDB[[#This Row],[Date_Received1]]-GroDB[[#This Row],[Procurement_Date]]</f>
        <v>113</v>
      </c>
      <c r="N872" s="43">
        <v>45575</v>
      </c>
      <c r="O872" s="91">
        <f>GroDB[[#This Row],[Expiration_Date]]-GroDB[[#This Row],[Date_Received1]]</f>
        <v>77</v>
      </c>
      <c r="P872" s="4">
        <v>4.8000000000000007</v>
      </c>
      <c r="Q872" s="3">
        <v>17</v>
      </c>
      <c r="R872" s="3">
        <v>45</v>
      </c>
      <c r="S872" s="3">
        <v>44</v>
      </c>
      <c r="T872" s="4">
        <v>6</v>
      </c>
      <c r="U872" s="3">
        <v>37</v>
      </c>
      <c r="V872" s="51">
        <f>IF(GroDB[[#This Row],[LeadTime]]=0,GroDB[[#This Row],[Sales_Volume]],GroDB[[#This Row],[Sales_Volume]]/GroDB[[#This Row],[LeadTime]])</f>
        <v>0.32743362831858408</v>
      </c>
      <c r="W872" s="51">
        <f>_xlfn.STDEV.S(GroDB[Daily Sales])</f>
        <v>5.1999899792654221</v>
      </c>
      <c r="X872" s="3">
        <v>16</v>
      </c>
      <c r="Y872" s="7">
        <v>0.76</v>
      </c>
      <c r="Z872" s="4">
        <f>GroDB[[#This Row],[Unit_Price]]*GroDB[[#This Row],[Sales_Volume]]</f>
        <v>222</v>
      </c>
      <c r="AA872" s="22">
        <f>GroDB[[#This Row],[ADU]]/GroDB[[#Totals],[ADU]]</f>
        <v>6.4484394689344081E-4</v>
      </c>
      <c r="AB872" s="1">
        <f>GroDB[[#This Row],[Sales_Volume]]*GroDB[[#This Row],[Ordering Cost]]</f>
        <v>177.60000000000002</v>
      </c>
    </row>
    <row r="873" spans="1:28" x14ac:dyDescent="0.35">
      <c r="A873" s="5" t="s">
        <v>789</v>
      </c>
      <c r="B873" s="3" t="s">
        <v>18</v>
      </c>
      <c r="C873" s="3" t="s">
        <v>3095</v>
      </c>
      <c r="D873" s="3" t="s">
        <v>3096</v>
      </c>
      <c r="E873" s="3" t="s">
        <v>56</v>
      </c>
      <c r="F873" s="3" t="s">
        <v>3097</v>
      </c>
      <c r="G873" s="3" t="s">
        <v>3098</v>
      </c>
      <c r="H873" s="43">
        <v>45498</v>
      </c>
      <c r="I873" s="43">
        <v>45647</v>
      </c>
      <c r="J873" s="47" t="str">
        <f>IF(GroDB[[#This Row],[Last_Order_Date]]&lt;=GroDB[[#This Row],[Date_Received]], "Yes", "No")</f>
        <v>No</v>
      </c>
      <c r="K873" s="43">
        <f>IF(GroDB[[#This Row],[Column1]]="No",GroDB[[#This Row],[Last_Order_Date]],GroDB[[#This Row],[Date_Received]])</f>
        <v>45647</v>
      </c>
      <c r="L873" s="43">
        <f>IF(GroDB[[#This Row],[Column1]]="No",GroDB[[#This Row],[Date_Received]],GroDB[[#This Row],[Last_Order_Date]])</f>
        <v>45498</v>
      </c>
      <c r="M873" s="45">
        <f>GroDB[[#This Row],[Date_Received1]]-GroDB[[#This Row],[Procurement_Date]]</f>
        <v>149</v>
      </c>
      <c r="N873" s="43">
        <v>45353</v>
      </c>
      <c r="O873" s="91">
        <f>GroDB[[#This Row],[Expiration_Date]]-GroDB[[#This Row],[Date_Received1]]</f>
        <v>-294</v>
      </c>
      <c r="P873" s="4">
        <v>1.6800000000000002</v>
      </c>
      <c r="Q873" s="3">
        <v>99</v>
      </c>
      <c r="R873" s="3">
        <v>37</v>
      </c>
      <c r="S873" s="3">
        <v>74</v>
      </c>
      <c r="T873" s="4">
        <v>2.1</v>
      </c>
      <c r="U873" s="3">
        <v>46</v>
      </c>
      <c r="V873" s="51">
        <f>IF(GroDB[[#This Row],[LeadTime]]=0,GroDB[[#This Row],[Sales_Volume]],GroDB[[#This Row],[Sales_Volume]]/GroDB[[#This Row],[LeadTime]])</f>
        <v>0.3087248322147651</v>
      </c>
      <c r="W873" s="51">
        <f>_xlfn.STDEV.S(GroDB[Daily Sales])</f>
        <v>5.1999899792654221</v>
      </c>
      <c r="X873" s="3">
        <v>46</v>
      </c>
      <c r="Y873" s="7">
        <v>0.56999999999999995</v>
      </c>
      <c r="Z873" s="4">
        <f>GroDB[[#This Row],[Unit_Price]]*GroDB[[#This Row],[Sales_Volume]]</f>
        <v>96.600000000000009</v>
      </c>
      <c r="AA873" s="22">
        <f>GroDB[[#This Row],[ADU]]/GroDB[[#Totals],[ADU]]</f>
        <v>2.8059425797255131E-4</v>
      </c>
      <c r="AB873" s="1">
        <f>GroDB[[#This Row],[Sales_Volume]]*GroDB[[#This Row],[Ordering Cost]]</f>
        <v>77.28</v>
      </c>
    </row>
    <row r="874" spans="1:28" x14ac:dyDescent="0.35">
      <c r="A874" s="5" t="s">
        <v>984</v>
      </c>
      <c r="B874" s="3" t="s">
        <v>18</v>
      </c>
      <c r="C874" s="3" t="s">
        <v>1739</v>
      </c>
      <c r="D874" s="3" t="s">
        <v>3099</v>
      </c>
      <c r="E874" s="3" t="s">
        <v>21</v>
      </c>
      <c r="F874" s="3" t="s">
        <v>3100</v>
      </c>
      <c r="G874" s="3" t="s">
        <v>3101</v>
      </c>
      <c r="H874" s="43">
        <v>45499</v>
      </c>
      <c r="I874" s="43">
        <v>45694</v>
      </c>
      <c r="J874" s="47" t="str">
        <f>IF(GroDB[[#This Row],[Last_Order_Date]]&lt;=GroDB[[#This Row],[Date_Received]], "Yes", "No")</f>
        <v>No</v>
      </c>
      <c r="K874" s="43">
        <f>IF(GroDB[[#This Row],[Column1]]="No",GroDB[[#This Row],[Last_Order_Date]],GroDB[[#This Row],[Date_Received]])</f>
        <v>45694</v>
      </c>
      <c r="L874" s="43">
        <f>IF(GroDB[[#This Row],[Column1]]="No",GroDB[[#This Row],[Date_Received]],GroDB[[#This Row],[Last_Order_Date]])</f>
        <v>45499</v>
      </c>
      <c r="M874" s="45">
        <f>GroDB[[#This Row],[Date_Received1]]-GroDB[[#This Row],[Procurement_Date]]</f>
        <v>195</v>
      </c>
      <c r="N874" s="43">
        <v>45452</v>
      </c>
      <c r="O874" s="91">
        <f>GroDB[[#This Row],[Expiration_Date]]-GroDB[[#This Row],[Date_Received1]]</f>
        <v>-242</v>
      </c>
      <c r="P874" s="4">
        <v>3.2</v>
      </c>
      <c r="Q874" s="3">
        <v>40</v>
      </c>
      <c r="R874" s="3">
        <v>8</v>
      </c>
      <c r="S874" s="3">
        <v>98</v>
      </c>
      <c r="T874" s="4">
        <v>4</v>
      </c>
      <c r="U874" s="3">
        <v>86</v>
      </c>
      <c r="V874" s="51">
        <f>IF(GroDB[[#This Row],[LeadTime]]=0,GroDB[[#This Row],[Sales_Volume]],GroDB[[#This Row],[Sales_Volume]]/GroDB[[#This Row],[LeadTime]])</f>
        <v>0.44102564102564101</v>
      </c>
      <c r="W874" s="51">
        <f>_xlfn.STDEV.S(GroDB[Daily Sales])</f>
        <v>5.1999899792654221</v>
      </c>
      <c r="X874" s="3">
        <v>12</v>
      </c>
      <c r="Y874" s="7">
        <v>0</v>
      </c>
      <c r="Z874" s="4">
        <f>GroDB[[#This Row],[Unit_Price]]*GroDB[[#This Row],[Sales_Volume]]</f>
        <v>344</v>
      </c>
      <c r="AA874" s="22">
        <f>GroDB[[#This Row],[ADU]]/GroDB[[#Totals],[ADU]]</f>
        <v>9.9921764743848471E-4</v>
      </c>
      <c r="AB874" s="1">
        <f>GroDB[[#This Row],[Sales_Volume]]*GroDB[[#This Row],[Ordering Cost]]</f>
        <v>275.2</v>
      </c>
    </row>
    <row r="875" spans="1:28" x14ac:dyDescent="0.35">
      <c r="A875" s="5" t="s">
        <v>272</v>
      </c>
      <c r="B875" s="3" t="s">
        <v>32</v>
      </c>
      <c r="C875" s="3" t="s">
        <v>2951</v>
      </c>
      <c r="D875" s="3" t="s">
        <v>3102</v>
      </c>
      <c r="E875" s="3" t="s">
        <v>21</v>
      </c>
      <c r="F875" s="3" t="s">
        <v>3103</v>
      </c>
      <c r="G875" s="3" t="s">
        <v>3104</v>
      </c>
      <c r="H875" s="43">
        <v>45499</v>
      </c>
      <c r="I875" s="43">
        <v>45691</v>
      </c>
      <c r="J875" s="47" t="str">
        <f>IF(GroDB[[#This Row],[Last_Order_Date]]&lt;=GroDB[[#This Row],[Date_Received]], "Yes", "No")</f>
        <v>No</v>
      </c>
      <c r="K875" s="43">
        <f>IF(GroDB[[#This Row],[Column1]]="No",GroDB[[#This Row],[Last_Order_Date]],GroDB[[#This Row],[Date_Received]])</f>
        <v>45691</v>
      </c>
      <c r="L875" s="43">
        <f>IF(GroDB[[#This Row],[Column1]]="No",GroDB[[#This Row],[Date_Received]],GroDB[[#This Row],[Last_Order_Date]])</f>
        <v>45499</v>
      </c>
      <c r="M875" s="45">
        <f>GroDB[[#This Row],[Date_Received1]]-GroDB[[#This Row],[Procurement_Date]]</f>
        <v>192</v>
      </c>
      <c r="N875" s="43">
        <v>45500</v>
      </c>
      <c r="O875" s="91">
        <f>GroDB[[#This Row],[Expiration_Date]]-GroDB[[#This Row],[Date_Received1]]</f>
        <v>-191</v>
      </c>
      <c r="P875" s="4">
        <v>0.8</v>
      </c>
      <c r="Q875" s="3">
        <v>41</v>
      </c>
      <c r="R875" s="3">
        <v>61</v>
      </c>
      <c r="S875" s="3">
        <v>69</v>
      </c>
      <c r="T875" s="4">
        <v>1</v>
      </c>
      <c r="U875" s="3">
        <v>30</v>
      </c>
      <c r="V875" s="51">
        <f>IF(GroDB[[#This Row],[LeadTime]]=0,GroDB[[#This Row],[Sales_Volume]],GroDB[[#This Row],[Sales_Volume]]/GroDB[[#This Row],[LeadTime]])</f>
        <v>0.15625</v>
      </c>
      <c r="W875" s="51">
        <f>_xlfn.STDEV.S(GroDB[Daily Sales])</f>
        <v>5.1999899792654221</v>
      </c>
      <c r="X875" s="3">
        <v>100</v>
      </c>
      <c r="Y875" s="7">
        <v>0.86</v>
      </c>
      <c r="Z875" s="4">
        <f>GroDB[[#This Row],[Unit_Price]]*GroDB[[#This Row],[Sales_Volume]]</f>
        <v>30</v>
      </c>
      <c r="AA875" s="22">
        <f>GroDB[[#This Row],[ADU]]/GroDB[[#Totals],[ADU]]</f>
        <v>8.7141073904519031E-5</v>
      </c>
      <c r="AB875" s="1">
        <f>GroDB[[#This Row],[Sales_Volume]]*GroDB[[#This Row],[Ordering Cost]]</f>
        <v>24</v>
      </c>
    </row>
    <row r="876" spans="1:28" x14ac:dyDescent="0.35">
      <c r="A876" s="5" t="s">
        <v>165</v>
      </c>
      <c r="B876" s="3" t="s">
        <v>60</v>
      </c>
      <c r="C876" s="3" t="s">
        <v>3105</v>
      </c>
      <c r="D876" s="3" t="s">
        <v>3106</v>
      </c>
      <c r="E876" s="3" t="s">
        <v>21</v>
      </c>
      <c r="F876" s="3" t="s">
        <v>3107</v>
      </c>
      <c r="G876" s="3" t="s">
        <v>3108</v>
      </c>
      <c r="H876" s="43">
        <v>45499</v>
      </c>
      <c r="I876" s="43">
        <v>45486</v>
      </c>
      <c r="J876" s="47" t="str">
        <f>IF(GroDB[[#This Row],[Last_Order_Date]]&lt;=GroDB[[#This Row],[Date_Received]], "Yes", "No")</f>
        <v>Yes</v>
      </c>
      <c r="K876" s="43">
        <f>IF(GroDB[[#This Row],[Column1]]="No",GroDB[[#This Row],[Last_Order_Date]],GroDB[[#This Row],[Date_Received]])</f>
        <v>45499</v>
      </c>
      <c r="L876" s="43">
        <f>IF(GroDB[[#This Row],[Column1]]="No",GroDB[[#This Row],[Date_Received]],GroDB[[#This Row],[Last_Order_Date]])</f>
        <v>45486</v>
      </c>
      <c r="M876" s="45">
        <f>GroDB[[#This Row],[Date_Received1]]-GroDB[[#This Row],[Procurement_Date]]</f>
        <v>13</v>
      </c>
      <c r="N876" s="43">
        <v>45496</v>
      </c>
      <c r="O876" s="91">
        <f>GroDB[[#This Row],[Expiration_Date]]-GroDB[[#This Row],[Date_Received1]]</f>
        <v>-3</v>
      </c>
      <c r="P876" s="4">
        <v>5.44</v>
      </c>
      <c r="Q876" s="3">
        <v>14</v>
      </c>
      <c r="R876" s="3">
        <v>52</v>
      </c>
      <c r="S876" s="3">
        <v>80</v>
      </c>
      <c r="T876" s="4">
        <v>6.8</v>
      </c>
      <c r="U876" s="3">
        <v>64</v>
      </c>
      <c r="V876" s="51">
        <f>IF(GroDB[[#This Row],[LeadTime]]=0,GroDB[[#This Row],[Sales_Volume]],GroDB[[#This Row],[Sales_Volume]]/GroDB[[#This Row],[LeadTime]])</f>
        <v>4.9230769230769234</v>
      </c>
      <c r="W876" s="51">
        <f>_xlfn.STDEV.S(GroDB[Daily Sales])</f>
        <v>5.1999899792654221</v>
      </c>
      <c r="X876" s="3">
        <v>17</v>
      </c>
      <c r="Y876" s="7">
        <v>-2.33</v>
      </c>
      <c r="Z876" s="4">
        <f>GroDB[[#This Row],[Unit_Price]]*GroDB[[#This Row],[Sales_Volume]]</f>
        <v>435.2</v>
      </c>
      <c r="AA876" s="22">
        <f>GroDB[[#This Row],[ADU]]/GroDB[[#Totals],[ADU]]</f>
        <v>1.2641265121082225E-3</v>
      </c>
      <c r="AB876" s="1">
        <f>GroDB[[#This Row],[Sales_Volume]]*GroDB[[#This Row],[Ordering Cost]]</f>
        <v>348.16</v>
      </c>
    </row>
    <row r="877" spans="1:28" x14ac:dyDescent="0.35">
      <c r="A877" s="5" t="s">
        <v>1257</v>
      </c>
      <c r="B877" s="3" t="s">
        <v>91</v>
      </c>
      <c r="C877" s="3" t="s">
        <v>3109</v>
      </c>
      <c r="D877" s="3" t="s">
        <v>3110</v>
      </c>
      <c r="E877" s="3" t="s">
        <v>28</v>
      </c>
      <c r="F877" s="3" t="s">
        <v>3111</v>
      </c>
      <c r="G877" s="3" t="s">
        <v>3112</v>
      </c>
      <c r="H877" s="43">
        <v>45500</v>
      </c>
      <c r="I877" s="43">
        <v>45504</v>
      </c>
      <c r="J877" s="47" t="str">
        <f>IF(GroDB[[#This Row],[Last_Order_Date]]&lt;=GroDB[[#This Row],[Date_Received]], "Yes", "No")</f>
        <v>No</v>
      </c>
      <c r="K877" s="43">
        <f>IF(GroDB[[#This Row],[Column1]]="No",GroDB[[#This Row],[Last_Order_Date]],GroDB[[#This Row],[Date_Received]])</f>
        <v>45504</v>
      </c>
      <c r="L877" s="43">
        <f>IF(GroDB[[#This Row],[Column1]]="No",GroDB[[#This Row],[Date_Received]],GroDB[[#This Row],[Last_Order_Date]])</f>
        <v>45500</v>
      </c>
      <c r="M877" s="45">
        <f>GroDB[[#This Row],[Date_Received1]]-GroDB[[#This Row],[Procurement_Date]]</f>
        <v>4</v>
      </c>
      <c r="N877" s="43">
        <v>45355</v>
      </c>
      <c r="O877" s="91">
        <f>GroDB[[#This Row],[Expiration_Date]]-GroDB[[#This Row],[Date_Received1]]</f>
        <v>-149</v>
      </c>
      <c r="P877" s="4">
        <v>4.4000000000000004</v>
      </c>
      <c r="Q877" s="3">
        <v>80</v>
      </c>
      <c r="R877" s="3">
        <v>61</v>
      </c>
      <c r="S877" s="3">
        <v>23</v>
      </c>
      <c r="T877" s="4">
        <v>5.5</v>
      </c>
      <c r="U877" s="3">
        <v>63</v>
      </c>
      <c r="V877" s="51">
        <f>IF(GroDB[[#This Row],[LeadTime]]=0,GroDB[[#This Row],[Sales_Volume]],GroDB[[#This Row],[Sales_Volume]]/GroDB[[#This Row],[LeadTime]])</f>
        <v>15.75</v>
      </c>
      <c r="W877" s="51">
        <f>_xlfn.STDEV.S(GroDB[Daily Sales])</f>
        <v>5.1999899792654221</v>
      </c>
      <c r="X877" s="3">
        <v>75</v>
      </c>
      <c r="Y877" s="7">
        <v>0.73</v>
      </c>
      <c r="Z877" s="4">
        <f>GroDB[[#This Row],[Unit_Price]]*GroDB[[#This Row],[Sales_Volume]]</f>
        <v>346.5</v>
      </c>
      <c r="AA877" s="22">
        <f>GroDB[[#This Row],[ADU]]/GroDB[[#Totals],[ADU]]</f>
        <v>1.0064794035971947E-3</v>
      </c>
      <c r="AB877" s="1">
        <f>GroDB[[#This Row],[Sales_Volume]]*GroDB[[#This Row],[Ordering Cost]]</f>
        <v>277.20000000000005</v>
      </c>
    </row>
    <row r="878" spans="1:28" x14ac:dyDescent="0.35">
      <c r="A878" s="5" t="s">
        <v>126</v>
      </c>
      <c r="B878" s="3" t="s">
        <v>127</v>
      </c>
      <c r="C878" s="3" t="s">
        <v>1599</v>
      </c>
      <c r="D878" s="3" t="s">
        <v>3113</v>
      </c>
      <c r="E878" s="3" t="s">
        <v>28</v>
      </c>
      <c r="F878" s="3" t="s">
        <v>3114</v>
      </c>
      <c r="G878" s="3" t="s">
        <v>3115</v>
      </c>
      <c r="H878" s="43">
        <v>45500</v>
      </c>
      <c r="I878" s="43">
        <v>45567</v>
      </c>
      <c r="J878" s="47" t="str">
        <f>IF(GroDB[[#This Row],[Last_Order_Date]]&lt;=GroDB[[#This Row],[Date_Received]], "Yes", "No")</f>
        <v>No</v>
      </c>
      <c r="K878" s="43">
        <f>IF(GroDB[[#This Row],[Column1]]="No",GroDB[[#This Row],[Last_Order_Date]],GroDB[[#This Row],[Date_Received]])</f>
        <v>45567</v>
      </c>
      <c r="L878" s="43">
        <f>IF(GroDB[[#This Row],[Column1]]="No",GroDB[[#This Row],[Date_Received]],GroDB[[#This Row],[Last_Order_Date]])</f>
        <v>45500</v>
      </c>
      <c r="M878" s="45">
        <f>GroDB[[#This Row],[Date_Received1]]-GroDB[[#This Row],[Procurement_Date]]</f>
        <v>67</v>
      </c>
      <c r="N878" s="43">
        <v>45371</v>
      </c>
      <c r="O878" s="91">
        <f>GroDB[[#This Row],[Expiration_Date]]-GroDB[[#This Row],[Date_Received1]]</f>
        <v>-196</v>
      </c>
      <c r="P878" s="4">
        <v>16</v>
      </c>
      <c r="Q878" s="3">
        <v>74</v>
      </c>
      <c r="R878" s="3">
        <v>10</v>
      </c>
      <c r="S878" s="3">
        <v>74</v>
      </c>
      <c r="T878" s="4">
        <v>20</v>
      </c>
      <c r="U878" s="3">
        <v>100</v>
      </c>
      <c r="V878" s="51">
        <f>IF(GroDB[[#This Row],[LeadTime]]=0,GroDB[[#This Row],[Sales_Volume]],GroDB[[#This Row],[Sales_Volume]]/GroDB[[#This Row],[LeadTime]])</f>
        <v>1.4925373134328359</v>
      </c>
      <c r="W878" s="51">
        <f>_xlfn.STDEV.S(GroDB[Daily Sales])</f>
        <v>5.1999899792654221</v>
      </c>
      <c r="X878" s="3">
        <v>66</v>
      </c>
      <c r="Y878" s="7">
        <v>-0.19</v>
      </c>
      <c r="Z878" s="4">
        <f>GroDB[[#This Row],[Unit_Price]]*GroDB[[#This Row],[Sales_Volume]]</f>
        <v>2000</v>
      </c>
      <c r="AA878" s="22">
        <f>GroDB[[#This Row],[ADU]]/GroDB[[#Totals],[ADU]]</f>
        <v>5.8094049269679354E-3</v>
      </c>
      <c r="AB878" s="1">
        <f>GroDB[[#This Row],[Sales_Volume]]*GroDB[[#This Row],[Ordering Cost]]</f>
        <v>1600</v>
      </c>
    </row>
    <row r="879" spans="1:28" x14ac:dyDescent="0.35">
      <c r="A879" s="5" t="s">
        <v>96</v>
      </c>
      <c r="B879" s="3" t="s">
        <v>18</v>
      </c>
      <c r="C879" s="3" t="s">
        <v>725</v>
      </c>
      <c r="D879" s="3" t="s">
        <v>3116</v>
      </c>
      <c r="E879" s="3" t="s">
        <v>56</v>
      </c>
      <c r="F879" s="3" t="s">
        <v>3117</v>
      </c>
      <c r="G879" s="3" t="s">
        <v>3118</v>
      </c>
      <c r="H879" s="43">
        <v>45500</v>
      </c>
      <c r="I879" s="43">
        <v>45567</v>
      </c>
      <c r="J879" s="47" t="str">
        <f>IF(GroDB[[#This Row],[Last_Order_Date]]&lt;=GroDB[[#This Row],[Date_Received]], "Yes", "No")</f>
        <v>No</v>
      </c>
      <c r="K879" s="43">
        <f>IF(GroDB[[#This Row],[Column1]]="No",GroDB[[#This Row],[Last_Order_Date]],GroDB[[#This Row],[Date_Received]])</f>
        <v>45567</v>
      </c>
      <c r="L879" s="43">
        <f>IF(GroDB[[#This Row],[Column1]]="No",GroDB[[#This Row],[Date_Received]],GroDB[[#This Row],[Last_Order_Date]])</f>
        <v>45500</v>
      </c>
      <c r="M879" s="45">
        <f>GroDB[[#This Row],[Date_Received1]]-GroDB[[#This Row],[Procurement_Date]]</f>
        <v>67</v>
      </c>
      <c r="N879" s="43">
        <v>45648</v>
      </c>
      <c r="O879" s="91">
        <f>GroDB[[#This Row],[Expiration_Date]]-GroDB[[#This Row],[Date_Received1]]</f>
        <v>81</v>
      </c>
      <c r="P879" s="4">
        <v>2</v>
      </c>
      <c r="Q879" s="3">
        <v>77</v>
      </c>
      <c r="R879" s="3">
        <v>54</v>
      </c>
      <c r="S879" s="3">
        <v>10</v>
      </c>
      <c r="T879" s="4">
        <v>2.5</v>
      </c>
      <c r="U879" s="3">
        <v>64</v>
      </c>
      <c r="V879" s="51">
        <f>IF(GroDB[[#This Row],[LeadTime]]=0,GroDB[[#This Row],[Sales_Volume]],GroDB[[#This Row],[Sales_Volume]]/GroDB[[#This Row],[LeadTime]])</f>
        <v>0.95522388059701491</v>
      </c>
      <c r="W879" s="51">
        <f>_xlfn.STDEV.S(GroDB[Daily Sales])</f>
        <v>5.1999899792654221</v>
      </c>
      <c r="X879" s="3">
        <v>73</v>
      </c>
      <c r="Y879" s="7">
        <v>0.34</v>
      </c>
      <c r="Z879" s="4">
        <f>GroDB[[#This Row],[Unit_Price]]*GroDB[[#This Row],[Sales_Volume]]</f>
        <v>160</v>
      </c>
      <c r="AA879" s="22">
        <f>GroDB[[#This Row],[ADU]]/GroDB[[#Totals],[ADU]]</f>
        <v>4.647523941574348E-4</v>
      </c>
      <c r="AB879" s="1">
        <f>GroDB[[#This Row],[Sales_Volume]]*GroDB[[#This Row],[Ordering Cost]]</f>
        <v>128</v>
      </c>
    </row>
    <row r="880" spans="1:28" x14ac:dyDescent="0.35">
      <c r="A880" s="5" t="s">
        <v>132</v>
      </c>
      <c r="B880" s="3" t="s">
        <v>18</v>
      </c>
      <c r="C880" s="3" t="s">
        <v>226</v>
      </c>
      <c r="D880" s="3" t="s">
        <v>3119</v>
      </c>
      <c r="E880" s="3" t="s">
        <v>21</v>
      </c>
      <c r="F880" s="3" t="s">
        <v>3120</v>
      </c>
      <c r="G880" s="3" t="s">
        <v>3121</v>
      </c>
      <c r="H880" s="43">
        <v>45500</v>
      </c>
      <c r="I880" s="43">
        <v>45465</v>
      </c>
      <c r="J880" s="47" t="str">
        <f>IF(GroDB[[#This Row],[Last_Order_Date]]&lt;=GroDB[[#This Row],[Date_Received]], "Yes", "No")</f>
        <v>Yes</v>
      </c>
      <c r="K880" s="43">
        <f>IF(GroDB[[#This Row],[Column1]]="No",GroDB[[#This Row],[Last_Order_Date]],GroDB[[#This Row],[Date_Received]])</f>
        <v>45500</v>
      </c>
      <c r="L880" s="43">
        <f>IF(GroDB[[#This Row],[Column1]]="No",GroDB[[#This Row],[Date_Received]],GroDB[[#This Row],[Last_Order_Date]])</f>
        <v>45465</v>
      </c>
      <c r="M880" s="45">
        <f>GroDB[[#This Row],[Date_Received1]]-GroDB[[#This Row],[Procurement_Date]]</f>
        <v>35</v>
      </c>
      <c r="N880" s="43">
        <v>45436</v>
      </c>
      <c r="O880" s="91">
        <f>GroDB[[#This Row],[Expiration_Date]]-GroDB[[#This Row],[Date_Received1]]</f>
        <v>-64</v>
      </c>
      <c r="P880" s="4">
        <v>1.6</v>
      </c>
      <c r="Q880" s="3">
        <v>44</v>
      </c>
      <c r="R880" s="3">
        <v>77</v>
      </c>
      <c r="S880" s="3">
        <v>45</v>
      </c>
      <c r="T880" s="4">
        <v>2</v>
      </c>
      <c r="U880" s="3">
        <v>89</v>
      </c>
      <c r="V880" s="51">
        <f>IF(GroDB[[#This Row],[LeadTime]]=0,GroDB[[#This Row],[Sales_Volume]],GroDB[[#This Row],[Sales_Volume]]/GroDB[[#This Row],[LeadTime]])</f>
        <v>2.5428571428571427</v>
      </c>
      <c r="W880" s="51">
        <f>_xlfn.STDEV.S(GroDB[Daily Sales])</f>
        <v>5.1999899792654221</v>
      </c>
      <c r="X880" s="3">
        <v>64</v>
      </c>
      <c r="Y880" s="7">
        <v>-0.14000000000000001</v>
      </c>
      <c r="Z880" s="4">
        <f>GroDB[[#This Row],[Unit_Price]]*GroDB[[#This Row],[Sales_Volume]]</f>
        <v>178</v>
      </c>
      <c r="AA880" s="22">
        <f>GroDB[[#This Row],[ADU]]/GroDB[[#Totals],[ADU]]</f>
        <v>5.1703703850014624E-4</v>
      </c>
      <c r="AB880" s="1">
        <f>GroDB[[#This Row],[Sales_Volume]]*GroDB[[#This Row],[Ordering Cost]]</f>
        <v>142.4</v>
      </c>
    </row>
    <row r="881" spans="1:28" x14ac:dyDescent="0.35">
      <c r="A881" s="5" t="s">
        <v>137</v>
      </c>
      <c r="B881" s="3" t="s">
        <v>18</v>
      </c>
      <c r="C881" s="3" t="s">
        <v>1398</v>
      </c>
      <c r="D881" s="3" t="s">
        <v>3122</v>
      </c>
      <c r="E881" s="3" t="s">
        <v>21</v>
      </c>
      <c r="F881" s="3" t="s">
        <v>3123</v>
      </c>
      <c r="G881" s="3" t="s">
        <v>3124</v>
      </c>
      <c r="H881" s="43">
        <v>45501</v>
      </c>
      <c r="I881" s="43">
        <v>45583</v>
      </c>
      <c r="J881" s="47" t="str">
        <f>IF(GroDB[[#This Row],[Last_Order_Date]]&lt;=GroDB[[#This Row],[Date_Received]], "Yes", "No")</f>
        <v>No</v>
      </c>
      <c r="K881" s="43">
        <f>IF(GroDB[[#This Row],[Column1]]="No",GroDB[[#This Row],[Last_Order_Date]],GroDB[[#This Row],[Date_Received]])</f>
        <v>45583</v>
      </c>
      <c r="L881" s="43">
        <f>IF(GroDB[[#This Row],[Column1]]="No",GroDB[[#This Row],[Date_Received]],GroDB[[#This Row],[Last_Order_Date]])</f>
        <v>45501</v>
      </c>
      <c r="M881" s="45">
        <f>GroDB[[#This Row],[Date_Received1]]-GroDB[[#This Row],[Procurement_Date]]</f>
        <v>82</v>
      </c>
      <c r="N881" s="43">
        <v>45377</v>
      </c>
      <c r="O881" s="91">
        <f>GroDB[[#This Row],[Expiration_Date]]-GroDB[[#This Row],[Date_Received1]]</f>
        <v>-206</v>
      </c>
      <c r="P881" s="4">
        <v>4</v>
      </c>
      <c r="Q881" s="3">
        <v>92</v>
      </c>
      <c r="R881" s="3">
        <v>46</v>
      </c>
      <c r="S881" s="3">
        <v>13</v>
      </c>
      <c r="T881" s="4">
        <v>5</v>
      </c>
      <c r="U881" s="3">
        <v>24</v>
      </c>
      <c r="V881" s="51">
        <f>IF(GroDB[[#This Row],[LeadTime]]=0,GroDB[[#This Row],[Sales_Volume]],GroDB[[#This Row],[Sales_Volume]]/GroDB[[#This Row],[LeadTime]])</f>
        <v>0.29268292682926828</v>
      </c>
      <c r="W881" s="51">
        <f>_xlfn.STDEV.S(GroDB[Daily Sales])</f>
        <v>5.1999899792654221</v>
      </c>
      <c r="X881" s="3">
        <v>75</v>
      </c>
      <c r="Y881" s="7">
        <v>0.28000000000000003</v>
      </c>
      <c r="Z881" s="4">
        <f>GroDB[[#This Row],[Unit_Price]]*GroDB[[#This Row],[Sales_Volume]]</f>
        <v>120</v>
      </c>
      <c r="AA881" s="22">
        <f>GroDB[[#This Row],[ADU]]/GroDB[[#Totals],[ADU]]</f>
        <v>3.4856429561807613E-4</v>
      </c>
      <c r="AB881" s="1">
        <f>GroDB[[#This Row],[Sales_Volume]]*GroDB[[#This Row],[Ordering Cost]]</f>
        <v>96</v>
      </c>
    </row>
    <row r="882" spans="1:28" x14ac:dyDescent="0.35">
      <c r="A882" s="5" t="s">
        <v>1109</v>
      </c>
      <c r="B882" s="3" t="s">
        <v>18</v>
      </c>
      <c r="C882" s="3" t="s">
        <v>277</v>
      </c>
      <c r="D882" s="3" t="s">
        <v>3125</v>
      </c>
      <c r="E882" s="3" t="s">
        <v>21</v>
      </c>
      <c r="F882" s="3" t="s">
        <v>3126</v>
      </c>
      <c r="G882" s="3" t="s">
        <v>3127</v>
      </c>
      <c r="H882" s="43">
        <v>45501</v>
      </c>
      <c r="I882" s="43">
        <v>45494</v>
      </c>
      <c r="J882" s="47" t="str">
        <f>IF(GroDB[[#This Row],[Last_Order_Date]]&lt;=GroDB[[#This Row],[Date_Received]], "Yes", "No")</f>
        <v>Yes</v>
      </c>
      <c r="K882" s="43">
        <f>IF(GroDB[[#This Row],[Column1]]="No",GroDB[[#This Row],[Last_Order_Date]],GroDB[[#This Row],[Date_Received]])</f>
        <v>45501</v>
      </c>
      <c r="L882" s="43">
        <f>IF(GroDB[[#This Row],[Column1]]="No",GroDB[[#This Row],[Date_Received]],GroDB[[#This Row],[Last_Order_Date]])</f>
        <v>45494</v>
      </c>
      <c r="M882" s="45">
        <f>GroDB[[#This Row],[Date_Received1]]-GroDB[[#This Row],[Procurement_Date]]</f>
        <v>7</v>
      </c>
      <c r="N882" s="43">
        <v>45690</v>
      </c>
      <c r="O882" s="91">
        <f>GroDB[[#This Row],[Expiration_Date]]-GroDB[[#This Row],[Date_Received1]]</f>
        <v>189</v>
      </c>
      <c r="P882" s="4">
        <v>2</v>
      </c>
      <c r="Q882" s="3">
        <v>26</v>
      </c>
      <c r="R882" s="3">
        <v>18</v>
      </c>
      <c r="S882" s="3">
        <v>62</v>
      </c>
      <c r="T882" s="4">
        <v>2.5</v>
      </c>
      <c r="U882" s="3">
        <v>57</v>
      </c>
      <c r="V882" s="51">
        <f>IF(GroDB[[#This Row],[LeadTime]]=0,GroDB[[#This Row],[Sales_Volume]],GroDB[[#This Row],[Sales_Volume]]/GroDB[[#This Row],[LeadTime]])</f>
        <v>8.1428571428571423</v>
      </c>
      <c r="W882" s="51">
        <f>_xlfn.STDEV.S(GroDB[Daily Sales])</f>
        <v>5.1999899792654221</v>
      </c>
      <c r="X882" s="3">
        <v>86</v>
      </c>
      <c r="Y882" s="7">
        <v>-2.13</v>
      </c>
      <c r="Z882" s="4">
        <f>GroDB[[#This Row],[Unit_Price]]*GroDB[[#This Row],[Sales_Volume]]</f>
        <v>142.5</v>
      </c>
      <c r="AA882" s="22">
        <f>GroDB[[#This Row],[ADU]]/GroDB[[#Totals],[ADU]]</f>
        <v>4.1392010104646538E-4</v>
      </c>
      <c r="AB882" s="1">
        <f>GroDB[[#This Row],[Sales_Volume]]*GroDB[[#This Row],[Ordering Cost]]</f>
        <v>114</v>
      </c>
    </row>
    <row r="883" spans="1:28" x14ac:dyDescent="0.35">
      <c r="A883" s="5" t="s">
        <v>446</v>
      </c>
      <c r="B883" s="3" t="s">
        <v>53</v>
      </c>
      <c r="C883" s="3" t="s">
        <v>277</v>
      </c>
      <c r="D883" s="3" t="s">
        <v>3128</v>
      </c>
      <c r="E883" s="3" t="s">
        <v>28</v>
      </c>
      <c r="F883" s="3" t="s">
        <v>3129</v>
      </c>
      <c r="G883" s="3" t="s">
        <v>3130</v>
      </c>
      <c r="H883" s="43">
        <v>45501</v>
      </c>
      <c r="I883" s="43">
        <v>45427</v>
      </c>
      <c r="J883" s="47" t="str">
        <f>IF(GroDB[[#This Row],[Last_Order_Date]]&lt;=GroDB[[#This Row],[Date_Received]], "Yes", "No")</f>
        <v>Yes</v>
      </c>
      <c r="K883" s="43">
        <f>IF(GroDB[[#This Row],[Column1]]="No",GroDB[[#This Row],[Last_Order_Date]],GroDB[[#This Row],[Date_Received]])</f>
        <v>45501</v>
      </c>
      <c r="L883" s="43">
        <f>IF(GroDB[[#This Row],[Column1]]="No",GroDB[[#This Row],[Date_Received]],GroDB[[#This Row],[Last_Order_Date]])</f>
        <v>45427</v>
      </c>
      <c r="M883" s="45">
        <f>GroDB[[#This Row],[Date_Received1]]-GroDB[[#This Row],[Procurement_Date]]</f>
        <v>74</v>
      </c>
      <c r="N883" s="43">
        <v>45476</v>
      </c>
      <c r="O883" s="91">
        <f>GroDB[[#This Row],[Expiration_Date]]-GroDB[[#This Row],[Date_Received1]]</f>
        <v>-25</v>
      </c>
      <c r="P883" s="4">
        <v>7.6000000000000005</v>
      </c>
      <c r="Q883" s="3">
        <v>13</v>
      </c>
      <c r="R883" s="3">
        <v>88</v>
      </c>
      <c r="S883" s="3">
        <v>7</v>
      </c>
      <c r="T883" s="4">
        <v>9.5</v>
      </c>
      <c r="U883" s="3">
        <v>24</v>
      </c>
      <c r="V883" s="51">
        <f>IF(GroDB[[#This Row],[LeadTime]]=0,GroDB[[#This Row],[Sales_Volume]],GroDB[[#This Row],[Sales_Volume]]/GroDB[[#This Row],[LeadTime]])</f>
        <v>0.32432432432432434</v>
      </c>
      <c r="W883" s="51">
        <f>_xlfn.STDEV.S(GroDB[Daily Sales])</f>
        <v>5.1999899792654221</v>
      </c>
      <c r="X883" s="3">
        <v>21</v>
      </c>
      <c r="Y883" s="7">
        <v>-0.51</v>
      </c>
      <c r="Z883" s="4">
        <f>GroDB[[#This Row],[Unit_Price]]*GroDB[[#This Row],[Sales_Volume]]</f>
        <v>228</v>
      </c>
      <c r="AA883" s="22">
        <f>GroDB[[#This Row],[ADU]]/GroDB[[#Totals],[ADU]]</f>
        <v>6.6227216167434458E-4</v>
      </c>
      <c r="AB883" s="1">
        <f>GroDB[[#This Row],[Sales_Volume]]*GroDB[[#This Row],[Ordering Cost]]</f>
        <v>182.4</v>
      </c>
    </row>
    <row r="884" spans="1:28" x14ac:dyDescent="0.35">
      <c r="A884" s="5" t="s">
        <v>47</v>
      </c>
      <c r="B884" s="3" t="s">
        <v>18</v>
      </c>
      <c r="C884" s="3" t="s">
        <v>532</v>
      </c>
      <c r="D884" s="3" t="s">
        <v>3131</v>
      </c>
      <c r="E884" s="3" t="s">
        <v>56</v>
      </c>
      <c r="F884" s="3" t="s">
        <v>3132</v>
      </c>
      <c r="G884" s="3" t="s">
        <v>3133</v>
      </c>
      <c r="H884" s="43">
        <v>45501</v>
      </c>
      <c r="I884" s="43">
        <v>45409</v>
      </c>
      <c r="J884" s="47" t="str">
        <f>IF(GroDB[[#This Row],[Last_Order_Date]]&lt;=GroDB[[#This Row],[Date_Received]], "Yes", "No")</f>
        <v>Yes</v>
      </c>
      <c r="K884" s="43">
        <f>IF(GroDB[[#This Row],[Column1]]="No",GroDB[[#This Row],[Last_Order_Date]],GroDB[[#This Row],[Date_Received]])</f>
        <v>45501</v>
      </c>
      <c r="L884" s="43">
        <f>IF(GroDB[[#This Row],[Column1]]="No",GroDB[[#This Row],[Date_Received]],GroDB[[#This Row],[Last_Order_Date]])</f>
        <v>45409</v>
      </c>
      <c r="M884" s="45">
        <f>GroDB[[#This Row],[Date_Received1]]-GroDB[[#This Row],[Procurement_Date]]</f>
        <v>92</v>
      </c>
      <c r="N884" s="43">
        <v>45365</v>
      </c>
      <c r="O884" s="91">
        <f>GroDB[[#This Row],[Expiration_Date]]-GroDB[[#This Row],[Date_Received1]]</f>
        <v>-136</v>
      </c>
      <c r="P884" s="4">
        <v>2</v>
      </c>
      <c r="Q884" s="3">
        <v>90</v>
      </c>
      <c r="R884" s="3">
        <v>92</v>
      </c>
      <c r="S884" s="3">
        <v>56</v>
      </c>
      <c r="T884" s="4">
        <v>2.5</v>
      </c>
      <c r="U884" s="3">
        <v>71</v>
      </c>
      <c r="V884" s="51">
        <f>IF(GroDB[[#This Row],[LeadTime]]=0,GroDB[[#This Row],[Sales_Volume]],GroDB[[#This Row],[Sales_Volume]]/GroDB[[#This Row],[LeadTime]])</f>
        <v>0.77173913043478259</v>
      </c>
      <c r="W884" s="51">
        <f>_xlfn.STDEV.S(GroDB[Daily Sales])</f>
        <v>5.1999899792654221</v>
      </c>
      <c r="X884" s="3">
        <v>13</v>
      </c>
      <c r="Y884" s="7">
        <v>0.13</v>
      </c>
      <c r="Z884" s="4">
        <f>GroDB[[#This Row],[Unit_Price]]*GroDB[[#This Row],[Sales_Volume]]</f>
        <v>177.5</v>
      </c>
      <c r="AA884" s="22">
        <f>GroDB[[#This Row],[ADU]]/GroDB[[#Totals],[ADU]]</f>
        <v>5.1558468726840422E-4</v>
      </c>
      <c r="AB884" s="1">
        <f>GroDB[[#This Row],[Sales_Volume]]*GroDB[[#This Row],[Ordering Cost]]</f>
        <v>142</v>
      </c>
    </row>
    <row r="885" spans="1:28" x14ac:dyDescent="0.35">
      <c r="A885" s="5" t="s">
        <v>211</v>
      </c>
      <c r="B885" s="3" t="s">
        <v>32</v>
      </c>
      <c r="C885" s="3" t="s">
        <v>1127</v>
      </c>
      <c r="D885" s="3" t="s">
        <v>3134</v>
      </c>
      <c r="E885" s="3" t="s">
        <v>56</v>
      </c>
      <c r="F885" s="3" t="s">
        <v>3135</v>
      </c>
      <c r="G885" s="3" t="s">
        <v>3136</v>
      </c>
      <c r="H885" s="43">
        <v>45501</v>
      </c>
      <c r="I885" s="43">
        <v>45542</v>
      </c>
      <c r="J885" s="47" t="str">
        <f>IF(GroDB[[#This Row],[Last_Order_Date]]&lt;=GroDB[[#This Row],[Date_Received]], "Yes", "No")</f>
        <v>No</v>
      </c>
      <c r="K885" s="43">
        <f>IF(GroDB[[#This Row],[Column1]]="No",GroDB[[#This Row],[Last_Order_Date]],GroDB[[#This Row],[Date_Received]])</f>
        <v>45542</v>
      </c>
      <c r="L885" s="43">
        <f>IF(GroDB[[#This Row],[Column1]]="No",GroDB[[#This Row],[Date_Received]],GroDB[[#This Row],[Last_Order_Date]])</f>
        <v>45501</v>
      </c>
      <c r="M885" s="45">
        <f>GroDB[[#This Row],[Date_Received1]]-GroDB[[#This Row],[Procurement_Date]]</f>
        <v>41</v>
      </c>
      <c r="N885" s="43">
        <v>45530</v>
      </c>
      <c r="O885" s="91">
        <f>GroDB[[#This Row],[Expiration_Date]]-GroDB[[#This Row],[Date_Received1]]</f>
        <v>-12</v>
      </c>
      <c r="P885" s="4">
        <v>3.2</v>
      </c>
      <c r="Q885" s="3">
        <v>43</v>
      </c>
      <c r="R885" s="3">
        <v>73</v>
      </c>
      <c r="S885" s="3">
        <v>14</v>
      </c>
      <c r="T885" s="4">
        <v>4</v>
      </c>
      <c r="U885" s="3">
        <v>59</v>
      </c>
      <c r="V885" s="51">
        <f>IF(GroDB[[#This Row],[LeadTime]]=0,GroDB[[#This Row],[Sales_Volume]],GroDB[[#This Row],[Sales_Volume]]/GroDB[[#This Row],[LeadTime]])</f>
        <v>1.4390243902439024</v>
      </c>
      <c r="W885" s="51">
        <f>_xlfn.STDEV.S(GroDB[Daily Sales])</f>
        <v>5.1999899792654221</v>
      </c>
      <c r="X885" s="3">
        <v>65</v>
      </c>
      <c r="Y885" s="7">
        <v>0.82</v>
      </c>
      <c r="Z885" s="4">
        <f>GroDB[[#This Row],[Unit_Price]]*GroDB[[#This Row],[Sales_Volume]]</f>
        <v>236</v>
      </c>
      <c r="AA885" s="22">
        <f>GroDB[[#This Row],[ADU]]/GroDB[[#Totals],[ADU]]</f>
        <v>6.8550978138221636E-4</v>
      </c>
      <c r="AB885" s="1">
        <f>GroDB[[#This Row],[Sales_Volume]]*GroDB[[#This Row],[Ordering Cost]]</f>
        <v>188.8</v>
      </c>
    </row>
    <row r="886" spans="1:28" x14ac:dyDescent="0.35">
      <c r="A886" s="5" t="s">
        <v>984</v>
      </c>
      <c r="B886" s="3" t="s">
        <v>18</v>
      </c>
      <c r="C886" s="3" t="s">
        <v>813</v>
      </c>
      <c r="D886" s="3" t="s">
        <v>3137</v>
      </c>
      <c r="E886" s="3" t="s">
        <v>21</v>
      </c>
      <c r="F886" s="3" t="s">
        <v>3138</v>
      </c>
      <c r="G886" s="3" t="s">
        <v>3139</v>
      </c>
      <c r="H886" s="43">
        <v>45501</v>
      </c>
      <c r="I886" s="43">
        <v>45588</v>
      </c>
      <c r="J886" s="47" t="str">
        <f>IF(GroDB[[#This Row],[Last_Order_Date]]&lt;=GroDB[[#This Row],[Date_Received]], "Yes", "No")</f>
        <v>No</v>
      </c>
      <c r="K886" s="43">
        <f>IF(GroDB[[#This Row],[Column1]]="No",GroDB[[#This Row],[Last_Order_Date]],GroDB[[#This Row],[Date_Received]])</f>
        <v>45588</v>
      </c>
      <c r="L886" s="43">
        <f>IF(GroDB[[#This Row],[Column1]]="No",GroDB[[#This Row],[Date_Received]],GroDB[[#This Row],[Last_Order_Date]])</f>
        <v>45501</v>
      </c>
      <c r="M886" s="45">
        <f>GroDB[[#This Row],[Date_Received1]]-GroDB[[#This Row],[Procurement_Date]]</f>
        <v>87</v>
      </c>
      <c r="N886" s="43">
        <v>45486</v>
      </c>
      <c r="O886" s="91">
        <f>GroDB[[#This Row],[Expiration_Date]]-GroDB[[#This Row],[Date_Received1]]</f>
        <v>-102</v>
      </c>
      <c r="P886" s="4">
        <v>3.2</v>
      </c>
      <c r="Q886" s="3">
        <v>85</v>
      </c>
      <c r="R886" s="3">
        <v>54</v>
      </c>
      <c r="S886" s="3">
        <v>18</v>
      </c>
      <c r="T886" s="4">
        <v>4</v>
      </c>
      <c r="U886" s="3">
        <v>85</v>
      </c>
      <c r="V886" s="51">
        <f>IF(GroDB[[#This Row],[LeadTime]]=0,GroDB[[#This Row],[Sales_Volume]],GroDB[[#This Row],[Sales_Volume]]/GroDB[[#This Row],[LeadTime]])</f>
        <v>0.97701149425287359</v>
      </c>
      <c r="W886" s="51">
        <f>_xlfn.STDEV.S(GroDB[Daily Sales])</f>
        <v>5.1999899792654221</v>
      </c>
      <c r="X886" s="3">
        <v>44</v>
      </c>
      <c r="Y886" s="7">
        <v>-0.1</v>
      </c>
      <c r="Z886" s="4">
        <f>GroDB[[#This Row],[Unit_Price]]*GroDB[[#This Row],[Sales_Volume]]</f>
        <v>340</v>
      </c>
      <c r="AA886" s="22">
        <f>GroDB[[#This Row],[ADU]]/GroDB[[#Totals],[ADU]]</f>
        <v>9.8759883758454893E-4</v>
      </c>
      <c r="AB886" s="1">
        <f>GroDB[[#This Row],[Sales_Volume]]*GroDB[[#This Row],[Ordering Cost]]</f>
        <v>272</v>
      </c>
    </row>
    <row r="887" spans="1:28" x14ac:dyDescent="0.35">
      <c r="A887" s="5" t="s">
        <v>106</v>
      </c>
      <c r="B887" s="3" t="s">
        <v>32</v>
      </c>
      <c r="C887" s="3" t="s">
        <v>1455</v>
      </c>
      <c r="D887" s="3" t="s">
        <v>3140</v>
      </c>
      <c r="E887" s="3" t="s">
        <v>21</v>
      </c>
      <c r="F887" s="3" t="s">
        <v>3141</v>
      </c>
      <c r="G887" s="3" t="s">
        <v>3142</v>
      </c>
      <c r="H887" s="43">
        <v>45502</v>
      </c>
      <c r="I887" s="43">
        <v>45393</v>
      </c>
      <c r="J887" s="47" t="str">
        <f>IF(GroDB[[#This Row],[Last_Order_Date]]&lt;=GroDB[[#This Row],[Date_Received]], "Yes", "No")</f>
        <v>Yes</v>
      </c>
      <c r="K887" s="43">
        <f>IF(GroDB[[#This Row],[Column1]]="No",GroDB[[#This Row],[Last_Order_Date]],GroDB[[#This Row],[Date_Received]])</f>
        <v>45502</v>
      </c>
      <c r="L887" s="43">
        <f>IF(GroDB[[#This Row],[Column1]]="No",GroDB[[#This Row],[Date_Received]],GroDB[[#This Row],[Last_Order_Date]])</f>
        <v>45393</v>
      </c>
      <c r="M887" s="45">
        <f>GroDB[[#This Row],[Date_Received1]]-GroDB[[#This Row],[Procurement_Date]]</f>
        <v>109</v>
      </c>
      <c r="N887" s="43">
        <v>45560</v>
      </c>
      <c r="O887" s="91">
        <f>GroDB[[#This Row],[Expiration_Date]]-GroDB[[#This Row],[Date_Received1]]</f>
        <v>58</v>
      </c>
      <c r="P887" s="4">
        <v>2</v>
      </c>
      <c r="Q887" s="3">
        <v>44</v>
      </c>
      <c r="R887" s="3">
        <v>84</v>
      </c>
      <c r="S887" s="3">
        <v>63</v>
      </c>
      <c r="T887" s="4">
        <v>2.5</v>
      </c>
      <c r="U887" s="3">
        <v>51</v>
      </c>
      <c r="V887" s="51">
        <f>IF(GroDB[[#This Row],[LeadTime]]=0,GroDB[[#This Row],[Sales_Volume]],GroDB[[#This Row],[Sales_Volume]]/GroDB[[#This Row],[LeadTime]])</f>
        <v>0.46788990825688076</v>
      </c>
      <c r="W887" s="51">
        <f>_xlfn.STDEV.S(GroDB[Daily Sales])</f>
        <v>5.1999899792654221</v>
      </c>
      <c r="X887" s="3">
        <v>67</v>
      </c>
      <c r="Y887" s="7">
        <v>0.48</v>
      </c>
      <c r="Z887" s="4">
        <f>GroDB[[#This Row],[Unit_Price]]*GroDB[[#This Row],[Sales_Volume]]</f>
        <v>127.5</v>
      </c>
      <c r="AA887" s="22">
        <f>GroDB[[#This Row],[ADU]]/GroDB[[#Totals],[ADU]]</f>
        <v>3.7034956409420588E-4</v>
      </c>
      <c r="AB887" s="1">
        <f>GroDB[[#This Row],[Sales_Volume]]*GroDB[[#This Row],[Ordering Cost]]</f>
        <v>102</v>
      </c>
    </row>
    <row r="888" spans="1:28" x14ac:dyDescent="0.35">
      <c r="A888" s="5" t="s">
        <v>101</v>
      </c>
      <c r="B888" s="3" t="s">
        <v>18</v>
      </c>
      <c r="C888" s="3" t="s">
        <v>54</v>
      </c>
      <c r="D888" s="3" t="s">
        <v>3143</v>
      </c>
      <c r="E888" s="3" t="s">
        <v>56</v>
      </c>
      <c r="F888" s="3" t="s">
        <v>3144</v>
      </c>
      <c r="G888" s="3" t="s">
        <v>3145</v>
      </c>
      <c r="H888" s="43">
        <v>45502</v>
      </c>
      <c r="I888" s="43">
        <v>45663</v>
      </c>
      <c r="J888" s="47" t="str">
        <f>IF(GroDB[[#This Row],[Last_Order_Date]]&lt;=GroDB[[#This Row],[Date_Received]], "Yes", "No")</f>
        <v>No</v>
      </c>
      <c r="K888" s="43">
        <f>IF(GroDB[[#This Row],[Column1]]="No",GroDB[[#This Row],[Last_Order_Date]],GroDB[[#This Row],[Date_Received]])</f>
        <v>45663</v>
      </c>
      <c r="L888" s="43">
        <f>IF(GroDB[[#This Row],[Column1]]="No",GroDB[[#This Row],[Date_Received]],GroDB[[#This Row],[Last_Order_Date]])</f>
        <v>45502</v>
      </c>
      <c r="M888" s="45">
        <f>GroDB[[#This Row],[Date_Received1]]-GroDB[[#This Row],[Procurement_Date]]</f>
        <v>161</v>
      </c>
      <c r="N888" s="43">
        <v>45698</v>
      </c>
      <c r="O888" s="91">
        <f>GroDB[[#This Row],[Expiration_Date]]-GroDB[[#This Row],[Date_Received1]]</f>
        <v>35</v>
      </c>
      <c r="P888" s="4">
        <v>3.6</v>
      </c>
      <c r="Q888" s="3">
        <v>26</v>
      </c>
      <c r="R888" s="3">
        <v>95</v>
      </c>
      <c r="S888" s="3">
        <v>36</v>
      </c>
      <c r="T888" s="4">
        <v>4.5</v>
      </c>
      <c r="U888" s="3">
        <v>92</v>
      </c>
      <c r="V888" s="51">
        <f>IF(GroDB[[#This Row],[LeadTime]]=0,GroDB[[#This Row],[Sales_Volume]],GroDB[[#This Row],[Sales_Volume]]/GroDB[[#This Row],[LeadTime]])</f>
        <v>0.5714285714285714</v>
      </c>
      <c r="W888" s="51">
        <f>_xlfn.STDEV.S(GroDB[Daily Sales])</f>
        <v>5.1999899792654221</v>
      </c>
      <c r="X888" s="3">
        <v>14</v>
      </c>
      <c r="Y888" s="7">
        <v>-0.31</v>
      </c>
      <c r="Z888" s="4">
        <f>GroDB[[#This Row],[Unit_Price]]*GroDB[[#This Row],[Sales_Volume]]</f>
        <v>414</v>
      </c>
      <c r="AA888" s="22">
        <f>GroDB[[#This Row],[ADU]]/GroDB[[#Totals],[ADU]]</f>
        <v>1.2025468198823626E-3</v>
      </c>
      <c r="AB888" s="1">
        <f>GroDB[[#This Row],[Sales_Volume]]*GroDB[[#This Row],[Ordering Cost]]</f>
        <v>331.2</v>
      </c>
    </row>
    <row r="889" spans="1:28" x14ac:dyDescent="0.35">
      <c r="A889" s="5" t="s">
        <v>96</v>
      </c>
      <c r="B889" s="3" t="s">
        <v>18</v>
      </c>
      <c r="C889" s="3" t="s">
        <v>1829</v>
      </c>
      <c r="D889" s="3" t="s">
        <v>3146</v>
      </c>
      <c r="E889" s="3" t="s">
        <v>21</v>
      </c>
      <c r="F889" s="3" t="s">
        <v>3147</v>
      </c>
      <c r="G889" s="3" t="s">
        <v>3148</v>
      </c>
      <c r="H889" s="43">
        <v>45502</v>
      </c>
      <c r="I889" s="43">
        <v>45692</v>
      </c>
      <c r="J889" s="47" t="str">
        <f>IF(GroDB[[#This Row],[Last_Order_Date]]&lt;=GroDB[[#This Row],[Date_Received]], "Yes", "No")</f>
        <v>No</v>
      </c>
      <c r="K889" s="43">
        <f>IF(GroDB[[#This Row],[Column1]]="No",GroDB[[#This Row],[Last_Order_Date]],GroDB[[#This Row],[Date_Received]])</f>
        <v>45692</v>
      </c>
      <c r="L889" s="43">
        <f>IF(GroDB[[#This Row],[Column1]]="No",GroDB[[#This Row],[Date_Received]],GroDB[[#This Row],[Last_Order_Date]])</f>
        <v>45502</v>
      </c>
      <c r="M889" s="45">
        <f>GroDB[[#This Row],[Date_Received1]]-GroDB[[#This Row],[Procurement_Date]]</f>
        <v>190</v>
      </c>
      <c r="N889" s="43">
        <v>45677</v>
      </c>
      <c r="O889" s="91">
        <f>GroDB[[#This Row],[Expiration_Date]]-GroDB[[#This Row],[Date_Received1]]</f>
        <v>-15</v>
      </c>
      <c r="P889" s="4">
        <v>2</v>
      </c>
      <c r="Q889" s="3">
        <v>86</v>
      </c>
      <c r="R889" s="3">
        <v>66</v>
      </c>
      <c r="S889" s="3">
        <v>24</v>
      </c>
      <c r="T889" s="4">
        <v>2.5</v>
      </c>
      <c r="U889" s="3">
        <v>30</v>
      </c>
      <c r="V889" s="51">
        <f>IF(GroDB[[#This Row],[LeadTime]]=0,GroDB[[#This Row],[Sales_Volume]],GroDB[[#This Row],[Sales_Volume]]/GroDB[[#This Row],[LeadTime]])</f>
        <v>0.15789473684210525</v>
      </c>
      <c r="W889" s="51">
        <f>_xlfn.STDEV.S(GroDB[Daily Sales])</f>
        <v>5.1999899792654221</v>
      </c>
      <c r="X889" s="3">
        <v>6</v>
      </c>
      <c r="Y889" s="7">
        <v>0.85</v>
      </c>
      <c r="Z889" s="4">
        <f>GroDB[[#This Row],[Unit_Price]]*GroDB[[#This Row],[Sales_Volume]]</f>
        <v>75</v>
      </c>
      <c r="AA889" s="22">
        <f>GroDB[[#This Row],[ADU]]/GroDB[[#Totals],[ADU]]</f>
        <v>2.1785268476129756E-4</v>
      </c>
      <c r="AB889" s="1">
        <f>GroDB[[#This Row],[Sales_Volume]]*GroDB[[#This Row],[Ordering Cost]]</f>
        <v>60</v>
      </c>
    </row>
    <row r="890" spans="1:28" x14ac:dyDescent="0.35">
      <c r="A890" s="5" t="s">
        <v>90</v>
      </c>
      <c r="B890" s="3" t="s">
        <v>91</v>
      </c>
      <c r="C890" s="3" t="s">
        <v>670</v>
      </c>
      <c r="D890" s="3" t="s">
        <v>3149</v>
      </c>
      <c r="E890" s="3" t="s">
        <v>21</v>
      </c>
      <c r="F890" s="3" t="s">
        <v>3150</v>
      </c>
      <c r="G890" s="3" t="s">
        <v>3151</v>
      </c>
      <c r="H890" s="43">
        <v>45502</v>
      </c>
      <c r="I890" s="43">
        <v>45638</v>
      </c>
      <c r="J890" s="47" t="str">
        <f>IF(GroDB[[#This Row],[Last_Order_Date]]&lt;=GroDB[[#This Row],[Date_Received]], "Yes", "No")</f>
        <v>No</v>
      </c>
      <c r="K890" s="43">
        <f>IF(GroDB[[#This Row],[Column1]]="No",GroDB[[#This Row],[Last_Order_Date]],GroDB[[#This Row],[Date_Received]])</f>
        <v>45638</v>
      </c>
      <c r="L890" s="43">
        <f>IF(GroDB[[#This Row],[Column1]]="No",GroDB[[#This Row],[Date_Received]],GroDB[[#This Row],[Last_Order_Date]])</f>
        <v>45502</v>
      </c>
      <c r="M890" s="45">
        <f>GroDB[[#This Row],[Date_Received1]]-GroDB[[#This Row],[Procurement_Date]]</f>
        <v>136</v>
      </c>
      <c r="N890" s="43">
        <v>45626</v>
      </c>
      <c r="O890" s="91">
        <f>GroDB[[#This Row],[Expiration_Date]]-GroDB[[#This Row],[Date_Received1]]</f>
        <v>-12</v>
      </c>
      <c r="P890" s="4">
        <v>3.2</v>
      </c>
      <c r="Q890" s="3">
        <v>40</v>
      </c>
      <c r="R890" s="3">
        <v>91</v>
      </c>
      <c r="S890" s="3">
        <v>24</v>
      </c>
      <c r="T890" s="4">
        <v>4</v>
      </c>
      <c r="U890" s="3">
        <v>28</v>
      </c>
      <c r="V890" s="51">
        <f>IF(GroDB[[#This Row],[LeadTime]]=0,GroDB[[#This Row],[Sales_Volume]],GroDB[[#This Row],[Sales_Volume]]/GroDB[[#This Row],[LeadTime]])</f>
        <v>0.20588235294117646</v>
      </c>
      <c r="W890" s="51">
        <f>_xlfn.STDEV.S(GroDB[Daily Sales])</f>
        <v>5.1999899792654221</v>
      </c>
      <c r="X890" s="3">
        <v>47</v>
      </c>
      <c r="Y890" s="7">
        <v>0.8</v>
      </c>
      <c r="Z890" s="4">
        <f>GroDB[[#This Row],[Unit_Price]]*GroDB[[#This Row],[Sales_Volume]]</f>
        <v>112</v>
      </c>
      <c r="AA890" s="22">
        <f>GroDB[[#This Row],[ADU]]/GroDB[[#Totals],[ADU]]</f>
        <v>3.2532667591020435E-4</v>
      </c>
      <c r="AB890" s="1">
        <f>GroDB[[#This Row],[Sales_Volume]]*GroDB[[#This Row],[Ordering Cost]]</f>
        <v>89.600000000000009</v>
      </c>
    </row>
    <row r="891" spans="1:28" x14ac:dyDescent="0.35">
      <c r="A891" s="5" t="s">
        <v>392</v>
      </c>
      <c r="B891" s="3" t="s">
        <v>18</v>
      </c>
      <c r="C891" s="3" t="s">
        <v>254</v>
      </c>
      <c r="D891" s="3" t="s">
        <v>3152</v>
      </c>
      <c r="E891" s="3" t="s">
        <v>28</v>
      </c>
      <c r="F891" s="3" t="s">
        <v>3153</v>
      </c>
      <c r="G891" s="3" t="s">
        <v>3154</v>
      </c>
      <c r="H891" s="43">
        <v>45503</v>
      </c>
      <c r="I891" s="43">
        <v>45432</v>
      </c>
      <c r="J891" s="47" t="str">
        <f>IF(GroDB[[#This Row],[Last_Order_Date]]&lt;=GroDB[[#This Row],[Date_Received]], "Yes", "No")</f>
        <v>Yes</v>
      </c>
      <c r="K891" s="43">
        <f>IF(GroDB[[#This Row],[Column1]]="No",GroDB[[#This Row],[Last_Order_Date]],GroDB[[#This Row],[Date_Received]])</f>
        <v>45503</v>
      </c>
      <c r="L891" s="43">
        <f>IF(GroDB[[#This Row],[Column1]]="No",GroDB[[#This Row],[Date_Received]],GroDB[[#This Row],[Last_Order_Date]])</f>
        <v>45432</v>
      </c>
      <c r="M891" s="45">
        <f>GroDB[[#This Row],[Date_Received1]]-GroDB[[#This Row],[Procurement_Date]]</f>
        <v>71</v>
      </c>
      <c r="N891" s="43">
        <v>45494</v>
      </c>
      <c r="O891" s="91">
        <f>GroDB[[#This Row],[Expiration_Date]]-GroDB[[#This Row],[Date_Received1]]</f>
        <v>-9</v>
      </c>
      <c r="P891" s="4">
        <v>4.4000000000000004</v>
      </c>
      <c r="Q891" s="3">
        <v>88</v>
      </c>
      <c r="R891" s="3">
        <v>99</v>
      </c>
      <c r="S891" s="3">
        <v>41</v>
      </c>
      <c r="T891" s="4">
        <v>5.5</v>
      </c>
      <c r="U891" s="3">
        <v>93</v>
      </c>
      <c r="V891" s="51">
        <f>IF(GroDB[[#This Row],[LeadTime]]=0,GroDB[[#This Row],[Sales_Volume]],GroDB[[#This Row],[Sales_Volume]]/GroDB[[#This Row],[LeadTime]])</f>
        <v>1.3098591549295775</v>
      </c>
      <c r="W891" s="51">
        <f>_xlfn.STDEV.S(GroDB[Daily Sales])</f>
        <v>5.1999899792654221</v>
      </c>
      <c r="X891" s="3">
        <v>99</v>
      </c>
      <c r="Y891" s="7">
        <v>-0.68</v>
      </c>
      <c r="Z891" s="4">
        <f>GroDB[[#This Row],[Unit_Price]]*GroDB[[#This Row],[Sales_Volume]]</f>
        <v>511.5</v>
      </c>
      <c r="AA891" s="22">
        <f>GroDB[[#This Row],[ADU]]/GroDB[[#Totals],[ADU]]</f>
        <v>1.4857553100720493E-3</v>
      </c>
      <c r="AB891" s="1">
        <f>GroDB[[#This Row],[Sales_Volume]]*GroDB[[#This Row],[Ordering Cost]]</f>
        <v>409.20000000000005</v>
      </c>
    </row>
    <row r="892" spans="1:28" x14ac:dyDescent="0.35">
      <c r="A892" s="5" t="s">
        <v>446</v>
      </c>
      <c r="B892" s="3" t="s">
        <v>53</v>
      </c>
      <c r="C892" s="3" t="s">
        <v>1271</v>
      </c>
      <c r="D892" s="3" t="s">
        <v>3155</v>
      </c>
      <c r="E892" s="3" t="s">
        <v>28</v>
      </c>
      <c r="F892" s="3" t="s">
        <v>3156</v>
      </c>
      <c r="G892" s="3" t="s">
        <v>3157</v>
      </c>
      <c r="H892" s="43">
        <v>45503</v>
      </c>
      <c r="I892" s="43">
        <v>45596</v>
      </c>
      <c r="J892" s="47" t="str">
        <f>IF(GroDB[[#This Row],[Last_Order_Date]]&lt;=GroDB[[#This Row],[Date_Received]], "Yes", "No")</f>
        <v>No</v>
      </c>
      <c r="K892" s="43">
        <f>IF(GroDB[[#This Row],[Column1]]="No",GroDB[[#This Row],[Last_Order_Date]],GroDB[[#This Row],[Date_Received]])</f>
        <v>45596</v>
      </c>
      <c r="L892" s="43">
        <f>IF(GroDB[[#This Row],[Column1]]="No",GroDB[[#This Row],[Date_Received]],GroDB[[#This Row],[Last_Order_Date]])</f>
        <v>45503</v>
      </c>
      <c r="M892" s="45">
        <f>GroDB[[#This Row],[Date_Received1]]-GroDB[[#This Row],[Procurement_Date]]</f>
        <v>93</v>
      </c>
      <c r="N892" s="43">
        <v>45493</v>
      </c>
      <c r="O892" s="91">
        <f>GroDB[[#This Row],[Expiration_Date]]-GroDB[[#This Row],[Date_Received1]]</f>
        <v>-103</v>
      </c>
      <c r="P892" s="4">
        <v>7.6000000000000005</v>
      </c>
      <c r="Q892" s="3">
        <v>37</v>
      </c>
      <c r="R892" s="3">
        <v>47</v>
      </c>
      <c r="S892" s="3">
        <v>34</v>
      </c>
      <c r="T892" s="4">
        <v>9.5</v>
      </c>
      <c r="U892" s="3">
        <v>38</v>
      </c>
      <c r="V892" s="51">
        <f>IF(GroDB[[#This Row],[LeadTime]]=0,GroDB[[#This Row],[Sales_Volume]],GroDB[[#This Row],[Sales_Volume]]/GroDB[[#This Row],[LeadTime]])</f>
        <v>0.40860215053763443</v>
      </c>
      <c r="W892" s="51">
        <f>_xlfn.STDEV.S(GroDB[Daily Sales])</f>
        <v>5.1999899792654221</v>
      </c>
      <c r="X892" s="3">
        <v>89</v>
      </c>
      <c r="Y892" s="7">
        <v>-0.06</v>
      </c>
      <c r="Z892" s="4">
        <f>GroDB[[#This Row],[Unit_Price]]*GroDB[[#This Row],[Sales_Volume]]</f>
        <v>361</v>
      </c>
      <c r="AA892" s="22">
        <f>GroDB[[#This Row],[ADU]]/GroDB[[#Totals],[ADU]]</f>
        <v>1.0485975893177123E-3</v>
      </c>
      <c r="AB892" s="1">
        <f>GroDB[[#This Row],[Sales_Volume]]*GroDB[[#This Row],[Ordering Cost]]</f>
        <v>288.8</v>
      </c>
    </row>
    <row r="893" spans="1:28" x14ac:dyDescent="0.35">
      <c r="A893" s="5" t="s">
        <v>258</v>
      </c>
      <c r="B893" s="3" t="s">
        <v>25</v>
      </c>
      <c r="C893" s="3" t="s">
        <v>1207</v>
      </c>
      <c r="D893" s="3" t="s">
        <v>3158</v>
      </c>
      <c r="E893" s="3" t="s">
        <v>56</v>
      </c>
      <c r="F893" s="3" t="s">
        <v>3159</v>
      </c>
      <c r="G893" s="3" t="s">
        <v>3160</v>
      </c>
      <c r="H893" s="43">
        <v>45503</v>
      </c>
      <c r="I893" s="43">
        <v>45545</v>
      </c>
      <c r="J893" s="47" t="str">
        <f>IF(GroDB[[#This Row],[Last_Order_Date]]&lt;=GroDB[[#This Row],[Date_Received]], "Yes", "No")</f>
        <v>No</v>
      </c>
      <c r="K893" s="43">
        <f>IF(GroDB[[#This Row],[Column1]]="No",GroDB[[#This Row],[Last_Order_Date]],GroDB[[#This Row],[Date_Received]])</f>
        <v>45545</v>
      </c>
      <c r="L893" s="43">
        <f>IF(GroDB[[#This Row],[Column1]]="No",GroDB[[#This Row],[Date_Received]],GroDB[[#This Row],[Last_Order_Date]])</f>
        <v>45503</v>
      </c>
      <c r="M893" s="45">
        <f>GroDB[[#This Row],[Date_Received1]]-GroDB[[#This Row],[Procurement_Date]]</f>
        <v>42</v>
      </c>
      <c r="N893" s="43">
        <v>45351</v>
      </c>
      <c r="O893" s="91">
        <f>GroDB[[#This Row],[Expiration_Date]]-GroDB[[#This Row],[Date_Received1]]</f>
        <v>-194</v>
      </c>
      <c r="P893" s="4">
        <v>3.2</v>
      </c>
      <c r="Q893" s="3">
        <v>21</v>
      </c>
      <c r="R893" s="3">
        <v>25</v>
      </c>
      <c r="S893" s="3">
        <v>39</v>
      </c>
      <c r="T893" s="4">
        <v>4</v>
      </c>
      <c r="U893" s="3">
        <v>79</v>
      </c>
      <c r="V893" s="51">
        <f>IF(GroDB[[#This Row],[LeadTime]]=0,GroDB[[#This Row],[Sales_Volume]],GroDB[[#This Row],[Sales_Volume]]/GroDB[[#This Row],[LeadTime]])</f>
        <v>1.8809523809523809</v>
      </c>
      <c r="W893" s="51">
        <f>_xlfn.STDEV.S(GroDB[Daily Sales])</f>
        <v>5.1999899792654221</v>
      </c>
      <c r="X893" s="3">
        <v>30</v>
      </c>
      <c r="Y893" s="7">
        <v>-1.34</v>
      </c>
      <c r="Z893" s="4">
        <f>GroDB[[#This Row],[Unit_Price]]*GroDB[[#This Row],[Sales_Volume]]</f>
        <v>316</v>
      </c>
      <c r="AA893" s="22">
        <f>GroDB[[#This Row],[ADU]]/GroDB[[#Totals],[ADU]]</f>
        <v>9.1788597846093371E-4</v>
      </c>
      <c r="AB893" s="1">
        <f>GroDB[[#This Row],[Sales_Volume]]*GroDB[[#This Row],[Ordering Cost]]</f>
        <v>252.8</v>
      </c>
    </row>
    <row r="894" spans="1:28" x14ac:dyDescent="0.35">
      <c r="A894" s="5" t="s">
        <v>17</v>
      </c>
      <c r="B894" s="3" t="s">
        <v>18</v>
      </c>
      <c r="C894" s="3" t="s">
        <v>1175</v>
      </c>
      <c r="D894" s="3" t="s">
        <v>3161</v>
      </c>
      <c r="E894" s="3" t="s">
        <v>21</v>
      </c>
      <c r="F894" s="3" t="s">
        <v>3162</v>
      </c>
      <c r="G894" s="3" t="s">
        <v>3163</v>
      </c>
      <c r="H894" s="43">
        <v>45504</v>
      </c>
      <c r="I894" s="43">
        <v>45500</v>
      </c>
      <c r="J894" s="47" t="str">
        <f>IF(GroDB[[#This Row],[Last_Order_Date]]&lt;=GroDB[[#This Row],[Date_Received]], "Yes", "No")</f>
        <v>Yes</v>
      </c>
      <c r="K894" s="43">
        <f>IF(GroDB[[#This Row],[Column1]]="No",GroDB[[#This Row],[Last_Order_Date]],GroDB[[#This Row],[Date_Received]])</f>
        <v>45504</v>
      </c>
      <c r="L894" s="43">
        <f>IF(GroDB[[#This Row],[Column1]]="No",GroDB[[#This Row],[Date_Received]],GroDB[[#This Row],[Last_Order_Date]])</f>
        <v>45500</v>
      </c>
      <c r="M894" s="45">
        <f>GroDB[[#This Row],[Date_Received1]]-GroDB[[#This Row],[Procurement_Date]]</f>
        <v>4</v>
      </c>
      <c r="N894" s="43">
        <v>45480</v>
      </c>
      <c r="O894" s="91">
        <f>GroDB[[#This Row],[Expiration_Date]]-GroDB[[#This Row],[Date_Received1]]</f>
        <v>-24</v>
      </c>
      <c r="P894" s="4">
        <v>3.6</v>
      </c>
      <c r="Q894" s="3">
        <v>70</v>
      </c>
      <c r="R894" s="3">
        <v>31</v>
      </c>
      <c r="S894" s="3">
        <v>55</v>
      </c>
      <c r="T894" s="4">
        <v>4.5</v>
      </c>
      <c r="U894" s="3">
        <v>23</v>
      </c>
      <c r="V894" s="51">
        <f>IF(GroDB[[#This Row],[LeadTime]]=0,GroDB[[#This Row],[Sales_Volume]],GroDB[[#This Row],[Sales_Volume]]/GroDB[[#This Row],[LeadTime]])</f>
        <v>5.75</v>
      </c>
      <c r="W894" s="51">
        <f>_xlfn.STDEV.S(GroDB[Daily Sales])</f>
        <v>5.1999899792654221</v>
      </c>
      <c r="X894" s="3">
        <v>80</v>
      </c>
      <c r="Y894" s="7">
        <v>0.62</v>
      </c>
      <c r="Z894" s="4">
        <f>GroDB[[#This Row],[Unit_Price]]*GroDB[[#This Row],[Sales_Volume]]</f>
        <v>103.5</v>
      </c>
      <c r="AA894" s="22">
        <f>GroDB[[#This Row],[ADU]]/GroDB[[#Totals],[ADU]]</f>
        <v>3.0063670497059065E-4</v>
      </c>
      <c r="AB894" s="1">
        <f>GroDB[[#This Row],[Sales_Volume]]*GroDB[[#This Row],[Ordering Cost]]</f>
        <v>82.8</v>
      </c>
    </row>
    <row r="895" spans="1:28" x14ac:dyDescent="0.35">
      <c r="A895" s="5" t="s">
        <v>549</v>
      </c>
      <c r="B895" s="3" t="s">
        <v>32</v>
      </c>
      <c r="C895" s="3" t="s">
        <v>294</v>
      </c>
      <c r="D895" s="3" t="s">
        <v>3164</v>
      </c>
      <c r="E895" s="3" t="s">
        <v>28</v>
      </c>
      <c r="F895" s="3" t="s">
        <v>3165</v>
      </c>
      <c r="G895" s="3" t="s">
        <v>3166</v>
      </c>
      <c r="H895" s="43">
        <v>45504</v>
      </c>
      <c r="I895" s="43">
        <v>45687</v>
      </c>
      <c r="J895" s="47" t="str">
        <f>IF(GroDB[[#This Row],[Last_Order_Date]]&lt;=GroDB[[#This Row],[Date_Received]], "Yes", "No")</f>
        <v>No</v>
      </c>
      <c r="K895" s="43">
        <f>IF(GroDB[[#This Row],[Column1]]="No",GroDB[[#This Row],[Last_Order_Date]],GroDB[[#This Row],[Date_Received]])</f>
        <v>45687</v>
      </c>
      <c r="L895" s="43">
        <f>IF(GroDB[[#This Row],[Column1]]="No",GroDB[[#This Row],[Date_Received]],GroDB[[#This Row],[Last_Order_Date]])</f>
        <v>45504</v>
      </c>
      <c r="M895" s="45">
        <f>GroDB[[#This Row],[Date_Received1]]-GroDB[[#This Row],[Procurement_Date]]</f>
        <v>183</v>
      </c>
      <c r="N895" s="43">
        <v>45654</v>
      </c>
      <c r="O895" s="91">
        <f>GroDB[[#This Row],[Expiration_Date]]-GroDB[[#This Row],[Date_Received1]]</f>
        <v>-33</v>
      </c>
      <c r="P895" s="4">
        <v>2</v>
      </c>
      <c r="Q895" s="3">
        <v>65</v>
      </c>
      <c r="R895" s="3">
        <v>94</v>
      </c>
      <c r="S895" s="3">
        <v>4</v>
      </c>
      <c r="T895" s="4">
        <v>2.5</v>
      </c>
      <c r="U895" s="3">
        <v>66</v>
      </c>
      <c r="V895" s="51">
        <f>IF(GroDB[[#This Row],[LeadTime]]=0,GroDB[[#This Row],[Sales_Volume]],GroDB[[#This Row],[Sales_Volume]]/GroDB[[#This Row],[LeadTime]])</f>
        <v>0.36065573770491804</v>
      </c>
      <c r="W895" s="51">
        <f>_xlfn.STDEV.S(GroDB[Daily Sales])</f>
        <v>5.1999899792654221</v>
      </c>
      <c r="X895" s="3">
        <v>36</v>
      </c>
      <c r="Y895" s="7">
        <v>-2.48</v>
      </c>
      <c r="Z895" s="4">
        <f>GroDB[[#This Row],[Unit_Price]]*GroDB[[#This Row],[Sales_Volume]]</f>
        <v>165</v>
      </c>
      <c r="AA895" s="22">
        <f>GroDB[[#This Row],[ADU]]/GroDB[[#Totals],[ADU]]</f>
        <v>4.7927590647485463E-4</v>
      </c>
      <c r="AB895" s="1">
        <f>GroDB[[#This Row],[Sales_Volume]]*GroDB[[#This Row],[Ordering Cost]]</f>
        <v>132</v>
      </c>
    </row>
    <row r="896" spans="1:28" x14ac:dyDescent="0.35">
      <c r="A896" s="5" t="s">
        <v>592</v>
      </c>
      <c r="B896" s="3" t="s">
        <v>25</v>
      </c>
      <c r="C896" s="3" t="s">
        <v>1282</v>
      </c>
      <c r="D896" s="3" t="s">
        <v>3167</v>
      </c>
      <c r="E896" s="3" t="s">
        <v>21</v>
      </c>
      <c r="F896" s="3" t="s">
        <v>3168</v>
      </c>
      <c r="G896" s="3" t="s">
        <v>3169</v>
      </c>
      <c r="H896" s="43">
        <v>45504</v>
      </c>
      <c r="I896" s="43">
        <v>45646</v>
      </c>
      <c r="J896" s="47" t="str">
        <f>IF(GroDB[[#This Row],[Last_Order_Date]]&lt;=GroDB[[#This Row],[Date_Received]], "Yes", "No")</f>
        <v>No</v>
      </c>
      <c r="K896" s="43">
        <f>IF(GroDB[[#This Row],[Column1]]="No",GroDB[[#This Row],[Last_Order_Date]],GroDB[[#This Row],[Date_Received]])</f>
        <v>45646</v>
      </c>
      <c r="L896" s="43">
        <f>IF(GroDB[[#This Row],[Column1]]="No",GroDB[[#This Row],[Date_Received]],GroDB[[#This Row],[Last_Order_Date]])</f>
        <v>45504</v>
      </c>
      <c r="M896" s="45">
        <f>GroDB[[#This Row],[Date_Received1]]-GroDB[[#This Row],[Procurement_Date]]</f>
        <v>142</v>
      </c>
      <c r="N896" s="43">
        <v>45582</v>
      </c>
      <c r="O896" s="91">
        <f>GroDB[[#This Row],[Expiration_Date]]-GroDB[[#This Row],[Date_Received1]]</f>
        <v>-64</v>
      </c>
      <c r="P896" s="4">
        <v>4</v>
      </c>
      <c r="Q896" s="3">
        <v>89</v>
      </c>
      <c r="R896" s="3">
        <v>79</v>
      </c>
      <c r="S896" s="3">
        <v>66</v>
      </c>
      <c r="T896" s="4">
        <v>5</v>
      </c>
      <c r="U896" s="3">
        <v>91</v>
      </c>
      <c r="V896" s="51">
        <f>IF(GroDB[[#This Row],[LeadTime]]=0,GroDB[[#This Row],[Sales_Volume]],GroDB[[#This Row],[Sales_Volume]]/GroDB[[#This Row],[LeadTime]])</f>
        <v>0.64084507042253525</v>
      </c>
      <c r="W896" s="51">
        <f>_xlfn.STDEV.S(GroDB[Daily Sales])</f>
        <v>5.1999899792654221</v>
      </c>
      <c r="X896" s="3">
        <v>31</v>
      </c>
      <c r="Y896" s="7">
        <v>0.45</v>
      </c>
      <c r="Z896" s="4">
        <f>GroDB[[#This Row],[Unit_Price]]*GroDB[[#This Row],[Sales_Volume]]</f>
        <v>455</v>
      </c>
      <c r="AA896" s="22">
        <f>GroDB[[#This Row],[ADU]]/GroDB[[#Totals],[ADU]]</f>
        <v>1.3216396208852051E-3</v>
      </c>
      <c r="AB896" s="1">
        <f>GroDB[[#This Row],[Sales_Volume]]*GroDB[[#This Row],[Ordering Cost]]</f>
        <v>364</v>
      </c>
    </row>
    <row r="897" spans="1:28" x14ac:dyDescent="0.35">
      <c r="A897" s="5" t="s">
        <v>263</v>
      </c>
      <c r="B897" s="3" t="s">
        <v>25</v>
      </c>
      <c r="C897" s="3" t="s">
        <v>692</v>
      </c>
      <c r="D897" s="3" t="s">
        <v>3170</v>
      </c>
      <c r="E897" s="3" t="s">
        <v>21</v>
      </c>
      <c r="F897" s="3" t="s">
        <v>3171</v>
      </c>
      <c r="G897" s="3" t="s">
        <v>3172</v>
      </c>
      <c r="H897" s="43">
        <v>45517</v>
      </c>
      <c r="I897" s="43">
        <v>45471</v>
      </c>
      <c r="J897" s="47" t="str">
        <f>IF(GroDB[[#This Row],[Last_Order_Date]]&lt;=GroDB[[#This Row],[Date_Received]], "Yes", "No")</f>
        <v>Yes</v>
      </c>
      <c r="K897" s="43">
        <f>IF(GroDB[[#This Row],[Column1]]="No",GroDB[[#This Row],[Last_Order_Date]],GroDB[[#This Row],[Date_Received]])</f>
        <v>45517</v>
      </c>
      <c r="L897" s="43">
        <f>IF(GroDB[[#This Row],[Column1]]="No",GroDB[[#This Row],[Date_Received]],GroDB[[#This Row],[Last_Order_Date]])</f>
        <v>45471</v>
      </c>
      <c r="M897" s="45">
        <f>GroDB[[#This Row],[Date_Received1]]-GroDB[[#This Row],[Procurement_Date]]</f>
        <v>46</v>
      </c>
      <c r="N897" s="43">
        <v>45356</v>
      </c>
      <c r="O897" s="91">
        <f>GroDB[[#This Row],[Expiration_Date]]-GroDB[[#This Row],[Date_Received1]]</f>
        <v>-161</v>
      </c>
      <c r="P897" s="4">
        <v>4.8000000000000007</v>
      </c>
      <c r="Q897" s="3">
        <v>47</v>
      </c>
      <c r="R897" s="3">
        <v>48</v>
      </c>
      <c r="S897" s="3">
        <v>73</v>
      </c>
      <c r="T897" s="4">
        <v>6</v>
      </c>
      <c r="U897" s="3">
        <v>42</v>
      </c>
      <c r="V897" s="51">
        <f>IF(GroDB[[#This Row],[LeadTime]]=0,GroDB[[#This Row],[Sales_Volume]],GroDB[[#This Row],[Sales_Volume]]/GroDB[[#This Row],[LeadTime]])</f>
        <v>0.91304347826086951</v>
      </c>
      <c r="W897" s="51">
        <f>_xlfn.STDEV.S(GroDB[Daily Sales])</f>
        <v>5.1999899792654221</v>
      </c>
      <c r="X897" s="3">
        <v>51</v>
      </c>
      <c r="Y897" s="7">
        <v>0.66</v>
      </c>
      <c r="Z897" s="4">
        <f>GroDB[[#This Row],[Unit_Price]]*GroDB[[#This Row],[Sales_Volume]]</f>
        <v>252</v>
      </c>
      <c r="AA897" s="22">
        <f>GroDB[[#This Row],[ADU]]/GroDB[[#Totals],[ADU]]</f>
        <v>7.3198502079795981E-4</v>
      </c>
      <c r="AB897" s="1">
        <f>GroDB[[#This Row],[Sales_Volume]]*GroDB[[#This Row],[Ordering Cost]]</f>
        <v>201.60000000000002</v>
      </c>
    </row>
    <row r="898" spans="1:28" x14ac:dyDescent="0.35">
      <c r="A898" s="5" t="s">
        <v>276</v>
      </c>
      <c r="B898" s="3" t="s">
        <v>18</v>
      </c>
      <c r="C898" s="3" t="s">
        <v>2144</v>
      </c>
      <c r="D898" s="3" t="s">
        <v>3173</v>
      </c>
      <c r="E898" s="3" t="s">
        <v>21</v>
      </c>
      <c r="F898" s="3" t="s">
        <v>3174</v>
      </c>
      <c r="G898" s="3" t="s">
        <v>3175</v>
      </c>
      <c r="H898" s="43">
        <v>45517</v>
      </c>
      <c r="I898" s="43">
        <v>45691</v>
      </c>
      <c r="J898" s="47" t="str">
        <f>IF(GroDB[[#This Row],[Last_Order_Date]]&lt;=GroDB[[#This Row],[Date_Received]], "Yes", "No")</f>
        <v>No</v>
      </c>
      <c r="K898" s="43">
        <f>IF(GroDB[[#This Row],[Column1]]="No",GroDB[[#This Row],[Last_Order_Date]],GroDB[[#This Row],[Date_Received]])</f>
        <v>45691</v>
      </c>
      <c r="L898" s="43">
        <f>IF(GroDB[[#This Row],[Column1]]="No",GroDB[[#This Row],[Date_Received]],GroDB[[#This Row],[Last_Order_Date]])</f>
        <v>45517</v>
      </c>
      <c r="M898" s="45">
        <f>GroDB[[#This Row],[Date_Received1]]-GroDB[[#This Row],[Procurement_Date]]</f>
        <v>174</v>
      </c>
      <c r="N898" s="43">
        <v>45487</v>
      </c>
      <c r="O898" s="91">
        <f>GroDB[[#This Row],[Expiration_Date]]-GroDB[[#This Row],[Date_Received1]]</f>
        <v>-204</v>
      </c>
      <c r="P898" s="4">
        <v>2.8000000000000003</v>
      </c>
      <c r="Q898" s="3">
        <v>70</v>
      </c>
      <c r="R898" s="3">
        <v>30</v>
      </c>
      <c r="S898" s="3">
        <v>69</v>
      </c>
      <c r="T898" s="4">
        <v>3.5</v>
      </c>
      <c r="U898" s="3">
        <v>44</v>
      </c>
      <c r="V898" s="51">
        <f>IF(GroDB[[#This Row],[LeadTime]]=0,GroDB[[#This Row],[Sales_Volume]],GroDB[[#This Row],[Sales_Volume]]/GroDB[[#This Row],[LeadTime]])</f>
        <v>0.25287356321839083</v>
      </c>
      <c r="W898" s="51">
        <f>_xlfn.STDEV.S(GroDB[Daily Sales])</f>
        <v>5.1999899792654221</v>
      </c>
      <c r="X898" s="3">
        <v>42</v>
      </c>
      <c r="Y898" s="7">
        <v>-0.21</v>
      </c>
      <c r="Z898" s="4">
        <f>GroDB[[#This Row],[Unit_Price]]*GroDB[[#This Row],[Sales_Volume]]</f>
        <v>154</v>
      </c>
      <c r="AA898" s="22">
        <f>GroDB[[#This Row],[ADU]]/GroDB[[#Totals],[ADU]]</f>
        <v>4.4732417937653102E-4</v>
      </c>
      <c r="AB898" s="1">
        <f>GroDB[[#This Row],[Sales_Volume]]*GroDB[[#This Row],[Ordering Cost]]</f>
        <v>123.20000000000002</v>
      </c>
    </row>
    <row r="899" spans="1:28" x14ac:dyDescent="0.35">
      <c r="A899" s="5" t="s">
        <v>342</v>
      </c>
      <c r="B899" s="3" t="s">
        <v>18</v>
      </c>
      <c r="C899" s="3" t="s">
        <v>692</v>
      </c>
      <c r="D899" s="3" t="s">
        <v>3176</v>
      </c>
      <c r="E899" s="3" t="s">
        <v>28</v>
      </c>
      <c r="F899" s="3" t="s">
        <v>3177</v>
      </c>
      <c r="G899" s="3" t="s">
        <v>3178</v>
      </c>
      <c r="H899" s="43">
        <v>45517</v>
      </c>
      <c r="I899" s="43">
        <v>45639</v>
      </c>
      <c r="J899" s="47" t="str">
        <f>IF(GroDB[[#This Row],[Last_Order_Date]]&lt;=GroDB[[#This Row],[Date_Received]], "Yes", "No")</f>
        <v>No</v>
      </c>
      <c r="K899" s="43">
        <f>IF(GroDB[[#This Row],[Column1]]="No",GroDB[[#This Row],[Last_Order_Date]],GroDB[[#This Row],[Date_Received]])</f>
        <v>45639</v>
      </c>
      <c r="L899" s="43">
        <f>IF(GroDB[[#This Row],[Column1]]="No",GroDB[[#This Row],[Date_Received]],GroDB[[#This Row],[Last_Order_Date]])</f>
        <v>45517</v>
      </c>
      <c r="M899" s="45">
        <f>GroDB[[#This Row],[Date_Received1]]-GroDB[[#This Row],[Procurement_Date]]</f>
        <v>122</v>
      </c>
      <c r="N899" s="43">
        <v>45349</v>
      </c>
      <c r="O899" s="91">
        <f>GroDB[[#This Row],[Expiration_Date]]-GroDB[[#This Row],[Date_Received1]]</f>
        <v>-290</v>
      </c>
      <c r="P899" s="4">
        <v>4.8000000000000007</v>
      </c>
      <c r="Q899" s="3">
        <v>14</v>
      </c>
      <c r="R899" s="3">
        <v>66</v>
      </c>
      <c r="S899" s="3">
        <v>1</v>
      </c>
      <c r="T899" s="4">
        <v>6</v>
      </c>
      <c r="U899" s="3">
        <v>86</v>
      </c>
      <c r="V899" s="51">
        <f>IF(GroDB[[#This Row],[LeadTime]]=0,GroDB[[#This Row],[Sales_Volume]],GroDB[[#This Row],[Sales_Volume]]/GroDB[[#This Row],[LeadTime]])</f>
        <v>0.70491803278688525</v>
      </c>
      <c r="W899" s="51">
        <f>_xlfn.STDEV.S(GroDB[Daily Sales])</f>
        <v>5.1999899792654221</v>
      </c>
      <c r="X899" s="3">
        <v>15</v>
      </c>
      <c r="Y899" s="7">
        <v>0.05</v>
      </c>
      <c r="Z899" s="4">
        <f>GroDB[[#This Row],[Unit_Price]]*GroDB[[#This Row],[Sales_Volume]]</f>
        <v>516</v>
      </c>
      <c r="AA899" s="22">
        <f>GroDB[[#This Row],[ADU]]/GroDB[[#Totals],[ADU]]</f>
        <v>1.4988264711577272E-3</v>
      </c>
      <c r="AB899" s="1">
        <f>GroDB[[#This Row],[Sales_Volume]]*GroDB[[#This Row],[Ordering Cost]]</f>
        <v>412.80000000000007</v>
      </c>
    </row>
    <row r="900" spans="1:28" x14ac:dyDescent="0.35">
      <c r="A900" s="5" t="s">
        <v>416</v>
      </c>
      <c r="B900" s="3" t="s">
        <v>53</v>
      </c>
      <c r="C900" s="3" t="s">
        <v>2077</v>
      </c>
      <c r="D900" s="3" t="s">
        <v>3179</v>
      </c>
      <c r="E900" s="3" t="s">
        <v>21</v>
      </c>
      <c r="F900" s="3" t="s">
        <v>3180</v>
      </c>
      <c r="G900" s="3" t="s">
        <v>3181</v>
      </c>
      <c r="H900" s="43">
        <v>45518</v>
      </c>
      <c r="I900" s="43">
        <v>45692</v>
      </c>
      <c r="J900" s="47" t="str">
        <f>IF(GroDB[[#This Row],[Last_Order_Date]]&lt;=GroDB[[#This Row],[Date_Received]], "Yes", "No")</f>
        <v>No</v>
      </c>
      <c r="K900" s="43">
        <f>IF(GroDB[[#This Row],[Column1]]="No",GroDB[[#This Row],[Last_Order_Date]],GroDB[[#This Row],[Date_Received]])</f>
        <v>45692</v>
      </c>
      <c r="L900" s="43">
        <f>IF(GroDB[[#This Row],[Column1]]="No",GroDB[[#This Row],[Date_Received]],GroDB[[#This Row],[Last_Order_Date]])</f>
        <v>45518</v>
      </c>
      <c r="M900" s="45">
        <f>GroDB[[#This Row],[Date_Received1]]-GroDB[[#This Row],[Procurement_Date]]</f>
        <v>174</v>
      </c>
      <c r="N900" s="43">
        <v>45602</v>
      </c>
      <c r="O900" s="91">
        <f>GroDB[[#This Row],[Expiration_Date]]-GroDB[[#This Row],[Date_Received1]]</f>
        <v>-90</v>
      </c>
      <c r="P900" s="4">
        <v>2.4000000000000004</v>
      </c>
      <c r="Q900" s="3">
        <v>53</v>
      </c>
      <c r="R900" s="3">
        <v>86</v>
      </c>
      <c r="S900" s="3">
        <v>54</v>
      </c>
      <c r="T900" s="4">
        <v>3</v>
      </c>
      <c r="U900" s="3">
        <v>44</v>
      </c>
      <c r="V900" s="51">
        <f>IF(GroDB[[#This Row],[LeadTime]]=0,GroDB[[#This Row],[Sales_Volume]],GroDB[[#This Row],[Sales_Volume]]/GroDB[[#This Row],[LeadTime]])</f>
        <v>0.25287356321839083</v>
      </c>
      <c r="W900" s="51">
        <f>_xlfn.STDEV.S(GroDB[Daily Sales])</f>
        <v>5.1999899792654221</v>
      </c>
      <c r="X900" s="3">
        <v>3</v>
      </c>
      <c r="Y900" s="7">
        <v>0.83</v>
      </c>
      <c r="Z900" s="4">
        <f>GroDB[[#This Row],[Unit_Price]]*GroDB[[#This Row],[Sales_Volume]]</f>
        <v>132</v>
      </c>
      <c r="AA900" s="22">
        <f>GroDB[[#This Row],[ADU]]/GroDB[[#Totals],[ADU]]</f>
        <v>3.8342072517988368E-4</v>
      </c>
      <c r="AB900" s="1">
        <f>GroDB[[#This Row],[Sales_Volume]]*GroDB[[#This Row],[Ordering Cost]]</f>
        <v>105.60000000000002</v>
      </c>
    </row>
    <row r="901" spans="1:28" x14ac:dyDescent="0.35">
      <c r="A901" s="5" t="s">
        <v>342</v>
      </c>
      <c r="B901" s="3" t="s">
        <v>18</v>
      </c>
      <c r="C901" s="3" t="s">
        <v>2112</v>
      </c>
      <c r="D901" s="3" t="s">
        <v>3182</v>
      </c>
      <c r="E901" s="3" t="s">
        <v>56</v>
      </c>
      <c r="F901" s="3" t="s">
        <v>3183</v>
      </c>
      <c r="G901" s="3" t="s">
        <v>3184</v>
      </c>
      <c r="H901" s="43">
        <v>45518</v>
      </c>
      <c r="I901" s="43">
        <v>45458</v>
      </c>
      <c r="J901" s="47" t="str">
        <f>IF(GroDB[[#This Row],[Last_Order_Date]]&lt;=GroDB[[#This Row],[Date_Received]], "Yes", "No")</f>
        <v>Yes</v>
      </c>
      <c r="K901" s="43">
        <f>IF(GroDB[[#This Row],[Column1]]="No",GroDB[[#This Row],[Last_Order_Date]],GroDB[[#This Row],[Date_Received]])</f>
        <v>45518</v>
      </c>
      <c r="L901" s="43">
        <f>IF(GroDB[[#This Row],[Column1]]="No",GroDB[[#This Row],[Date_Received]],GroDB[[#This Row],[Last_Order_Date]])</f>
        <v>45458</v>
      </c>
      <c r="M901" s="45">
        <f>GroDB[[#This Row],[Date_Received1]]-GroDB[[#This Row],[Procurement_Date]]</f>
        <v>60</v>
      </c>
      <c r="N901" s="43">
        <v>45578</v>
      </c>
      <c r="O901" s="91">
        <f>GroDB[[#This Row],[Expiration_Date]]-GroDB[[#This Row],[Date_Received1]]</f>
        <v>60</v>
      </c>
      <c r="P901" s="4">
        <v>4.8000000000000007</v>
      </c>
      <c r="Q901" s="3">
        <v>65</v>
      </c>
      <c r="R901" s="3">
        <v>69</v>
      </c>
      <c r="S901" s="3">
        <v>4</v>
      </c>
      <c r="T901" s="4">
        <v>6</v>
      </c>
      <c r="U901" s="3">
        <v>80</v>
      </c>
      <c r="V901" s="51">
        <f>IF(GroDB[[#This Row],[LeadTime]]=0,GroDB[[#This Row],[Sales_Volume]],GroDB[[#This Row],[Sales_Volume]]/GroDB[[#This Row],[LeadTime]])</f>
        <v>1.3333333333333333</v>
      </c>
      <c r="W901" s="51">
        <f>_xlfn.STDEV.S(GroDB[Daily Sales])</f>
        <v>5.1999899792654221</v>
      </c>
      <c r="X901" s="3">
        <v>26</v>
      </c>
      <c r="Y901" s="7">
        <v>0.93</v>
      </c>
      <c r="Z901" s="4">
        <f>GroDB[[#This Row],[Unit_Price]]*GroDB[[#This Row],[Sales_Volume]]</f>
        <v>480</v>
      </c>
      <c r="AA901" s="22">
        <f>GroDB[[#This Row],[ADU]]/GroDB[[#Totals],[ADU]]</f>
        <v>1.3942571824723045E-3</v>
      </c>
      <c r="AB901" s="1">
        <f>GroDB[[#This Row],[Sales_Volume]]*GroDB[[#This Row],[Ordering Cost]]</f>
        <v>384.00000000000006</v>
      </c>
    </row>
    <row r="902" spans="1:28" x14ac:dyDescent="0.35">
      <c r="A902" s="5" t="s">
        <v>146</v>
      </c>
      <c r="B902" s="3" t="s">
        <v>53</v>
      </c>
      <c r="C902" s="3" t="s">
        <v>43</v>
      </c>
      <c r="D902" s="3" t="s">
        <v>3185</v>
      </c>
      <c r="E902" s="3" t="s">
        <v>28</v>
      </c>
      <c r="F902" s="3" t="s">
        <v>3186</v>
      </c>
      <c r="G902" s="3" t="s">
        <v>3187</v>
      </c>
      <c r="H902" s="43">
        <v>45518</v>
      </c>
      <c r="I902" s="43">
        <v>45483</v>
      </c>
      <c r="J902" s="47" t="str">
        <f>IF(GroDB[[#This Row],[Last_Order_Date]]&lt;=GroDB[[#This Row],[Date_Received]], "Yes", "No")</f>
        <v>Yes</v>
      </c>
      <c r="K902" s="43">
        <f>IF(GroDB[[#This Row],[Column1]]="No",GroDB[[#This Row],[Last_Order_Date]],GroDB[[#This Row],[Date_Received]])</f>
        <v>45518</v>
      </c>
      <c r="L902" s="43">
        <f>IF(GroDB[[#This Row],[Column1]]="No",GroDB[[#This Row],[Date_Received]],GroDB[[#This Row],[Last_Order_Date]])</f>
        <v>45483</v>
      </c>
      <c r="M902" s="45">
        <f>GroDB[[#This Row],[Date_Received1]]-GroDB[[#This Row],[Procurement_Date]]</f>
        <v>35</v>
      </c>
      <c r="N902" s="43">
        <v>45656</v>
      </c>
      <c r="O902" s="91">
        <f>GroDB[[#This Row],[Expiration_Date]]-GroDB[[#This Row],[Date_Received1]]</f>
        <v>138</v>
      </c>
      <c r="P902" s="4">
        <v>3.8000000000000003</v>
      </c>
      <c r="Q902" s="3">
        <v>98</v>
      </c>
      <c r="R902" s="3">
        <v>20</v>
      </c>
      <c r="S902" s="3">
        <v>81</v>
      </c>
      <c r="T902" s="4">
        <v>4.75</v>
      </c>
      <c r="U902" s="3">
        <v>51</v>
      </c>
      <c r="V902" s="51">
        <f>IF(GroDB[[#This Row],[LeadTime]]=0,GroDB[[#This Row],[Sales_Volume]],GroDB[[#This Row],[Sales_Volume]]/GroDB[[#This Row],[LeadTime]])</f>
        <v>1.4571428571428571</v>
      </c>
      <c r="W902" s="51">
        <f>_xlfn.STDEV.S(GroDB[Daily Sales])</f>
        <v>5.1999899792654221</v>
      </c>
      <c r="X902" s="3">
        <v>23</v>
      </c>
      <c r="Y902" s="7">
        <v>0.68</v>
      </c>
      <c r="Z902" s="4">
        <f>GroDB[[#This Row],[Unit_Price]]*GroDB[[#This Row],[Sales_Volume]]</f>
        <v>242.25</v>
      </c>
      <c r="AA902" s="22">
        <f>GroDB[[#This Row],[ADU]]/GroDB[[#Totals],[ADU]]</f>
        <v>7.036641717789911E-4</v>
      </c>
      <c r="AB902" s="1">
        <f>GroDB[[#This Row],[Sales_Volume]]*GroDB[[#This Row],[Ordering Cost]]</f>
        <v>193.8</v>
      </c>
    </row>
    <row r="903" spans="1:28" x14ac:dyDescent="0.35">
      <c r="A903" s="5" t="s">
        <v>1138</v>
      </c>
      <c r="B903" s="3" t="s">
        <v>32</v>
      </c>
      <c r="C903" s="3" t="s">
        <v>832</v>
      </c>
      <c r="D903" s="3" t="s">
        <v>3188</v>
      </c>
      <c r="E903" s="3" t="s">
        <v>21</v>
      </c>
      <c r="F903" s="3" t="s">
        <v>3189</v>
      </c>
      <c r="G903" s="3" t="s">
        <v>3190</v>
      </c>
      <c r="H903" s="43">
        <v>45518</v>
      </c>
      <c r="I903" s="43">
        <v>45530</v>
      </c>
      <c r="J903" s="47" t="str">
        <f>IF(GroDB[[#This Row],[Last_Order_Date]]&lt;=GroDB[[#This Row],[Date_Received]], "Yes", "No")</f>
        <v>No</v>
      </c>
      <c r="K903" s="43">
        <f>IF(GroDB[[#This Row],[Column1]]="No",GroDB[[#This Row],[Last_Order_Date]],GroDB[[#This Row],[Date_Received]])</f>
        <v>45530</v>
      </c>
      <c r="L903" s="43">
        <f>IF(GroDB[[#This Row],[Column1]]="No",GroDB[[#This Row],[Date_Received]],GroDB[[#This Row],[Last_Order_Date]])</f>
        <v>45518</v>
      </c>
      <c r="M903" s="45">
        <f>GroDB[[#This Row],[Date_Received1]]-GroDB[[#This Row],[Procurement_Date]]</f>
        <v>12</v>
      </c>
      <c r="N903" s="43">
        <v>45541</v>
      </c>
      <c r="O903" s="91">
        <f>GroDB[[#This Row],[Expiration_Date]]-GroDB[[#This Row],[Date_Received1]]</f>
        <v>11</v>
      </c>
      <c r="P903" s="4">
        <v>0.16000000000000003</v>
      </c>
      <c r="Q903" s="3">
        <v>83</v>
      </c>
      <c r="R903" s="3">
        <v>35</v>
      </c>
      <c r="S903" s="3">
        <v>43</v>
      </c>
      <c r="T903" s="4">
        <v>0.2</v>
      </c>
      <c r="U903" s="3">
        <v>94</v>
      </c>
      <c r="V903" s="51">
        <f>IF(GroDB[[#This Row],[LeadTime]]=0,GroDB[[#This Row],[Sales_Volume]],GroDB[[#This Row],[Sales_Volume]]/GroDB[[#This Row],[LeadTime]])</f>
        <v>7.833333333333333</v>
      </c>
      <c r="W903" s="51">
        <f>_xlfn.STDEV.S(GroDB[Daily Sales])</f>
        <v>5.1999899792654221</v>
      </c>
      <c r="X903" s="3">
        <v>68</v>
      </c>
      <c r="Y903" s="7">
        <v>0.55000000000000004</v>
      </c>
      <c r="Z903" s="4">
        <f>GroDB[[#This Row],[Unit_Price]]*GroDB[[#This Row],[Sales_Volume]]</f>
        <v>18.8</v>
      </c>
      <c r="AA903" s="22">
        <f>GroDB[[#This Row],[ADU]]/GroDB[[#Totals],[ADU]]</f>
        <v>5.460840631349859E-5</v>
      </c>
      <c r="AB903" s="1">
        <f>GroDB[[#This Row],[Sales_Volume]]*GroDB[[#This Row],[Ordering Cost]]</f>
        <v>15.040000000000003</v>
      </c>
    </row>
    <row r="904" spans="1:28" x14ac:dyDescent="0.35">
      <c r="A904" s="5" t="s">
        <v>438</v>
      </c>
      <c r="B904" s="3" t="s">
        <v>18</v>
      </c>
      <c r="C904" s="3" t="s">
        <v>405</v>
      </c>
      <c r="D904" s="3" t="s">
        <v>3191</v>
      </c>
      <c r="E904" s="3" t="s">
        <v>56</v>
      </c>
      <c r="F904" s="3" t="s">
        <v>3192</v>
      </c>
      <c r="G904" s="3" t="s">
        <v>3193</v>
      </c>
      <c r="H904" s="43">
        <v>45519</v>
      </c>
      <c r="I904" s="43">
        <v>45457</v>
      </c>
      <c r="J904" s="47" t="str">
        <f>IF(GroDB[[#This Row],[Last_Order_Date]]&lt;=GroDB[[#This Row],[Date_Received]], "Yes", "No")</f>
        <v>Yes</v>
      </c>
      <c r="K904" s="43">
        <f>IF(GroDB[[#This Row],[Column1]]="No",GroDB[[#This Row],[Last_Order_Date]],GroDB[[#This Row],[Date_Received]])</f>
        <v>45519</v>
      </c>
      <c r="L904" s="43">
        <f>IF(GroDB[[#This Row],[Column1]]="No",GroDB[[#This Row],[Date_Received]],GroDB[[#This Row],[Last_Order_Date]])</f>
        <v>45457</v>
      </c>
      <c r="M904" s="45">
        <f>GroDB[[#This Row],[Date_Received1]]-GroDB[[#This Row],[Procurement_Date]]</f>
        <v>62</v>
      </c>
      <c r="N904" s="43">
        <v>45649</v>
      </c>
      <c r="O904" s="91">
        <f>GroDB[[#This Row],[Expiration_Date]]-GroDB[[#This Row],[Date_Received1]]</f>
        <v>130</v>
      </c>
      <c r="P904" s="4">
        <v>4</v>
      </c>
      <c r="Q904" s="3">
        <v>89</v>
      </c>
      <c r="R904" s="3">
        <v>57</v>
      </c>
      <c r="S904" s="3">
        <v>92</v>
      </c>
      <c r="T904" s="4">
        <v>5</v>
      </c>
      <c r="U904" s="3">
        <v>38</v>
      </c>
      <c r="V904" s="51">
        <f>IF(GroDB[[#This Row],[LeadTime]]=0,GroDB[[#This Row],[Sales_Volume]],GroDB[[#This Row],[Sales_Volume]]/GroDB[[#This Row],[LeadTime]])</f>
        <v>0.61290322580645162</v>
      </c>
      <c r="W904" s="51">
        <f>_xlfn.STDEV.S(GroDB[Daily Sales])</f>
        <v>5.1999899792654221</v>
      </c>
      <c r="X904" s="3">
        <v>16</v>
      </c>
      <c r="Y904" s="7">
        <v>0.28000000000000003</v>
      </c>
      <c r="Z904" s="4">
        <f>GroDB[[#This Row],[Unit_Price]]*GroDB[[#This Row],[Sales_Volume]]</f>
        <v>190</v>
      </c>
      <c r="AA904" s="22">
        <f>GroDB[[#This Row],[ADU]]/GroDB[[#Totals],[ADU]]</f>
        <v>5.518934680619538E-4</v>
      </c>
      <c r="AB904" s="1">
        <f>GroDB[[#This Row],[Sales_Volume]]*GroDB[[#This Row],[Ordering Cost]]</f>
        <v>152</v>
      </c>
    </row>
    <row r="905" spans="1:28" x14ac:dyDescent="0.35">
      <c r="A905" s="5" t="s">
        <v>106</v>
      </c>
      <c r="B905" s="3" t="s">
        <v>32</v>
      </c>
      <c r="C905" s="3" t="s">
        <v>3194</v>
      </c>
      <c r="D905" s="3" t="s">
        <v>3195</v>
      </c>
      <c r="E905" s="3" t="s">
        <v>56</v>
      </c>
      <c r="F905" s="3" t="s">
        <v>3196</v>
      </c>
      <c r="G905" s="3" t="s">
        <v>3197</v>
      </c>
      <c r="H905" s="43">
        <v>45519</v>
      </c>
      <c r="I905" s="43">
        <v>45361</v>
      </c>
      <c r="J905" s="47" t="str">
        <f>IF(GroDB[[#This Row],[Last_Order_Date]]&lt;=GroDB[[#This Row],[Date_Received]], "Yes", "No")</f>
        <v>Yes</v>
      </c>
      <c r="K905" s="43">
        <f>IF(GroDB[[#This Row],[Column1]]="No",GroDB[[#This Row],[Last_Order_Date]],GroDB[[#This Row],[Date_Received]])</f>
        <v>45519</v>
      </c>
      <c r="L905" s="43">
        <f>IF(GroDB[[#This Row],[Column1]]="No",GroDB[[#This Row],[Date_Received]],GroDB[[#This Row],[Last_Order_Date]])</f>
        <v>45361</v>
      </c>
      <c r="M905" s="45">
        <f>GroDB[[#This Row],[Date_Received1]]-GroDB[[#This Row],[Procurement_Date]]</f>
        <v>158</v>
      </c>
      <c r="N905" s="43">
        <v>45572</v>
      </c>
      <c r="O905" s="91">
        <f>GroDB[[#This Row],[Expiration_Date]]-GroDB[[#This Row],[Date_Received1]]</f>
        <v>53</v>
      </c>
      <c r="P905" s="4">
        <v>1.92</v>
      </c>
      <c r="Q905" s="3">
        <v>23</v>
      </c>
      <c r="R905" s="3">
        <v>21</v>
      </c>
      <c r="S905" s="3">
        <v>59</v>
      </c>
      <c r="T905" s="4">
        <v>2.4</v>
      </c>
      <c r="U905" s="3">
        <v>81</v>
      </c>
      <c r="V905" s="51">
        <f>IF(GroDB[[#This Row],[LeadTime]]=0,GroDB[[#This Row],[Sales_Volume]],GroDB[[#This Row],[Sales_Volume]]/GroDB[[#This Row],[LeadTime]])</f>
        <v>0.51265822784810122</v>
      </c>
      <c r="W905" s="51">
        <f>_xlfn.STDEV.S(GroDB[Daily Sales])</f>
        <v>5.1999899792654221</v>
      </c>
      <c r="X905" s="3">
        <v>8</v>
      </c>
      <c r="Y905" s="7">
        <v>0.57999999999999996</v>
      </c>
      <c r="Z905" s="4">
        <f>GroDB[[#This Row],[Unit_Price]]*GroDB[[#This Row],[Sales_Volume]]</f>
        <v>194.4</v>
      </c>
      <c r="AA905" s="22">
        <f>GroDB[[#This Row],[ADU]]/GroDB[[#Totals],[ADU]]</f>
        <v>5.6467415890128333E-4</v>
      </c>
      <c r="AB905" s="1">
        <f>GroDB[[#This Row],[Sales_Volume]]*GroDB[[#This Row],[Ordering Cost]]</f>
        <v>155.51999999999998</v>
      </c>
    </row>
    <row r="906" spans="1:28" x14ac:dyDescent="0.35">
      <c r="A906" s="5" t="s">
        <v>465</v>
      </c>
      <c r="B906" s="3" t="s">
        <v>32</v>
      </c>
      <c r="C906" s="3" t="s">
        <v>1303</v>
      </c>
      <c r="D906" s="3" t="s">
        <v>3198</v>
      </c>
      <c r="E906" s="3" t="s">
        <v>28</v>
      </c>
      <c r="F906" s="3" t="s">
        <v>3199</v>
      </c>
      <c r="G906" s="3" t="s">
        <v>3200</v>
      </c>
      <c r="H906" s="43">
        <v>45519</v>
      </c>
      <c r="I906" s="43">
        <v>45480</v>
      </c>
      <c r="J906" s="47" t="str">
        <f>IF(GroDB[[#This Row],[Last_Order_Date]]&lt;=GroDB[[#This Row],[Date_Received]], "Yes", "No")</f>
        <v>Yes</v>
      </c>
      <c r="K906" s="43">
        <f>IF(GroDB[[#This Row],[Column1]]="No",GroDB[[#This Row],[Last_Order_Date]],GroDB[[#This Row],[Date_Received]])</f>
        <v>45519</v>
      </c>
      <c r="L906" s="43">
        <f>IF(GroDB[[#This Row],[Column1]]="No",GroDB[[#This Row],[Date_Received]],GroDB[[#This Row],[Last_Order_Date]])</f>
        <v>45480</v>
      </c>
      <c r="M906" s="45">
        <f>GroDB[[#This Row],[Date_Received1]]-GroDB[[#This Row],[Procurement_Date]]</f>
        <v>39</v>
      </c>
      <c r="N906" s="43">
        <v>45463</v>
      </c>
      <c r="O906" s="91">
        <f>GroDB[[#This Row],[Expiration_Date]]-GroDB[[#This Row],[Date_Received1]]</f>
        <v>-56</v>
      </c>
      <c r="P906" s="4">
        <v>2.4000000000000004</v>
      </c>
      <c r="Q906" s="3">
        <v>39</v>
      </c>
      <c r="R906" s="3">
        <v>55</v>
      </c>
      <c r="S906" s="3">
        <v>39</v>
      </c>
      <c r="T906" s="4">
        <v>3</v>
      </c>
      <c r="U906" s="3">
        <v>47</v>
      </c>
      <c r="V906" s="51">
        <f>IF(GroDB[[#This Row],[LeadTime]]=0,GroDB[[#This Row],[Sales_Volume]],GroDB[[#This Row],[Sales_Volume]]/GroDB[[#This Row],[LeadTime]])</f>
        <v>1.2051282051282051</v>
      </c>
      <c r="W906" s="51">
        <f>_xlfn.STDEV.S(GroDB[Daily Sales])</f>
        <v>5.1999899792654221</v>
      </c>
      <c r="X906" s="3">
        <v>59</v>
      </c>
      <c r="Y906" s="7">
        <v>0.9</v>
      </c>
      <c r="Z906" s="4">
        <f>GroDB[[#This Row],[Unit_Price]]*GroDB[[#This Row],[Sales_Volume]]</f>
        <v>141</v>
      </c>
      <c r="AA906" s="22">
        <f>GroDB[[#This Row],[ADU]]/GroDB[[#Totals],[ADU]]</f>
        <v>4.0956304735123941E-4</v>
      </c>
      <c r="AB906" s="1">
        <f>GroDB[[#This Row],[Sales_Volume]]*GroDB[[#This Row],[Ordering Cost]]</f>
        <v>112.80000000000001</v>
      </c>
    </row>
    <row r="907" spans="1:28" x14ac:dyDescent="0.35">
      <c r="A907" s="5" t="s">
        <v>325</v>
      </c>
      <c r="B907" s="3" t="s">
        <v>53</v>
      </c>
      <c r="C907" s="3" t="s">
        <v>71</v>
      </c>
      <c r="D907" s="3" t="s">
        <v>3201</v>
      </c>
      <c r="E907" s="3" t="s">
        <v>21</v>
      </c>
      <c r="F907" s="3" t="s">
        <v>3202</v>
      </c>
      <c r="G907" s="3" t="s">
        <v>3203</v>
      </c>
      <c r="H907" s="43">
        <v>45520</v>
      </c>
      <c r="I907" s="43">
        <v>45472</v>
      </c>
      <c r="J907" s="47" t="str">
        <f>IF(GroDB[[#This Row],[Last_Order_Date]]&lt;=GroDB[[#This Row],[Date_Received]], "Yes", "No")</f>
        <v>Yes</v>
      </c>
      <c r="K907" s="43">
        <f>IF(GroDB[[#This Row],[Column1]]="No",GroDB[[#This Row],[Last_Order_Date]],GroDB[[#This Row],[Date_Received]])</f>
        <v>45520</v>
      </c>
      <c r="L907" s="43">
        <f>IF(GroDB[[#This Row],[Column1]]="No",GroDB[[#This Row],[Date_Received]],GroDB[[#This Row],[Last_Order_Date]])</f>
        <v>45472</v>
      </c>
      <c r="M907" s="45">
        <f>GroDB[[#This Row],[Date_Received1]]-GroDB[[#This Row],[Procurement_Date]]</f>
        <v>48</v>
      </c>
      <c r="N907" s="43">
        <v>45554</v>
      </c>
      <c r="O907" s="91">
        <f>GroDB[[#This Row],[Expiration_Date]]-GroDB[[#This Row],[Date_Received1]]</f>
        <v>34</v>
      </c>
      <c r="P907" s="4">
        <v>3.6</v>
      </c>
      <c r="Q907" s="3">
        <v>22</v>
      </c>
      <c r="R907" s="3">
        <v>72</v>
      </c>
      <c r="S907" s="3">
        <v>70</v>
      </c>
      <c r="T907" s="4">
        <v>4.5</v>
      </c>
      <c r="U907" s="3">
        <v>32</v>
      </c>
      <c r="V907" s="51">
        <f>IF(GroDB[[#This Row],[LeadTime]]=0,GroDB[[#This Row],[Sales_Volume]],GroDB[[#This Row],[Sales_Volume]]/GroDB[[#This Row],[LeadTime]])</f>
        <v>0.66666666666666663</v>
      </c>
      <c r="W907" s="51">
        <f>_xlfn.STDEV.S(GroDB[Daily Sales])</f>
        <v>5.1999899792654221</v>
      </c>
      <c r="X907" s="3">
        <v>19</v>
      </c>
      <c r="Y907" s="7">
        <v>-0.26</v>
      </c>
      <c r="Z907" s="4">
        <f>GroDB[[#This Row],[Unit_Price]]*GroDB[[#This Row],[Sales_Volume]]</f>
        <v>144</v>
      </c>
      <c r="AA907" s="22">
        <f>GroDB[[#This Row],[ADU]]/GroDB[[#Totals],[ADU]]</f>
        <v>4.182771547416913E-4</v>
      </c>
      <c r="AB907" s="1">
        <f>GroDB[[#This Row],[Sales_Volume]]*GroDB[[#This Row],[Ordering Cost]]</f>
        <v>115.2</v>
      </c>
    </row>
    <row r="908" spans="1:28" x14ac:dyDescent="0.35">
      <c r="A908" s="5" t="s">
        <v>258</v>
      </c>
      <c r="B908" s="3" t="s">
        <v>25</v>
      </c>
      <c r="C908" s="3" t="s">
        <v>3204</v>
      </c>
      <c r="D908" s="3" t="s">
        <v>3205</v>
      </c>
      <c r="E908" s="3" t="s">
        <v>21</v>
      </c>
      <c r="F908" s="3" t="s">
        <v>3206</v>
      </c>
      <c r="G908" s="3" t="s">
        <v>3207</v>
      </c>
      <c r="H908" s="43">
        <v>45520</v>
      </c>
      <c r="I908" s="43">
        <v>45682</v>
      </c>
      <c r="J908" s="47" t="str">
        <f>IF(GroDB[[#This Row],[Last_Order_Date]]&lt;=GroDB[[#This Row],[Date_Received]], "Yes", "No")</f>
        <v>No</v>
      </c>
      <c r="K908" s="43">
        <f>IF(GroDB[[#This Row],[Column1]]="No",GroDB[[#This Row],[Last_Order_Date]],GroDB[[#This Row],[Date_Received]])</f>
        <v>45682</v>
      </c>
      <c r="L908" s="43">
        <f>IF(GroDB[[#This Row],[Column1]]="No",GroDB[[#This Row],[Date_Received]],GroDB[[#This Row],[Last_Order_Date]])</f>
        <v>45520</v>
      </c>
      <c r="M908" s="45">
        <f>GroDB[[#This Row],[Date_Received1]]-GroDB[[#This Row],[Procurement_Date]]</f>
        <v>162</v>
      </c>
      <c r="N908" s="43">
        <v>45534</v>
      </c>
      <c r="O908" s="91">
        <f>GroDB[[#This Row],[Expiration_Date]]-GroDB[[#This Row],[Date_Received1]]</f>
        <v>-148</v>
      </c>
      <c r="P908" s="4">
        <v>3.2</v>
      </c>
      <c r="Q908" s="3">
        <v>79</v>
      </c>
      <c r="R908" s="3">
        <v>3</v>
      </c>
      <c r="S908" s="3">
        <v>36</v>
      </c>
      <c r="T908" s="4">
        <v>4</v>
      </c>
      <c r="U908" s="3">
        <v>46</v>
      </c>
      <c r="V908" s="51">
        <f>IF(GroDB[[#This Row],[LeadTime]]=0,GroDB[[#This Row],[Sales_Volume]],GroDB[[#This Row],[Sales_Volume]]/GroDB[[#This Row],[LeadTime]])</f>
        <v>0.2839506172839506</v>
      </c>
      <c r="W908" s="51">
        <f>_xlfn.STDEV.S(GroDB[Daily Sales])</f>
        <v>5.1999899792654221</v>
      </c>
      <c r="X908" s="3">
        <v>29</v>
      </c>
      <c r="Y908" s="7">
        <v>0.41</v>
      </c>
      <c r="Z908" s="4">
        <f>GroDB[[#This Row],[Unit_Price]]*GroDB[[#This Row],[Sales_Volume]]</f>
        <v>184</v>
      </c>
      <c r="AA908" s="22">
        <f>GroDB[[#This Row],[ADU]]/GroDB[[#Totals],[ADU]]</f>
        <v>5.3446525328105002E-4</v>
      </c>
      <c r="AB908" s="1">
        <f>GroDB[[#This Row],[Sales_Volume]]*GroDB[[#This Row],[Ordering Cost]]</f>
        <v>147.20000000000002</v>
      </c>
    </row>
    <row r="909" spans="1:28" x14ac:dyDescent="0.35">
      <c r="A909" s="5" t="s">
        <v>288</v>
      </c>
      <c r="B909" s="3" t="s">
        <v>60</v>
      </c>
      <c r="C909" s="3" t="s">
        <v>2303</v>
      </c>
      <c r="D909" s="3" t="s">
        <v>3208</v>
      </c>
      <c r="E909" s="3" t="s">
        <v>56</v>
      </c>
      <c r="F909" s="3" t="s">
        <v>3209</v>
      </c>
      <c r="G909" s="3" t="s">
        <v>3210</v>
      </c>
      <c r="H909" s="43">
        <v>45521</v>
      </c>
      <c r="I909" s="43">
        <v>45566</v>
      </c>
      <c r="J909" s="47" t="str">
        <f>IF(GroDB[[#This Row],[Last_Order_Date]]&lt;=GroDB[[#This Row],[Date_Received]], "Yes", "No")</f>
        <v>No</v>
      </c>
      <c r="K909" s="43">
        <f>IF(GroDB[[#This Row],[Column1]]="No",GroDB[[#This Row],[Last_Order_Date]],GroDB[[#This Row],[Date_Received]])</f>
        <v>45566</v>
      </c>
      <c r="L909" s="43">
        <f>IF(GroDB[[#This Row],[Column1]]="No",GroDB[[#This Row],[Date_Received]],GroDB[[#This Row],[Last_Order_Date]])</f>
        <v>45521</v>
      </c>
      <c r="M909" s="45">
        <f>GroDB[[#This Row],[Date_Received1]]-GroDB[[#This Row],[Procurement_Date]]</f>
        <v>45</v>
      </c>
      <c r="N909" s="43">
        <v>45538</v>
      </c>
      <c r="O909" s="91">
        <f>GroDB[[#This Row],[Expiration_Date]]-GroDB[[#This Row],[Date_Received1]]</f>
        <v>-28</v>
      </c>
      <c r="P909" s="4">
        <v>9.6000000000000014</v>
      </c>
      <c r="Q909" s="3">
        <v>49</v>
      </c>
      <c r="R909" s="3">
        <v>73</v>
      </c>
      <c r="S909" s="3">
        <v>48</v>
      </c>
      <c r="T909" s="4">
        <v>12</v>
      </c>
      <c r="U909" s="3">
        <v>52</v>
      </c>
      <c r="V909" s="51">
        <f>IF(GroDB[[#This Row],[LeadTime]]=0,GroDB[[#This Row],[Sales_Volume]],GroDB[[#This Row],[Sales_Volume]]/GroDB[[#This Row],[LeadTime]])</f>
        <v>1.1555555555555554</v>
      </c>
      <c r="W909" s="51">
        <f>_xlfn.STDEV.S(GroDB[Daily Sales])</f>
        <v>5.1999899792654221</v>
      </c>
      <c r="X909" s="3">
        <v>62</v>
      </c>
      <c r="Y909" s="7">
        <v>0.37</v>
      </c>
      <c r="Z909" s="4">
        <f>GroDB[[#This Row],[Unit_Price]]*GroDB[[#This Row],[Sales_Volume]]</f>
        <v>624</v>
      </c>
      <c r="AA909" s="22">
        <f>GroDB[[#This Row],[ADU]]/GroDB[[#Totals],[ADU]]</f>
        <v>1.8125343372139956E-3</v>
      </c>
      <c r="AB909" s="1">
        <f>GroDB[[#This Row],[Sales_Volume]]*GroDB[[#This Row],[Ordering Cost]]</f>
        <v>499.20000000000005</v>
      </c>
    </row>
    <row r="910" spans="1:28" x14ac:dyDescent="0.35">
      <c r="A910" s="5" t="s">
        <v>230</v>
      </c>
      <c r="B910" s="3" t="s">
        <v>25</v>
      </c>
      <c r="C910" s="3" t="s">
        <v>1704</v>
      </c>
      <c r="D910" s="3" t="s">
        <v>3211</v>
      </c>
      <c r="E910" s="3" t="s">
        <v>28</v>
      </c>
      <c r="F910" s="3" t="s">
        <v>3212</v>
      </c>
      <c r="G910" s="3" t="s">
        <v>3213</v>
      </c>
      <c r="H910" s="43">
        <v>45521</v>
      </c>
      <c r="I910" s="43">
        <v>45501</v>
      </c>
      <c r="J910" s="47" t="str">
        <f>IF(GroDB[[#This Row],[Last_Order_Date]]&lt;=GroDB[[#This Row],[Date_Received]], "Yes", "No")</f>
        <v>Yes</v>
      </c>
      <c r="K910" s="43">
        <f>IF(GroDB[[#This Row],[Column1]]="No",GroDB[[#This Row],[Last_Order_Date]],GroDB[[#This Row],[Date_Received]])</f>
        <v>45521</v>
      </c>
      <c r="L910" s="43">
        <f>IF(GroDB[[#This Row],[Column1]]="No",GroDB[[#This Row],[Date_Received]],GroDB[[#This Row],[Last_Order_Date]])</f>
        <v>45501</v>
      </c>
      <c r="M910" s="45">
        <f>GroDB[[#This Row],[Date_Received1]]-GroDB[[#This Row],[Procurement_Date]]</f>
        <v>20</v>
      </c>
      <c r="N910" s="43">
        <v>45619</v>
      </c>
      <c r="O910" s="91">
        <f>GroDB[[#This Row],[Expiration_Date]]-GroDB[[#This Row],[Date_Received1]]</f>
        <v>98</v>
      </c>
      <c r="P910" s="4">
        <v>1.4400000000000002</v>
      </c>
      <c r="Q910" s="3">
        <v>35</v>
      </c>
      <c r="R910" s="3">
        <v>41</v>
      </c>
      <c r="S910" s="3">
        <v>84</v>
      </c>
      <c r="T910" s="4">
        <v>1.8</v>
      </c>
      <c r="U910" s="3">
        <v>62</v>
      </c>
      <c r="V910" s="51">
        <f>IF(GroDB[[#This Row],[LeadTime]]=0,GroDB[[#This Row],[Sales_Volume]],GroDB[[#This Row],[Sales_Volume]]/GroDB[[#This Row],[LeadTime]])</f>
        <v>3.1</v>
      </c>
      <c r="W910" s="51">
        <f>_xlfn.STDEV.S(GroDB[Daily Sales])</f>
        <v>5.1999899792654221</v>
      </c>
      <c r="X910" s="3">
        <v>14</v>
      </c>
      <c r="Y910" s="7">
        <v>-0.19</v>
      </c>
      <c r="Z910" s="4">
        <f>GroDB[[#This Row],[Unit_Price]]*GroDB[[#This Row],[Sales_Volume]]</f>
        <v>111.60000000000001</v>
      </c>
      <c r="AA910" s="22">
        <f>GroDB[[#This Row],[ADU]]/GroDB[[#Totals],[ADU]]</f>
        <v>3.2416479492481081E-4</v>
      </c>
      <c r="AB910" s="1">
        <f>GroDB[[#This Row],[Sales_Volume]]*GroDB[[#This Row],[Ordering Cost]]</f>
        <v>89.280000000000015</v>
      </c>
    </row>
    <row r="911" spans="1:28" x14ac:dyDescent="0.35">
      <c r="A911" s="5" t="s">
        <v>574</v>
      </c>
      <c r="B911" s="3" t="s">
        <v>53</v>
      </c>
      <c r="C911" s="3" t="s">
        <v>1505</v>
      </c>
      <c r="D911" s="3" t="s">
        <v>3214</v>
      </c>
      <c r="E911" s="3" t="s">
        <v>56</v>
      </c>
      <c r="F911" s="3" t="s">
        <v>3215</v>
      </c>
      <c r="G911" s="3" t="s">
        <v>3216</v>
      </c>
      <c r="H911" s="43">
        <v>45521</v>
      </c>
      <c r="I911" s="43">
        <v>45416</v>
      </c>
      <c r="J911" s="47" t="str">
        <f>IF(GroDB[[#This Row],[Last_Order_Date]]&lt;=GroDB[[#This Row],[Date_Received]], "Yes", "No")</f>
        <v>Yes</v>
      </c>
      <c r="K911" s="43">
        <f>IF(GroDB[[#This Row],[Column1]]="No",GroDB[[#This Row],[Last_Order_Date]],GroDB[[#This Row],[Date_Received]])</f>
        <v>45521</v>
      </c>
      <c r="L911" s="43">
        <f>IF(GroDB[[#This Row],[Column1]]="No",GroDB[[#This Row],[Date_Received]],GroDB[[#This Row],[Last_Order_Date]])</f>
        <v>45416</v>
      </c>
      <c r="M911" s="45">
        <f>GroDB[[#This Row],[Date_Received1]]-GroDB[[#This Row],[Procurement_Date]]</f>
        <v>105</v>
      </c>
      <c r="N911" s="43">
        <v>45435</v>
      </c>
      <c r="O911" s="91">
        <f>GroDB[[#This Row],[Expiration_Date]]-GroDB[[#This Row],[Date_Received1]]</f>
        <v>-86</v>
      </c>
      <c r="P911" s="4">
        <v>1.6</v>
      </c>
      <c r="Q911" s="3">
        <v>27</v>
      </c>
      <c r="R911" s="3">
        <v>64</v>
      </c>
      <c r="S911" s="3">
        <v>78</v>
      </c>
      <c r="T911" s="4">
        <v>2</v>
      </c>
      <c r="U911" s="3">
        <v>57</v>
      </c>
      <c r="V911" s="51">
        <f>IF(GroDB[[#This Row],[LeadTime]]=0,GroDB[[#This Row],[Sales_Volume]],GroDB[[#This Row],[Sales_Volume]]/GroDB[[#This Row],[LeadTime]])</f>
        <v>0.54285714285714282</v>
      </c>
      <c r="W911" s="51">
        <f>_xlfn.STDEV.S(GroDB[Daily Sales])</f>
        <v>5.1999899792654221</v>
      </c>
      <c r="X911" s="3">
        <v>4</v>
      </c>
      <c r="Y911" s="7">
        <v>0.77</v>
      </c>
      <c r="Z911" s="4">
        <f>GroDB[[#This Row],[Unit_Price]]*GroDB[[#This Row],[Sales_Volume]]</f>
        <v>114</v>
      </c>
      <c r="AA911" s="22">
        <f>GroDB[[#This Row],[ADU]]/GroDB[[#Totals],[ADU]]</f>
        <v>3.3113608083717229E-4</v>
      </c>
      <c r="AB911" s="1">
        <f>GroDB[[#This Row],[Sales_Volume]]*GroDB[[#This Row],[Ordering Cost]]</f>
        <v>91.2</v>
      </c>
    </row>
    <row r="912" spans="1:28" x14ac:dyDescent="0.35">
      <c r="A912" s="5" t="s">
        <v>627</v>
      </c>
      <c r="B912" s="3" t="s">
        <v>53</v>
      </c>
      <c r="C912" s="3" t="s">
        <v>312</v>
      </c>
      <c r="D912" s="3" t="s">
        <v>3217</v>
      </c>
      <c r="E912" s="3" t="s">
        <v>21</v>
      </c>
      <c r="F912" s="3" t="s">
        <v>3218</v>
      </c>
      <c r="G912" s="3" t="s">
        <v>3219</v>
      </c>
      <c r="H912" s="43">
        <v>45521</v>
      </c>
      <c r="I912" s="43">
        <v>45372</v>
      </c>
      <c r="J912" s="47" t="str">
        <f>IF(GroDB[[#This Row],[Last_Order_Date]]&lt;=GroDB[[#This Row],[Date_Received]], "Yes", "No")</f>
        <v>Yes</v>
      </c>
      <c r="K912" s="43">
        <f>IF(GroDB[[#This Row],[Column1]]="No",GroDB[[#This Row],[Last_Order_Date]],GroDB[[#This Row],[Date_Received]])</f>
        <v>45521</v>
      </c>
      <c r="L912" s="43">
        <f>IF(GroDB[[#This Row],[Column1]]="No",GroDB[[#This Row],[Date_Received]],GroDB[[#This Row],[Last_Order_Date]])</f>
        <v>45372</v>
      </c>
      <c r="M912" s="45">
        <f>GroDB[[#This Row],[Date_Received1]]-GroDB[[#This Row],[Procurement_Date]]</f>
        <v>149</v>
      </c>
      <c r="N912" s="43">
        <v>45360</v>
      </c>
      <c r="O912" s="91">
        <f>GroDB[[#This Row],[Expiration_Date]]-GroDB[[#This Row],[Date_Received1]]</f>
        <v>-161</v>
      </c>
      <c r="P912" s="4">
        <v>2</v>
      </c>
      <c r="Q912" s="3">
        <v>63</v>
      </c>
      <c r="R912" s="3">
        <v>4</v>
      </c>
      <c r="S912" s="3">
        <v>46</v>
      </c>
      <c r="T912" s="4">
        <v>2.5</v>
      </c>
      <c r="U912" s="3">
        <v>40</v>
      </c>
      <c r="V912" s="51">
        <f>IF(GroDB[[#This Row],[LeadTime]]=0,GroDB[[#This Row],[Sales_Volume]],GroDB[[#This Row],[Sales_Volume]]/GroDB[[#This Row],[LeadTime]])</f>
        <v>0.26845637583892618</v>
      </c>
      <c r="W912" s="51">
        <f>_xlfn.STDEV.S(GroDB[Daily Sales])</f>
        <v>5.1999899792654221</v>
      </c>
      <c r="X912" s="3">
        <v>69</v>
      </c>
      <c r="Y912" s="7">
        <v>0.93</v>
      </c>
      <c r="Z912" s="4">
        <f>GroDB[[#This Row],[Unit_Price]]*GroDB[[#This Row],[Sales_Volume]]</f>
        <v>100</v>
      </c>
      <c r="AA912" s="22">
        <f>GroDB[[#This Row],[ADU]]/GroDB[[#Totals],[ADU]]</f>
        <v>2.9047024634839674E-4</v>
      </c>
      <c r="AB912" s="1">
        <f>GroDB[[#This Row],[Sales_Volume]]*GroDB[[#This Row],[Ordering Cost]]</f>
        <v>80</v>
      </c>
    </row>
    <row r="913" spans="1:28" x14ac:dyDescent="0.35">
      <c r="A913" s="5" t="s">
        <v>101</v>
      </c>
      <c r="B913" s="3" t="s">
        <v>18</v>
      </c>
      <c r="C913" s="3" t="s">
        <v>1540</v>
      </c>
      <c r="D913" s="3" t="s">
        <v>3220</v>
      </c>
      <c r="E913" s="3" t="s">
        <v>21</v>
      </c>
      <c r="F913" s="3" t="s">
        <v>3221</v>
      </c>
      <c r="G913" s="3" t="s">
        <v>3222</v>
      </c>
      <c r="H913" s="43">
        <v>45522</v>
      </c>
      <c r="I913" s="43">
        <v>45615</v>
      </c>
      <c r="J913" s="47" t="str">
        <f>IF(GroDB[[#This Row],[Last_Order_Date]]&lt;=GroDB[[#This Row],[Date_Received]], "Yes", "No")</f>
        <v>No</v>
      </c>
      <c r="K913" s="43">
        <f>IF(GroDB[[#This Row],[Column1]]="No",GroDB[[#This Row],[Last_Order_Date]],GroDB[[#This Row],[Date_Received]])</f>
        <v>45615</v>
      </c>
      <c r="L913" s="43">
        <f>IF(GroDB[[#This Row],[Column1]]="No",GroDB[[#This Row],[Date_Received]],GroDB[[#This Row],[Last_Order_Date]])</f>
        <v>45522</v>
      </c>
      <c r="M913" s="45">
        <f>GroDB[[#This Row],[Date_Received1]]-GroDB[[#This Row],[Procurement_Date]]</f>
        <v>93</v>
      </c>
      <c r="N913" s="43">
        <v>45646</v>
      </c>
      <c r="O913" s="91">
        <f>GroDB[[#This Row],[Expiration_Date]]-GroDB[[#This Row],[Date_Received1]]</f>
        <v>31</v>
      </c>
      <c r="P913" s="4">
        <v>3.6</v>
      </c>
      <c r="Q913" s="3">
        <v>77</v>
      </c>
      <c r="R913" s="3">
        <v>20</v>
      </c>
      <c r="S913" s="3">
        <v>5</v>
      </c>
      <c r="T913" s="4">
        <v>4.5</v>
      </c>
      <c r="U913" s="3">
        <v>61</v>
      </c>
      <c r="V913" s="51">
        <f>IF(GroDB[[#This Row],[LeadTime]]=0,GroDB[[#This Row],[Sales_Volume]],GroDB[[#This Row],[Sales_Volume]]/GroDB[[#This Row],[LeadTime]])</f>
        <v>0.65591397849462363</v>
      </c>
      <c r="W913" s="51">
        <f>_xlfn.STDEV.S(GroDB[Daily Sales])</f>
        <v>5.1999899792654221</v>
      </c>
      <c r="X913" s="3">
        <v>62</v>
      </c>
      <c r="Y913" s="7">
        <v>-0.73</v>
      </c>
      <c r="Z913" s="4">
        <f>GroDB[[#This Row],[Unit_Price]]*GroDB[[#This Row],[Sales_Volume]]</f>
        <v>274.5</v>
      </c>
      <c r="AA913" s="22">
        <f>GroDB[[#This Row],[ADU]]/GroDB[[#Totals],[ADU]]</f>
        <v>7.9734082622634906E-4</v>
      </c>
      <c r="AB913" s="1">
        <f>GroDB[[#This Row],[Sales_Volume]]*GroDB[[#This Row],[Ordering Cost]]</f>
        <v>219.6</v>
      </c>
    </row>
    <row r="914" spans="1:28" x14ac:dyDescent="0.35">
      <c r="A914" s="5" t="s">
        <v>175</v>
      </c>
      <c r="B914" s="3" t="s">
        <v>53</v>
      </c>
      <c r="C914" s="3" t="s">
        <v>1282</v>
      </c>
      <c r="D914" s="3" t="s">
        <v>3223</v>
      </c>
      <c r="E914" s="3" t="s">
        <v>21</v>
      </c>
      <c r="F914" s="3" t="s">
        <v>3224</v>
      </c>
      <c r="G914" s="3" t="s">
        <v>3225</v>
      </c>
      <c r="H914" s="43">
        <v>45522</v>
      </c>
      <c r="I914" s="43">
        <v>45618</v>
      </c>
      <c r="J914" s="47" t="str">
        <f>IF(GroDB[[#This Row],[Last_Order_Date]]&lt;=GroDB[[#This Row],[Date_Received]], "Yes", "No")</f>
        <v>No</v>
      </c>
      <c r="K914" s="43">
        <f>IF(GroDB[[#This Row],[Column1]]="No",GroDB[[#This Row],[Last_Order_Date]],GroDB[[#This Row],[Date_Received]])</f>
        <v>45618</v>
      </c>
      <c r="L914" s="43">
        <f>IF(GroDB[[#This Row],[Column1]]="No",GroDB[[#This Row],[Date_Received]],GroDB[[#This Row],[Last_Order_Date]])</f>
        <v>45522</v>
      </c>
      <c r="M914" s="45">
        <f>GroDB[[#This Row],[Date_Received1]]-GroDB[[#This Row],[Procurement_Date]]</f>
        <v>96</v>
      </c>
      <c r="N914" s="43">
        <v>45428</v>
      </c>
      <c r="O914" s="91">
        <f>GroDB[[#This Row],[Expiration_Date]]-GroDB[[#This Row],[Date_Received1]]</f>
        <v>-190</v>
      </c>
      <c r="P914" s="4">
        <v>1.2000000000000002</v>
      </c>
      <c r="Q914" s="3">
        <v>14</v>
      </c>
      <c r="R914" s="3">
        <v>74</v>
      </c>
      <c r="S914" s="3">
        <v>71</v>
      </c>
      <c r="T914" s="4">
        <v>1.5</v>
      </c>
      <c r="U914" s="3">
        <v>37</v>
      </c>
      <c r="V914" s="51">
        <f>IF(GroDB[[#This Row],[LeadTime]]=0,GroDB[[#This Row],[Sales_Volume]],GroDB[[#This Row],[Sales_Volume]]/GroDB[[#This Row],[LeadTime]])</f>
        <v>0.38541666666666669</v>
      </c>
      <c r="W914" s="51">
        <f>_xlfn.STDEV.S(GroDB[Daily Sales])</f>
        <v>5.1999899792654221</v>
      </c>
      <c r="X914" s="3">
        <v>22</v>
      </c>
      <c r="Y914" s="7">
        <v>-0.02</v>
      </c>
      <c r="Z914" s="4">
        <f>GroDB[[#This Row],[Unit_Price]]*GroDB[[#This Row],[Sales_Volume]]</f>
        <v>55.5</v>
      </c>
      <c r="AA914" s="22">
        <f>GroDB[[#This Row],[ADU]]/GroDB[[#Totals],[ADU]]</f>
        <v>1.612109867233602E-4</v>
      </c>
      <c r="AB914" s="1">
        <f>GroDB[[#This Row],[Sales_Volume]]*GroDB[[#This Row],[Ordering Cost]]</f>
        <v>44.400000000000006</v>
      </c>
    </row>
    <row r="915" spans="1:28" x14ac:dyDescent="0.35">
      <c r="A915" s="5" t="s">
        <v>1081</v>
      </c>
      <c r="B915" s="3" t="s">
        <v>127</v>
      </c>
      <c r="C915" s="3" t="s">
        <v>2815</v>
      </c>
      <c r="D915" s="3" t="s">
        <v>3226</v>
      </c>
      <c r="E915" s="3" t="s">
        <v>56</v>
      </c>
      <c r="F915" s="3" t="s">
        <v>3227</v>
      </c>
      <c r="G915" s="3" t="s">
        <v>3228</v>
      </c>
      <c r="H915" s="43">
        <v>45522</v>
      </c>
      <c r="I915" s="43">
        <v>45700</v>
      </c>
      <c r="J915" s="47" t="str">
        <f>IF(GroDB[[#This Row],[Last_Order_Date]]&lt;=GroDB[[#This Row],[Date_Received]], "Yes", "No")</f>
        <v>No</v>
      </c>
      <c r="K915" s="43">
        <f>IF(GroDB[[#This Row],[Column1]]="No",GroDB[[#This Row],[Last_Order_Date]],GroDB[[#This Row],[Date_Received]])</f>
        <v>45700</v>
      </c>
      <c r="L915" s="43">
        <f>IF(GroDB[[#This Row],[Column1]]="No",GroDB[[#This Row],[Date_Received]],GroDB[[#This Row],[Last_Order_Date]])</f>
        <v>45522</v>
      </c>
      <c r="M915" s="45">
        <f>GroDB[[#This Row],[Date_Received1]]-GroDB[[#This Row],[Procurement_Date]]</f>
        <v>178</v>
      </c>
      <c r="N915" s="43">
        <v>45411</v>
      </c>
      <c r="O915" s="91">
        <f>GroDB[[#This Row],[Expiration_Date]]-GroDB[[#This Row],[Date_Received1]]</f>
        <v>-289</v>
      </c>
      <c r="P915" s="4">
        <v>6.4</v>
      </c>
      <c r="Q915" s="3">
        <v>63</v>
      </c>
      <c r="R915" s="3">
        <v>92</v>
      </c>
      <c r="S915" s="3">
        <v>26</v>
      </c>
      <c r="T915" s="4">
        <v>8</v>
      </c>
      <c r="U915" s="3">
        <v>93</v>
      </c>
      <c r="V915" s="51">
        <f>IF(GroDB[[#This Row],[LeadTime]]=0,GroDB[[#This Row],[Sales_Volume]],GroDB[[#This Row],[Sales_Volume]]/GroDB[[#This Row],[LeadTime]])</f>
        <v>0.52247191011235961</v>
      </c>
      <c r="W915" s="51">
        <f>_xlfn.STDEV.S(GroDB[Daily Sales])</f>
        <v>5.1999899792654221</v>
      </c>
      <c r="X915" s="3">
        <v>99</v>
      </c>
      <c r="Y915" s="7">
        <v>0.41</v>
      </c>
      <c r="Z915" s="4">
        <f>GroDB[[#This Row],[Unit_Price]]*GroDB[[#This Row],[Sales_Volume]]</f>
        <v>744</v>
      </c>
      <c r="AA915" s="22">
        <f>GroDB[[#This Row],[ADU]]/GroDB[[#Totals],[ADU]]</f>
        <v>2.1610986328320717E-3</v>
      </c>
      <c r="AB915" s="1">
        <f>GroDB[[#This Row],[Sales_Volume]]*GroDB[[#This Row],[Ordering Cost]]</f>
        <v>595.20000000000005</v>
      </c>
    </row>
    <row r="916" spans="1:28" x14ac:dyDescent="0.35">
      <c r="A916" s="5" t="s">
        <v>329</v>
      </c>
      <c r="B916" s="3" t="s">
        <v>53</v>
      </c>
      <c r="C916" s="3" t="s">
        <v>478</v>
      </c>
      <c r="D916" s="3" t="s">
        <v>3229</v>
      </c>
      <c r="E916" s="3" t="s">
        <v>28</v>
      </c>
      <c r="F916" s="3" t="s">
        <v>3230</v>
      </c>
      <c r="G916" s="3" t="s">
        <v>3231</v>
      </c>
      <c r="H916" s="43">
        <v>45522</v>
      </c>
      <c r="I916" s="43">
        <v>45385</v>
      </c>
      <c r="J916" s="47" t="str">
        <f>IF(GroDB[[#This Row],[Last_Order_Date]]&lt;=GroDB[[#This Row],[Date_Received]], "Yes", "No")</f>
        <v>Yes</v>
      </c>
      <c r="K916" s="43">
        <f>IF(GroDB[[#This Row],[Column1]]="No",GroDB[[#This Row],[Last_Order_Date]],GroDB[[#This Row],[Date_Received]])</f>
        <v>45522</v>
      </c>
      <c r="L916" s="43">
        <f>IF(GroDB[[#This Row],[Column1]]="No",GroDB[[#This Row],[Date_Received]],GroDB[[#This Row],[Last_Order_Date]])</f>
        <v>45385</v>
      </c>
      <c r="M916" s="45">
        <f>GroDB[[#This Row],[Date_Received1]]-GroDB[[#This Row],[Procurement_Date]]</f>
        <v>137</v>
      </c>
      <c r="N916" s="43">
        <v>45599</v>
      </c>
      <c r="O916" s="91">
        <f>GroDB[[#This Row],[Expiration_Date]]-GroDB[[#This Row],[Date_Received1]]</f>
        <v>77</v>
      </c>
      <c r="P916" s="4">
        <v>5.2</v>
      </c>
      <c r="Q916" s="3">
        <v>85</v>
      </c>
      <c r="R916" s="3">
        <v>4</v>
      </c>
      <c r="S916" s="3">
        <v>75</v>
      </c>
      <c r="T916" s="4">
        <v>6.5</v>
      </c>
      <c r="U916" s="3">
        <v>95</v>
      </c>
      <c r="V916" s="51">
        <f>IF(GroDB[[#This Row],[LeadTime]]=0,GroDB[[#This Row],[Sales_Volume]],GroDB[[#This Row],[Sales_Volume]]/GroDB[[#This Row],[LeadTime]])</f>
        <v>0.69343065693430661</v>
      </c>
      <c r="W916" s="51">
        <f>_xlfn.STDEV.S(GroDB[Daily Sales])</f>
        <v>5.1999899792654221</v>
      </c>
      <c r="X916" s="3">
        <v>70</v>
      </c>
      <c r="Y916" s="7">
        <v>-0.06</v>
      </c>
      <c r="Z916" s="4">
        <f>GroDB[[#This Row],[Unit_Price]]*GroDB[[#This Row],[Sales_Volume]]</f>
        <v>617.5</v>
      </c>
      <c r="AA916" s="22">
        <f>GroDB[[#This Row],[ADU]]/GroDB[[#Totals],[ADU]]</f>
        <v>1.7936537712013498E-3</v>
      </c>
      <c r="AB916" s="1">
        <f>GroDB[[#This Row],[Sales_Volume]]*GroDB[[#This Row],[Ordering Cost]]</f>
        <v>494</v>
      </c>
    </row>
    <row r="917" spans="1:28" x14ac:dyDescent="0.35">
      <c r="A917" s="5" t="s">
        <v>165</v>
      </c>
      <c r="B917" s="3" t="s">
        <v>60</v>
      </c>
      <c r="C917" s="3" t="s">
        <v>922</v>
      </c>
      <c r="D917" s="3" t="s">
        <v>3232</v>
      </c>
      <c r="E917" s="3" t="s">
        <v>56</v>
      </c>
      <c r="F917" s="3" t="s">
        <v>3233</v>
      </c>
      <c r="G917" s="3" t="s">
        <v>3234</v>
      </c>
      <c r="H917" s="43">
        <v>45522</v>
      </c>
      <c r="I917" s="43">
        <v>45606</v>
      </c>
      <c r="J917" s="47" t="str">
        <f>IF(GroDB[[#This Row],[Last_Order_Date]]&lt;=GroDB[[#This Row],[Date_Received]], "Yes", "No")</f>
        <v>No</v>
      </c>
      <c r="K917" s="43">
        <f>IF(GroDB[[#This Row],[Column1]]="No",GroDB[[#This Row],[Last_Order_Date]],GroDB[[#This Row],[Date_Received]])</f>
        <v>45606</v>
      </c>
      <c r="L917" s="43">
        <f>IF(GroDB[[#This Row],[Column1]]="No",GroDB[[#This Row],[Date_Received]],GroDB[[#This Row],[Last_Order_Date]])</f>
        <v>45522</v>
      </c>
      <c r="M917" s="45">
        <f>GroDB[[#This Row],[Date_Received1]]-GroDB[[#This Row],[Procurement_Date]]</f>
        <v>84</v>
      </c>
      <c r="N917" s="43">
        <v>45366</v>
      </c>
      <c r="O917" s="91">
        <f>GroDB[[#This Row],[Expiration_Date]]-GroDB[[#This Row],[Date_Received1]]</f>
        <v>-240</v>
      </c>
      <c r="P917" s="4">
        <v>5.6000000000000005</v>
      </c>
      <c r="Q917" s="3">
        <v>59</v>
      </c>
      <c r="R917" s="3">
        <v>59</v>
      </c>
      <c r="S917" s="3">
        <v>10</v>
      </c>
      <c r="T917" s="4">
        <v>7</v>
      </c>
      <c r="U917" s="3">
        <v>57</v>
      </c>
      <c r="V917" s="51">
        <f>IF(GroDB[[#This Row],[LeadTime]]=0,GroDB[[#This Row],[Sales_Volume]],GroDB[[#This Row],[Sales_Volume]]/GroDB[[#This Row],[LeadTime]])</f>
        <v>0.6785714285714286</v>
      </c>
      <c r="W917" s="51">
        <f>_xlfn.STDEV.S(GroDB[Daily Sales])</f>
        <v>5.1999899792654221</v>
      </c>
      <c r="X917" s="3">
        <v>50</v>
      </c>
      <c r="Y917" s="7">
        <v>0.26</v>
      </c>
      <c r="Z917" s="4">
        <f>GroDB[[#This Row],[Unit_Price]]*GroDB[[#This Row],[Sales_Volume]]</f>
        <v>399</v>
      </c>
      <c r="AA917" s="22">
        <f>GroDB[[#This Row],[ADU]]/GroDB[[#Totals],[ADU]]</f>
        <v>1.1589762829301031E-3</v>
      </c>
      <c r="AB917" s="1">
        <f>GroDB[[#This Row],[Sales_Volume]]*GroDB[[#This Row],[Ordering Cost]]</f>
        <v>319.20000000000005</v>
      </c>
    </row>
    <row r="918" spans="1:28" x14ac:dyDescent="0.35">
      <c r="A918" s="5" t="s">
        <v>674</v>
      </c>
      <c r="B918" s="3" t="s">
        <v>60</v>
      </c>
      <c r="C918" s="3" t="s">
        <v>1613</v>
      </c>
      <c r="D918" s="3" t="s">
        <v>3235</v>
      </c>
      <c r="E918" s="3" t="s">
        <v>21</v>
      </c>
      <c r="F918" s="3" t="s">
        <v>3236</v>
      </c>
      <c r="G918" s="3" t="s">
        <v>3237</v>
      </c>
      <c r="H918" s="43">
        <v>45522</v>
      </c>
      <c r="I918" s="43">
        <v>45441</v>
      </c>
      <c r="J918" s="47" t="str">
        <f>IF(GroDB[[#This Row],[Last_Order_Date]]&lt;=GroDB[[#This Row],[Date_Received]], "Yes", "No")</f>
        <v>Yes</v>
      </c>
      <c r="K918" s="43">
        <f>IF(GroDB[[#This Row],[Column1]]="No",GroDB[[#This Row],[Last_Order_Date]],GroDB[[#This Row],[Date_Received]])</f>
        <v>45522</v>
      </c>
      <c r="L918" s="43">
        <f>IF(GroDB[[#This Row],[Column1]]="No",GroDB[[#This Row],[Date_Received]],GroDB[[#This Row],[Last_Order_Date]])</f>
        <v>45441</v>
      </c>
      <c r="M918" s="45">
        <f>GroDB[[#This Row],[Date_Received1]]-GroDB[[#This Row],[Procurement_Date]]</f>
        <v>81</v>
      </c>
      <c r="N918" s="43">
        <v>45667</v>
      </c>
      <c r="O918" s="91">
        <f>GroDB[[#This Row],[Expiration_Date]]-GroDB[[#This Row],[Date_Received1]]</f>
        <v>145</v>
      </c>
      <c r="P918" s="4">
        <v>7.2</v>
      </c>
      <c r="Q918" s="3">
        <v>79</v>
      </c>
      <c r="R918" s="3">
        <v>53</v>
      </c>
      <c r="S918" s="3">
        <v>12</v>
      </c>
      <c r="T918" s="4">
        <v>9</v>
      </c>
      <c r="U918" s="3">
        <v>45</v>
      </c>
      <c r="V918" s="51">
        <f>IF(GroDB[[#This Row],[LeadTime]]=0,GroDB[[#This Row],[Sales_Volume]],GroDB[[#This Row],[Sales_Volume]]/GroDB[[#This Row],[LeadTime]])</f>
        <v>0.55555555555555558</v>
      </c>
      <c r="W918" s="51">
        <f>_xlfn.STDEV.S(GroDB[Daily Sales])</f>
        <v>5.1999899792654221</v>
      </c>
      <c r="X918" s="3">
        <v>95</v>
      </c>
      <c r="Y918" s="7">
        <v>0.12</v>
      </c>
      <c r="Z918" s="4">
        <f>GroDB[[#This Row],[Unit_Price]]*GroDB[[#This Row],[Sales_Volume]]</f>
        <v>405</v>
      </c>
      <c r="AA918" s="22">
        <f>GroDB[[#This Row],[ADU]]/GroDB[[#Totals],[ADU]]</f>
        <v>1.1764044977110068E-3</v>
      </c>
      <c r="AB918" s="1">
        <f>GroDB[[#This Row],[Sales_Volume]]*GroDB[[#This Row],[Ordering Cost]]</f>
        <v>324</v>
      </c>
    </row>
    <row r="919" spans="1:28" x14ac:dyDescent="0.35">
      <c r="A919" s="5" t="s">
        <v>31</v>
      </c>
      <c r="B919" s="3" t="s">
        <v>32</v>
      </c>
      <c r="C919" s="3" t="s">
        <v>2925</v>
      </c>
      <c r="D919" s="3" t="s">
        <v>3238</v>
      </c>
      <c r="E919" s="3" t="s">
        <v>28</v>
      </c>
      <c r="F919" s="3" t="s">
        <v>3239</v>
      </c>
      <c r="G919" s="3" t="s">
        <v>3240</v>
      </c>
      <c r="H919" s="43">
        <v>45522</v>
      </c>
      <c r="I919" s="43">
        <v>45577</v>
      </c>
      <c r="J919" s="47" t="str">
        <f>IF(GroDB[[#This Row],[Last_Order_Date]]&lt;=GroDB[[#This Row],[Date_Received]], "Yes", "No")</f>
        <v>No</v>
      </c>
      <c r="K919" s="43">
        <f>IF(GroDB[[#This Row],[Column1]]="No",GroDB[[#This Row],[Last_Order_Date]],GroDB[[#This Row],[Date_Received]])</f>
        <v>45577</v>
      </c>
      <c r="L919" s="43">
        <f>IF(GroDB[[#This Row],[Column1]]="No",GroDB[[#This Row],[Date_Received]],GroDB[[#This Row],[Last_Order_Date]])</f>
        <v>45522</v>
      </c>
      <c r="M919" s="45">
        <f>GroDB[[#This Row],[Date_Received1]]-GroDB[[#This Row],[Procurement_Date]]</f>
        <v>55</v>
      </c>
      <c r="N919" s="43">
        <v>45388</v>
      </c>
      <c r="O919" s="91">
        <f>GroDB[[#This Row],[Expiration_Date]]-GroDB[[#This Row],[Date_Received1]]</f>
        <v>-189</v>
      </c>
      <c r="P919" s="4">
        <v>9.6000000000000014</v>
      </c>
      <c r="Q919" s="3">
        <v>80</v>
      </c>
      <c r="R919" s="3">
        <v>100</v>
      </c>
      <c r="S919" s="3">
        <v>48</v>
      </c>
      <c r="T919" s="4">
        <v>12</v>
      </c>
      <c r="U919" s="3">
        <v>100</v>
      </c>
      <c r="V919" s="51">
        <f>IF(GroDB[[#This Row],[LeadTime]]=0,GroDB[[#This Row],[Sales_Volume]],GroDB[[#This Row],[Sales_Volume]]/GroDB[[#This Row],[LeadTime]])</f>
        <v>1.8181818181818181</v>
      </c>
      <c r="W919" s="51">
        <f>_xlfn.STDEV.S(GroDB[Daily Sales])</f>
        <v>5.1999899792654221</v>
      </c>
      <c r="X919" s="3">
        <v>28</v>
      </c>
      <c r="Y919" s="7">
        <v>-1.1100000000000001</v>
      </c>
      <c r="Z919" s="4">
        <f>GroDB[[#This Row],[Unit_Price]]*GroDB[[#This Row],[Sales_Volume]]</f>
        <v>1200</v>
      </c>
      <c r="AA919" s="22">
        <f>GroDB[[#This Row],[ADU]]/GroDB[[#Totals],[ADU]]</f>
        <v>3.485642956180761E-3</v>
      </c>
      <c r="AB919" s="1">
        <f>GroDB[[#This Row],[Sales_Volume]]*GroDB[[#This Row],[Ordering Cost]]</f>
        <v>960.00000000000011</v>
      </c>
    </row>
    <row r="920" spans="1:28" x14ac:dyDescent="0.35">
      <c r="A920" s="5" t="s">
        <v>132</v>
      </c>
      <c r="B920" s="3" t="s">
        <v>18</v>
      </c>
      <c r="C920" s="3" t="s">
        <v>2925</v>
      </c>
      <c r="D920" s="3" t="s">
        <v>3241</v>
      </c>
      <c r="E920" s="3" t="s">
        <v>28</v>
      </c>
      <c r="F920" s="3" t="s">
        <v>3242</v>
      </c>
      <c r="G920" s="3" t="s">
        <v>3243</v>
      </c>
      <c r="H920" s="43">
        <v>45523</v>
      </c>
      <c r="I920" s="43">
        <v>45566</v>
      </c>
      <c r="J920" s="47" t="str">
        <f>IF(GroDB[[#This Row],[Last_Order_Date]]&lt;=GroDB[[#This Row],[Date_Received]], "Yes", "No")</f>
        <v>No</v>
      </c>
      <c r="K920" s="43">
        <f>IF(GroDB[[#This Row],[Column1]]="No",GroDB[[#This Row],[Last_Order_Date]],GroDB[[#This Row],[Date_Received]])</f>
        <v>45566</v>
      </c>
      <c r="L920" s="43">
        <f>IF(GroDB[[#This Row],[Column1]]="No",GroDB[[#This Row],[Date_Received]],GroDB[[#This Row],[Last_Order_Date]])</f>
        <v>45523</v>
      </c>
      <c r="M920" s="45">
        <f>GroDB[[#This Row],[Date_Received1]]-GroDB[[#This Row],[Procurement_Date]]</f>
        <v>43</v>
      </c>
      <c r="N920" s="43">
        <v>45698</v>
      </c>
      <c r="O920" s="91">
        <f>GroDB[[#This Row],[Expiration_Date]]-GroDB[[#This Row],[Date_Received1]]</f>
        <v>132</v>
      </c>
      <c r="P920" s="4">
        <v>1.6</v>
      </c>
      <c r="Q920" s="3">
        <v>100</v>
      </c>
      <c r="R920" s="3">
        <v>3</v>
      </c>
      <c r="S920" s="3">
        <v>32</v>
      </c>
      <c r="T920" s="4">
        <v>2</v>
      </c>
      <c r="U920" s="3">
        <v>98</v>
      </c>
      <c r="V920" s="51">
        <f>IF(GroDB[[#This Row],[LeadTime]]=0,GroDB[[#This Row],[Sales_Volume]],GroDB[[#This Row],[Sales_Volume]]/GroDB[[#This Row],[LeadTime]])</f>
        <v>2.2790697674418605</v>
      </c>
      <c r="W920" s="51">
        <f>_xlfn.STDEV.S(GroDB[Daily Sales])</f>
        <v>5.1999899792654221</v>
      </c>
      <c r="X920" s="3">
        <v>91</v>
      </c>
      <c r="Y920" s="7">
        <v>0.72</v>
      </c>
      <c r="Z920" s="4">
        <f>GroDB[[#This Row],[Unit_Price]]*GroDB[[#This Row],[Sales_Volume]]</f>
        <v>196</v>
      </c>
      <c r="AA920" s="22">
        <f>GroDB[[#This Row],[ADU]]/GroDB[[#Totals],[ADU]]</f>
        <v>5.6932168284285758E-4</v>
      </c>
      <c r="AB920" s="1">
        <f>GroDB[[#This Row],[Sales_Volume]]*GroDB[[#This Row],[Ordering Cost]]</f>
        <v>156.80000000000001</v>
      </c>
    </row>
    <row r="921" spans="1:28" x14ac:dyDescent="0.35">
      <c r="A921" s="5" t="s">
        <v>253</v>
      </c>
      <c r="B921" s="3" t="s">
        <v>18</v>
      </c>
      <c r="C921" s="3" t="s">
        <v>1058</v>
      </c>
      <c r="D921" s="3" t="s">
        <v>3244</v>
      </c>
      <c r="E921" s="3" t="s">
        <v>28</v>
      </c>
      <c r="F921" s="3" t="s">
        <v>3245</v>
      </c>
      <c r="G921" s="3" t="s">
        <v>3246</v>
      </c>
      <c r="H921" s="43">
        <v>45523</v>
      </c>
      <c r="I921" s="43">
        <v>45502</v>
      </c>
      <c r="J921" s="47" t="str">
        <f>IF(GroDB[[#This Row],[Last_Order_Date]]&lt;=GroDB[[#This Row],[Date_Received]], "Yes", "No")</f>
        <v>Yes</v>
      </c>
      <c r="K921" s="43">
        <f>IF(GroDB[[#This Row],[Column1]]="No",GroDB[[#This Row],[Last_Order_Date]],GroDB[[#This Row],[Date_Received]])</f>
        <v>45523</v>
      </c>
      <c r="L921" s="43">
        <f>IF(GroDB[[#This Row],[Column1]]="No",GroDB[[#This Row],[Date_Received]],GroDB[[#This Row],[Last_Order_Date]])</f>
        <v>45502</v>
      </c>
      <c r="M921" s="45">
        <f>GroDB[[#This Row],[Date_Received1]]-GroDB[[#This Row],[Procurement_Date]]</f>
        <v>21</v>
      </c>
      <c r="N921" s="43">
        <v>45353</v>
      </c>
      <c r="O921" s="91">
        <f>GroDB[[#This Row],[Expiration_Date]]-GroDB[[#This Row],[Date_Received1]]</f>
        <v>-170</v>
      </c>
      <c r="P921" s="4">
        <v>4</v>
      </c>
      <c r="Q921" s="3">
        <v>90</v>
      </c>
      <c r="R921" s="3">
        <v>30</v>
      </c>
      <c r="S921" s="3">
        <v>42</v>
      </c>
      <c r="T921" s="4">
        <v>5</v>
      </c>
      <c r="U921" s="3">
        <v>76</v>
      </c>
      <c r="V921" s="51">
        <f>IF(GroDB[[#This Row],[LeadTime]]=0,GroDB[[#This Row],[Sales_Volume]],GroDB[[#This Row],[Sales_Volume]]/GroDB[[#This Row],[LeadTime]])</f>
        <v>3.6190476190476191</v>
      </c>
      <c r="W921" s="51">
        <f>_xlfn.STDEV.S(GroDB[Daily Sales])</f>
        <v>5.1999899792654221</v>
      </c>
      <c r="X921" s="3">
        <v>69</v>
      </c>
      <c r="Y921" s="7">
        <v>7.0000000000000007E-2</v>
      </c>
      <c r="Z921" s="4">
        <f>GroDB[[#This Row],[Unit_Price]]*GroDB[[#This Row],[Sales_Volume]]</f>
        <v>380</v>
      </c>
      <c r="AA921" s="22">
        <f>GroDB[[#This Row],[ADU]]/GroDB[[#Totals],[ADU]]</f>
        <v>1.1037869361239076E-3</v>
      </c>
      <c r="AB921" s="1">
        <f>GroDB[[#This Row],[Sales_Volume]]*GroDB[[#This Row],[Ordering Cost]]</f>
        <v>304</v>
      </c>
    </row>
    <row r="922" spans="1:28" x14ac:dyDescent="0.35">
      <c r="A922" s="5" t="s">
        <v>1350</v>
      </c>
      <c r="B922" s="3" t="s">
        <v>32</v>
      </c>
      <c r="C922" s="3" t="s">
        <v>347</v>
      </c>
      <c r="D922" s="3" t="s">
        <v>3247</v>
      </c>
      <c r="E922" s="3" t="s">
        <v>56</v>
      </c>
      <c r="F922" s="3" t="s">
        <v>3248</v>
      </c>
      <c r="G922" s="3" t="s">
        <v>3249</v>
      </c>
      <c r="H922" s="43">
        <v>45524</v>
      </c>
      <c r="I922" s="43">
        <v>45473</v>
      </c>
      <c r="J922" s="47" t="str">
        <f>IF(GroDB[[#This Row],[Last_Order_Date]]&lt;=GroDB[[#This Row],[Date_Received]], "Yes", "No")</f>
        <v>Yes</v>
      </c>
      <c r="K922" s="43">
        <f>IF(GroDB[[#This Row],[Column1]]="No",GroDB[[#This Row],[Last_Order_Date]],GroDB[[#This Row],[Date_Received]])</f>
        <v>45524</v>
      </c>
      <c r="L922" s="43">
        <f>IF(GroDB[[#This Row],[Column1]]="No",GroDB[[#This Row],[Date_Received]],GroDB[[#This Row],[Last_Order_Date]])</f>
        <v>45473</v>
      </c>
      <c r="M922" s="45">
        <f>GroDB[[#This Row],[Date_Received1]]-GroDB[[#This Row],[Procurement_Date]]</f>
        <v>51</v>
      </c>
      <c r="N922" s="43">
        <v>45455</v>
      </c>
      <c r="O922" s="91">
        <f>GroDB[[#This Row],[Expiration_Date]]-GroDB[[#This Row],[Date_Received1]]</f>
        <v>-69</v>
      </c>
      <c r="P922" s="4">
        <v>2.4000000000000004</v>
      </c>
      <c r="Q922" s="3">
        <v>85</v>
      </c>
      <c r="R922" s="3">
        <v>28</v>
      </c>
      <c r="S922" s="3">
        <v>21</v>
      </c>
      <c r="T922" s="4">
        <v>3</v>
      </c>
      <c r="U922" s="3">
        <v>45</v>
      </c>
      <c r="V922" s="51">
        <f>IF(GroDB[[#This Row],[LeadTime]]=0,GroDB[[#This Row],[Sales_Volume]],GroDB[[#This Row],[Sales_Volume]]/GroDB[[#This Row],[LeadTime]])</f>
        <v>0.88235294117647056</v>
      </c>
      <c r="W922" s="51">
        <f>_xlfn.STDEV.S(GroDB[Daily Sales])</f>
        <v>5.1999899792654221</v>
      </c>
      <c r="X922" s="3">
        <v>89</v>
      </c>
      <c r="Y922" s="7">
        <v>0.09</v>
      </c>
      <c r="Z922" s="4">
        <f>GroDB[[#This Row],[Unit_Price]]*GroDB[[#This Row],[Sales_Volume]]</f>
        <v>135</v>
      </c>
      <c r="AA922" s="22">
        <f>GroDB[[#This Row],[ADU]]/GroDB[[#Totals],[ADU]]</f>
        <v>3.9213483257033563E-4</v>
      </c>
      <c r="AB922" s="1">
        <f>GroDB[[#This Row],[Sales_Volume]]*GroDB[[#This Row],[Ordering Cost]]</f>
        <v>108.00000000000001</v>
      </c>
    </row>
    <row r="923" spans="1:28" x14ac:dyDescent="0.35">
      <c r="A923" s="5" t="s">
        <v>175</v>
      </c>
      <c r="B923" s="3" t="s">
        <v>53</v>
      </c>
      <c r="C923" s="3" t="s">
        <v>2504</v>
      </c>
      <c r="D923" s="3" t="s">
        <v>3250</v>
      </c>
      <c r="E923" s="3" t="s">
        <v>56</v>
      </c>
      <c r="F923" s="3" t="s">
        <v>3251</v>
      </c>
      <c r="G923" s="3" t="s">
        <v>3252</v>
      </c>
      <c r="H923" s="43">
        <v>45524</v>
      </c>
      <c r="I923" s="43">
        <v>45402</v>
      </c>
      <c r="J923" s="47" t="str">
        <f>IF(GroDB[[#This Row],[Last_Order_Date]]&lt;=GroDB[[#This Row],[Date_Received]], "Yes", "No")</f>
        <v>Yes</v>
      </c>
      <c r="K923" s="43">
        <f>IF(GroDB[[#This Row],[Column1]]="No",GroDB[[#This Row],[Last_Order_Date]],GroDB[[#This Row],[Date_Received]])</f>
        <v>45524</v>
      </c>
      <c r="L923" s="43">
        <f>IF(GroDB[[#This Row],[Column1]]="No",GroDB[[#This Row],[Date_Received]],GroDB[[#This Row],[Last_Order_Date]])</f>
        <v>45402</v>
      </c>
      <c r="M923" s="45">
        <f>GroDB[[#This Row],[Date_Received1]]-GroDB[[#This Row],[Procurement_Date]]</f>
        <v>122</v>
      </c>
      <c r="N923" s="43">
        <v>45634</v>
      </c>
      <c r="O923" s="91">
        <f>GroDB[[#This Row],[Expiration_Date]]-GroDB[[#This Row],[Date_Received1]]</f>
        <v>110</v>
      </c>
      <c r="P923" s="4">
        <v>1.2000000000000002</v>
      </c>
      <c r="Q923" s="3">
        <v>63</v>
      </c>
      <c r="R923" s="3">
        <v>43</v>
      </c>
      <c r="S923" s="3">
        <v>8</v>
      </c>
      <c r="T923" s="4">
        <v>1.5</v>
      </c>
      <c r="U923" s="3">
        <v>55</v>
      </c>
      <c r="V923" s="51">
        <f>IF(GroDB[[#This Row],[LeadTime]]=0,GroDB[[#This Row],[Sales_Volume]],GroDB[[#This Row],[Sales_Volume]]/GroDB[[#This Row],[LeadTime]])</f>
        <v>0.45081967213114754</v>
      </c>
      <c r="W923" s="51">
        <f>_xlfn.STDEV.S(GroDB[Daily Sales])</f>
        <v>5.1999899792654221</v>
      </c>
      <c r="X923" s="3">
        <v>72</v>
      </c>
      <c r="Y923" s="7">
        <v>-0.98</v>
      </c>
      <c r="Z923" s="4">
        <f>GroDB[[#This Row],[Unit_Price]]*GroDB[[#This Row],[Sales_Volume]]</f>
        <v>82.5</v>
      </c>
      <c r="AA923" s="22">
        <f>GroDB[[#This Row],[ADU]]/GroDB[[#Totals],[ADU]]</f>
        <v>2.3963795323742732E-4</v>
      </c>
      <c r="AB923" s="1">
        <f>GroDB[[#This Row],[Sales_Volume]]*GroDB[[#This Row],[Ordering Cost]]</f>
        <v>66.000000000000014</v>
      </c>
    </row>
    <row r="924" spans="1:28" x14ac:dyDescent="0.35">
      <c r="A924" s="5" t="s">
        <v>549</v>
      </c>
      <c r="B924" s="3" t="s">
        <v>32</v>
      </c>
      <c r="C924" s="3" t="s">
        <v>3253</v>
      </c>
      <c r="D924" s="3" t="s">
        <v>3254</v>
      </c>
      <c r="E924" s="3" t="s">
        <v>21</v>
      </c>
      <c r="F924" s="3" t="s">
        <v>3255</v>
      </c>
      <c r="G924" s="3" t="s">
        <v>3256</v>
      </c>
      <c r="H924" s="43">
        <v>45525</v>
      </c>
      <c r="I924" s="43">
        <v>45691</v>
      </c>
      <c r="J924" s="47" t="str">
        <f>IF(GroDB[[#This Row],[Last_Order_Date]]&lt;=GroDB[[#This Row],[Date_Received]], "Yes", "No")</f>
        <v>No</v>
      </c>
      <c r="K924" s="43">
        <f>IF(GroDB[[#This Row],[Column1]]="No",GroDB[[#This Row],[Last_Order_Date]],GroDB[[#This Row],[Date_Received]])</f>
        <v>45691</v>
      </c>
      <c r="L924" s="43">
        <f>IF(GroDB[[#This Row],[Column1]]="No",GroDB[[#This Row],[Date_Received]],GroDB[[#This Row],[Last_Order_Date]])</f>
        <v>45525</v>
      </c>
      <c r="M924" s="45">
        <f>GroDB[[#This Row],[Date_Received1]]-GroDB[[#This Row],[Procurement_Date]]</f>
        <v>166</v>
      </c>
      <c r="N924" s="43">
        <v>45606</v>
      </c>
      <c r="O924" s="91">
        <f>GroDB[[#This Row],[Expiration_Date]]-GroDB[[#This Row],[Date_Received1]]</f>
        <v>-85</v>
      </c>
      <c r="P924" s="4">
        <v>2</v>
      </c>
      <c r="Q924" s="3">
        <v>97</v>
      </c>
      <c r="R924" s="3">
        <v>26</v>
      </c>
      <c r="S924" s="3">
        <v>15</v>
      </c>
      <c r="T924" s="4">
        <v>2.5</v>
      </c>
      <c r="U924" s="3">
        <v>33</v>
      </c>
      <c r="V924" s="51">
        <f>IF(GroDB[[#This Row],[LeadTime]]=0,GroDB[[#This Row],[Sales_Volume]],GroDB[[#This Row],[Sales_Volume]]/GroDB[[#This Row],[LeadTime]])</f>
        <v>0.19879518072289157</v>
      </c>
      <c r="W924" s="51">
        <f>_xlfn.STDEV.S(GroDB[Daily Sales])</f>
        <v>5.1999899792654221</v>
      </c>
      <c r="X924" s="3">
        <v>58</v>
      </c>
      <c r="Y924" s="7">
        <v>-0.31</v>
      </c>
      <c r="Z924" s="4">
        <f>GroDB[[#This Row],[Unit_Price]]*GroDB[[#This Row],[Sales_Volume]]</f>
        <v>82.5</v>
      </c>
      <c r="AA924" s="22">
        <f>GroDB[[#This Row],[ADU]]/GroDB[[#Totals],[ADU]]</f>
        <v>2.3963795323742732E-4</v>
      </c>
      <c r="AB924" s="1">
        <f>GroDB[[#This Row],[Sales_Volume]]*GroDB[[#This Row],[Ordering Cost]]</f>
        <v>66</v>
      </c>
    </row>
    <row r="925" spans="1:28" x14ac:dyDescent="0.35">
      <c r="A925" s="5" t="s">
        <v>1179</v>
      </c>
      <c r="B925" s="3" t="s">
        <v>91</v>
      </c>
      <c r="C925" s="3" t="s">
        <v>721</v>
      </c>
      <c r="D925" s="3" t="s">
        <v>3257</v>
      </c>
      <c r="E925" s="3" t="s">
        <v>28</v>
      </c>
      <c r="F925" s="3" t="s">
        <v>3258</v>
      </c>
      <c r="G925" s="3" t="s">
        <v>3259</v>
      </c>
      <c r="H925" s="43">
        <v>45526</v>
      </c>
      <c r="I925" s="43">
        <v>45538</v>
      </c>
      <c r="J925" s="47" t="str">
        <f>IF(GroDB[[#This Row],[Last_Order_Date]]&lt;=GroDB[[#This Row],[Date_Received]], "Yes", "No")</f>
        <v>No</v>
      </c>
      <c r="K925" s="43">
        <f>IF(GroDB[[#This Row],[Column1]]="No",GroDB[[#This Row],[Last_Order_Date]],GroDB[[#This Row],[Date_Received]])</f>
        <v>45538</v>
      </c>
      <c r="L925" s="43">
        <f>IF(GroDB[[#This Row],[Column1]]="No",GroDB[[#This Row],[Date_Received]],GroDB[[#This Row],[Last_Order_Date]])</f>
        <v>45526</v>
      </c>
      <c r="M925" s="45">
        <f>GroDB[[#This Row],[Date_Received1]]-GroDB[[#This Row],[Procurement_Date]]</f>
        <v>12</v>
      </c>
      <c r="N925" s="43">
        <v>45677</v>
      </c>
      <c r="O925" s="91">
        <f>GroDB[[#This Row],[Expiration_Date]]-GroDB[[#This Row],[Date_Received1]]</f>
        <v>139</v>
      </c>
      <c r="P925" s="4">
        <v>2</v>
      </c>
      <c r="Q925" s="3">
        <v>56</v>
      </c>
      <c r="R925" s="3">
        <v>62</v>
      </c>
      <c r="S925" s="3">
        <v>64</v>
      </c>
      <c r="T925" s="4">
        <v>2.5</v>
      </c>
      <c r="U925" s="3">
        <v>56</v>
      </c>
      <c r="V925" s="51">
        <f>IF(GroDB[[#This Row],[LeadTime]]=0,GroDB[[#This Row],[Sales_Volume]],GroDB[[#This Row],[Sales_Volume]]/GroDB[[#This Row],[LeadTime]])</f>
        <v>4.666666666666667</v>
      </c>
      <c r="W925" s="51">
        <f>_xlfn.STDEV.S(GroDB[Daily Sales])</f>
        <v>5.1999899792654221</v>
      </c>
      <c r="X925" s="3">
        <v>73</v>
      </c>
      <c r="Y925" s="7">
        <v>-0.76</v>
      </c>
      <c r="Z925" s="4">
        <f>GroDB[[#This Row],[Unit_Price]]*GroDB[[#This Row],[Sales_Volume]]</f>
        <v>140</v>
      </c>
      <c r="AA925" s="22">
        <f>GroDB[[#This Row],[ADU]]/GroDB[[#Totals],[ADU]]</f>
        <v>4.0665834488775546E-4</v>
      </c>
      <c r="AB925" s="1">
        <f>GroDB[[#This Row],[Sales_Volume]]*GroDB[[#This Row],[Ordering Cost]]</f>
        <v>112</v>
      </c>
    </row>
    <row r="926" spans="1:28" x14ac:dyDescent="0.35">
      <c r="A926" s="5" t="s">
        <v>288</v>
      </c>
      <c r="B926" s="3" t="s">
        <v>60</v>
      </c>
      <c r="C926" s="3" t="s">
        <v>1365</v>
      </c>
      <c r="D926" s="3" t="s">
        <v>3260</v>
      </c>
      <c r="E926" s="3" t="s">
        <v>21</v>
      </c>
      <c r="F926" s="3" t="s">
        <v>3261</v>
      </c>
      <c r="G926" s="3" t="s">
        <v>3262</v>
      </c>
      <c r="H926" s="43">
        <v>45526</v>
      </c>
      <c r="I926" s="43">
        <v>45451</v>
      </c>
      <c r="J926" s="47" t="str">
        <f>IF(GroDB[[#This Row],[Last_Order_Date]]&lt;=GroDB[[#This Row],[Date_Received]], "Yes", "No")</f>
        <v>Yes</v>
      </c>
      <c r="K926" s="43">
        <f>IF(GroDB[[#This Row],[Column1]]="No",GroDB[[#This Row],[Last_Order_Date]],GroDB[[#This Row],[Date_Received]])</f>
        <v>45526</v>
      </c>
      <c r="L926" s="43">
        <f>IF(GroDB[[#This Row],[Column1]]="No",GroDB[[#This Row],[Date_Received]],GroDB[[#This Row],[Last_Order_Date]])</f>
        <v>45451</v>
      </c>
      <c r="M926" s="45">
        <f>GroDB[[#This Row],[Date_Received1]]-GroDB[[#This Row],[Procurement_Date]]</f>
        <v>75</v>
      </c>
      <c r="N926" s="43">
        <v>45457</v>
      </c>
      <c r="O926" s="91">
        <f>GroDB[[#This Row],[Expiration_Date]]-GroDB[[#This Row],[Date_Received1]]</f>
        <v>-69</v>
      </c>
      <c r="P926" s="4">
        <v>9.2000000000000011</v>
      </c>
      <c r="Q926" s="3">
        <v>19</v>
      </c>
      <c r="R926" s="3">
        <v>94</v>
      </c>
      <c r="S926" s="3">
        <v>17</v>
      </c>
      <c r="T926" s="4">
        <v>11.5</v>
      </c>
      <c r="U926" s="3">
        <v>96</v>
      </c>
      <c r="V926" s="51">
        <f>IF(GroDB[[#This Row],[LeadTime]]=0,GroDB[[#This Row],[Sales_Volume]],GroDB[[#This Row],[Sales_Volume]]/GroDB[[#This Row],[LeadTime]])</f>
        <v>1.28</v>
      </c>
      <c r="W926" s="51">
        <f>_xlfn.STDEV.S(GroDB[Daily Sales])</f>
        <v>5.1999899792654221</v>
      </c>
      <c r="X926" s="3">
        <v>74</v>
      </c>
      <c r="Y926" s="7">
        <v>-0.3</v>
      </c>
      <c r="Z926" s="4">
        <f>GroDB[[#This Row],[Unit_Price]]*GroDB[[#This Row],[Sales_Volume]]</f>
        <v>1104</v>
      </c>
      <c r="AA926" s="22">
        <f>GroDB[[#This Row],[ADU]]/GroDB[[#Totals],[ADU]]</f>
        <v>3.2067915196863001E-3</v>
      </c>
      <c r="AB926" s="1">
        <f>GroDB[[#This Row],[Sales_Volume]]*GroDB[[#This Row],[Ordering Cost]]</f>
        <v>883.2</v>
      </c>
    </row>
    <row r="927" spans="1:28" x14ac:dyDescent="0.35">
      <c r="A927" s="5" t="s">
        <v>239</v>
      </c>
      <c r="B927" s="3" t="s">
        <v>25</v>
      </c>
      <c r="C927" s="3" t="s">
        <v>882</v>
      </c>
      <c r="D927" s="3" t="s">
        <v>3263</v>
      </c>
      <c r="E927" s="3" t="s">
        <v>21</v>
      </c>
      <c r="F927" s="3" t="s">
        <v>3264</v>
      </c>
      <c r="G927" s="3" t="s">
        <v>3265</v>
      </c>
      <c r="H927" s="43">
        <v>45526</v>
      </c>
      <c r="I927" s="43">
        <v>45669</v>
      </c>
      <c r="J927" s="47" t="str">
        <f>IF(GroDB[[#This Row],[Last_Order_Date]]&lt;=GroDB[[#This Row],[Date_Received]], "Yes", "No")</f>
        <v>No</v>
      </c>
      <c r="K927" s="43">
        <f>IF(GroDB[[#This Row],[Column1]]="No",GroDB[[#This Row],[Last_Order_Date]],GroDB[[#This Row],[Date_Received]])</f>
        <v>45669</v>
      </c>
      <c r="L927" s="43">
        <f>IF(GroDB[[#This Row],[Column1]]="No",GroDB[[#This Row],[Date_Received]],GroDB[[#This Row],[Last_Order_Date]])</f>
        <v>45526</v>
      </c>
      <c r="M927" s="45">
        <f>GroDB[[#This Row],[Date_Received1]]-GroDB[[#This Row],[Procurement_Date]]</f>
        <v>143</v>
      </c>
      <c r="N927" s="43">
        <v>45673</v>
      </c>
      <c r="O927" s="91">
        <f>GroDB[[#This Row],[Expiration_Date]]-GroDB[[#This Row],[Date_Received1]]</f>
        <v>4</v>
      </c>
      <c r="P927" s="4">
        <v>5.2</v>
      </c>
      <c r="Q927" s="3">
        <v>15</v>
      </c>
      <c r="R927" s="3">
        <v>34</v>
      </c>
      <c r="S927" s="3">
        <v>57</v>
      </c>
      <c r="T927" s="4">
        <v>6.5</v>
      </c>
      <c r="U927" s="3">
        <v>49</v>
      </c>
      <c r="V927" s="51">
        <f>IF(GroDB[[#This Row],[LeadTime]]=0,GroDB[[#This Row],[Sales_Volume]],GroDB[[#This Row],[Sales_Volume]]/GroDB[[#This Row],[LeadTime]])</f>
        <v>0.34265734265734266</v>
      </c>
      <c r="W927" s="51">
        <f>_xlfn.STDEV.S(GroDB[Daily Sales])</f>
        <v>5.1999899792654221</v>
      </c>
      <c r="X927" s="3">
        <v>96</v>
      </c>
      <c r="Y927" s="7">
        <v>0.23</v>
      </c>
      <c r="Z927" s="4">
        <f>GroDB[[#This Row],[Unit_Price]]*GroDB[[#This Row],[Sales_Volume]]</f>
        <v>318.5</v>
      </c>
      <c r="AA927" s="22">
        <f>GroDB[[#This Row],[ADU]]/GroDB[[#Totals],[ADU]]</f>
        <v>9.2514773461964362E-4</v>
      </c>
      <c r="AB927" s="1">
        <f>GroDB[[#This Row],[Sales_Volume]]*GroDB[[#This Row],[Ordering Cost]]</f>
        <v>254.8</v>
      </c>
    </row>
    <row r="928" spans="1:28" x14ac:dyDescent="0.35">
      <c r="A928" s="5" t="s">
        <v>276</v>
      </c>
      <c r="B928" s="3" t="s">
        <v>18</v>
      </c>
      <c r="C928" s="3" t="s">
        <v>3266</v>
      </c>
      <c r="D928" s="3" t="s">
        <v>3267</v>
      </c>
      <c r="E928" s="3" t="s">
        <v>28</v>
      </c>
      <c r="F928" s="3" t="s">
        <v>3268</v>
      </c>
      <c r="G928" s="3" t="s">
        <v>3269</v>
      </c>
      <c r="H928" s="43">
        <v>45527</v>
      </c>
      <c r="I928" s="43">
        <v>45578</v>
      </c>
      <c r="J928" s="47" t="str">
        <f>IF(GroDB[[#This Row],[Last_Order_Date]]&lt;=GroDB[[#This Row],[Date_Received]], "Yes", "No")</f>
        <v>No</v>
      </c>
      <c r="K928" s="43">
        <f>IF(GroDB[[#This Row],[Column1]]="No",GroDB[[#This Row],[Last_Order_Date]],GroDB[[#This Row],[Date_Received]])</f>
        <v>45578</v>
      </c>
      <c r="L928" s="43">
        <f>IF(GroDB[[#This Row],[Column1]]="No",GroDB[[#This Row],[Date_Received]],GroDB[[#This Row],[Last_Order_Date]])</f>
        <v>45527</v>
      </c>
      <c r="M928" s="45">
        <f>GroDB[[#This Row],[Date_Received1]]-GroDB[[#This Row],[Procurement_Date]]</f>
        <v>51</v>
      </c>
      <c r="N928" s="43">
        <v>45563</v>
      </c>
      <c r="O928" s="91">
        <f>GroDB[[#This Row],[Expiration_Date]]-GroDB[[#This Row],[Date_Received1]]</f>
        <v>-15</v>
      </c>
      <c r="P928" s="4">
        <v>2.8000000000000003</v>
      </c>
      <c r="Q928" s="3">
        <v>18</v>
      </c>
      <c r="R928" s="3">
        <v>52</v>
      </c>
      <c r="S928" s="3">
        <v>22</v>
      </c>
      <c r="T928" s="4">
        <v>3.5</v>
      </c>
      <c r="U928" s="3">
        <v>42</v>
      </c>
      <c r="V928" s="51">
        <f>IF(GroDB[[#This Row],[LeadTime]]=0,GroDB[[#This Row],[Sales_Volume]],GroDB[[#This Row],[Sales_Volume]]/GroDB[[#This Row],[LeadTime]])</f>
        <v>0.82352941176470584</v>
      </c>
      <c r="W928" s="51">
        <f>_xlfn.STDEV.S(GroDB[Daily Sales])</f>
        <v>5.1999899792654221</v>
      </c>
      <c r="X928" s="3">
        <v>32</v>
      </c>
      <c r="Y928" s="7">
        <v>-0.96</v>
      </c>
      <c r="Z928" s="4">
        <f>GroDB[[#This Row],[Unit_Price]]*GroDB[[#This Row],[Sales_Volume]]</f>
        <v>147</v>
      </c>
      <c r="AA928" s="22">
        <f>GroDB[[#This Row],[ADU]]/GroDB[[#Totals],[ADU]]</f>
        <v>4.2699126213214324E-4</v>
      </c>
      <c r="AB928" s="1">
        <f>GroDB[[#This Row],[Sales_Volume]]*GroDB[[#This Row],[Ordering Cost]]</f>
        <v>117.60000000000001</v>
      </c>
    </row>
    <row r="929" spans="1:28" x14ac:dyDescent="0.35">
      <c r="A929" s="5" t="s">
        <v>1081</v>
      </c>
      <c r="B929" s="3" t="s">
        <v>127</v>
      </c>
      <c r="C929" s="3" t="s">
        <v>3025</v>
      </c>
      <c r="D929" s="3" t="s">
        <v>3270</v>
      </c>
      <c r="E929" s="3" t="s">
        <v>21</v>
      </c>
      <c r="F929" s="3" t="s">
        <v>3271</v>
      </c>
      <c r="G929" s="3" t="s">
        <v>3272</v>
      </c>
      <c r="H929" s="43">
        <v>45527</v>
      </c>
      <c r="I929" s="43">
        <v>45609</v>
      </c>
      <c r="J929" s="47" t="str">
        <f>IF(GroDB[[#This Row],[Last_Order_Date]]&lt;=GroDB[[#This Row],[Date_Received]], "Yes", "No")</f>
        <v>No</v>
      </c>
      <c r="K929" s="43">
        <f>IF(GroDB[[#This Row],[Column1]]="No",GroDB[[#This Row],[Last_Order_Date]],GroDB[[#This Row],[Date_Received]])</f>
        <v>45609</v>
      </c>
      <c r="L929" s="43">
        <f>IF(GroDB[[#This Row],[Column1]]="No",GroDB[[#This Row],[Date_Received]],GroDB[[#This Row],[Last_Order_Date]])</f>
        <v>45527</v>
      </c>
      <c r="M929" s="45">
        <f>GroDB[[#This Row],[Date_Received1]]-GroDB[[#This Row],[Procurement_Date]]</f>
        <v>82</v>
      </c>
      <c r="N929" s="43">
        <v>45599</v>
      </c>
      <c r="O929" s="91">
        <f>GroDB[[#This Row],[Expiration_Date]]-GroDB[[#This Row],[Date_Received1]]</f>
        <v>-10</v>
      </c>
      <c r="P929" s="4">
        <v>6.4</v>
      </c>
      <c r="Q929" s="3">
        <v>88</v>
      </c>
      <c r="R929" s="3">
        <v>50</v>
      </c>
      <c r="S929" s="3">
        <v>88</v>
      </c>
      <c r="T929" s="4">
        <v>8</v>
      </c>
      <c r="U929" s="3">
        <v>78</v>
      </c>
      <c r="V929" s="51">
        <f>IF(GroDB[[#This Row],[LeadTime]]=0,GroDB[[#This Row],[Sales_Volume]],GroDB[[#This Row],[Sales_Volume]]/GroDB[[#This Row],[LeadTime]])</f>
        <v>0.95121951219512191</v>
      </c>
      <c r="W929" s="51">
        <f>_xlfn.STDEV.S(GroDB[Daily Sales])</f>
        <v>5.1999899792654221</v>
      </c>
      <c r="X929" s="3">
        <v>28</v>
      </c>
      <c r="Y929" s="7">
        <v>0.24</v>
      </c>
      <c r="Z929" s="4">
        <f>GroDB[[#This Row],[Unit_Price]]*GroDB[[#This Row],[Sales_Volume]]</f>
        <v>624</v>
      </c>
      <c r="AA929" s="22">
        <f>GroDB[[#This Row],[ADU]]/GroDB[[#Totals],[ADU]]</f>
        <v>1.8125343372139956E-3</v>
      </c>
      <c r="AB929" s="1">
        <f>GroDB[[#This Row],[Sales_Volume]]*GroDB[[#This Row],[Ordering Cost]]</f>
        <v>499.20000000000005</v>
      </c>
    </row>
    <row r="930" spans="1:28" x14ac:dyDescent="0.35">
      <c r="A930" s="5" t="s">
        <v>554</v>
      </c>
      <c r="B930" s="3" t="s">
        <v>53</v>
      </c>
      <c r="C930" s="3" t="s">
        <v>1398</v>
      </c>
      <c r="D930" s="3" t="s">
        <v>3273</v>
      </c>
      <c r="E930" s="3" t="s">
        <v>21</v>
      </c>
      <c r="F930" s="3" t="s">
        <v>3274</v>
      </c>
      <c r="G930" s="3" t="s">
        <v>3275</v>
      </c>
      <c r="H930" s="43">
        <v>45527</v>
      </c>
      <c r="I930" s="43">
        <v>45552</v>
      </c>
      <c r="J930" s="47" t="str">
        <f>IF(GroDB[[#This Row],[Last_Order_Date]]&lt;=GroDB[[#This Row],[Date_Received]], "Yes", "No")</f>
        <v>No</v>
      </c>
      <c r="K930" s="43">
        <f>IF(GroDB[[#This Row],[Column1]]="No",GroDB[[#This Row],[Last_Order_Date]],GroDB[[#This Row],[Date_Received]])</f>
        <v>45552</v>
      </c>
      <c r="L930" s="43">
        <f>IF(GroDB[[#This Row],[Column1]]="No",GroDB[[#This Row],[Date_Received]],GroDB[[#This Row],[Last_Order_Date]])</f>
        <v>45527</v>
      </c>
      <c r="M930" s="45">
        <f>GroDB[[#This Row],[Date_Received1]]-GroDB[[#This Row],[Procurement_Date]]</f>
        <v>25</v>
      </c>
      <c r="N930" s="43">
        <v>45680</v>
      </c>
      <c r="O930" s="91">
        <f>GroDB[[#This Row],[Expiration_Date]]-GroDB[[#This Row],[Date_Received1]]</f>
        <v>128</v>
      </c>
      <c r="P930" s="4">
        <v>2</v>
      </c>
      <c r="Q930" s="3">
        <v>44</v>
      </c>
      <c r="R930" s="3">
        <v>48</v>
      </c>
      <c r="S930" s="3">
        <v>77</v>
      </c>
      <c r="T930" s="4">
        <v>2.5</v>
      </c>
      <c r="U930" s="3">
        <v>67</v>
      </c>
      <c r="V930" s="51">
        <f>IF(GroDB[[#This Row],[LeadTime]]=0,GroDB[[#This Row],[Sales_Volume]],GroDB[[#This Row],[Sales_Volume]]/GroDB[[#This Row],[LeadTime]])</f>
        <v>2.68</v>
      </c>
      <c r="W930" s="51">
        <f>_xlfn.STDEV.S(GroDB[Daily Sales])</f>
        <v>5.1999899792654221</v>
      </c>
      <c r="X930" s="3">
        <v>79</v>
      </c>
      <c r="Y930" s="7">
        <v>0.64</v>
      </c>
      <c r="Z930" s="4">
        <f>GroDB[[#This Row],[Unit_Price]]*GroDB[[#This Row],[Sales_Volume]]</f>
        <v>167.5</v>
      </c>
      <c r="AA930" s="22">
        <f>GroDB[[#This Row],[ADU]]/GroDB[[#Totals],[ADU]]</f>
        <v>4.8653766263356455E-4</v>
      </c>
      <c r="AB930" s="1">
        <f>GroDB[[#This Row],[Sales_Volume]]*GroDB[[#This Row],[Ordering Cost]]</f>
        <v>134</v>
      </c>
    </row>
    <row r="931" spans="1:28" x14ac:dyDescent="0.35">
      <c r="A931" s="5" t="s">
        <v>1081</v>
      </c>
      <c r="B931" s="3" t="s">
        <v>127</v>
      </c>
      <c r="C931" s="3" t="s">
        <v>1617</v>
      </c>
      <c r="D931" s="3" t="s">
        <v>3276</v>
      </c>
      <c r="E931" s="3" t="s">
        <v>56</v>
      </c>
      <c r="F931" s="3" t="s">
        <v>3277</v>
      </c>
      <c r="G931" s="3" t="s">
        <v>3278</v>
      </c>
      <c r="H931" s="43">
        <v>45528</v>
      </c>
      <c r="I931" s="43">
        <v>45565</v>
      </c>
      <c r="J931" s="47" t="str">
        <f>IF(GroDB[[#This Row],[Last_Order_Date]]&lt;=GroDB[[#This Row],[Date_Received]], "Yes", "No")</f>
        <v>No</v>
      </c>
      <c r="K931" s="43">
        <f>IF(GroDB[[#This Row],[Column1]]="No",GroDB[[#This Row],[Last_Order_Date]],GroDB[[#This Row],[Date_Received]])</f>
        <v>45565</v>
      </c>
      <c r="L931" s="43">
        <f>IF(GroDB[[#This Row],[Column1]]="No",GroDB[[#This Row],[Date_Received]],GroDB[[#This Row],[Last_Order_Date]])</f>
        <v>45528</v>
      </c>
      <c r="M931" s="45">
        <f>GroDB[[#This Row],[Date_Received1]]-GroDB[[#This Row],[Procurement_Date]]</f>
        <v>37</v>
      </c>
      <c r="N931" s="43">
        <v>45398</v>
      </c>
      <c r="O931" s="91">
        <f>GroDB[[#This Row],[Expiration_Date]]-GroDB[[#This Row],[Date_Received1]]</f>
        <v>-167</v>
      </c>
      <c r="P931" s="4">
        <v>6.8000000000000007</v>
      </c>
      <c r="Q931" s="3">
        <v>80</v>
      </c>
      <c r="R931" s="3">
        <v>54</v>
      </c>
      <c r="S931" s="3">
        <v>21</v>
      </c>
      <c r="T931" s="4">
        <v>8.5</v>
      </c>
      <c r="U931" s="3">
        <v>81</v>
      </c>
      <c r="V931" s="51">
        <f>IF(GroDB[[#This Row],[LeadTime]]=0,GroDB[[#This Row],[Sales_Volume]],GroDB[[#This Row],[Sales_Volume]]/GroDB[[#This Row],[LeadTime]])</f>
        <v>2.189189189189189</v>
      </c>
      <c r="W931" s="51">
        <f>_xlfn.STDEV.S(GroDB[Daily Sales])</f>
        <v>5.1999899792654221</v>
      </c>
      <c r="X931" s="3">
        <v>37</v>
      </c>
      <c r="Y931" s="7">
        <v>-0.18</v>
      </c>
      <c r="Z931" s="4">
        <f>GroDB[[#This Row],[Unit_Price]]*GroDB[[#This Row],[Sales_Volume]]</f>
        <v>688.5</v>
      </c>
      <c r="AA931" s="22">
        <f>GroDB[[#This Row],[ADU]]/GroDB[[#Totals],[ADU]]</f>
        <v>1.9998876461087118E-3</v>
      </c>
      <c r="AB931" s="1">
        <f>GroDB[[#This Row],[Sales_Volume]]*GroDB[[#This Row],[Ordering Cost]]</f>
        <v>550.80000000000007</v>
      </c>
    </row>
    <row r="932" spans="1:28" x14ac:dyDescent="0.35">
      <c r="A932" s="5" t="s">
        <v>333</v>
      </c>
      <c r="B932" s="3" t="s">
        <v>53</v>
      </c>
      <c r="C932" s="3" t="s">
        <v>952</v>
      </c>
      <c r="D932" s="3" t="s">
        <v>3279</v>
      </c>
      <c r="E932" s="3" t="s">
        <v>56</v>
      </c>
      <c r="F932" s="3" t="s">
        <v>3280</v>
      </c>
      <c r="G932" s="3" t="s">
        <v>3281</v>
      </c>
      <c r="H932" s="43">
        <v>45528</v>
      </c>
      <c r="I932" s="43">
        <v>45613</v>
      </c>
      <c r="J932" s="47" t="str">
        <f>IF(GroDB[[#This Row],[Last_Order_Date]]&lt;=GroDB[[#This Row],[Date_Received]], "Yes", "No")</f>
        <v>No</v>
      </c>
      <c r="K932" s="43">
        <f>IF(GroDB[[#This Row],[Column1]]="No",GroDB[[#This Row],[Last_Order_Date]],GroDB[[#This Row],[Date_Received]])</f>
        <v>45613</v>
      </c>
      <c r="L932" s="43">
        <f>IF(GroDB[[#This Row],[Column1]]="No",GroDB[[#This Row],[Date_Received]],GroDB[[#This Row],[Last_Order_Date]])</f>
        <v>45528</v>
      </c>
      <c r="M932" s="45">
        <f>GroDB[[#This Row],[Date_Received1]]-GroDB[[#This Row],[Procurement_Date]]</f>
        <v>85</v>
      </c>
      <c r="N932" s="43">
        <v>45372</v>
      </c>
      <c r="O932" s="91">
        <f>GroDB[[#This Row],[Expiration_Date]]-GroDB[[#This Row],[Date_Received1]]</f>
        <v>-241</v>
      </c>
      <c r="P932" s="4">
        <v>8</v>
      </c>
      <c r="Q932" s="3">
        <v>58</v>
      </c>
      <c r="R932" s="3">
        <v>24</v>
      </c>
      <c r="S932" s="3">
        <v>25</v>
      </c>
      <c r="T932" s="4">
        <v>10</v>
      </c>
      <c r="U932" s="3">
        <v>75</v>
      </c>
      <c r="V932" s="51">
        <f>IF(GroDB[[#This Row],[LeadTime]]=0,GroDB[[#This Row],[Sales_Volume]],GroDB[[#This Row],[Sales_Volume]]/GroDB[[#This Row],[LeadTime]])</f>
        <v>0.88235294117647056</v>
      </c>
      <c r="W932" s="51">
        <f>_xlfn.STDEV.S(GroDB[Daily Sales])</f>
        <v>5.1999899792654221</v>
      </c>
      <c r="X932" s="3">
        <v>26</v>
      </c>
      <c r="Y932" s="7">
        <v>0.54</v>
      </c>
      <c r="Z932" s="4">
        <f>GroDB[[#This Row],[Unit_Price]]*GroDB[[#This Row],[Sales_Volume]]</f>
        <v>750</v>
      </c>
      <c r="AA932" s="22">
        <f>GroDB[[#This Row],[ADU]]/GroDB[[#Totals],[ADU]]</f>
        <v>2.1785268476129755E-3</v>
      </c>
      <c r="AB932" s="1">
        <f>GroDB[[#This Row],[Sales_Volume]]*GroDB[[#This Row],[Ordering Cost]]</f>
        <v>600</v>
      </c>
    </row>
    <row r="933" spans="1:28" x14ac:dyDescent="0.35">
      <c r="A933" s="5" t="s">
        <v>175</v>
      </c>
      <c r="B933" s="3" t="s">
        <v>53</v>
      </c>
      <c r="C933" s="3" t="s">
        <v>729</v>
      </c>
      <c r="D933" s="3" t="s">
        <v>3282</v>
      </c>
      <c r="E933" s="3" t="s">
        <v>21</v>
      </c>
      <c r="F933" s="3" t="s">
        <v>3283</v>
      </c>
      <c r="G933" s="3" t="s">
        <v>3284</v>
      </c>
      <c r="H933" s="43">
        <v>45529</v>
      </c>
      <c r="I933" s="43">
        <v>45705</v>
      </c>
      <c r="J933" s="47" t="str">
        <f>IF(GroDB[[#This Row],[Last_Order_Date]]&lt;=GroDB[[#This Row],[Date_Received]], "Yes", "No")</f>
        <v>No</v>
      </c>
      <c r="K933" s="43">
        <f>IF(GroDB[[#This Row],[Column1]]="No",GroDB[[#This Row],[Last_Order_Date]],GroDB[[#This Row],[Date_Received]])</f>
        <v>45705</v>
      </c>
      <c r="L933" s="43">
        <f>IF(GroDB[[#This Row],[Column1]]="No",GroDB[[#This Row],[Date_Received]],GroDB[[#This Row],[Last_Order_Date]])</f>
        <v>45529</v>
      </c>
      <c r="M933" s="45">
        <f>GroDB[[#This Row],[Date_Received1]]-GroDB[[#This Row],[Procurement_Date]]</f>
        <v>176</v>
      </c>
      <c r="N933" s="43">
        <v>45595</v>
      </c>
      <c r="O933" s="91">
        <f>GroDB[[#This Row],[Expiration_Date]]-GroDB[[#This Row],[Date_Received1]]</f>
        <v>-110</v>
      </c>
      <c r="P933" s="4">
        <v>1.2000000000000002</v>
      </c>
      <c r="Q933" s="3">
        <v>57</v>
      </c>
      <c r="R933" s="3">
        <v>63</v>
      </c>
      <c r="S933" s="3">
        <v>41</v>
      </c>
      <c r="T933" s="4">
        <v>1.5</v>
      </c>
      <c r="U933" s="3">
        <v>53</v>
      </c>
      <c r="V933" s="51">
        <f>IF(GroDB[[#This Row],[LeadTime]]=0,GroDB[[#This Row],[Sales_Volume]],GroDB[[#This Row],[Sales_Volume]]/GroDB[[#This Row],[LeadTime]])</f>
        <v>0.30113636363636365</v>
      </c>
      <c r="W933" s="51">
        <f>_xlfn.STDEV.S(GroDB[Daily Sales])</f>
        <v>5.1999899792654221</v>
      </c>
      <c r="X933" s="3">
        <v>94</v>
      </c>
      <c r="Y933" s="7">
        <v>0.65</v>
      </c>
      <c r="Z933" s="4">
        <f>GroDB[[#This Row],[Unit_Price]]*GroDB[[#This Row],[Sales_Volume]]</f>
        <v>79.5</v>
      </c>
      <c r="AA933" s="22">
        <f>GroDB[[#This Row],[ADU]]/GroDB[[#Totals],[ADU]]</f>
        <v>2.3092384584697543E-4</v>
      </c>
      <c r="AB933" s="1">
        <f>GroDB[[#This Row],[Sales_Volume]]*GroDB[[#This Row],[Ordering Cost]]</f>
        <v>63.600000000000009</v>
      </c>
    </row>
    <row r="934" spans="1:28" x14ac:dyDescent="0.35">
      <c r="A934" s="5" t="s">
        <v>303</v>
      </c>
      <c r="B934" s="3" t="s">
        <v>60</v>
      </c>
      <c r="C934" s="3" t="s">
        <v>1175</v>
      </c>
      <c r="D934" s="3" t="s">
        <v>3285</v>
      </c>
      <c r="E934" s="3" t="s">
        <v>56</v>
      </c>
      <c r="F934" s="3" t="s">
        <v>3286</v>
      </c>
      <c r="G934" s="3" t="s">
        <v>3287</v>
      </c>
      <c r="H934" s="43">
        <v>45529</v>
      </c>
      <c r="I934" s="43">
        <v>45501</v>
      </c>
      <c r="J934" s="47" t="str">
        <f>IF(GroDB[[#This Row],[Last_Order_Date]]&lt;=GroDB[[#This Row],[Date_Received]], "Yes", "No")</f>
        <v>Yes</v>
      </c>
      <c r="K934" s="43">
        <f>IF(GroDB[[#This Row],[Column1]]="No",GroDB[[#This Row],[Last_Order_Date]],GroDB[[#This Row],[Date_Received]])</f>
        <v>45529</v>
      </c>
      <c r="L934" s="43">
        <f>IF(GroDB[[#This Row],[Column1]]="No",GroDB[[#This Row],[Date_Received]],GroDB[[#This Row],[Last_Order_Date]])</f>
        <v>45501</v>
      </c>
      <c r="M934" s="45">
        <f>GroDB[[#This Row],[Date_Received1]]-GroDB[[#This Row],[Procurement_Date]]</f>
        <v>28</v>
      </c>
      <c r="N934" s="43">
        <v>45688</v>
      </c>
      <c r="O934" s="91">
        <f>GroDB[[#This Row],[Expiration_Date]]-GroDB[[#This Row],[Date_Received1]]</f>
        <v>159</v>
      </c>
      <c r="P934" s="4">
        <v>4.8000000000000007</v>
      </c>
      <c r="Q934" s="3">
        <v>30</v>
      </c>
      <c r="R934" s="3">
        <v>55</v>
      </c>
      <c r="S934" s="3">
        <v>4</v>
      </c>
      <c r="T934" s="4">
        <v>6</v>
      </c>
      <c r="U934" s="3">
        <v>56</v>
      </c>
      <c r="V934" s="51">
        <f>IF(GroDB[[#This Row],[LeadTime]]=0,GroDB[[#This Row],[Sales_Volume]],GroDB[[#This Row],[Sales_Volume]]/GroDB[[#This Row],[LeadTime]])</f>
        <v>2</v>
      </c>
      <c r="W934" s="51">
        <f>_xlfn.STDEV.S(GroDB[Daily Sales])</f>
        <v>5.1999899792654221</v>
      </c>
      <c r="X934" s="3">
        <v>31</v>
      </c>
      <c r="Y934" s="7">
        <v>-0.77</v>
      </c>
      <c r="Z934" s="4">
        <f>GroDB[[#This Row],[Unit_Price]]*GroDB[[#This Row],[Sales_Volume]]</f>
        <v>336</v>
      </c>
      <c r="AA934" s="22">
        <f>GroDB[[#This Row],[ADU]]/GroDB[[#Totals],[ADU]]</f>
        <v>9.7598002773061304E-4</v>
      </c>
      <c r="AB934" s="1">
        <f>GroDB[[#This Row],[Sales_Volume]]*GroDB[[#This Row],[Ordering Cost]]</f>
        <v>268.80000000000007</v>
      </c>
    </row>
    <row r="935" spans="1:28" x14ac:dyDescent="0.35">
      <c r="A935" s="5" t="s">
        <v>446</v>
      </c>
      <c r="B935" s="3" t="s">
        <v>53</v>
      </c>
      <c r="C935" s="3" t="s">
        <v>1402</v>
      </c>
      <c r="D935" s="3" t="s">
        <v>3288</v>
      </c>
      <c r="E935" s="3" t="s">
        <v>56</v>
      </c>
      <c r="F935" s="3" t="s">
        <v>3289</v>
      </c>
      <c r="G935" s="3" t="s">
        <v>3290</v>
      </c>
      <c r="H935" s="43">
        <v>45529</v>
      </c>
      <c r="I935" s="43">
        <v>45679</v>
      </c>
      <c r="J935" s="47" t="str">
        <f>IF(GroDB[[#This Row],[Last_Order_Date]]&lt;=GroDB[[#This Row],[Date_Received]], "Yes", "No")</f>
        <v>No</v>
      </c>
      <c r="K935" s="43">
        <f>IF(GroDB[[#This Row],[Column1]]="No",GroDB[[#This Row],[Last_Order_Date]],GroDB[[#This Row],[Date_Received]])</f>
        <v>45679</v>
      </c>
      <c r="L935" s="43">
        <f>IF(GroDB[[#This Row],[Column1]]="No",GroDB[[#This Row],[Date_Received]],GroDB[[#This Row],[Last_Order_Date]])</f>
        <v>45529</v>
      </c>
      <c r="M935" s="45">
        <f>GroDB[[#This Row],[Date_Received1]]-GroDB[[#This Row],[Procurement_Date]]</f>
        <v>150</v>
      </c>
      <c r="N935" s="43">
        <v>45462</v>
      </c>
      <c r="O935" s="91">
        <f>GroDB[[#This Row],[Expiration_Date]]-GroDB[[#This Row],[Date_Received1]]</f>
        <v>-217</v>
      </c>
      <c r="P935" s="4">
        <v>7.6000000000000005</v>
      </c>
      <c r="Q935" s="3">
        <v>74</v>
      </c>
      <c r="R935" s="3">
        <v>22</v>
      </c>
      <c r="S935" s="3">
        <v>91</v>
      </c>
      <c r="T935" s="4">
        <v>9.5</v>
      </c>
      <c r="U935" s="3">
        <v>24</v>
      </c>
      <c r="V935" s="51">
        <f>IF(GroDB[[#This Row],[LeadTime]]=0,GroDB[[#This Row],[Sales_Volume]],GroDB[[#This Row],[Sales_Volume]]/GroDB[[#This Row],[LeadTime]])</f>
        <v>0.16</v>
      </c>
      <c r="W935" s="51">
        <f>_xlfn.STDEV.S(GroDB[Daily Sales])</f>
        <v>5.1999899792654221</v>
      </c>
      <c r="X935" s="3">
        <v>12</v>
      </c>
      <c r="Y935" s="7">
        <v>0.45</v>
      </c>
      <c r="Z935" s="4">
        <f>GroDB[[#This Row],[Unit_Price]]*GroDB[[#This Row],[Sales_Volume]]</f>
        <v>228</v>
      </c>
      <c r="AA935" s="22">
        <f>GroDB[[#This Row],[ADU]]/GroDB[[#Totals],[ADU]]</f>
        <v>6.6227216167434458E-4</v>
      </c>
      <c r="AB935" s="1">
        <f>GroDB[[#This Row],[Sales_Volume]]*GroDB[[#This Row],[Ordering Cost]]</f>
        <v>182.4</v>
      </c>
    </row>
    <row r="936" spans="1:28" x14ac:dyDescent="0.35">
      <c r="A936" s="5" t="s">
        <v>1085</v>
      </c>
      <c r="B936" s="3" t="s">
        <v>32</v>
      </c>
      <c r="C936" s="3" t="s">
        <v>926</v>
      </c>
      <c r="D936" s="3" t="s">
        <v>3291</v>
      </c>
      <c r="E936" s="3" t="s">
        <v>56</v>
      </c>
      <c r="F936" s="3" t="s">
        <v>3292</v>
      </c>
      <c r="G936" s="3" t="s">
        <v>3293</v>
      </c>
      <c r="H936" s="43">
        <v>45530</v>
      </c>
      <c r="I936" s="43">
        <v>45616</v>
      </c>
      <c r="J936" s="47" t="str">
        <f>IF(GroDB[[#This Row],[Last_Order_Date]]&lt;=GroDB[[#This Row],[Date_Received]], "Yes", "No")</f>
        <v>No</v>
      </c>
      <c r="K936" s="43">
        <f>IF(GroDB[[#This Row],[Column1]]="No",GroDB[[#This Row],[Last_Order_Date]],GroDB[[#This Row],[Date_Received]])</f>
        <v>45616</v>
      </c>
      <c r="L936" s="43">
        <f>IF(GroDB[[#This Row],[Column1]]="No",GroDB[[#This Row],[Date_Received]],GroDB[[#This Row],[Last_Order_Date]])</f>
        <v>45530</v>
      </c>
      <c r="M936" s="45">
        <f>GroDB[[#This Row],[Date_Received1]]-GroDB[[#This Row],[Procurement_Date]]</f>
        <v>86</v>
      </c>
      <c r="N936" s="43">
        <v>45574</v>
      </c>
      <c r="O936" s="91">
        <f>GroDB[[#This Row],[Expiration_Date]]-GroDB[[#This Row],[Date_Received1]]</f>
        <v>-42</v>
      </c>
      <c r="P936" s="4">
        <v>6.48</v>
      </c>
      <c r="Q936" s="3">
        <v>80</v>
      </c>
      <c r="R936" s="3">
        <v>9</v>
      </c>
      <c r="S936" s="3">
        <v>29</v>
      </c>
      <c r="T936" s="4">
        <v>8.1</v>
      </c>
      <c r="U936" s="3">
        <v>54</v>
      </c>
      <c r="V936" s="51">
        <f>IF(GroDB[[#This Row],[LeadTime]]=0,GroDB[[#This Row],[Sales_Volume]],GroDB[[#This Row],[Sales_Volume]]/GroDB[[#This Row],[LeadTime]])</f>
        <v>0.62790697674418605</v>
      </c>
      <c r="W936" s="51">
        <f>_xlfn.STDEV.S(GroDB[Daily Sales])</f>
        <v>5.1999899792654221</v>
      </c>
      <c r="X936" s="3">
        <v>62</v>
      </c>
      <c r="Y936" s="7">
        <v>0.5</v>
      </c>
      <c r="Z936" s="4">
        <f>GroDB[[#This Row],[Unit_Price]]*GroDB[[#This Row],[Sales_Volume]]</f>
        <v>437.4</v>
      </c>
      <c r="AA936" s="22">
        <f>GroDB[[#This Row],[ADU]]/GroDB[[#Totals],[ADU]]</f>
        <v>1.2705168575278874E-3</v>
      </c>
      <c r="AB936" s="1">
        <f>GroDB[[#This Row],[Sales_Volume]]*GroDB[[#This Row],[Ordering Cost]]</f>
        <v>349.92</v>
      </c>
    </row>
    <row r="937" spans="1:28" x14ac:dyDescent="0.35">
      <c r="A937" s="5" t="s">
        <v>180</v>
      </c>
      <c r="B937" s="3" t="s">
        <v>18</v>
      </c>
      <c r="C937" s="3" t="s">
        <v>1346</v>
      </c>
      <c r="D937" s="3" t="s">
        <v>3294</v>
      </c>
      <c r="E937" s="3" t="s">
        <v>56</v>
      </c>
      <c r="F937" s="3" t="s">
        <v>3295</v>
      </c>
      <c r="G937" s="3" t="s">
        <v>3296</v>
      </c>
      <c r="H937" s="43">
        <v>45530</v>
      </c>
      <c r="I937" s="43">
        <v>45572</v>
      </c>
      <c r="J937" s="47" t="str">
        <f>IF(GroDB[[#This Row],[Last_Order_Date]]&lt;=GroDB[[#This Row],[Date_Received]], "Yes", "No")</f>
        <v>No</v>
      </c>
      <c r="K937" s="43">
        <f>IF(GroDB[[#This Row],[Column1]]="No",GroDB[[#This Row],[Last_Order_Date]],GroDB[[#This Row],[Date_Received]])</f>
        <v>45572</v>
      </c>
      <c r="L937" s="43">
        <f>IF(GroDB[[#This Row],[Column1]]="No",GroDB[[#This Row],[Date_Received]],GroDB[[#This Row],[Last_Order_Date]])</f>
        <v>45530</v>
      </c>
      <c r="M937" s="45">
        <f>GroDB[[#This Row],[Date_Received1]]-GroDB[[#This Row],[Procurement_Date]]</f>
        <v>42</v>
      </c>
      <c r="N937" s="43">
        <v>45630</v>
      </c>
      <c r="O937" s="91">
        <f>GroDB[[#This Row],[Expiration_Date]]-GroDB[[#This Row],[Date_Received1]]</f>
        <v>58</v>
      </c>
      <c r="P937" s="4">
        <v>1.4400000000000002</v>
      </c>
      <c r="Q937" s="3">
        <v>31</v>
      </c>
      <c r="R937" s="3">
        <v>98</v>
      </c>
      <c r="S937" s="3">
        <v>72</v>
      </c>
      <c r="T937" s="4">
        <v>1.8</v>
      </c>
      <c r="U937" s="3">
        <v>91</v>
      </c>
      <c r="V937" s="51">
        <f>IF(GroDB[[#This Row],[LeadTime]]=0,GroDB[[#This Row],[Sales_Volume]],GroDB[[#This Row],[Sales_Volume]]/GroDB[[#This Row],[LeadTime]])</f>
        <v>2.1666666666666665</v>
      </c>
      <c r="W937" s="51">
        <f>_xlfn.STDEV.S(GroDB[Daily Sales])</f>
        <v>5.1999899792654221</v>
      </c>
      <c r="X937" s="3">
        <v>29</v>
      </c>
      <c r="Y937" s="7">
        <v>-0.15</v>
      </c>
      <c r="Z937" s="4">
        <f>GroDB[[#This Row],[Unit_Price]]*GroDB[[#This Row],[Sales_Volume]]</f>
        <v>163.80000000000001</v>
      </c>
      <c r="AA937" s="22">
        <f>GroDB[[#This Row],[ADU]]/GroDB[[#Totals],[ADU]]</f>
        <v>4.7579026351867392E-4</v>
      </c>
      <c r="AB937" s="1">
        <f>GroDB[[#This Row],[Sales_Volume]]*GroDB[[#This Row],[Ordering Cost]]</f>
        <v>131.04000000000002</v>
      </c>
    </row>
    <row r="938" spans="1:28" x14ac:dyDescent="0.35">
      <c r="A938" s="5" t="s">
        <v>1069</v>
      </c>
      <c r="B938" s="3" t="s">
        <v>18</v>
      </c>
      <c r="C938" s="3" t="s">
        <v>608</v>
      </c>
      <c r="D938" s="3" t="s">
        <v>3297</v>
      </c>
      <c r="E938" s="3" t="s">
        <v>21</v>
      </c>
      <c r="F938" s="3" t="s">
        <v>3298</v>
      </c>
      <c r="G938" s="3" t="s">
        <v>3299</v>
      </c>
      <c r="H938" s="43">
        <v>45530</v>
      </c>
      <c r="I938" s="43">
        <v>45633</v>
      </c>
      <c r="J938" s="47" t="str">
        <f>IF(GroDB[[#This Row],[Last_Order_Date]]&lt;=GroDB[[#This Row],[Date_Received]], "Yes", "No")</f>
        <v>No</v>
      </c>
      <c r="K938" s="43">
        <f>IF(GroDB[[#This Row],[Column1]]="No",GroDB[[#This Row],[Last_Order_Date]],GroDB[[#This Row],[Date_Received]])</f>
        <v>45633</v>
      </c>
      <c r="L938" s="43">
        <f>IF(GroDB[[#This Row],[Column1]]="No",GroDB[[#This Row],[Date_Received]],GroDB[[#This Row],[Last_Order_Date]])</f>
        <v>45530</v>
      </c>
      <c r="M938" s="45">
        <f>GroDB[[#This Row],[Date_Received1]]-GroDB[[#This Row],[Procurement_Date]]</f>
        <v>103</v>
      </c>
      <c r="N938" s="43">
        <v>45433</v>
      </c>
      <c r="O938" s="91">
        <f>GroDB[[#This Row],[Expiration_Date]]-GroDB[[#This Row],[Date_Received1]]</f>
        <v>-200</v>
      </c>
      <c r="P938" s="4">
        <v>4.7200000000000006</v>
      </c>
      <c r="Q938" s="3">
        <v>31</v>
      </c>
      <c r="R938" s="3">
        <v>89</v>
      </c>
      <c r="S938" s="3">
        <v>7</v>
      </c>
      <c r="T938" s="4">
        <v>5.9</v>
      </c>
      <c r="U938" s="3">
        <v>46</v>
      </c>
      <c r="V938" s="51">
        <f>IF(GroDB[[#This Row],[LeadTime]]=0,GroDB[[#This Row],[Sales_Volume]],GroDB[[#This Row],[Sales_Volume]]/GroDB[[#This Row],[LeadTime]])</f>
        <v>0.44660194174757284</v>
      </c>
      <c r="W938" s="51">
        <f>_xlfn.STDEV.S(GroDB[Daily Sales])</f>
        <v>5.1999899792654221</v>
      </c>
      <c r="X938" s="3">
        <v>54</v>
      </c>
      <c r="Y938" s="7">
        <v>0.68</v>
      </c>
      <c r="Z938" s="4">
        <f>GroDB[[#This Row],[Unit_Price]]*GroDB[[#This Row],[Sales_Volume]]</f>
        <v>271.40000000000003</v>
      </c>
      <c r="AA938" s="22">
        <f>GroDB[[#This Row],[ADU]]/GroDB[[#Totals],[ADU]]</f>
        <v>7.8833624858954884E-4</v>
      </c>
      <c r="AB938" s="1">
        <f>GroDB[[#This Row],[Sales_Volume]]*GroDB[[#This Row],[Ordering Cost]]</f>
        <v>217.12000000000003</v>
      </c>
    </row>
    <row r="939" spans="1:28" x14ac:dyDescent="0.35">
      <c r="A939" s="5" t="s">
        <v>446</v>
      </c>
      <c r="B939" s="3" t="s">
        <v>53</v>
      </c>
      <c r="C939" s="3" t="s">
        <v>19</v>
      </c>
      <c r="D939" s="3" t="s">
        <v>3300</v>
      </c>
      <c r="E939" s="3" t="s">
        <v>28</v>
      </c>
      <c r="F939" s="3" t="s">
        <v>3301</v>
      </c>
      <c r="G939" s="3" t="s">
        <v>3302</v>
      </c>
      <c r="H939" s="43">
        <v>45530</v>
      </c>
      <c r="I939" s="43">
        <v>45565</v>
      </c>
      <c r="J939" s="47" t="str">
        <f>IF(GroDB[[#This Row],[Last_Order_Date]]&lt;=GroDB[[#This Row],[Date_Received]], "Yes", "No")</f>
        <v>No</v>
      </c>
      <c r="K939" s="43">
        <f>IF(GroDB[[#This Row],[Column1]]="No",GroDB[[#This Row],[Last_Order_Date]],GroDB[[#This Row],[Date_Received]])</f>
        <v>45565</v>
      </c>
      <c r="L939" s="43">
        <f>IF(GroDB[[#This Row],[Column1]]="No",GroDB[[#This Row],[Date_Received]],GroDB[[#This Row],[Last_Order_Date]])</f>
        <v>45530</v>
      </c>
      <c r="M939" s="45">
        <f>GroDB[[#This Row],[Date_Received1]]-GroDB[[#This Row],[Procurement_Date]]</f>
        <v>35</v>
      </c>
      <c r="N939" s="43">
        <v>45591</v>
      </c>
      <c r="O939" s="91">
        <f>GroDB[[#This Row],[Expiration_Date]]-GroDB[[#This Row],[Date_Received1]]</f>
        <v>26</v>
      </c>
      <c r="P939" s="4">
        <v>7.6000000000000005</v>
      </c>
      <c r="Q939" s="3">
        <v>75</v>
      </c>
      <c r="R939" s="3">
        <v>46</v>
      </c>
      <c r="S939" s="3">
        <v>75</v>
      </c>
      <c r="T939" s="4">
        <v>9.5</v>
      </c>
      <c r="U939" s="3">
        <v>43</v>
      </c>
      <c r="V939" s="51">
        <f>IF(GroDB[[#This Row],[LeadTime]]=0,GroDB[[#This Row],[Sales_Volume]],GroDB[[#This Row],[Sales_Volume]]/GroDB[[#This Row],[LeadTime]])</f>
        <v>1.2285714285714286</v>
      </c>
      <c r="W939" s="51">
        <f>_xlfn.STDEV.S(GroDB[Daily Sales])</f>
        <v>5.1999899792654221</v>
      </c>
      <c r="X939" s="3">
        <v>77</v>
      </c>
      <c r="Y939" s="7">
        <v>-0.17</v>
      </c>
      <c r="Z939" s="4">
        <f>GroDB[[#This Row],[Unit_Price]]*GroDB[[#This Row],[Sales_Volume]]</f>
        <v>408.5</v>
      </c>
      <c r="AA939" s="22">
        <f>GroDB[[#This Row],[ADU]]/GroDB[[#Totals],[ADU]]</f>
        <v>1.1865709563332006E-3</v>
      </c>
      <c r="AB939" s="1">
        <f>GroDB[[#This Row],[Sales_Volume]]*GroDB[[#This Row],[Ordering Cost]]</f>
        <v>326.8</v>
      </c>
    </row>
    <row r="940" spans="1:28" x14ac:dyDescent="0.35">
      <c r="A940" s="5" t="s">
        <v>132</v>
      </c>
      <c r="B940" s="3" t="s">
        <v>18</v>
      </c>
      <c r="C940" s="3" t="s">
        <v>912</v>
      </c>
      <c r="D940" s="3" t="s">
        <v>3303</v>
      </c>
      <c r="E940" s="3" t="s">
        <v>28</v>
      </c>
      <c r="F940" s="3" t="s">
        <v>3304</v>
      </c>
      <c r="G940" s="3" t="s">
        <v>3305</v>
      </c>
      <c r="H940" s="43">
        <v>45531</v>
      </c>
      <c r="I940" s="43">
        <v>45700</v>
      </c>
      <c r="J940" s="47" t="str">
        <f>IF(GroDB[[#This Row],[Last_Order_Date]]&lt;=GroDB[[#This Row],[Date_Received]], "Yes", "No")</f>
        <v>No</v>
      </c>
      <c r="K940" s="43">
        <f>IF(GroDB[[#This Row],[Column1]]="No",GroDB[[#This Row],[Last_Order_Date]],GroDB[[#This Row],[Date_Received]])</f>
        <v>45700</v>
      </c>
      <c r="L940" s="43">
        <f>IF(GroDB[[#This Row],[Column1]]="No",GroDB[[#This Row],[Date_Received]],GroDB[[#This Row],[Last_Order_Date]])</f>
        <v>45531</v>
      </c>
      <c r="M940" s="45">
        <f>GroDB[[#This Row],[Date_Received1]]-GroDB[[#This Row],[Procurement_Date]]</f>
        <v>169</v>
      </c>
      <c r="N940" s="43">
        <v>45420</v>
      </c>
      <c r="O940" s="91">
        <f>GroDB[[#This Row],[Expiration_Date]]-GroDB[[#This Row],[Date_Received1]]</f>
        <v>-280</v>
      </c>
      <c r="P940" s="4">
        <v>1.6</v>
      </c>
      <c r="Q940" s="3">
        <v>65</v>
      </c>
      <c r="R940" s="3">
        <v>10</v>
      </c>
      <c r="S940" s="3">
        <v>81</v>
      </c>
      <c r="T940" s="4">
        <v>2</v>
      </c>
      <c r="U940" s="3">
        <v>71</v>
      </c>
      <c r="V940" s="51">
        <f>IF(GroDB[[#This Row],[LeadTime]]=0,GroDB[[#This Row],[Sales_Volume]],GroDB[[#This Row],[Sales_Volume]]/GroDB[[#This Row],[LeadTime]])</f>
        <v>0.42011834319526625</v>
      </c>
      <c r="W940" s="51">
        <f>_xlfn.STDEV.S(GroDB[Daily Sales])</f>
        <v>5.1999899792654221</v>
      </c>
      <c r="X940" s="3">
        <v>61</v>
      </c>
      <c r="Y940" s="7">
        <v>-0.79</v>
      </c>
      <c r="Z940" s="4">
        <f>GroDB[[#This Row],[Unit_Price]]*GroDB[[#This Row],[Sales_Volume]]</f>
        <v>142</v>
      </c>
      <c r="AA940" s="22">
        <f>GroDB[[#This Row],[ADU]]/GroDB[[#Totals],[ADU]]</f>
        <v>4.1246774981472341E-4</v>
      </c>
      <c r="AB940" s="1">
        <f>GroDB[[#This Row],[Sales_Volume]]*GroDB[[#This Row],[Ordering Cost]]</f>
        <v>113.60000000000001</v>
      </c>
    </row>
    <row r="941" spans="1:28" x14ac:dyDescent="0.35">
      <c r="A941" s="5" t="s">
        <v>96</v>
      </c>
      <c r="B941" s="3" t="s">
        <v>18</v>
      </c>
      <c r="C941" s="3" t="s">
        <v>381</v>
      </c>
      <c r="D941" s="3" t="s">
        <v>3306</v>
      </c>
      <c r="E941" s="3" t="s">
        <v>21</v>
      </c>
      <c r="F941" s="3" t="s">
        <v>3307</v>
      </c>
      <c r="G941" s="3" t="s">
        <v>3308</v>
      </c>
      <c r="H941" s="43">
        <v>45531</v>
      </c>
      <c r="I941" s="43">
        <v>45463</v>
      </c>
      <c r="J941" s="47" t="str">
        <f>IF(GroDB[[#This Row],[Last_Order_Date]]&lt;=GroDB[[#This Row],[Date_Received]], "Yes", "No")</f>
        <v>Yes</v>
      </c>
      <c r="K941" s="43">
        <f>IF(GroDB[[#This Row],[Column1]]="No",GroDB[[#This Row],[Last_Order_Date]],GroDB[[#This Row],[Date_Received]])</f>
        <v>45531</v>
      </c>
      <c r="L941" s="43">
        <f>IF(GroDB[[#This Row],[Column1]]="No",GroDB[[#This Row],[Date_Received]],GroDB[[#This Row],[Last_Order_Date]])</f>
        <v>45463</v>
      </c>
      <c r="M941" s="45">
        <f>GroDB[[#This Row],[Date_Received1]]-GroDB[[#This Row],[Procurement_Date]]</f>
        <v>68</v>
      </c>
      <c r="N941" s="43">
        <v>45593</v>
      </c>
      <c r="O941" s="91">
        <f>GroDB[[#This Row],[Expiration_Date]]-GroDB[[#This Row],[Date_Received1]]</f>
        <v>62</v>
      </c>
      <c r="P941" s="4">
        <v>2</v>
      </c>
      <c r="Q941" s="3">
        <v>33</v>
      </c>
      <c r="R941" s="3">
        <v>89</v>
      </c>
      <c r="S941" s="3">
        <v>15</v>
      </c>
      <c r="T941" s="4">
        <v>2.5</v>
      </c>
      <c r="U941" s="3">
        <v>90</v>
      </c>
      <c r="V941" s="51">
        <f>IF(GroDB[[#This Row],[LeadTime]]=0,GroDB[[#This Row],[Sales_Volume]],GroDB[[#This Row],[Sales_Volume]]/GroDB[[#This Row],[LeadTime]])</f>
        <v>1.3235294117647058</v>
      </c>
      <c r="W941" s="51">
        <f>_xlfn.STDEV.S(GroDB[Daily Sales])</f>
        <v>5.1999899792654221</v>
      </c>
      <c r="X941" s="3">
        <v>52</v>
      </c>
      <c r="Y941" s="7">
        <v>0.14000000000000001</v>
      </c>
      <c r="Z941" s="4">
        <f>GroDB[[#This Row],[Unit_Price]]*GroDB[[#This Row],[Sales_Volume]]</f>
        <v>225</v>
      </c>
      <c r="AA941" s="22">
        <f>GroDB[[#This Row],[ADU]]/GroDB[[#Totals],[ADU]]</f>
        <v>6.5355805428389264E-4</v>
      </c>
      <c r="AB941" s="1">
        <f>GroDB[[#This Row],[Sales_Volume]]*GroDB[[#This Row],[Ordering Cost]]</f>
        <v>180</v>
      </c>
    </row>
    <row r="942" spans="1:28" x14ac:dyDescent="0.35">
      <c r="A942" s="5" t="s">
        <v>70</v>
      </c>
      <c r="B942" s="3" t="s">
        <v>32</v>
      </c>
      <c r="C942" s="3" t="s">
        <v>3309</v>
      </c>
      <c r="D942" s="3" t="s">
        <v>3310</v>
      </c>
      <c r="E942" s="3" t="s">
        <v>28</v>
      </c>
      <c r="F942" s="3" t="s">
        <v>3311</v>
      </c>
      <c r="G942" s="3" t="s">
        <v>3312</v>
      </c>
      <c r="H942" s="43">
        <v>45531</v>
      </c>
      <c r="I942" s="43">
        <v>45415</v>
      </c>
      <c r="J942" s="47" t="str">
        <f>IF(GroDB[[#This Row],[Last_Order_Date]]&lt;=GroDB[[#This Row],[Date_Received]], "Yes", "No")</f>
        <v>Yes</v>
      </c>
      <c r="K942" s="43">
        <f>IF(GroDB[[#This Row],[Column1]]="No",GroDB[[#This Row],[Last_Order_Date]],GroDB[[#This Row],[Date_Received]])</f>
        <v>45531</v>
      </c>
      <c r="L942" s="43">
        <f>IF(GroDB[[#This Row],[Column1]]="No",GroDB[[#This Row],[Date_Received]],GroDB[[#This Row],[Last_Order_Date]])</f>
        <v>45415</v>
      </c>
      <c r="M942" s="45">
        <f>GroDB[[#This Row],[Date_Received1]]-GroDB[[#This Row],[Procurement_Date]]</f>
        <v>116</v>
      </c>
      <c r="N942" s="43">
        <v>45399</v>
      </c>
      <c r="O942" s="91">
        <f>GroDB[[#This Row],[Expiration_Date]]-GroDB[[#This Row],[Date_Received1]]</f>
        <v>-132</v>
      </c>
      <c r="P942" s="4">
        <v>1.4000000000000001</v>
      </c>
      <c r="Q942" s="3">
        <v>80</v>
      </c>
      <c r="R942" s="3">
        <v>69</v>
      </c>
      <c r="S942" s="3">
        <v>71</v>
      </c>
      <c r="T942" s="4">
        <v>1.75</v>
      </c>
      <c r="U942" s="3">
        <v>41</v>
      </c>
      <c r="V942" s="51">
        <f>IF(GroDB[[#This Row],[LeadTime]]=0,GroDB[[#This Row],[Sales_Volume]],GroDB[[#This Row],[Sales_Volume]]/GroDB[[#This Row],[LeadTime]])</f>
        <v>0.35344827586206895</v>
      </c>
      <c r="W942" s="51">
        <f>_xlfn.STDEV.S(GroDB[Daily Sales])</f>
        <v>5.1999899792654221</v>
      </c>
      <c r="X942" s="3">
        <v>43</v>
      </c>
      <c r="Y942" s="7">
        <v>0.42</v>
      </c>
      <c r="Z942" s="4">
        <f>GroDB[[#This Row],[Unit_Price]]*GroDB[[#This Row],[Sales_Volume]]</f>
        <v>71.75</v>
      </c>
      <c r="AA942" s="22">
        <f>GroDB[[#This Row],[ADU]]/GroDB[[#Totals],[ADU]]</f>
        <v>2.0841240175497466E-4</v>
      </c>
      <c r="AB942" s="1">
        <f>GroDB[[#This Row],[Sales_Volume]]*GroDB[[#This Row],[Ordering Cost]]</f>
        <v>57.400000000000006</v>
      </c>
    </row>
    <row r="943" spans="1:28" x14ac:dyDescent="0.35">
      <c r="A943" s="5" t="s">
        <v>106</v>
      </c>
      <c r="B943" s="3" t="s">
        <v>32</v>
      </c>
      <c r="C943" s="3" t="s">
        <v>299</v>
      </c>
      <c r="D943" s="3" t="s">
        <v>3313</v>
      </c>
      <c r="E943" s="3" t="s">
        <v>21</v>
      </c>
      <c r="F943" s="3" t="s">
        <v>3314</v>
      </c>
      <c r="G943" s="3" t="s">
        <v>3315</v>
      </c>
      <c r="H943" s="43">
        <v>45531</v>
      </c>
      <c r="I943" s="43">
        <v>45567</v>
      </c>
      <c r="J943" s="47" t="str">
        <f>IF(GroDB[[#This Row],[Last_Order_Date]]&lt;=GroDB[[#This Row],[Date_Received]], "Yes", "No")</f>
        <v>No</v>
      </c>
      <c r="K943" s="43">
        <f>IF(GroDB[[#This Row],[Column1]]="No",GroDB[[#This Row],[Last_Order_Date]],GroDB[[#This Row],[Date_Received]])</f>
        <v>45567</v>
      </c>
      <c r="L943" s="43">
        <f>IF(GroDB[[#This Row],[Column1]]="No",GroDB[[#This Row],[Date_Received]],GroDB[[#This Row],[Last_Order_Date]])</f>
        <v>45531</v>
      </c>
      <c r="M943" s="45">
        <f>GroDB[[#This Row],[Date_Received1]]-GroDB[[#This Row],[Procurement_Date]]</f>
        <v>36</v>
      </c>
      <c r="N943" s="43">
        <v>45395</v>
      </c>
      <c r="O943" s="91">
        <f>GroDB[[#This Row],[Expiration_Date]]-GroDB[[#This Row],[Date_Received1]]</f>
        <v>-172</v>
      </c>
      <c r="P943" s="4">
        <v>2</v>
      </c>
      <c r="Q943" s="3">
        <v>92</v>
      </c>
      <c r="R943" s="3">
        <v>1</v>
      </c>
      <c r="S943" s="3">
        <v>23</v>
      </c>
      <c r="T943" s="4">
        <v>2.5</v>
      </c>
      <c r="U943" s="3">
        <v>78</v>
      </c>
      <c r="V943" s="51">
        <f>IF(GroDB[[#This Row],[LeadTime]]=0,GroDB[[#This Row],[Sales_Volume]],GroDB[[#This Row],[Sales_Volume]]/GroDB[[#This Row],[LeadTime]])</f>
        <v>2.1666666666666665</v>
      </c>
      <c r="W943" s="51">
        <f>_xlfn.STDEV.S(GroDB[Daily Sales])</f>
        <v>5.1999899792654221</v>
      </c>
      <c r="X943" s="3">
        <v>36</v>
      </c>
      <c r="Y943" s="7">
        <v>-0.05</v>
      </c>
      <c r="Z943" s="4">
        <f>GroDB[[#This Row],[Unit_Price]]*GroDB[[#This Row],[Sales_Volume]]</f>
        <v>195</v>
      </c>
      <c r="AA943" s="22">
        <f>GroDB[[#This Row],[ADU]]/GroDB[[#Totals],[ADU]]</f>
        <v>5.6641698037937364E-4</v>
      </c>
      <c r="AB943" s="1">
        <f>GroDB[[#This Row],[Sales_Volume]]*GroDB[[#This Row],[Ordering Cost]]</f>
        <v>156</v>
      </c>
    </row>
    <row r="944" spans="1:28" x14ac:dyDescent="0.35">
      <c r="A944" s="5" t="s">
        <v>717</v>
      </c>
      <c r="B944" s="3" t="s">
        <v>53</v>
      </c>
      <c r="C944" s="3" t="s">
        <v>1184</v>
      </c>
      <c r="D944" s="3" t="s">
        <v>3316</v>
      </c>
      <c r="E944" s="3" t="s">
        <v>21</v>
      </c>
      <c r="F944" s="3" t="s">
        <v>3317</v>
      </c>
      <c r="G944" s="3" t="s">
        <v>3318</v>
      </c>
      <c r="H944" s="43">
        <v>45531</v>
      </c>
      <c r="I944" s="43">
        <v>45376</v>
      </c>
      <c r="J944" s="47" t="str">
        <f>IF(GroDB[[#This Row],[Last_Order_Date]]&lt;=GroDB[[#This Row],[Date_Received]], "Yes", "No")</f>
        <v>Yes</v>
      </c>
      <c r="K944" s="43">
        <f>IF(GroDB[[#This Row],[Column1]]="No",GroDB[[#This Row],[Last_Order_Date]],GroDB[[#This Row],[Date_Received]])</f>
        <v>45531</v>
      </c>
      <c r="L944" s="43">
        <f>IF(GroDB[[#This Row],[Column1]]="No",GroDB[[#This Row],[Date_Received]],GroDB[[#This Row],[Last_Order_Date]])</f>
        <v>45376</v>
      </c>
      <c r="M944" s="45">
        <f>GroDB[[#This Row],[Date_Received1]]-GroDB[[#This Row],[Procurement_Date]]</f>
        <v>155</v>
      </c>
      <c r="N944" s="43">
        <v>45365</v>
      </c>
      <c r="O944" s="91">
        <f>GroDB[[#This Row],[Expiration_Date]]-GroDB[[#This Row],[Date_Received1]]</f>
        <v>-166</v>
      </c>
      <c r="P944" s="4">
        <v>3.6</v>
      </c>
      <c r="Q944" s="3">
        <v>71</v>
      </c>
      <c r="R944" s="3">
        <v>60</v>
      </c>
      <c r="S944" s="3">
        <v>62</v>
      </c>
      <c r="T944" s="4">
        <v>4.5</v>
      </c>
      <c r="U944" s="3">
        <v>60</v>
      </c>
      <c r="V944" s="51">
        <f>IF(GroDB[[#This Row],[LeadTime]]=0,GroDB[[#This Row],[Sales_Volume]],GroDB[[#This Row],[Sales_Volume]]/GroDB[[#This Row],[LeadTime]])</f>
        <v>0.38709677419354838</v>
      </c>
      <c r="W944" s="51">
        <f>_xlfn.STDEV.S(GroDB[Daily Sales])</f>
        <v>5.1999899792654221</v>
      </c>
      <c r="X944" s="3">
        <v>63</v>
      </c>
      <c r="Y944" s="7">
        <v>0.54</v>
      </c>
      <c r="Z944" s="4">
        <f>GroDB[[#This Row],[Unit_Price]]*GroDB[[#This Row],[Sales_Volume]]</f>
        <v>270</v>
      </c>
      <c r="AA944" s="22">
        <f>GroDB[[#This Row],[ADU]]/GroDB[[#Totals],[ADU]]</f>
        <v>7.8426966514067126E-4</v>
      </c>
      <c r="AB944" s="1">
        <f>GroDB[[#This Row],[Sales_Volume]]*GroDB[[#This Row],[Ordering Cost]]</f>
        <v>216</v>
      </c>
    </row>
    <row r="945" spans="1:28" x14ac:dyDescent="0.35">
      <c r="A945" s="5" t="s">
        <v>198</v>
      </c>
      <c r="B945" s="3" t="s">
        <v>53</v>
      </c>
      <c r="C945" s="3" t="s">
        <v>1926</v>
      </c>
      <c r="D945" s="3" t="s">
        <v>3319</v>
      </c>
      <c r="E945" s="3" t="s">
        <v>28</v>
      </c>
      <c r="F945" s="3" t="s">
        <v>3320</v>
      </c>
      <c r="G945" s="3" t="s">
        <v>3321</v>
      </c>
      <c r="H945" s="43">
        <v>45532</v>
      </c>
      <c r="I945" s="43">
        <v>45623</v>
      </c>
      <c r="J945" s="47" t="str">
        <f>IF(GroDB[[#This Row],[Last_Order_Date]]&lt;=GroDB[[#This Row],[Date_Received]], "Yes", "No")</f>
        <v>No</v>
      </c>
      <c r="K945" s="43">
        <f>IF(GroDB[[#This Row],[Column1]]="No",GroDB[[#This Row],[Last_Order_Date]],GroDB[[#This Row],[Date_Received]])</f>
        <v>45623</v>
      </c>
      <c r="L945" s="43">
        <f>IF(GroDB[[#This Row],[Column1]]="No",GroDB[[#This Row],[Date_Received]],GroDB[[#This Row],[Last_Order_Date]])</f>
        <v>45532</v>
      </c>
      <c r="M945" s="45">
        <f>GroDB[[#This Row],[Date_Received1]]-GroDB[[#This Row],[Procurement_Date]]</f>
        <v>91</v>
      </c>
      <c r="N945" s="43">
        <v>45712</v>
      </c>
      <c r="O945" s="91">
        <f>GroDB[[#This Row],[Expiration_Date]]-GroDB[[#This Row],[Date_Received1]]</f>
        <v>89</v>
      </c>
      <c r="P945" s="4">
        <v>1.6</v>
      </c>
      <c r="Q945" s="3">
        <v>52</v>
      </c>
      <c r="R945" s="3">
        <v>81</v>
      </c>
      <c r="S945" s="3">
        <v>53</v>
      </c>
      <c r="T945" s="4">
        <v>2</v>
      </c>
      <c r="U945" s="3">
        <v>95</v>
      </c>
      <c r="V945" s="51">
        <f>IF(GroDB[[#This Row],[LeadTime]]=0,GroDB[[#This Row],[Sales_Volume]],GroDB[[#This Row],[Sales_Volume]]/GroDB[[#This Row],[LeadTime]])</f>
        <v>1.043956043956044</v>
      </c>
      <c r="W945" s="51">
        <f>_xlfn.STDEV.S(GroDB[Daily Sales])</f>
        <v>5.1999899792654221</v>
      </c>
      <c r="X945" s="3">
        <v>88</v>
      </c>
      <c r="Y945" s="7">
        <v>-0.05</v>
      </c>
      <c r="Z945" s="4">
        <f>GroDB[[#This Row],[Unit_Price]]*GroDB[[#This Row],[Sales_Volume]]</f>
        <v>190</v>
      </c>
      <c r="AA945" s="22">
        <f>GroDB[[#This Row],[ADU]]/GroDB[[#Totals],[ADU]]</f>
        <v>5.518934680619538E-4</v>
      </c>
      <c r="AB945" s="1">
        <f>GroDB[[#This Row],[Sales_Volume]]*GroDB[[#This Row],[Ordering Cost]]</f>
        <v>152</v>
      </c>
    </row>
    <row r="946" spans="1:28" x14ac:dyDescent="0.35">
      <c r="A946" s="5" t="s">
        <v>1445</v>
      </c>
      <c r="B946" s="3" t="s">
        <v>18</v>
      </c>
      <c r="C946" s="3" t="s">
        <v>1564</v>
      </c>
      <c r="D946" s="3" t="s">
        <v>3322</v>
      </c>
      <c r="E946" s="3" t="s">
        <v>21</v>
      </c>
      <c r="F946" s="3" t="s">
        <v>3323</v>
      </c>
      <c r="G946" s="3" t="s">
        <v>3324</v>
      </c>
      <c r="H946" s="43">
        <v>45532</v>
      </c>
      <c r="I946" s="43">
        <v>45454</v>
      </c>
      <c r="J946" s="47" t="str">
        <f>IF(GroDB[[#This Row],[Last_Order_Date]]&lt;=GroDB[[#This Row],[Date_Received]], "Yes", "No")</f>
        <v>Yes</v>
      </c>
      <c r="K946" s="43">
        <f>IF(GroDB[[#This Row],[Column1]]="No",GroDB[[#This Row],[Last_Order_Date]],GroDB[[#This Row],[Date_Received]])</f>
        <v>45532</v>
      </c>
      <c r="L946" s="43">
        <f>IF(GroDB[[#This Row],[Column1]]="No",GroDB[[#This Row],[Date_Received]],GroDB[[#This Row],[Last_Order_Date]])</f>
        <v>45454</v>
      </c>
      <c r="M946" s="45">
        <f>GroDB[[#This Row],[Date_Received1]]-GroDB[[#This Row],[Procurement_Date]]</f>
        <v>78</v>
      </c>
      <c r="N946" s="43">
        <v>45439</v>
      </c>
      <c r="O946" s="91">
        <f>GroDB[[#This Row],[Expiration_Date]]-GroDB[[#This Row],[Date_Received1]]</f>
        <v>-93</v>
      </c>
      <c r="P946" s="4">
        <v>8</v>
      </c>
      <c r="Q946" s="3">
        <v>40</v>
      </c>
      <c r="R946" s="3">
        <v>61</v>
      </c>
      <c r="S946" s="3">
        <v>47</v>
      </c>
      <c r="T946" s="4">
        <v>10</v>
      </c>
      <c r="U946" s="3">
        <v>76</v>
      </c>
      <c r="V946" s="51">
        <f>IF(GroDB[[#This Row],[LeadTime]]=0,GroDB[[#This Row],[Sales_Volume]],GroDB[[#This Row],[Sales_Volume]]/GroDB[[#This Row],[LeadTime]])</f>
        <v>0.97435897435897434</v>
      </c>
      <c r="W946" s="51">
        <f>_xlfn.STDEV.S(GroDB[Daily Sales])</f>
        <v>5.1999899792654221</v>
      </c>
      <c r="X946" s="3">
        <v>10</v>
      </c>
      <c r="Y946" s="7">
        <v>7.0000000000000007E-2</v>
      </c>
      <c r="Z946" s="4">
        <f>GroDB[[#This Row],[Unit_Price]]*GroDB[[#This Row],[Sales_Volume]]</f>
        <v>760</v>
      </c>
      <c r="AA946" s="22">
        <f>GroDB[[#This Row],[ADU]]/GroDB[[#Totals],[ADU]]</f>
        <v>2.2075738722478152E-3</v>
      </c>
      <c r="AB946" s="1">
        <f>GroDB[[#This Row],[Sales_Volume]]*GroDB[[#This Row],[Ordering Cost]]</f>
        <v>608</v>
      </c>
    </row>
    <row r="947" spans="1:28" x14ac:dyDescent="0.35">
      <c r="A947" s="5" t="s">
        <v>258</v>
      </c>
      <c r="B947" s="3" t="s">
        <v>25</v>
      </c>
      <c r="C947" s="3" t="s">
        <v>996</v>
      </c>
      <c r="D947" s="3" t="s">
        <v>3325</v>
      </c>
      <c r="E947" s="3" t="s">
        <v>56</v>
      </c>
      <c r="F947" s="3" t="s">
        <v>3326</v>
      </c>
      <c r="G947" s="3" t="s">
        <v>3327</v>
      </c>
      <c r="H947" s="43">
        <v>45533</v>
      </c>
      <c r="I947" s="43">
        <v>45673</v>
      </c>
      <c r="J947" s="47" t="str">
        <f>IF(GroDB[[#This Row],[Last_Order_Date]]&lt;=GroDB[[#This Row],[Date_Received]], "Yes", "No")</f>
        <v>No</v>
      </c>
      <c r="K947" s="43">
        <f>IF(GroDB[[#This Row],[Column1]]="No",GroDB[[#This Row],[Last_Order_Date]],GroDB[[#This Row],[Date_Received]])</f>
        <v>45673</v>
      </c>
      <c r="L947" s="43">
        <f>IF(GroDB[[#This Row],[Column1]]="No",GroDB[[#This Row],[Date_Received]],GroDB[[#This Row],[Last_Order_Date]])</f>
        <v>45533</v>
      </c>
      <c r="M947" s="45">
        <f>GroDB[[#This Row],[Date_Received1]]-GroDB[[#This Row],[Procurement_Date]]</f>
        <v>140</v>
      </c>
      <c r="N947" s="43">
        <v>45458</v>
      </c>
      <c r="O947" s="91">
        <f>GroDB[[#This Row],[Expiration_Date]]-GroDB[[#This Row],[Date_Received1]]</f>
        <v>-215</v>
      </c>
      <c r="P947" s="4">
        <v>3.2</v>
      </c>
      <c r="Q947" s="3">
        <v>60</v>
      </c>
      <c r="R947" s="3">
        <v>88</v>
      </c>
      <c r="S947" s="3">
        <v>65</v>
      </c>
      <c r="T947" s="4">
        <v>4</v>
      </c>
      <c r="U947" s="3">
        <v>94</v>
      </c>
      <c r="V947" s="51">
        <f>IF(GroDB[[#This Row],[LeadTime]]=0,GroDB[[#This Row],[Sales_Volume]],GroDB[[#This Row],[Sales_Volume]]/GroDB[[#This Row],[LeadTime]])</f>
        <v>0.67142857142857137</v>
      </c>
      <c r="W947" s="51">
        <f>_xlfn.STDEV.S(GroDB[Daily Sales])</f>
        <v>5.1999899792654221</v>
      </c>
      <c r="X947" s="3">
        <v>15</v>
      </c>
      <c r="Y947" s="7">
        <v>0.87</v>
      </c>
      <c r="Z947" s="4">
        <f>GroDB[[#This Row],[Unit_Price]]*GroDB[[#This Row],[Sales_Volume]]</f>
        <v>376</v>
      </c>
      <c r="AA947" s="22">
        <f>GroDB[[#This Row],[ADU]]/GroDB[[#Totals],[ADU]]</f>
        <v>1.0921681262699718E-3</v>
      </c>
      <c r="AB947" s="1">
        <f>GroDB[[#This Row],[Sales_Volume]]*GroDB[[#This Row],[Ordering Cost]]</f>
        <v>300.8</v>
      </c>
    </row>
    <row r="948" spans="1:28" x14ac:dyDescent="0.35">
      <c r="A948" s="5" t="s">
        <v>1624</v>
      </c>
      <c r="B948" s="3" t="s">
        <v>60</v>
      </c>
      <c r="C948" s="3" t="s">
        <v>1479</v>
      </c>
      <c r="D948" s="3" t="s">
        <v>3328</v>
      </c>
      <c r="E948" s="3" t="s">
        <v>28</v>
      </c>
      <c r="F948" s="3" t="s">
        <v>3329</v>
      </c>
      <c r="G948" s="3" t="s">
        <v>3330</v>
      </c>
      <c r="H948" s="43">
        <v>45533</v>
      </c>
      <c r="I948" s="43">
        <v>45628</v>
      </c>
      <c r="J948" s="47" t="str">
        <f>IF(GroDB[[#This Row],[Last_Order_Date]]&lt;=GroDB[[#This Row],[Date_Received]], "Yes", "No")</f>
        <v>No</v>
      </c>
      <c r="K948" s="43">
        <f>IF(GroDB[[#This Row],[Column1]]="No",GroDB[[#This Row],[Last_Order_Date]],GroDB[[#This Row],[Date_Received]])</f>
        <v>45628</v>
      </c>
      <c r="L948" s="43">
        <f>IF(GroDB[[#This Row],[Column1]]="No",GroDB[[#This Row],[Date_Received]],GroDB[[#This Row],[Last_Order_Date]])</f>
        <v>45533</v>
      </c>
      <c r="M948" s="45">
        <f>GroDB[[#This Row],[Date_Received1]]-GroDB[[#This Row],[Procurement_Date]]</f>
        <v>95</v>
      </c>
      <c r="N948" s="43">
        <v>45539</v>
      </c>
      <c r="O948" s="91">
        <f>GroDB[[#This Row],[Expiration_Date]]-GroDB[[#This Row],[Date_Received1]]</f>
        <v>-89</v>
      </c>
      <c r="P948" s="4">
        <v>6</v>
      </c>
      <c r="Q948" s="3">
        <v>71</v>
      </c>
      <c r="R948" s="3">
        <v>7</v>
      </c>
      <c r="S948" s="3">
        <v>6</v>
      </c>
      <c r="T948" s="4">
        <v>7.5</v>
      </c>
      <c r="U948" s="3">
        <v>52</v>
      </c>
      <c r="V948" s="51">
        <f>IF(GroDB[[#This Row],[LeadTime]]=0,GroDB[[#This Row],[Sales_Volume]],GroDB[[#This Row],[Sales_Volume]]/GroDB[[#This Row],[LeadTime]])</f>
        <v>0.54736842105263162</v>
      </c>
      <c r="W948" s="51">
        <f>_xlfn.STDEV.S(GroDB[Daily Sales])</f>
        <v>5.1999899792654221</v>
      </c>
      <c r="X948" s="3">
        <v>68</v>
      </c>
      <c r="Y948" s="7">
        <v>0.84</v>
      </c>
      <c r="Z948" s="4">
        <f>GroDB[[#This Row],[Unit_Price]]*GroDB[[#This Row],[Sales_Volume]]</f>
        <v>390</v>
      </c>
      <c r="AA948" s="22">
        <f>GroDB[[#This Row],[ADU]]/GroDB[[#Totals],[ADU]]</f>
        <v>1.1328339607587473E-3</v>
      </c>
      <c r="AB948" s="1">
        <f>GroDB[[#This Row],[Sales_Volume]]*GroDB[[#This Row],[Ordering Cost]]</f>
        <v>312</v>
      </c>
    </row>
    <row r="949" spans="1:28" x14ac:dyDescent="0.35">
      <c r="A949" s="5" t="s">
        <v>276</v>
      </c>
      <c r="B949" s="3" t="s">
        <v>18</v>
      </c>
      <c r="C949" s="3" t="s">
        <v>1184</v>
      </c>
      <c r="D949" s="3" t="s">
        <v>3331</v>
      </c>
      <c r="E949" s="3" t="s">
        <v>21</v>
      </c>
      <c r="F949" s="3" t="s">
        <v>3332</v>
      </c>
      <c r="G949" s="3" t="s">
        <v>3333</v>
      </c>
      <c r="H949" s="43">
        <v>45534</v>
      </c>
      <c r="I949" s="43">
        <v>45582</v>
      </c>
      <c r="J949" s="47" t="str">
        <f>IF(GroDB[[#This Row],[Last_Order_Date]]&lt;=GroDB[[#This Row],[Date_Received]], "Yes", "No")</f>
        <v>No</v>
      </c>
      <c r="K949" s="43">
        <f>IF(GroDB[[#This Row],[Column1]]="No",GroDB[[#This Row],[Last_Order_Date]],GroDB[[#This Row],[Date_Received]])</f>
        <v>45582</v>
      </c>
      <c r="L949" s="43">
        <f>IF(GroDB[[#This Row],[Column1]]="No",GroDB[[#This Row],[Date_Received]],GroDB[[#This Row],[Last_Order_Date]])</f>
        <v>45534</v>
      </c>
      <c r="M949" s="45">
        <f>GroDB[[#This Row],[Date_Received1]]-GroDB[[#This Row],[Procurement_Date]]</f>
        <v>48</v>
      </c>
      <c r="N949" s="43">
        <v>45356</v>
      </c>
      <c r="O949" s="91">
        <f>GroDB[[#This Row],[Expiration_Date]]-GroDB[[#This Row],[Date_Received1]]</f>
        <v>-226</v>
      </c>
      <c r="P949" s="4">
        <v>2.72</v>
      </c>
      <c r="Q949" s="3">
        <v>44</v>
      </c>
      <c r="R949" s="3">
        <v>80</v>
      </c>
      <c r="S949" s="3">
        <v>84</v>
      </c>
      <c r="T949" s="4">
        <v>3.4</v>
      </c>
      <c r="U949" s="3">
        <v>96</v>
      </c>
      <c r="V949" s="51">
        <f>IF(GroDB[[#This Row],[LeadTime]]=0,GroDB[[#This Row],[Sales_Volume]],GroDB[[#This Row],[Sales_Volume]]/GroDB[[#This Row],[LeadTime]])</f>
        <v>2</v>
      </c>
      <c r="W949" s="51">
        <f>_xlfn.STDEV.S(GroDB[Daily Sales])</f>
        <v>5.1999899792654221</v>
      </c>
      <c r="X949" s="3">
        <v>68</v>
      </c>
      <c r="Y949" s="7">
        <v>-0.31</v>
      </c>
      <c r="Z949" s="4">
        <f>GroDB[[#This Row],[Unit_Price]]*GroDB[[#This Row],[Sales_Volume]]</f>
        <v>326.39999999999998</v>
      </c>
      <c r="AA949" s="22">
        <f>GroDB[[#This Row],[ADU]]/GroDB[[#Totals],[ADU]]</f>
        <v>9.4809488408116691E-4</v>
      </c>
      <c r="AB949" s="1">
        <f>GroDB[[#This Row],[Sales_Volume]]*GroDB[[#This Row],[Ordering Cost]]</f>
        <v>261.12</v>
      </c>
    </row>
    <row r="950" spans="1:28" x14ac:dyDescent="0.35">
      <c r="A950" s="5" t="s">
        <v>325</v>
      </c>
      <c r="B950" s="3" t="s">
        <v>53</v>
      </c>
      <c r="C950" s="3" t="s">
        <v>782</v>
      </c>
      <c r="D950" s="3" t="s">
        <v>3334</v>
      </c>
      <c r="E950" s="3" t="s">
        <v>56</v>
      </c>
      <c r="F950" s="3" t="s">
        <v>3335</v>
      </c>
      <c r="G950" s="3" t="s">
        <v>3336</v>
      </c>
      <c r="H950" s="43">
        <v>45534</v>
      </c>
      <c r="I950" s="43">
        <v>45472</v>
      </c>
      <c r="J950" s="47" t="str">
        <f>IF(GroDB[[#This Row],[Last_Order_Date]]&lt;=GroDB[[#This Row],[Date_Received]], "Yes", "No")</f>
        <v>Yes</v>
      </c>
      <c r="K950" s="43">
        <f>IF(GroDB[[#This Row],[Column1]]="No",GroDB[[#This Row],[Last_Order_Date]],GroDB[[#This Row],[Date_Received]])</f>
        <v>45534</v>
      </c>
      <c r="L950" s="43">
        <f>IF(GroDB[[#This Row],[Column1]]="No",GroDB[[#This Row],[Date_Received]],GroDB[[#This Row],[Last_Order_Date]])</f>
        <v>45472</v>
      </c>
      <c r="M950" s="45">
        <f>GroDB[[#This Row],[Date_Received1]]-GroDB[[#This Row],[Procurement_Date]]</f>
        <v>62</v>
      </c>
      <c r="N950" s="43">
        <v>45361</v>
      </c>
      <c r="O950" s="91">
        <f>GroDB[[#This Row],[Expiration_Date]]-GroDB[[#This Row],[Date_Received1]]</f>
        <v>-173</v>
      </c>
      <c r="P950" s="4">
        <v>3.44</v>
      </c>
      <c r="Q950" s="3">
        <v>19</v>
      </c>
      <c r="R950" s="3">
        <v>17</v>
      </c>
      <c r="S950" s="3">
        <v>14</v>
      </c>
      <c r="T950" s="4">
        <v>4.3</v>
      </c>
      <c r="U950" s="3">
        <v>58</v>
      </c>
      <c r="V950" s="51">
        <f>IF(GroDB[[#This Row],[LeadTime]]=0,GroDB[[#This Row],[Sales_Volume]],GroDB[[#This Row],[Sales_Volume]]/GroDB[[#This Row],[LeadTime]])</f>
        <v>0.93548387096774188</v>
      </c>
      <c r="W950" s="51">
        <f>_xlfn.STDEV.S(GroDB[Daily Sales])</f>
        <v>5.1999899792654221</v>
      </c>
      <c r="X950" s="3">
        <v>23</v>
      </c>
      <c r="Y950" s="7">
        <v>0.28999999999999998</v>
      </c>
      <c r="Z950" s="4">
        <f>GroDB[[#This Row],[Unit_Price]]*GroDB[[#This Row],[Sales_Volume]]</f>
        <v>249.39999999999998</v>
      </c>
      <c r="AA950" s="22">
        <f>GroDB[[#This Row],[ADU]]/GroDB[[#Totals],[ADU]]</f>
        <v>7.244327943929014E-4</v>
      </c>
      <c r="AB950" s="1">
        <f>GroDB[[#This Row],[Sales_Volume]]*GroDB[[#This Row],[Ordering Cost]]</f>
        <v>199.52</v>
      </c>
    </row>
    <row r="951" spans="1:28" x14ac:dyDescent="0.35">
      <c r="A951" s="5" t="s">
        <v>717</v>
      </c>
      <c r="B951" s="3" t="s">
        <v>53</v>
      </c>
      <c r="C951" s="3" t="s">
        <v>226</v>
      </c>
      <c r="D951" s="3" t="s">
        <v>3337</v>
      </c>
      <c r="E951" s="3" t="s">
        <v>56</v>
      </c>
      <c r="F951" s="3" t="s">
        <v>3338</v>
      </c>
      <c r="G951" s="3" t="s">
        <v>3339</v>
      </c>
      <c r="H951" s="43">
        <v>45534</v>
      </c>
      <c r="I951" s="43">
        <v>45451</v>
      </c>
      <c r="J951" s="47" t="str">
        <f>IF(GroDB[[#This Row],[Last_Order_Date]]&lt;=GroDB[[#This Row],[Date_Received]], "Yes", "No")</f>
        <v>Yes</v>
      </c>
      <c r="K951" s="43">
        <f>IF(GroDB[[#This Row],[Column1]]="No",GroDB[[#This Row],[Last_Order_Date]],GroDB[[#This Row],[Date_Received]])</f>
        <v>45534</v>
      </c>
      <c r="L951" s="43">
        <f>IF(GroDB[[#This Row],[Column1]]="No",GroDB[[#This Row],[Date_Received]],GroDB[[#This Row],[Last_Order_Date]])</f>
        <v>45451</v>
      </c>
      <c r="M951" s="45">
        <f>GroDB[[#This Row],[Date_Received1]]-GroDB[[#This Row],[Procurement_Date]]</f>
        <v>83</v>
      </c>
      <c r="N951" s="43">
        <v>45448</v>
      </c>
      <c r="O951" s="91">
        <f>GroDB[[#This Row],[Expiration_Date]]-GroDB[[#This Row],[Date_Received1]]</f>
        <v>-86</v>
      </c>
      <c r="P951" s="4">
        <v>3.6</v>
      </c>
      <c r="Q951" s="3">
        <v>11</v>
      </c>
      <c r="R951" s="3">
        <v>87</v>
      </c>
      <c r="S951" s="3">
        <v>64</v>
      </c>
      <c r="T951" s="4">
        <v>4.5</v>
      </c>
      <c r="U951" s="3">
        <v>29</v>
      </c>
      <c r="V951" s="51">
        <f>IF(GroDB[[#This Row],[LeadTime]]=0,GroDB[[#This Row],[Sales_Volume]],GroDB[[#This Row],[Sales_Volume]]/GroDB[[#This Row],[LeadTime]])</f>
        <v>0.3493975903614458</v>
      </c>
      <c r="W951" s="51">
        <f>_xlfn.STDEV.S(GroDB[Daily Sales])</f>
        <v>5.1999899792654221</v>
      </c>
      <c r="X951" s="3">
        <v>6</v>
      </c>
      <c r="Y951" s="7">
        <v>0.6</v>
      </c>
      <c r="Z951" s="4">
        <f>GroDB[[#This Row],[Unit_Price]]*GroDB[[#This Row],[Sales_Volume]]</f>
        <v>130.5</v>
      </c>
      <c r="AA951" s="22">
        <f>GroDB[[#This Row],[ADU]]/GroDB[[#Totals],[ADU]]</f>
        <v>3.7906367148465777E-4</v>
      </c>
      <c r="AB951" s="1">
        <f>GroDB[[#This Row],[Sales_Volume]]*GroDB[[#This Row],[Ordering Cost]]</f>
        <v>104.4</v>
      </c>
    </row>
    <row r="952" spans="1:28" x14ac:dyDescent="0.35">
      <c r="A952" s="5" t="s">
        <v>342</v>
      </c>
      <c r="B952" s="3" t="s">
        <v>18</v>
      </c>
      <c r="C952" s="3" t="s">
        <v>259</v>
      </c>
      <c r="D952" s="3" t="s">
        <v>3340</v>
      </c>
      <c r="E952" s="3" t="s">
        <v>56</v>
      </c>
      <c r="F952" s="3" t="s">
        <v>3341</v>
      </c>
      <c r="G952" s="3" t="s">
        <v>3342</v>
      </c>
      <c r="H952" s="43">
        <v>45534</v>
      </c>
      <c r="I952" s="43">
        <v>45531</v>
      </c>
      <c r="J952" s="47" t="str">
        <f>IF(GroDB[[#This Row],[Last_Order_Date]]&lt;=GroDB[[#This Row],[Date_Received]], "Yes", "No")</f>
        <v>Yes</v>
      </c>
      <c r="K952" s="43">
        <f>IF(GroDB[[#This Row],[Column1]]="No",GroDB[[#This Row],[Last_Order_Date]],GroDB[[#This Row],[Date_Received]])</f>
        <v>45534</v>
      </c>
      <c r="L952" s="43">
        <f>IF(GroDB[[#This Row],[Column1]]="No",GroDB[[#This Row],[Date_Received]],GroDB[[#This Row],[Last_Order_Date]])</f>
        <v>45531</v>
      </c>
      <c r="M952" s="45">
        <f>GroDB[[#This Row],[Date_Received1]]-GroDB[[#This Row],[Procurement_Date]]</f>
        <v>3</v>
      </c>
      <c r="N952" s="43">
        <v>45591</v>
      </c>
      <c r="O952" s="91">
        <f>GroDB[[#This Row],[Expiration_Date]]-GroDB[[#This Row],[Date_Received1]]</f>
        <v>57</v>
      </c>
      <c r="P952" s="4">
        <v>4.8000000000000007</v>
      </c>
      <c r="Q952" s="3">
        <v>22</v>
      </c>
      <c r="R952" s="3">
        <v>35</v>
      </c>
      <c r="S952" s="3">
        <v>55</v>
      </c>
      <c r="T952" s="4">
        <v>6</v>
      </c>
      <c r="U952" s="3">
        <v>41</v>
      </c>
      <c r="V952" s="51">
        <f>IF(GroDB[[#This Row],[LeadTime]]=0,GroDB[[#This Row],[Sales_Volume]],GroDB[[#This Row],[Sales_Volume]]/GroDB[[#This Row],[LeadTime]])</f>
        <v>13.666666666666666</v>
      </c>
      <c r="W952" s="51">
        <f>_xlfn.STDEV.S(GroDB[Daily Sales])</f>
        <v>5.1999899792654221</v>
      </c>
      <c r="X952" s="3">
        <v>27</v>
      </c>
      <c r="Y952" s="7">
        <v>0.79</v>
      </c>
      <c r="Z952" s="4">
        <f>GroDB[[#This Row],[Unit_Price]]*GroDB[[#This Row],[Sales_Volume]]</f>
        <v>246</v>
      </c>
      <c r="AA952" s="22">
        <f>GroDB[[#This Row],[ADU]]/GroDB[[#Totals],[ADU]]</f>
        <v>7.1455680601705603E-4</v>
      </c>
      <c r="AB952" s="1">
        <f>GroDB[[#This Row],[Sales_Volume]]*GroDB[[#This Row],[Ordering Cost]]</f>
        <v>196.80000000000004</v>
      </c>
    </row>
    <row r="953" spans="1:28" x14ac:dyDescent="0.35">
      <c r="A953" s="5" t="s">
        <v>85</v>
      </c>
      <c r="B953" s="3" t="s">
        <v>18</v>
      </c>
      <c r="C953" s="3" t="s">
        <v>181</v>
      </c>
      <c r="D953" s="3" t="s">
        <v>3343</v>
      </c>
      <c r="E953" s="3" t="s">
        <v>21</v>
      </c>
      <c r="F953" s="3" t="s">
        <v>3344</v>
      </c>
      <c r="G953" s="3" t="s">
        <v>3345</v>
      </c>
      <c r="H953" s="43">
        <v>45535</v>
      </c>
      <c r="I953" s="43">
        <v>45701</v>
      </c>
      <c r="J953" s="47" t="str">
        <f>IF(GroDB[[#This Row],[Last_Order_Date]]&lt;=GroDB[[#This Row],[Date_Received]], "Yes", "No")</f>
        <v>No</v>
      </c>
      <c r="K953" s="43">
        <f>IF(GroDB[[#This Row],[Column1]]="No",GroDB[[#This Row],[Last_Order_Date]],GroDB[[#This Row],[Date_Received]])</f>
        <v>45701</v>
      </c>
      <c r="L953" s="43">
        <f>IF(GroDB[[#This Row],[Column1]]="No",GroDB[[#This Row],[Date_Received]],GroDB[[#This Row],[Last_Order_Date]])</f>
        <v>45535</v>
      </c>
      <c r="M953" s="45">
        <f>GroDB[[#This Row],[Date_Received1]]-GroDB[[#This Row],[Procurement_Date]]</f>
        <v>166</v>
      </c>
      <c r="N953" s="43">
        <v>45410</v>
      </c>
      <c r="O953" s="91">
        <f>GroDB[[#This Row],[Expiration_Date]]-GroDB[[#This Row],[Date_Received1]]</f>
        <v>-291</v>
      </c>
      <c r="P953" s="4">
        <v>2.4000000000000004</v>
      </c>
      <c r="Q953" s="3">
        <v>15</v>
      </c>
      <c r="R953" s="3">
        <v>44</v>
      </c>
      <c r="S953" s="3">
        <v>88</v>
      </c>
      <c r="T953" s="4">
        <v>3</v>
      </c>
      <c r="U953" s="3">
        <v>56</v>
      </c>
      <c r="V953" s="51">
        <f>IF(GroDB[[#This Row],[LeadTime]]=0,GroDB[[#This Row],[Sales_Volume]],GroDB[[#This Row],[Sales_Volume]]/GroDB[[#This Row],[LeadTime]])</f>
        <v>0.33734939759036142</v>
      </c>
      <c r="W953" s="51">
        <f>_xlfn.STDEV.S(GroDB[Daily Sales])</f>
        <v>5.1999899792654221</v>
      </c>
      <c r="X953" s="3">
        <v>12</v>
      </c>
      <c r="Y953" s="7">
        <v>0.34</v>
      </c>
      <c r="Z953" s="4">
        <f>GroDB[[#This Row],[Unit_Price]]*GroDB[[#This Row],[Sales_Volume]]</f>
        <v>168</v>
      </c>
      <c r="AA953" s="22">
        <f>GroDB[[#This Row],[ADU]]/GroDB[[#Totals],[ADU]]</f>
        <v>4.8799001386530652E-4</v>
      </c>
      <c r="AB953" s="1">
        <f>GroDB[[#This Row],[Sales_Volume]]*GroDB[[#This Row],[Ordering Cost]]</f>
        <v>134.40000000000003</v>
      </c>
    </row>
    <row r="954" spans="1:28" x14ac:dyDescent="0.35">
      <c r="A954" s="5" t="s">
        <v>342</v>
      </c>
      <c r="B954" s="3" t="s">
        <v>18</v>
      </c>
      <c r="C954" s="3" t="s">
        <v>1595</v>
      </c>
      <c r="D954" s="3" t="s">
        <v>3346</v>
      </c>
      <c r="E954" s="3" t="s">
        <v>56</v>
      </c>
      <c r="F954" s="3" t="s">
        <v>3347</v>
      </c>
      <c r="G954" s="3" t="s">
        <v>3348</v>
      </c>
      <c r="H954" s="43">
        <v>45535</v>
      </c>
      <c r="I954" s="43">
        <v>45519</v>
      </c>
      <c r="J954" s="47" t="str">
        <f>IF(GroDB[[#This Row],[Last_Order_Date]]&lt;=GroDB[[#This Row],[Date_Received]], "Yes", "No")</f>
        <v>Yes</v>
      </c>
      <c r="K954" s="43">
        <f>IF(GroDB[[#This Row],[Column1]]="No",GroDB[[#This Row],[Last_Order_Date]],GroDB[[#This Row],[Date_Received]])</f>
        <v>45535</v>
      </c>
      <c r="L954" s="43">
        <f>IF(GroDB[[#This Row],[Column1]]="No",GroDB[[#This Row],[Date_Received]],GroDB[[#This Row],[Last_Order_Date]])</f>
        <v>45519</v>
      </c>
      <c r="M954" s="45">
        <f>GroDB[[#This Row],[Date_Received1]]-GroDB[[#This Row],[Procurement_Date]]</f>
        <v>16</v>
      </c>
      <c r="N954" s="43">
        <v>45520</v>
      </c>
      <c r="O954" s="91">
        <f>GroDB[[#This Row],[Expiration_Date]]-GroDB[[#This Row],[Date_Received1]]</f>
        <v>-15</v>
      </c>
      <c r="P954" s="4">
        <v>4.8000000000000007</v>
      </c>
      <c r="Q954" s="3">
        <v>52</v>
      </c>
      <c r="R954" s="3">
        <v>8</v>
      </c>
      <c r="S954" s="3">
        <v>37</v>
      </c>
      <c r="T954" s="4">
        <v>6</v>
      </c>
      <c r="U954" s="3">
        <v>38</v>
      </c>
      <c r="V954" s="51">
        <f>IF(GroDB[[#This Row],[LeadTime]]=0,GroDB[[#This Row],[Sales_Volume]],GroDB[[#This Row],[Sales_Volume]]/GroDB[[#This Row],[LeadTime]])</f>
        <v>2.375</v>
      </c>
      <c r="W954" s="51">
        <f>_xlfn.STDEV.S(GroDB[Daily Sales])</f>
        <v>5.1999899792654221</v>
      </c>
      <c r="X954" s="3">
        <v>81</v>
      </c>
      <c r="Y954" s="7">
        <v>0.79</v>
      </c>
      <c r="Z954" s="4">
        <f>GroDB[[#This Row],[Unit_Price]]*GroDB[[#This Row],[Sales_Volume]]</f>
        <v>228</v>
      </c>
      <c r="AA954" s="22">
        <f>GroDB[[#This Row],[ADU]]/GroDB[[#Totals],[ADU]]</f>
        <v>6.6227216167434458E-4</v>
      </c>
      <c r="AB954" s="1">
        <f>GroDB[[#This Row],[Sales_Volume]]*GroDB[[#This Row],[Ordering Cost]]</f>
        <v>182.40000000000003</v>
      </c>
    </row>
    <row r="955" spans="1:28" x14ac:dyDescent="0.35">
      <c r="A955" s="5" t="s">
        <v>65</v>
      </c>
      <c r="B955" s="3" t="s">
        <v>32</v>
      </c>
      <c r="C955" s="3" t="s">
        <v>886</v>
      </c>
      <c r="D955" s="3" t="s">
        <v>3349</v>
      </c>
      <c r="E955" s="3" t="s">
        <v>28</v>
      </c>
      <c r="F955" s="3" t="s">
        <v>3350</v>
      </c>
      <c r="G955" s="3" t="s">
        <v>3351</v>
      </c>
      <c r="H955" s="43">
        <v>45548</v>
      </c>
      <c r="I955" s="43">
        <v>45663</v>
      </c>
      <c r="J955" s="47" t="str">
        <f>IF(GroDB[[#This Row],[Last_Order_Date]]&lt;=GroDB[[#This Row],[Date_Received]], "Yes", "No")</f>
        <v>No</v>
      </c>
      <c r="K955" s="43">
        <f>IF(GroDB[[#This Row],[Column1]]="No",GroDB[[#This Row],[Last_Order_Date]],GroDB[[#This Row],[Date_Received]])</f>
        <v>45663</v>
      </c>
      <c r="L955" s="43">
        <f>IF(GroDB[[#This Row],[Column1]]="No",GroDB[[#This Row],[Date_Received]],GroDB[[#This Row],[Last_Order_Date]])</f>
        <v>45548</v>
      </c>
      <c r="M955" s="45">
        <f>GroDB[[#This Row],[Date_Received1]]-GroDB[[#This Row],[Procurement_Date]]</f>
        <v>115</v>
      </c>
      <c r="N955" s="43">
        <v>45652</v>
      </c>
      <c r="O955" s="91">
        <f>GroDB[[#This Row],[Expiration_Date]]-GroDB[[#This Row],[Date_Received1]]</f>
        <v>-11</v>
      </c>
      <c r="P955" s="4">
        <v>7.2</v>
      </c>
      <c r="Q955" s="3">
        <v>100</v>
      </c>
      <c r="R955" s="3">
        <v>31</v>
      </c>
      <c r="S955" s="3">
        <v>43</v>
      </c>
      <c r="T955" s="4">
        <v>9</v>
      </c>
      <c r="U955" s="3">
        <v>88</v>
      </c>
      <c r="V955" s="51">
        <f>IF(GroDB[[#This Row],[LeadTime]]=0,GroDB[[#This Row],[Sales_Volume]],GroDB[[#This Row],[Sales_Volume]]/GroDB[[#This Row],[LeadTime]])</f>
        <v>0.76521739130434785</v>
      </c>
      <c r="W955" s="51">
        <f>_xlfn.STDEV.S(GroDB[Daily Sales])</f>
        <v>5.1999899792654221</v>
      </c>
      <c r="X955" s="3">
        <v>52</v>
      </c>
      <c r="Y955" s="7">
        <v>-1.1299999999999999</v>
      </c>
      <c r="Z955" s="4">
        <f>GroDB[[#This Row],[Unit_Price]]*GroDB[[#This Row],[Sales_Volume]]</f>
        <v>792</v>
      </c>
      <c r="AA955" s="22">
        <f>GroDB[[#This Row],[ADU]]/GroDB[[#Totals],[ADU]]</f>
        <v>2.3005243510793023E-3</v>
      </c>
      <c r="AB955" s="1">
        <f>GroDB[[#This Row],[Sales_Volume]]*GroDB[[#This Row],[Ordering Cost]]</f>
        <v>633.6</v>
      </c>
    </row>
    <row r="956" spans="1:28" x14ac:dyDescent="0.35">
      <c r="A956" s="5" t="s">
        <v>188</v>
      </c>
      <c r="B956" s="3" t="s">
        <v>32</v>
      </c>
      <c r="C956" s="3" t="s">
        <v>3105</v>
      </c>
      <c r="D956" s="3" t="s">
        <v>3352</v>
      </c>
      <c r="E956" s="3" t="s">
        <v>56</v>
      </c>
      <c r="F956" s="3" t="s">
        <v>3353</v>
      </c>
      <c r="G956" s="3" t="s">
        <v>3354</v>
      </c>
      <c r="H956" s="43">
        <v>45548</v>
      </c>
      <c r="I956" s="43">
        <v>45452</v>
      </c>
      <c r="J956" s="47" t="str">
        <f>IF(GroDB[[#This Row],[Last_Order_Date]]&lt;=GroDB[[#This Row],[Date_Received]], "Yes", "No")</f>
        <v>Yes</v>
      </c>
      <c r="K956" s="43">
        <f>IF(GroDB[[#This Row],[Column1]]="No",GroDB[[#This Row],[Last_Order_Date]],GroDB[[#This Row],[Date_Received]])</f>
        <v>45548</v>
      </c>
      <c r="L956" s="43">
        <f>IF(GroDB[[#This Row],[Column1]]="No",GroDB[[#This Row],[Date_Received]],GroDB[[#This Row],[Last_Order_Date]])</f>
        <v>45452</v>
      </c>
      <c r="M956" s="45">
        <f>GroDB[[#This Row],[Date_Received1]]-GroDB[[#This Row],[Procurement_Date]]</f>
        <v>96</v>
      </c>
      <c r="N956" s="43">
        <v>45605</v>
      </c>
      <c r="O956" s="91">
        <f>GroDB[[#This Row],[Expiration_Date]]-GroDB[[#This Row],[Date_Received1]]</f>
        <v>57</v>
      </c>
      <c r="P956" s="4">
        <v>0.8</v>
      </c>
      <c r="Q956" s="3">
        <v>18</v>
      </c>
      <c r="R956" s="3">
        <v>64</v>
      </c>
      <c r="S956" s="3">
        <v>86</v>
      </c>
      <c r="T956" s="4">
        <v>1</v>
      </c>
      <c r="U956" s="3">
        <v>73</v>
      </c>
      <c r="V956" s="51">
        <f>IF(GroDB[[#This Row],[LeadTime]]=0,GroDB[[#This Row],[Sales_Volume]],GroDB[[#This Row],[Sales_Volume]]/GroDB[[#This Row],[LeadTime]])</f>
        <v>0.76041666666666663</v>
      </c>
      <c r="W956" s="51">
        <f>_xlfn.STDEV.S(GroDB[Daily Sales])</f>
        <v>5.1999899792654221</v>
      </c>
      <c r="X956" s="3">
        <v>38</v>
      </c>
      <c r="Y956" s="7">
        <v>0.41</v>
      </c>
      <c r="Z956" s="4">
        <f>GroDB[[#This Row],[Unit_Price]]*GroDB[[#This Row],[Sales_Volume]]</f>
        <v>73</v>
      </c>
      <c r="AA956" s="22">
        <f>GroDB[[#This Row],[ADU]]/GroDB[[#Totals],[ADU]]</f>
        <v>2.1204327983432962E-4</v>
      </c>
      <c r="AB956" s="1">
        <f>GroDB[[#This Row],[Sales_Volume]]*GroDB[[#This Row],[Ordering Cost]]</f>
        <v>58.400000000000006</v>
      </c>
    </row>
    <row r="957" spans="1:28" x14ac:dyDescent="0.35">
      <c r="A957" s="5" t="s">
        <v>397</v>
      </c>
      <c r="B957" s="3" t="s">
        <v>25</v>
      </c>
      <c r="C957" s="3" t="s">
        <v>376</v>
      </c>
      <c r="D957" s="3" t="s">
        <v>3355</v>
      </c>
      <c r="E957" s="3" t="s">
        <v>56</v>
      </c>
      <c r="F957" s="3" t="s">
        <v>3356</v>
      </c>
      <c r="G957" s="3" t="s">
        <v>3357</v>
      </c>
      <c r="H957" s="43">
        <v>45548</v>
      </c>
      <c r="I957" s="43">
        <v>45707</v>
      </c>
      <c r="J957" s="47" t="str">
        <f>IF(GroDB[[#This Row],[Last_Order_Date]]&lt;=GroDB[[#This Row],[Date_Received]], "Yes", "No")</f>
        <v>No</v>
      </c>
      <c r="K957" s="43">
        <f>IF(GroDB[[#This Row],[Column1]]="No",GroDB[[#This Row],[Last_Order_Date]],GroDB[[#This Row],[Date_Received]])</f>
        <v>45707</v>
      </c>
      <c r="L957" s="43">
        <f>IF(GroDB[[#This Row],[Column1]]="No",GroDB[[#This Row],[Date_Received]],GroDB[[#This Row],[Last_Order_Date]])</f>
        <v>45548</v>
      </c>
      <c r="M957" s="45">
        <f>GroDB[[#This Row],[Date_Received1]]-GroDB[[#This Row],[Procurement_Date]]</f>
        <v>159</v>
      </c>
      <c r="N957" s="43">
        <v>45365</v>
      </c>
      <c r="O957" s="91">
        <f>GroDB[[#This Row],[Expiration_Date]]-GroDB[[#This Row],[Date_Received1]]</f>
        <v>-342</v>
      </c>
      <c r="P957" s="4">
        <v>2</v>
      </c>
      <c r="Q957" s="3">
        <v>39</v>
      </c>
      <c r="R957" s="3">
        <v>13</v>
      </c>
      <c r="S957" s="3">
        <v>13</v>
      </c>
      <c r="T957" s="4">
        <v>2.5</v>
      </c>
      <c r="U957" s="3">
        <v>84</v>
      </c>
      <c r="V957" s="51">
        <f>IF(GroDB[[#This Row],[LeadTime]]=0,GroDB[[#This Row],[Sales_Volume]],GroDB[[#This Row],[Sales_Volume]]/GroDB[[#This Row],[LeadTime]])</f>
        <v>0.52830188679245282</v>
      </c>
      <c r="W957" s="51">
        <f>_xlfn.STDEV.S(GroDB[Daily Sales])</f>
        <v>5.1999899792654221</v>
      </c>
      <c r="X957" s="3">
        <v>93</v>
      </c>
      <c r="Y957" s="7">
        <v>0.48</v>
      </c>
      <c r="Z957" s="4">
        <f>GroDB[[#This Row],[Unit_Price]]*GroDB[[#This Row],[Sales_Volume]]</f>
        <v>210</v>
      </c>
      <c r="AA957" s="22">
        <f>GroDB[[#This Row],[ADU]]/GroDB[[#Totals],[ADU]]</f>
        <v>6.0998751733163314E-4</v>
      </c>
      <c r="AB957" s="1">
        <f>GroDB[[#This Row],[Sales_Volume]]*GroDB[[#This Row],[Ordering Cost]]</f>
        <v>168</v>
      </c>
    </row>
    <row r="958" spans="1:28" x14ac:dyDescent="0.35">
      <c r="A958" s="5" t="s">
        <v>508</v>
      </c>
      <c r="B958" s="3" t="s">
        <v>127</v>
      </c>
      <c r="C958" s="3" t="s">
        <v>3358</v>
      </c>
      <c r="D958" s="3" t="s">
        <v>3359</v>
      </c>
      <c r="E958" s="3" t="s">
        <v>56</v>
      </c>
      <c r="F958" s="3" t="s">
        <v>3360</v>
      </c>
      <c r="G958" s="3" t="s">
        <v>3361</v>
      </c>
      <c r="H958" s="43">
        <v>45550</v>
      </c>
      <c r="I958" s="43">
        <v>45558</v>
      </c>
      <c r="J958" s="47" t="str">
        <f>IF(GroDB[[#This Row],[Last_Order_Date]]&lt;=GroDB[[#This Row],[Date_Received]], "Yes", "No")</f>
        <v>No</v>
      </c>
      <c r="K958" s="43">
        <f>IF(GroDB[[#This Row],[Column1]]="No",GroDB[[#This Row],[Last_Order_Date]],GroDB[[#This Row],[Date_Received]])</f>
        <v>45558</v>
      </c>
      <c r="L958" s="43">
        <f>IF(GroDB[[#This Row],[Column1]]="No",GroDB[[#This Row],[Date_Received]],GroDB[[#This Row],[Last_Order_Date]])</f>
        <v>45550</v>
      </c>
      <c r="M958" s="45">
        <f>GroDB[[#This Row],[Date_Received1]]-GroDB[[#This Row],[Procurement_Date]]</f>
        <v>8</v>
      </c>
      <c r="N958" s="43">
        <v>45670</v>
      </c>
      <c r="O958" s="91">
        <f>GroDB[[#This Row],[Expiration_Date]]-GroDB[[#This Row],[Date_Received1]]</f>
        <v>112</v>
      </c>
      <c r="P958" s="4">
        <v>4</v>
      </c>
      <c r="Q958" s="3">
        <v>46</v>
      </c>
      <c r="R958" s="3">
        <v>27</v>
      </c>
      <c r="S958" s="3">
        <v>76</v>
      </c>
      <c r="T958" s="4">
        <v>5</v>
      </c>
      <c r="U958" s="3">
        <v>64</v>
      </c>
      <c r="V958" s="51">
        <f>IF(GroDB[[#This Row],[LeadTime]]=0,GroDB[[#This Row],[Sales_Volume]],GroDB[[#This Row],[Sales_Volume]]/GroDB[[#This Row],[LeadTime]])</f>
        <v>8</v>
      </c>
      <c r="W958" s="51">
        <f>_xlfn.STDEV.S(GroDB[Daily Sales])</f>
        <v>5.1999899792654221</v>
      </c>
      <c r="X958" s="3">
        <v>96</v>
      </c>
      <c r="Y958" s="7">
        <v>-0.11</v>
      </c>
      <c r="Z958" s="4">
        <f>GroDB[[#This Row],[Unit_Price]]*GroDB[[#This Row],[Sales_Volume]]</f>
        <v>320</v>
      </c>
      <c r="AA958" s="22">
        <f>GroDB[[#This Row],[ADU]]/GroDB[[#Totals],[ADU]]</f>
        <v>9.295047883148696E-4</v>
      </c>
      <c r="AB958" s="1">
        <f>GroDB[[#This Row],[Sales_Volume]]*GroDB[[#This Row],[Ordering Cost]]</f>
        <v>256</v>
      </c>
    </row>
    <row r="959" spans="1:28" x14ac:dyDescent="0.35">
      <c r="A959" s="5" t="s">
        <v>1202</v>
      </c>
      <c r="B959" s="3" t="s">
        <v>18</v>
      </c>
      <c r="C959" s="3" t="s">
        <v>972</v>
      </c>
      <c r="D959" s="3" t="s">
        <v>3362</v>
      </c>
      <c r="E959" s="3" t="s">
        <v>21</v>
      </c>
      <c r="F959" s="3" t="s">
        <v>3363</v>
      </c>
      <c r="G959" s="3" t="s">
        <v>3364</v>
      </c>
      <c r="H959" s="43">
        <v>45550</v>
      </c>
      <c r="I959" s="43">
        <v>45589</v>
      </c>
      <c r="J959" s="47" t="str">
        <f>IF(GroDB[[#This Row],[Last_Order_Date]]&lt;=GroDB[[#This Row],[Date_Received]], "Yes", "No")</f>
        <v>No</v>
      </c>
      <c r="K959" s="43">
        <f>IF(GroDB[[#This Row],[Column1]]="No",GroDB[[#This Row],[Last_Order_Date]],GroDB[[#This Row],[Date_Received]])</f>
        <v>45589</v>
      </c>
      <c r="L959" s="43">
        <f>IF(GroDB[[#This Row],[Column1]]="No",GroDB[[#This Row],[Date_Received]],GroDB[[#This Row],[Last_Order_Date]])</f>
        <v>45550</v>
      </c>
      <c r="M959" s="45">
        <f>GroDB[[#This Row],[Date_Received1]]-GroDB[[#This Row],[Procurement_Date]]</f>
        <v>39</v>
      </c>
      <c r="N959" s="43">
        <v>45653</v>
      </c>
      <c r="O959" s="91">
        <f>GroDB[[#This Row],[Expiration_Date]]-GroDB[[#This Row],[Date_Received1]]</f>
        <v>64</v>
      </c>
      <c r="P959" s="4">
        <v>2.4000000000000004</v>
      </c>
      <c r="Q959" s="3">
        <v>71</v>
      </c>
      <c r="R959" s="3">
        <v>4</v>
      </c>
      <c r="S959" s="3">
        <v>37</v>
      </c>
      <c r="T959" s="4">
        <v>3</v>
      </c>
      <c r="U959" s="3">
        <v>81</v>
      </c>
      <c r="V959" s="51">
        <f>IF(GroDB[[#This Row],[LeadTime]]=0,GroDB[[#This Row],[Sales_Volume]],GroDB[[#This Row],[Sales_Volume]]/GroDB[[#This Row],[LeadTime]])</f>
        <v>2.0769230769230771</v>
      </c>
      <c r="W959" s="51">
        <f>_xlfn.STDEV.S(GroDB[Daily Sales])</f>
        <v>5.1999899792654221</v>
      </c>
      <c r="X959" s="3">
        <v>25</v>
      </c>
      <c r="Y959" s="7">
        <v>-0.5</v>
      </c>
      <c r="Z959" s="4">
        <f>GroDB[[#This Row],[Unit_Price]]*GroDB[[#This Row],[Sales_Volume]]</f>
        <v>243</v>
      </c>
      <c r="AA959" s="22">
        <f>GroDB[[#This Row],[ADU]]/GroDB[[#Totals],[ADU]]</f>
        <v>7.0584269862660409E-4</v>
      </c>
      <c r="AB959" s="1">
        <f>GroDB[[#This Row],[Sales_Volume]]*GroDB[[#This Row],[Ordering Cost]]</f>
        <v>194.40000000000003</v>
      </c>
    </row>
    <row r="960" spans="1:28" x14ac:dyDescent="0.35">
      <c r="A960" s="5" t="s">
        <v>121</v>
      </c>
      <c r="B960" s="3" t="s">
        <v>53</v>
      </c>
      <c r="C960" s="3" t="s">
        <v>588</v>
      </c>
      <c r="D960" s="3" t="s">
        <v>3365</v>
      </c>
      <c r="E960" s="3" t="s">
        <v>28</v>
      </c>
      <c r="F960" s="3" t="s">
        <v>3366</v>
      </c>
      <c r="G960" s="3" t="s">
        <v>3367</v>
      </c>
      <c r="H960" s="43">
        <v>45550</v>
      </c>
      <c r="I960" s="43">
        <v>45402</v>
      </c>
      <c r="J960" s="47" t="str">
        <f>IF(GroDB[[#This Row],[Last_Order_Date]]&lt;=GroDB[[#This Row],[Date_Received]], "Yes", "No")</f>
        <v>Yes</v>
      </c>
      <c r="K960" s="43">
        <f>IF(GroDB[[#This Row],[Column1]]="No",GroDB[[#This Row],[Last_Order_Date]],GroDB[[#This Row],[Date_Received]])</f>
        <v>45550</v>
      </c>
      <c r="L960" s="43">
        <f>IF(GroDB[[#This Row],[Column1]]="No",GroDB[[#This Row],[Date_Received]],GroDB[[#This Row],[Last_Order_Date]])</f>
        <v>45402</v>
      </c>
      <c r="M960" s="45">
        <f>GroDB[[#This Row],[Date_Received1]]-GroDB[[#This Row],[Procurement_Date]]</f>
        <v>148</v>
      </c>
      <c r="N960" s="43">
        <v>45449</v>
      </c>
      <c r="O960" s="91">
        <f>GroDB[[#This Row],[Expiration_Date]]-GroDB[[#This Row],[Date_Received1]]</f>
        <v>-101</v>
      </c>
      <c r="P960" s="4">
        <v>2.12</v>
      </c>
      <c r="Q960" s="3">
        <v>41</v>
      </c>
      <c r="R960" s="3">
        <v>76</v>
      </c>
      <c r="S960" s="3">
        <v>47</v>
      </c>
      <c r="T960" s="4">
        <v>2.65</v>
      </c>
      <c r="U960" s="3">
        <v>50</v>
      </c>
      <c r="V960" s="51">
        <f>IF(GroDB[[#This Row],[LeadTime]]=0,GroDB[[#This Row],[Sales_Volume]],GroDB[[#This Row],[Sales_Volume]]/GroDB[[#This Row],[LeadTime]])</f>
        <v>0.33783783783783783</v>
      </c>
      <c r="W960" s="51">
        <f>_xlfn.STDEV.S(GroDB[Daily Sales])</f>
        <v>5.1999899792654221</v>
      </c>
      <c r="X960" s="3">
        <v>50</v>
      </c>
      <c r="Y960" s="7">
        <v>0.69</v>
      </c>
      <c r="Z960" s="4">
        <f>GroDB[[#This Row],[Unit_Price]]*GroDB[[#This Row],[Sales_Volume]]</f>
        <v>132.5</v>
      </c>
      <c r="AA960" s="22">
        <f>GroDB[[#This Row],[ADU]]/GroDB[[#Totals],[ADU]]</f>
        <v>3.8487307641162571E-4</v>
      </c>
      <c r="AB960" s="1">
        <f>GroDB[[#This Row],[Sales_Volume]]*GroDB[[#This Row],[Ordering Cost]]</f>
        <v>106</v>
      </c>
    </row>
    <row r="961" spans="1:28" x14ac:dyDescent="0.35">
      <c r="A961" s="5" t="s">
        <v>220</v>
      </c>
      <c r="B961" s="3" t="s">
        <v>127</v>
      </c>
      <c r="C961" s="3" t="s">
        <v>3109</v>
      </c>
      <c r="D961" s="3" t="s">
        <v>3368</v>
      </c>
      <c r="E961" s="3" t="s">
        <v>56</v>
      </c>
      <c r="F961" s="3" t="s">
        <v>3369</v>
      </c>
      <c r="G961" s="3" t="s">
        <v>3370</v>
      </c>
      <c r="H961" s="43">
        <v>45550</v>
      </c>
      <c r="I961" s="43">
        <v>45678</v>
      </c>
      <c r="J961" s="47" t="str">
        <f>IF(GroDB[[#This Row],[Last_Order_Date]]&lt;=GroDB[[#This Row],[Date_Received]], "Yes", "No")</f>
        <v>No</v>
      </c>
      <c r="K961" s="43">
        <f>IF(GroDB[[#This Row],[Column1]]="No",GroDB[[#This Row],[Last_Order_Date]],GroDB[[#This Row],[Date_Received]])</f>
        <v>45678</v>
      </c>
      <c r="L961" s="43">
        <f>IF(GroDB[[#This Row],[Column1]]="No",GroDB[[#This Row],[Date_Received]],GroDB[[#This Row],[Last_Order_Date]])</f>
        <v>45550</v>
      </c>
      <c r="M961" s="45">
        <f>GroDB[[#This Row],[Date_Received1]]-GroDB[[#This Row],[Procurement_Date]]</f>
        <v>128</v>
      </c>
      <c r="N961" s="43">
        <v>45587</v>
      </c>
      <c r="O961" s="91">
        <f>GroDB[[#This Row],[Expiration_Date]]-GroDB[[#This Row],[Date_Received1]]</f>
        <v>-91</v>
      </c>
      <c r="P961" s="4">
        <v>8</v>
      </c>
      <c r="Q961" s="3">
        <v>59</v>
      </c>
      <c r="R961" s="3">
        <v>31</v>
      </c>
      <c r="S961" s="3">
        <v>3</v>
      </c>
      <c r="T961" s="4">
        <v>10</v>
      </c>
      <c r="U961" s="3">
        <v>48</v>
      </c>
      <c r="V961" s="51">
        <f>IF(GroDB[[#This Row],[LeadTime]]=0,GroDB[[#This Row],[Sales_Volume]],GroDB[[#This Row],[Sales_Volume]]/GroDB[[#This Row],[LeadTime]])</f>
        <v>0.375</v>
      </c>
      <c r="W961" s="51">
        <f>_xlfn.STDEV.S(GroDB[Daily Sales])</f>
        <v>5.1999899792654221</v>
      </c>
      <c r="X961" s="3">
        <v>51</v>
      </c>
      <c r="Y961" s="7">
        <v>0</v>
      </c>
      <c r="Z961" s="4">
        <f>GroDB[[#This Row],[Unit_Price]]*GroDB[[#This Row],[Sales_Volume]]</f>
        <v>480</v>
      </c>
      <c r="AA961" s="22">
        <f>GroDB[[#This Row],[ADU]]/GroDB[[#Totals],[ADU]]</f>
        <v>1.3942571824723045E-3</v>
      </c>
      <c r="AB961" s="1">
        <f>GroDB[[#This Row],[Sales_Volume]]*GroDB[[#This Row],[Ordering Cost]]</f>
        <v>384</v>
      </c>
    </row>
    <row r="962" spans="1:28" x14ac:dyDescent="0.35">
      <c r="A962" s="5" t="s">
        <v>980</v>
      </c>
      <c r="B962" s="3" t="s">
        <v>60</v>
      </c>
      <c r="C962" s="3" t="s">
        <v>3371</v>
      </c>
      <c r="D962" s="3" t="s">
        <v>3372</v>
      </c>
      <c r="E962" s="3" t="s">
        <v>56</v>
      </c>
      <c r="F962" s="3" t="s">
        <v>3373</v>
      </c>
      <c r="G962" s="3" t="s">
        <v>3374</v>
      </c>
      <c r="H962" s="43">
        <v>45550</v>
      </c>
      <c r="I962" s="43">
        <v>45451</v>
      </c>
      <c r="J962" s="47" t="str">
        <f>IF(GroDB[[#This Row],[Last_Order_Date]]&lt;=GroDB[[#This Row],[Date_Received]], "Yes", "No")</f>
        <v>Yes</v>
      </c>
      <c r="K962" s="43">
        <f>IF(GroDB[[#This Row],[Column1]]="No",GroDB[[#This Row],[Last_Order_Date]],GroDB[[#This Row],[Date_Received]])</f>
        <v>45550</v>
      </c>
      <c r="L962" s="43">
        <f>IF(GroDB[[#This Row],[Column1]]="No",GroDB[[#This Row],[Date_Received]],GroDB[[#This Row],[Last_Order_Date]])</f>
        <v>45451</v>
      </c>
      <c r="M962" s="45">
        <f>GroDB[[#This Row],[Date_Received1]]-GroDB[[#This Row],[Procurement_Date]]</f>
        <v>99</v>
      </c>
      <c r="N962" s="43">
        <v>45625</v>
      </c>
      <c r="O962" s="91">
        <f>GroDB[[#This Row],[Expiration_Date]]-GroDB[[#This Row],[Date_Received1]]</f>
        <v>75</v>
      </c>
      <c r="P962" s="4">
        <v>12</v>
      </c>
      <c r="Q962" s="3">
        <v>73</v>
      </c>
      <c r="R962" s="3">
        <v>12</v>
      </c>
      <c r="S962" s="3">
        <v>28</v>
      </c>
      <c r="T962" s="4">
        <v>15</v>
      </c>
      <c r="U962" s="3">
        <v>89</v>
      </c>
      <c r="V962" s="51">
        <f>IF(GroDB[[#This Row],[LeadTime]]=0,GroDB[[#This Row],[Sales_Volume]],GroDB[[#This Row],[Sales_Volume]]/GroDB[[#This Row],[LeadTime]])</f>
        <v>0.89898989898989901</v>
      </c>
      <c r="W962" s="51">
        <f>_xlfn.STDEV.S(GroDB[Daily Sales])</f>
        <v>5.1999899792654221</v>
      </c>
      <c r="X962" s="3">
        <v>92</v>
      </c>
      <c r="Y962" s="7">
        <v>-0.06</v>
      </c>
      <c r="Z962" s="4">
        <f>GroDB[[#This Row],[Unit_Price]]*GroDB[[#This Row],[Sales_Volume]]</f>
        <v>1335</v>
      </c>
      <c r="AA962" s="22">
        <f>GroDB[[#This Row],[ADU]]/GroDB[[#Totals],[ADU]]</f>
        <v>3.8777777887510968E-3</v>
      </c>
      <c r="AB962" s="1">
        <f>GroDB[[#This Row],[Sales_Volume]]*GroDB[[#This Row],[Ordering Cost]]</f>
        <v>1068</v>
      </c>
    </row>
    <row r="963" spans="1:28" x14ac:dyDescent="0.35">
      <c r="A963" s="5" t="s">
        <v>980</v>
      </c>
      <c r="B963" s="3" t="s">
        <v>60</v>
      </c>
      <c r="C963" s="3" t="s">
        <v>1595</v>
      </c>
      <c r="D963" s="3" t="s">
        <v>3375</v>
      </c>
      <c r="E963" s="3" t="s">
        <v>56</v>
      </c>
      <c r="F963" s="3" t="s">
        <v>3376</v>
      </c>
      <c r="G963" s="3" t="s">
        <v>3377</v>
      </c>
      <c r="H963" s="43">
        <v>45551</v>
      </c>
      <c r="I963" s="43">
        <v>45347</v>
      </c>
      <c r="J963" s="47" t="str">
        <f>IF(GroDB[[#This Row],[Last_Order_Date]]&lt;=GroDB[[#This Row],[Date_Received]], "Yes", "No")</f>
        <v>Yes</v>
      </c>
      <c r="K963" s="43">
        <f>IF(GroDB[[#This Row],[Column1]]="No",GroDB[[#This Row],[Last_Order_Date]],GroDB[[#This Row],[Date_Received]])</f>
        <v>45551</v>
      </c>
      <c r="L963" s="43">
        <f>IF(GroDB[[#This Row],[Column1]]="No",GroDB[[#This Row],[Date_Received]],GroDB[[#This Row],[Last_Order_Date]])</f>
        <v>45347</v>
      </c>
      <c r="M963" s="45">
        <f>GroDB[[#This Row],[Date_Received1]]-GroDB[[#This Row],[Procurement_Date]]</f>
        <v>204</v>
      </c>
      <c r="N963" s="43">
        <v>45518</v>
      </c>
      <c r="O963" s="91">
        <f>GroDB[[#This Row],[Expiration_Date]]-GroDB[[#This Row],[Date_Received1]]</f>
        <v>-33</v>
      </c>
      <c r="P963" s="4">
        <v>12</v>
      </c>
      <c r="Q963" s="3">
        <v>49</v>
      </c>
      <c r="R963" s="3">
        <v>48</v>
      </c>
      <c r="S963" s="3">
        <v>62</v>
      </c>
      <c r="T963" s="4">
        <v>15</v>
      </c>
      <c r="U963" s="3">
        <v>96</v>
      </c>
      <c r="V963" s="51">
        <f>IF(GroDB[[#This Row],[LeadTime]]=0,GroDB[[#This Row],[Sales_Volume]],GroDB[[#This Row],[Sales_Volume]]/GroDB[[#This Row],[LeadTime]])</f>
        <v>0.47058823529411764</v>
      </c>
      <c r="W963" s="51">
        <f>_xlfn.STDEV.S(GroDB[Daily Sales])</f>
        <v>5.1999899792654221</v>
      </c>
      <c r="X963" s="3">
        <v>37</v>
      </c>
      <c r="Y963" s="7">
        <v>-0.03</v>
      </c>
      <c r="Z963" s="4">
        <f>GroDB[[#This Row],[Unit_Price]]*GroDB[[#This Row],[Sales_Volume]]</f>
        <v>1440</v>
      </c>
      <c r="AA963" s="22">
        <f>GroDB[[#This Row],[ADU]]/GroDB[[#Totals],[ADU]]</f>
        <v>4.1827715474169131E-3</v>
      </c>
      <c r="AB963" s="1">
        <f>GroDB[[#This Row],[Sales_Volume]]*GroDB[[#This Row],[Ordering Cost]]</f>
        <v>1152</v>
      </c>
    </row>
    <row r="964" spans="1:28" x14ac:dyDescent="0.35">
      <c r="A964" s="5" t="s">
        <v>355</v>
      </c>
      <c r="B964" s="3" t="s">
        <v>18</v>
      </c>
      <c r="C964" s="3" t="s">
        <v>2639</v>
      </c>
      <c r="D964" s="3" t="s">
        <v>3378</v>
      </c>
      <c r="E964" s="3" t="s">
        <v>28</v>
      </c>
      <c r="F964" s="3" t="s">
        <v>3379</v>
      </c>
      <c r="G964" s="3" t="s">
        <v>3380</v>
      </c>
      <c r="H964" s="43">
        <v>45551</v>
      </c>
      <c r="I964" s="43">
        <v>45601</v>
      </c>
      <c r="J964" s="47" t="str">
        <f>IF(GroDB[[#This Row],[Last_Order_Date]]&lt;=GroDB[[#This Row],[Date_Received]], "Yes", "No")</f>
        <v>No</v>
      </c>
      <c r="K964" s="43">
        <f>IF(GroDB[[#This Row],[Column1]]="No",GroDB[[#This Row],[Last_Order_Date]],GroDB[[#This Row],[Date_Received]])</f>
        <v>45601</v>
      </c>
      <c r="L964" s="43">
        <f>IF(GroDB[[#This Row],[Column1]]="No",GroDB[[#This Row],[Date_Received]],GroDB[[#This Row],[Last_Order_Date]])</f>
        <v>45551</v>
      </c>
      <c r="M964" s="45">
        <f>GroDB[[#This Row],[Date_Received1]]-GroDB[[#This Row],[Procurement_Date]]</f>
        <v>50</v>
      </c>
      <c r="N964" s="43">
        <v>45589</v>
      </c>
      <c r="O964" s="91">
        <f>GroDB[[#This Row],[Expiration_Date]]-GroDB[[#This Row],[Date_Received1]]</f>
        <v>-12</v>
      </c>
      <c r="P964" s="4">
        <v>0.8</v>
      </c>
      <c r="Q964" s="3">
        <v>83</v>
      </c>
      <c r="R964" s="3">
        <v>61</v>
      </c>
      <c r="S964" s="3">
        <v>4</v>
      </c>
      <c r="T964" s="4">
        <v>1</v>
      </c>
      <c r="U964" s="3">
        <v>35</v>
      </c>
      <c r="V964" s="51">
        <f>IF(GroDB[[#This Row],[LeadTime]]=0,GroDB[[#This Row],[Sales_Volume]],GroDB[[#This Row],[Sales_Volume]]/GroDB[[#This Row],[LeadTime]])</f>
        <v>0.7</v>
      </c>
      <c r="W964" s="51">
        <f>_xlfn.STDEV.S(GroDB[Daily Sales])</f>
        <v>5.1999899792654221</v>
      </c>
      <c r="X964" s="3">
        <v>7</v>
      </c>
      <c r="Y964" s="7">
        <v>0.61</v>
      </c>
      <c r="Z964" s="4">
        <f>GroDB[[#This Row],[Unit_Price]]*GroDB[[#This Row],[Sales_Volume]]</f>
        <v>35</v>
      </c>
      <c r="AA964" s="22">
        <f>GroDB[[#This Row],[ADU]]/GroDB[[#Totals],[ADU]]</f>
        <v>1.0166458622193887E-4</v>
      </c>
      <c r="AB964" s="1">
        <f>GroDB[[#This Row],[Sales_Volume]]*GroDB[[#This Row],[Ordering Cost]]</f>
        <v>28</v>
      </c>
    </row>
    <row r="965" spans="1:28" x14ac:dyDescent="0.35">
      <c r="A965" s="5" t="s">
        <v>433</v>
      </c>
      <c r="B965" s="3" t="s">
        <v>18</v>
      </c>
      <c r="C965" s="3" t="s">
        <v>166</v>
      </c>
      <c r="D965" s="3" t="s">
        <v>3381</v>
      </c>
      <c r="E965" s="3" t="s">
        <v>56</v>
      </c>
      <c r="F965" s="3" t="s">
        <v>3382</v>
      </c>
      <c r="G965" s="3" t="s">
        <v>3383</v>
      </c>
      <c r="H965" s="43">
        <v>45552</v>
      </c>
      <c r="I965" s="43">
        <v>45531</v>
      </c>
      <c r="J965" s="47" t="str">
        <f>IF(GroDB[[#This Row],[Last_Order_Date]]&lt;=GroDB[[#This Row],[Date_Received]], "Yes", "No")</f>
        <v>Yes</v>
      </c>
      <c r="K965" s="43">
        <f>IF(GroDB[[#This Row],[Column1]]="No",GroDB[[#This Row],[Last_Order_Date]],GroDB[[#This Row],[Date_Received]])</f>
        <v>45552</v>
      </c>
      <c r="L965" s="43">
        <f>IF(GroDB[[#This Row],[Column1]]="No",GroDB[[#This Row],[Date_Received]],GroDB[[#This Row],[Last_Order_Date]])</f>
        <v>45531</v>
      </c>
      <c r="M965" s="45">
        <f>GroDB[[#This Row],[Date_Received1]]-GroDB[[#This Row],[Procurement_Date]]</f>
        <v>21</v>
      </c>
      <c r="N965" s="43">
        <v>45690</v>
      </c>
      <c r="O965" s="91">
        <f>GroDB[[#This Row],[Expiration_Date]]-GroDB[[#This Row],[Date_Received1]]</f>
        <v>138</v>
      </c>
      <c r="P965" s="4">
        <v>78.744000000000014</v>
      </c>
      <c r="Q965" s="3">
        <v>56</v>
      </c>
      <c r="R965" s="3">
        <v>12</v>
      </c>
      <c r="S965" s="3">
        <v>59</v>
      </c>
      <c r="T965" s="4">
        <v>98.43</v>
      </c>
      <c r="U965" s="3">
        <v>35</v>
      </c>
      <c r="V965" s="51">
        <f>IF(GroDB[[#This Row],[LeadTime]]=0,GroDB[[#This Row],[Sales_Volume]],GroDB[[#This Row],[Sales_Volume]]/GroDB[[#This Row],[LeadTime]])</f>
        <v>1.6666666666666667</v>
      </c>
      <c r="W965" s="51">
        <f>_xlfn.STDEV.S(GroDB[Daily Sales])</f>
        <v>5.1999899792654221</v>
      </c>
      <c r="X965" s="3">
        <v>16</v>
      </c>
      <c r="Y965" s="7">
        <v>0.8</v>
      </c>
      <c r="Z965" s="4">
        <f>GroDB[[#This Row],[Unit_Price]]*GroDB[[#This Row],[Sales_Volume]]</f>
        <v>3445.05</v>
      </c>
      <c r="AA965" s="22">
        <f>GroDB[[#This Row],[ADU]]/GroDB[[#Totals],[ADU]]</f>
        <v>1.0006845221825442E-2</v>
      </c>
      <c r="AB965" s="1">
        <f>GroDB[[#This Row],[Sales_Volume]]*GroDB[[#This Row],[Ordering Cost]]</f>
        <v>2756.0400000000004</v>
      </c>
    </row>
    <row r="966" spans="1:28" x14ac:dyDescent="0.35">
      <c r="A966" s="5" t="s">
        <v>817</v>
      </c>
      <c r="B966" s="3" t="s">
        <v>18</v>
      </c>
      <c r="C966" s="3" t="s">
        <v>3384</v>
      </c>
      <c r="D966" s="3" t="s">
        <v>3385</v>
      </c>
      <c r="E966" s="3" t="s">
        <v>56</v>
      </c>
      <c r="F966" s="3" t="s">
        <v>3386</v>
      </c>
      <c r="G966" s="3" t="s">
        <v>3387</v>
      </c>
      <c r="H966" s="43">
        <v>45553</v>
      </c>
      <c r="I966" s="43">
        <v>45424</v>
      </c>
      <c r="J966" s="47" t="str">
        <f>IF(GroDB[[#This Row],[Last_Order_Date]]&lt;=GroDB[[#This Row],[Date_Received]], "Yes", "No")</f>
        <v>Yes</v>
      </c>
      <c r="K966" s="43">
        <f>IF(GroDB[[#This Row],[Column1]]="No",GroDB[[#This Row],[Last_Order_Date]],GroDB[[#This Row],[Date_Received]])</f>
        <v>45553</v>
      </c>
      <c r="L966" s="43">
        <f>IF(GroDB[[#This Row],[Column1]]="No",GroDB[[#This Row],[Date_Received]],GroDB[[#This Row],[Last_Order_Date]])</f>
        <v>45424</v>
      </c>
      <c r="M966" s="45">
        <f>GroDB[[#This Row],[Date_Received1]]-GroDB[[#This Row],[Procurement_Date]]</f>
        <v>129</v>
      </c>
      <c r="N966" s="43">
        <v>45473</v>
      </c>
      <c r="O966" s="91">
        <f>GroDB[[#This Row],[Expiration_Date]]-GroDB[[#This Row],[Date_Received1]]</f>
        <v>-80</v>
      </c>
      <c r="P966" s="4">
        <v>2.4000000000000004</v>
      </c>
      <c r="Q966" s="3">
        <v>48</v>
      </c>
      <c r="R966" s="3">
        <v>72</v>
      </c>
      <c r="S966" s="3">
        <v>55</v>
      </c>
      <c r="T966" s="4">
        <v>3</v>
      </c>
      <c r="U966" s="3">
        <v>51</v>
      </c>
      <c r="V966" s="51">
        <f>IF(GroDB[[#This Row],[LeadTime]]=0,GroDB[[#This Row],[Sales_Volume]],GroDB[[#This Row],[Sales_Volume]]/GroDB[[#This Row],[LeadTime]])</f>
        <v>0.39534883720930231</v>
      </c>
      <c r="W966" s="51">
        <f>_xlfn.STDEV.S(GroDB[Daily Sales])</f>
        <v>5.1999899792654221</v>
      </c>
      <c r="X966" s="3">
        <v>41</v>
      </c>
      <c r="Y966" s="7">
        <v>0.54</v>
      </c>
      <c r="Z966" s="4">
        <f>GroDB[[#This Row],[Unit_Price]]*GroDB[[#This Row],[Sales_Volume]]</f>
        <v>153</v>
      </c>
      <c r="AA966" s="22">
        <f>GroDB[[#This Row],[ADU]]/GroDB[[#Totals],[ADU]]</f>
        <v>4.4441947691304702E-4</v>
      </c>
      <c r="AB966" s="1">
        <f>GroDB[[#This Row],[Sales_Volume]]*GroDB[[#This Row],[Ordering Cost]]</f>
        <v>122.40000000000002</v>
      </c>
    </row>
    <row r="967" spans="1:28" x14ac:dyDescent="0.35">
      <c r="A967" s="5" t="s">
        <v>627</v>
      </c>
      <c r="B967" s="3" t="s">
        <v>53</v>
      </c>
      <c r="C967" s="3" t="s">
        <v>1505</v>
      </c>
      <c r="D967" s="3" t="s">
        <v>3388</v>
      </c>
      <c r="E967" s="3" t="s">
        <v>56</v>
      </c>
      <c r="F967" s="3" t="s">
        <v>3389</v>
      </c>
      <c r="G967" s="3" t="s">
        <v>3390</v>
      </c>
      <c r="H967" s="43">
        <v>45553</v>
      </c>
      <c r="I967" s="43">
        <v>45542</v>
      </c>
      <c r="J967" s="47" t="str">
        <f>IF(GroDB[[#This Row],[Last_Order_Date]]&lt;=GroDB[[#This Row],[Date_Received]], "Yes", "No")</f>
        <v>Yes</v>
      </c>
      <c r="K967" s="43">
        <f>IF(GroDB[[#This Row],[Column1]]="No",GroDB[[#This Row],[Last_Order_Date]],GroDB[[#This Row],[Date_Received]])</f>
        <v>45553</v>
      </c>
      <c r="L967" s="43">
        <f>IF(GroDB[[#This Row],[Column1]]="No",GroDB[[#This Row],[Date_Received]],GroDB[[#This Row],[Last_Order_Date]])</f>
        <v>45542</v>
      </c>
      <c r="M967" s="45">
        <f>GroDB[[#This Row],[Date_Received1]]-GroDB[[#This Row],[Procurement_Date]]</f>
        <v>11</v>
      </c>
      <c r="N967" s="43">
        <v>45444</v>
      </c>
      <c r="O967" s="91">
        <f>GroDB[[#This Row],[Expiration_Date]]-GroDB[[#This Row],[Date_Received1]]</f>
        <v>-109</v>
      </c>
      <c r="P967" s="4">
        <v>1.92</v>
      </c>
      <c r="Q967" s="3">
        <v>66</v>
      </c>
      <c r="R967" s="3">
        <v>19</v>
      </c>
      <c r="S967" s="3">
        <v>20</v>
      </c>
      <c r="T967" s="4">
        <v>2.4</v>
      </c>
      <c r="U967" s="3">
        <v>30</v>
      </c>
      <c r="V967" s="51">
        <f>IF(GroDB[[#This Row],[LeadTime]]=0,GroDB[[#This Row],[Sales_Volume]],GroDB[[#This Row],[Sales_Volume]]/GroDB[[#This Row],[LeadTime]])</f>
        <v>2.7272727272727271</v>
      </c>
      <c r="W967" s="51">
        <f>_xlfn.STDEV.S(GroDB[Daily Sales])</f>
        <v>5.1999899792654221</v>
      </c>
      <c r="X967" s="3">
        <v>49</v>
      </c>
      <c r="Y967" s="7">
        <v>0.2</v>
      </c>
      <c r="Z967" s="4">
        <f>GroDB[[#This Row],[Unit_Price]]*GroDB[[#This Row],[Sales_Volume]]</f>
        <v>72</v>
      </c>
      <c r="AA967" s="22">
        <f>GroDB[[#This Row],[ADU]]/GroDB[[#Totals],[ADU]]</f>
        <v>2.0913857737084565E-4</v>
      </c>
      <c r="AB967" s="1">
        <f>GroDB[[#This Row],[Sales_Volume]]*GroDB[[#This Row],[Ordering Cost]]</f>
        <v>57.599999999999994</v>
      </c>
    </row>
    <row r="968" spans="1:28" x14ac:dyDescent="0.35">
      <c r="A968" s="5" t="s">
        <v>198</v>
      </c>
      <c r="B968" s="3" t="s">
        <v>53</v>
      </c>
      <c r="C968" s="3" t="s">
        <v>1609</v>
      </c>
      <c r="D968" s="3" t="s">
        <v>3391</v>
      </c>
      <c r="E968" s="3" t="s">
        <v>56</v>
      </c>
      <c r="F968" s="3" t="s">
        <v>3392</v>
      </c>
      <c r="G968" s="3" t="s">
        <v>3393</v>
      </c>
      <c r="H968" s="43">
        <v>45554</v>
      </c>
      <c r="I968" s="43">
        <v>45684</v>
      </c>
      <c r="J968" s="47" t="str">
        <f>IF(GroDB[[#This Row],[Last_Order_Date]]&lt;=GroDB[[#This Row],[Date_Received]], "Yes", "No")</f>
        <v>No</v>
      </c>
      <c r="K968" s="43">
        <f>IF(GroDB[[#This Row],[Column1]]="No",GroDB[[#This Row],[Last_Order_Date]],GroDB[[#This Row],[Date_Received]])</f>
        <v>45684</v>
      </c>
      <c r="L968" s="43">
        <f>IF(GroDB[[#This Row],[Column1]]="No",GroDB[[#This Row],[Date_Received]],GroDB[[#This Row],[Last_Order_Date]])</f>
        <v>45554</v>
      </c>
      <c r="M968" s="45">
        <f>GroDB[[#This Row],[Date_Received1]]-GroDB[[#This Row],[Procurement_Date]]</f>
        <v>130</v>
      </c>
      <c r="N968" s="43">
        <v>45560</v>
      </c>
      <c r="O968" s="91">
        <f>GroDB[[#This Row],[Expiration_Date]]-GroDB[[#This Row],[Date_Received1]]</f>
        <v>-124</v>
      </c>
      <c r="P968" s="4">
        <v>1.6</v>
      </c>
      <c r="Q968" s="3">
        <v>42</v>
      </c>
      <c r="R968" s="3">
        <v>3</v>
      </c>
      <c r="S968" s="3">
        <v>21</v>
      </c>
      <c r="T968" s="4">
        <v>2</v>
      </c>
      <c r="U968" s="3">
        <v>35</v>
      </c>
      <c r="V968" s="51">
        <f>IF(GroDB[[#This Row],[LeadTime]]=0,GroDB[[#This Row],[Sales_Volume]],GroDB[[#This Row],[Sales_Volume]]/GroDB[[#This Row],[LeadTime]])</f>
        <v>0.26923076923076922</v>
      </c>
      <c r="W968" s="51">
        <f>_xlfn.STDEV.S(GroDB[Daily Sales])</f>
        <v>5.1999899792654221</v>
      </c>
      <c r="X968" s="3">
        <v>22</v>
      </c>
      <c r="Y968" s="7">
        <v>-0.63</v>
      </c>
      <c r="Z968" s="4">
        <f>GroDB[[#This Row],[Unit_Price]]*GroDB[[#This Row],[Sales_Volume]]</f>
        <v>70</v>
      </c>
      <c r="AA968" s="22">
        <f>GroDB[[#This Row],[ADU]]/GroDB[[#Totals],[ADU]]</f>
        <v>2.0332917244387773E-4</v>
      </c>
      <c r="AB968" s="1">
        <f>GroDB[[#This Row],[Sales_Volume]]*GroDB[[#This Row],[Ordering Cost]]</f>
        <v>56</v>
      </c>
    </row>
    <row r="969" spans="1:28" x14ac:dyDescent="0.35">
      <c r="A969" s="5" t="s">
        <v>329</v>
      </c>
      <c r="B969" s="3" t="s">
        <v>53</v>
      </c>
      <c r="C969" s="3" t="s">
        <v>2542</v>
      </c>
      <c r="D969" s="3" t="s">
        <v>3394</v>
      </c>
      <c r="E969" s="3" t="s">
        <v>28</v>
      </c>
      <c r="F969" s="3" t="s">
        <v>3395</v>
      </c>
      <c r="G969" s="3" t="s">
        <v>3396</v>
      </c>
      <c r="H969" s="43">
        <v>45554</v>
      </c>
      <c r="I969" s="43">
        <v>45596</v>
      </c>
      <c r="J969" s="47" t="str">
        <f>IF(GroDB[[#This Row],[Last_Order_Date]]&lt;=GroDB[[#This Row],[Date_Received]], "Yes", "No")</f>
        <v>No</v>
      </c>
      <c r="K969" s="43">
        <f>IF(GroDB[[#This Row],[Column1]]="No",GroDB[[#This Row],[Last_Order_Date]],GroDB[[#This Row],[Date_Received]])</f>
        <v>45596</v>
      </c>
      <c r="L969" s="43">
        <f>IF(GroDB[[#This Row],[Column1]]="No",GroDB[[#This Row],[Date_Received]],GroDB[[#This Row],[Last_Order_Date]])</f>
        <v>45554</v>
      </c>
      <c r="M969" s="45">
        <f>GroDB[[#This Row],[Date_Received1]]-GroDB[[#This Row],[Procurement_Date]]</f>
        <v>42</v>
      </c>
      <c r="N969" s="43">
        <v>45364</v>
      </c>
      <c r="O969" s="91">
        <f>GroDB[[#This Row],[Expiration_Date]]-GroDB[[#This Row],[Date_Received1]]</f>
        <v>-232</v>
      </c>
      <c r="P969" s="4">
        <v>5</v>
      </c>
      <c r="Q969" s="3">
        <v>49</v>
      </c>
      <c r="R969" s="3">
        <v>3</v>
      </c>
      <c r="S969" s="3">
        <v>7</v>
      </c>
      <c r="T969" s="4">
        <v>6.25</v>
      </c>
      <c r="U969" s="3">
        <v>75</v>
      </c>
      <c r="V969" s="51">
        <f>IF(GroDB[[#This Row],[LeadTime]]=0,GroDB[[#This Row],[Sales_Volume]],GroDB[[#This Row],[Sales_Volume]]/GroDB[[#This Row],[LeadTime]])</f>
        <v>1.7857142857142858</v>
      </c>
      <c r="W969" s="51">
        <f>_xlfn.STDEV.S(GroDB[Daily Sales])</f>
        <v>5.1999899792654221</v>
      </c>
      <c r="X969" s="3">
        <v>46</v>
      </c>
      <c r="Y969" s="7">
        <v>0.37</v>
      </c>
      <c r="Z969" s="4">
        <f>GroDB[[#This Row],[Unit_Price]]*GroDB[[#This Row],[Sales_Volume]]</f>
        <v>468.75</v>
      </c>
      <c r="AA969" s="22">
        <f>GroDB[[#This Row],[ADU]]/GroDB[[#Totals],[ADU]]</f>
        <v>1.3615792797581098E-3</v>
      </c>
      <c r="AB969" s="1">
        <f>GroDB[[#This Row],[Sales_Volume]]*GroDB[[#This Row],[Ordering Cost]]</f>
        <v>375</v>
      </c>
    </row>
    <row r="970" spans="1:28" x14ac:dyDescent="0.35">
      <c r="A970" s="5" t="s">
        <v>165</v>
      </c>
      <c r="B970" s="3" t="s">
        <v>60</v>
      </c>
      <c r="C970" s="3" t="s">
        <v>152</v>
      </c>
      <c r="D970" s="3" t="s">
        <v>3397</v>
      </c>
      <c r="E970" s="3" t="s">
        <v>21</v>
      </c>
      <c r="F970" s="3" t="s">
        <v>3398</v>
      </c>
      <c r="G970" s="3" t="s">
        <v>3399</v>
      </c>
      <c r="H970" s="43">
        <v>45554</v>
      </c>
      <c r="I970" s="43">
        <v>45450</v>
      </c>
      <c r="J970" s="47" t="str">
        <f>IF(GroDB[[#This Row],[Last_Order_Date]]&lt;=GroDB[[#This Row],[Date_Received]], "Yes", "No")</f>
        <v>Yes</v>
      </c>
      <c r="K970" s="43">
        <f>IF(GroDB[[#This Row],[Column1]]="No",GroDB[[#This Row],[Last_Order_Date]],GroDB[[#This Row],[Date_Received]])</f>
        <v>45554</v>
      </c>
      <c r="L970" s="43">
        <f>IF(GroDB[[#This Row],[Column1]]="No",GroDB[[#This Row],[Date_Received]],GroDB[[#This Row],[Last_Order_Date]])</f>
        <v>45450</v>
      </c>
      <c r="M970" s="45">
        <f>GroDB[[#This Row],[Date_Received1]]-GroDB[[#This Row],[Procurement_Date]]</f>
        <v>104</v>
      </c>
      <c r="N970" s="43">
        <v>45460</v>
      </c>
      <c r="O970" s="91">
        <f>GroDB[[#This Row],[Expiration_Date]]-GroDB[[#This Row],[Date_Received1]]</f>
        <v>-94</v>
      </c>
      <c r="P970" s="4">
        <v>5.6000000000000005</v>
      </c>
      <c r="Q970" s="3">
        <v>46</v>
      </c>
      <c r="R970" s="3">
        <v>80</v>
      </c>
      <c r="S970" s="3">
        <v>88</v>
      </c>
      <c r="T970" s="4">
        <v>7</v>
      </c>
      <c r="U970" s="3">
        <v>62</v>
      </c>
      <c r="V970" s="51">
        <f>IF(GroDB[[#This Row],[LeadTime]]=0,GroDB[[#This Row],[Sales_Volume]],GroDB[[#This Row],[Sales_Volume]]/GroDB[[#This Row],[LeadTime]])</f>
        <v>0.59615384615384615</v>
      </c>
      <c r="W970" s="51">
        <f>_xlfn.STDEV.S(GroDB[Daily Sales])</f>
        <v>5.1999899792654221</v>
      </c>
      <c r="X970" s="3">
        <v>22</v>
      </c>
      <c r="Y970" s="7">
        <v>0.39</v>
      </c>
      <c r="Z970" s="4">
        <f>GroDB[[#This Row],[Unit_Price]]*GroDB[[#This Row],[Sales_Volume]]</f>
        <v>434</v>
      </c>
      <c r="AA970" s="22">
        <f>GroDB[[#This Row],[ADU]]/GroDB[[#Totals],[ADU]]</f>
        <v>1.2606408691520419E-3</v>
      </c>
      <c r="AB970" s="1">
        <f>GroDB[[#This Row],[Sales_Volume]]*GroDB[[#This Row],[Ordering Cost]]</f>
        <v>347.20000000000005</v>
      </c>
    </row>
    <row r="971" spans="1:28" x14ac:dyDescent="0.35">
      <c r="A971" s="5" t="s">
        <v>170</v>
      </c>
      <c r="B971" s="3" t="s">
        <v>53</v>
      </c>
      <c r="C971" s="3" t="s">
        <v>128</v>
      </c>
      <c r="D971" s="3" t="s">
        <v>3400</v>
      </c>
      <c r="E971" s="3" t="s">
        <v>21</v>
      </c>
      <c r="F971" s="3" t="s">
        <v>3401</v>
      </c>
      <c r="G971" s="3" t="s">
        <v>3402</v>
      </c>
      <c r="H971" s="43">
        <v>45556</v>
      </c>
      <c r="I971" s="43">
        <v>45589</v>
      </c>
      <c r="J971" s="47" t="str">
        <f>IF(GroDB[[#This Row],[Last_Order_Date]]&lt;=GroDB[[#This Row],[Date_Received]], "Yes", "No")</f>
        <v>No</v>
      </c>
      <c r="K971" s="43">
        <f>IF(GroDB[[#This Row],[Column1]]="No",GroDB[[#This Row],[Last_Order_Date]],GroDB[[#This Row],[Date_Received]])</f>
        <v>45589</v>
      </c>
      <c r="L971" s="43">
        <f>IF(GroDB[[#This Row],[Column1]]="No",GroDB[[#This Row],[Date_Received]],GroDB[[#This Row],[Last_Order_Date]])</f>
        <v>45556</v>
      </c>
      <c r="M971" s="45">
        <f>GroDB[[#This Row],[Date_Received1]]-GroDB[[#This Row],[Procurement_Date]]</f>
        <v>33</v>
      </c>
      <c r="N971" s="43">
        <v>45703</v>
      </c>
      <c r="O971" s="91">
        <f>GroDB[[#This Row],[Expiration_Date]]-GroDB[[#This Row],[Date_Received1]]</f>
        <v>114</v>
      </c>
      <c r="P971" s="4">
        <v>3.6</v>
      </c>
      <c r="Q971" s="3">
        <v>20</v>
      </c>
      <c r="R971" s="3">
        <v>34</v>
      </c>
      <c r="S971" s="3">
        <v>74</v>
      </c>
      <c r="T971" s="4">
        <v>4.5</v>
      </c>
      <c r="U971" s="3">
        <v>50</v>
      </c>
      <c r="V971" s="51">
        <f>IF(GroDB[[#This Row],[LeadTime]]=0,GroDB[[#This Row],[Sales_Volume]],GroDB[[#This Row],[Sales_Volume]]/GroDB[[#This Row],[LeadTime]])</f>
        <v>1.5151515151515151</v>
      </c>
      <c r="W971" s="51">
        <f>_xlfn.STDEV.S(GroDB[Daily Sales])</f>
        <v>5.1999899792654221</v>
      </c>
      <c r="X971" s="3">
        <v>83</v>
      </c>
      <c r="Y971" s="7">
        <v>0.65</v>
      </c>
      <c r="Z971" s="4">
        <f>GroDB[[#This Row],[Unit_Price]]*GroDB[[#This Row],[Sales_Volume]]</f>
        <v>225</v>
      </c>
      <c r="AA971" s="22">
        <f>GroDB[[#This Row],[ADU]]/GroDB[[#Totals],[ADU]]</f>
        <v>6.5355805428389264E-4</v>
      </c>
      <c r="AB971" s="1">
        <f>GroDB[[#This Row],[Sales_Volume]]*GroDB[[#This Row],[Ordering Cost]]</f>
        <v>180</v>
      </c>
    </row>
    <row r="972" spans="1:28" x14ac:dyDescent="0.35">
      <c r="A972" s="5" t="s">
        <v>298</v>
      </c>
      <c r="B972" s="3" t="s">
        <v>32</v>
      </c>
      <c r="C972" s="3" t="s">
        <v>138</v>
      </c>
      <c r="D972" s="3" t="s">
        <v>3403</v>
      </c>
      <c r="E972" s="3" t="s">
        <v>21</v>
      </c>
      <c r="F972" s="3" t="s">
        <v>3404</v>
      </c>
      <c r="G972" s="3" t="s">
        <v>3405</v>
      </c>
      <c r="H972" s="43">
        <v>45556</v>
      </c>
      <c r="I972" s="43">
        <v>45458</v>
      </c>
      <c r="J972" s="47" t="str">
        <f>IF(GroDB[[#This Row],[Last_Order_Date]]&lt;=GroDB[[#This Row],[Date_Received]], "Yes", "No")</f>
        <v>Yes</v>
      </c>
      <c r="K972" s="43">
        <f>IF(GroDB[[#This Row],[Column1]]="No",GroDB[[#This Row],[Last_Order_Date]],GroDB[[#This Row],[Date_Received]])</f>
        <v>45556</v>
      </c>
      <c r="L972" s="43">
        <f>IF(GroDB[[#This Row],[Column1]]="No",GroDB[[#This Row],[Date_Received]],GroDB[[#This Row],[Last_Order_Date]])</f>
        <v>45458</v>
      </c>
      <c r="M972" s="45">
        <f>GroDB[[#This Row],[Date_Received1]]-GroDB[[#This Row],[Procurement_Date]]</f>
        <v>98</v>
      </c>
      <c r="N972" s="43">
        <v>45550</v>
      </c>
      <c r="O972" s="91">
        <f>GroDB[[#This Row],[Expiration_Date]]-GroDB[[#This Row],[Date_Received1]]</f>
        <v>-6</v>
      </c>
      <c r="P972" s="4">
        <v>2</v>
      </c>
      <c r="Q972" s="3">
        <v>29</v>
      </c>
      <c r="R972" s="3">
        <v>32</v>
      </c>
      <c r="S972" s="3">
        <v>26</v>
      </c>
      <c r="T972" s="4">
        <v>2.5</v>
      </c>
      <c r="U972" s="3">
        <v>64</v>
      </c>
      <c r="V972" s="51">
        <f>IF(GroDB[[#This Row],[LeadTime]]=0,GroDB[[#This Row],[Sales_Volume]],GroDB[[#This Row],[Sales_Volume]]/GroDB[[#This Row],[LeadTime]])</f>
        <v>0.65306122448979587</v>
      </c>
      <c r="W972" s="51">
        <f>_xlfn.STDEV.S(GroDB[Daily Sales])</f>
        <v>5.1999899792654221</v>
      </c>
      <c r="X972" s="3">
        <v>85</v>
      </c>
      <c r="Y972" s="7">
        <v>-0.66</v>
      </c>
      <c r="Z972" s="4">
        <f>GroDB[[#This Row],[Unit_Price]]*GroDB[[#This Row],[Sales_Volume]]</f>
        <v>160</v>
      </c>
      <c r="AA972" s="22">
        <f>GroDB[[#This Row],[ADU]]/GroDB[[#Totals],[ADU]]</f>
        <v>4.647523941574348E-4</v>
      </c>
      <c r="AB972" s="1">
        <f>GroDB[[#This Row],[Sales_Volume]]*GroDB[[#This Row],[Ordering Cost]]</f>
        <v>128</v>
      </c>
    </row>
    <row r="973" spans="1:28" x14ac:dyDescent="0.35">
      <c r="A973" s="5" t="s">
        <v>298</v>
      </c>
      <c r="B973" s="3" t="s">
        <v>32</v>
      </c>
      <c r="C973" s="3" t="s">
        <v>3406</v>
      </c>
      <c r="D973" s="3" t="s">
        <v>3407</v>
      </c>
      <c r="E973" s="3" t="s">
        <v>21</v>
      </c>
      <c r="F973" s="3" t="s">
        <v>3408</v>
      </c>
      <c r="G973" s="3" t="s">
        <v>3409</v>
      </c>
      <c r="H973" s="43">
        <v>45556</v>
      </c>
      <c r="I973" s="43">
        <v>45443</v>
      </c>
      <c r="J973" s="47" t="str">
        <f>IF(GroDB[[#This Row],[Last_Order_Date]]&lt;=GroDB[[#This Row],[Date_Received]], "Yes", "No")</f>
        <v>Yes</v>
      </c>
      <c r="K973" s="43">
        <f>IF(GroDB[[#This Row],[Column1]]="No",GroDB[[#This Row],[Last_Order_Date]],GroDB[[#This Row],[Date_Received]])</f>
        <v>45556</v>
      </c>
      <c r="L973" s="43">
        <f>IF(GroDB[[#This Row],[Column1]]="No",GroDB[[#This Row],[Date_Received]],GroDB[[#This Row],[Last_Order_Date]])</f>
        <v>45443</v>
      </c>
      <c r="M973" s="45">
        <f>GroDB[[#This Row],[Date_Received1]]-GroDB[[#This Row],[Procurement_Date]]</f>
        <v>113</v>
      </c>
      <c r="N973" s="43">
        <v>45634</v>
      </c>
      <c r="O973" s="91">
        <f>GroDB[[#This Row],[Expiration_Date]]-GroDB[[#This Row],[Date_Received1]]</f>
        <v>78</v>
      </c>
      <c r="P973" s="4">
        <v>2</v>
      </c>
      <c r="Q973" s="3">
        <v>62</v>
      </c>
      <c r="R973" s="3">
        <v>91</v>
      </c>
      <c r="S973" s="3">
        <v>14</v>
      </c>
      <c r="T973" s="4">
        <v>2.5</v>
      </c>
      <c r="U973" s="3">
        <v>41</v>
      </c>
      <c r="V973" s="51">
        <f>IF(GroDB[[#This Row],[LeadTime]]=0,GroDB[[#This Row],[Sales_Volume]],GroDB[[#This Row],[Sales_Volume]]/GroDB[[#This Row],[LeadTime]])</f>
        <v>0.36283185840707965</v>
      </c>
      <c r="W973" s="51">
        <f>_xlfn.STDEV.S(GroDB[Daily Sales])</f>
        <v>5.1999899792654221</v>
      </c>
      <c r="X973" s="3">
        <v>77</v>
      </c>
      <c r="Y973" s="7">
        <v>-0.33</v>
      </c>
      <c r="Z973" s="4">
        <f>GroDB[[#This Row],[Unit_Price]]*GroDB[[#This Row],[Sales_Volume]]</f>
        <v>102.5</v>
      </c>
      <c r="AA973" s="22">
        <f>GroDB[[#This Row],[ADU]]/GroDB[[#Totals],[ADU]]</f>
        <v>2.9773200250710665E-4</v>
      </c>
      <c r="AB973" s="1">
        <f>GroDB[[#This Row],[Sales_Volume]]*GroDB[[#This Row],[Ordering Cost]]</f>
        <v>82</v>
      </c>
    </row>
    <row r="974" spans="1:28" x14ac:dyDescent="0.35">
      <c r="A974" s="5" t="s">
        <v>165</v>
      </c>
      <c r="B974" s="3" t="s">
        <v>60</v>
      </c>
      <c r="C974" s="3" t="s">
        <v>3253</v>
      </c>
      <c r="D974" s="3" t="s">
        <v>3410</v>
      </c>
      <c r="E974" s="3" t="s">
        <v>28</v>
      </c>
      <c r="F974" s="3" t="s">
        <v>3411</v>
      </c>
      <c r="G974" s="3" t="s">
        <v>3412</v>
      </c>
      <c r="H974" s="43">
        <v>45556</v>
      </c>
      <c r="I974" s="43">
        <v>45651</v>
      </c>
      <c r="J974" s="47" t="str">
        <f>IF(GroDB[[#This Row],[Last_Order_Date]]&lt;=GroDB[[#This Row],[Date_Received]], "Yes", "No")</f>
        <v>No</v>
      </c>
      <c r="K974" s="43">
        <f>IF(GroDB[[#This Row],[Column1]]="No",GroDB[[#This Row],[Last_Order_Date]],GroDB[[#This Row],[Date_Received]])</f>
        <v>45651</v>
      </c>
      <c r="L974" s="43">
        <f>IF(GroDB[[#This Row],[Column1]]="No",GroDB[[#This Row],[Date_Received]],GroDB[[#This Row],[Last_Order_Date]])</f>
        <v>45556</v>
      </c>
      <c r="M974" s="45">
        <f>GroDB[[#This Row],[Date_Received1]]-GroDB[[#This Row],[Procurement_Date]]</f>
        <v>95</v>
      </c>
      <c r="N974" s="43">
        <v>45430</v>
      </c>
      <c r="O974" s="91">
        <f>GroDB[[#This Row],[Expiration_Date]]-GroDB[[#This Row],[Date_Received1]]</f>
        <v>-221</v>
      </c>
      <c r="P974" s="4">
        <v>5.6000000000000005</v>
      </c>
      <c r="Q974" s="3">
        <v>100</v>
      </c>
      <c r="R974" s="3">
        <v>61</v>
      </c>
      <c r="S974" s="3">
        <v>21</v>
      </c>
      <c r="T974" s="4">
        <v>7</v>
      </c>
      <c r="U974" s="3">
        <v>85</v>
      </c>
      <c r="V974" s="51">
        <f>IF(GroDB[[#This Row],[LeadTime]]=0,GroDB[[#This Row],[Sales_Volume]],GroDB[[#This Row],[Sales_Volume]]/GroDB[[#This Row],[LeadTime]])</f>
        <v>0.89473684210526316</v>
      </c>
      <c r="W974" s="51">
        <f>_xlfn.STDEV.S(GroDB[Daily Sales])</f>
        <v>5.1999899792654221</v>
      </c>
      <c r="X974" s="3">
        <v>79</v>
      </c>
      <c r="Y974" s="7">
        <v>-0.88</v>
      </c>
      <c r="Z974" s="4">
        <f>GroDB[[#This Row],[Unit_Price]]*GroDB[[#This Row],[Sales_Volume]]</f>
        <v>595</v>
      </c>
      <c r="AA974" s="22">
        <f>GroDB[[#This Row],[ADU]]/GroDB[[#Totals],[ADU]]</f>
        <v>1.7282979657729607E-3</v>
      </c>
      <c r="AB974" s="1">
        <f>GroDB[[#This Row],[Sales_Volume]]*GroDB[[#This Row],[Ordering Cost]]</f>
        <v>476.00000000000006</v>
      </c>
    </row>
    <row r="975" spans="1:28" x14ac:dyDescent="0.35">
      <c r="A975" s="5" t="s">
        <v>627</v>
      </c>
      <c r="B975" s="3" t="s">
        <v>53</v>
      </c>
      <c r="C975" s="3" t="s">
        <v>1008</v>
      </c>
      <c r="D975" s="3" t="s">
        <v>3413</v>
      </c>
      <c r="E975" s="3" t="s">
        <v>21</v>
      </c>
      <c r="F975" s="3" t="s">
        <v>3414</v>
      </c>
      <c r="G975" s="3" t="s">
        <v>3415</v>
      </c>
      <c r="H975" s="43">
        <v>45557</v>
      </c>
      <c r="I975" s="43">
        <v>45424</v>
      </c>
      <c r="J975" s="47" t="str">
        <f>IF(GroDB[[#This Row],[Last_Order_Date]]&lt;=GroDB[[#This Row],[Date_Received]], "Yes", "No")</f>
        <v>Yes</v>
      </c>
      <c r="K975" s="43">
        <f>IF(GroDB[[#This Row],[Column1]]="No",GroDB[[#This Row],[Last_Order_Date]],GroDB[[#This Row],[Date_Received]])</f>
        <v>45557</v>
      </c>
      <c r="L975" s="43">
        <f>IF(GroDB[[#This Row],[Column1]]="No",GroDB[[#This Row],[Date_Received]],GroDB[[#This Row],[Last_Order_Date]])</f>
        <v>45424</v>
      </c>
      <c r="M975" s="45">
        <f>GroDB[[#This Row],[Date_Received1]]-GroDB[[#This Row],[Procurement_Date]]</f>
        <v>133</v>
      </c>
      <c r="N975" s="43">
        <v>45482</v>
      </c>
      <c r="O975" s="91">
        <f>GroDB[[#This Row],[Expiration_Date]]-GroDB[[#This Row],[Date_Received1]]</f>
        <v>-75</v>
      </c>
      <c r="P975" s="4">
        <v>2</v>
      </c>
      <c r="Q975" s="3">
        <v>28</v>
      </c>
      <c r="R975" s="3">
        <v>24</v>
      </c>
      <c r="S975" s="3">
        <v>97</v>
      </c>
      <c r="T975" s="4">
        <v>2.5</v>
      </c>
      <c r="U975" s="3">
        <v>82</v>
      </c>
      <c r="V975" s="51">
        <f>IF(GroDB[[#This Row],[LeadTime]]=0,GroDB[[#This Row],[Sales_Volume]],GroDB[[#This Row],[Sales_Volume]]/GroDB[[#This Row],[LeadTime]])</f>
        <v>0.61654135338345861</v>
      </c>
      <c r="W975" s="51">
        <f>_xlfn.STDEV.S(GroDB[Daily Sales])</f>
        <v>5.1999899792654221</v>
      </c>
      <c r="X975" s="3">
        <v>5</v>
      </c>
      <c r="Y975" s="7">
        <v>7.0000000000000007E-2</v>
      </c>
      <c r="Z975" s="4">
        <f>GroDB[[#This Row],[Unit_Price]]*GroDB[[#This Row],[Sales_Volume]]</f>
        <v>205</v>
      </c>
      <c r="AA975" s="22">
        <f>GroDB[[#This Row],[ADU]]/GroDB[[#Totals],[ADU]]</f>
        <v>5.954640050142133E-4</v>
      </c>
      <c r="AB975" s="1">
        <f>GroDB[[#This Row],[Sales_Volume]]*GroDB[[#This Row],[Ordering Cost]]</f>
        <v>164</v>
      </c>
    </row>
    <row r="976" spans="1:28" x14ac:dyDescent="0.35">
      <c r="A976" s="5" t="s">
        <v>531</v>
      </c>
      <c r="B976" s="3" t="s">
        <v>53</v>
      </c>
      <c r="C976" s="3" t="s">
        <v>171</v>
      </c>
      <c r="D976" s="3" t="s">
        <v>3416</v>
      </c>
      <c r="E976" s="3" t="s">
        <v>56</v>
      </c>
      <c r="F976" s="3" t="s">
        <v>3417</v>
      </c>
      <c r="G976" s="3" t="s">
        <v>3418</v>
      </c>
      <c r="H976" s="43">
        <v>45558</v>
      </c>
      <c r="I976" s="43">
        <v>45483</v>
      </c>
      <c r="J976" s="47" t="str">
        <f>IF(GroDB[[#This Row],[Last_Order_Date]]&lt;=GroDB[[#This Row],[Date_Received]], "Yes", "No")</f>
        <v>Yes</v>
      </c>
      <c r="K976" s="43">
        <f>IF(GroDB[[#This Row],[Column1]]="No",GroDB[[#This Row],[Last_Order_Date]],GroDB[[#This Row],[Date_Received]])</f>
        <v>45558</v>
      </c>
      <c r="L976" s="43">
        <f>IF(GroDB[[#This Row],[Column1]]="No",GroDB[[#This Row],[Date_Received]],GroDB[[#This Row],[Last_Order_Date]])</f>
        <v>45483</v>
      </c>
      <c r="M976" s="45">
        <f>GroDB[[#This Row],[Date_Received1]]-GroDB[[#This Row],[Procurement_Date]]</f>
        <v>75</v>
      </c>
      <c r="N976" s="43">
        <v>45381</v>
      </c>
      <c r="O976" s="91">
        <f>GroDB[[#This Row],[Expiration_Date]]-GroDB[[#This Row],[Date_Received1]]</f>
        <v>-177</v>
      </c>
      <c r="P976" s="4">
        <v>1.2000000000000002</v>
      </c>
      <c r="Q976" s="3">
        <v>26</v>
      </c>
      <c r="R976" s="3">
        <v>82</v>
      </c>
      <c r="S976" s="3">
        <v>19</v>
      </c>
      <c r="T976" s="4">
        <v>1.5</v>
      </c>
      <c r="U976" s="3">
        <v>76</v>
      </c>
      <c r="V976" s="51">
        <f>IF(GroDB[[#This Row],[LeadTime]]=0,GroDB[[#This Row],[Sales_Volume]],GroDB[[#This Row],[Sales_Volume]]/GroDB[[#This Row],[LeadTime]])</f>
        <v>1.0133333333333334</v>
      </c>
      <c r="W976" s="51">
        <f>_xlfn.STDEV.S(GroDB[Daily Sales])</f>
        <v>5.1999899792654221</v>
      </c>
      <c r="X976" s="3">
        <v>88</v>
      </c>
      <c r="Y976" s="7">
        <v>0.94</v>
      </c>
      <c r="Z976" s="4">
        <f>GroDB[[#This Row],[Unit_Price]]*GroDB[[#This Row],[Sales_Volume]]</f>
        <v>114</v>
      </c>
      <c r="AA976" s="22">
        <f>GroDB[[#This Row],[ADU]]/GroDB[[#Totals],[ADU]]</f>
        <v>3.3113608083717229E-4</v>
      </c>
      <c r="AB976" s="1">
        <f>GroDB[[#This Row],[Sales_Volume]]*GroDB[[#This Row],[Ordering Cost]]</f>
        <v>91.200000000000017</v>
      </c>
    </row>
    <row r="977" spans="1:28" x14ac:dyDescent="0.35">
      <c r="A977" s="5" t="s">
        <v>37</v>
      </c>
      <c r="B977" s="3" t="s">
        <v>18</v>
      </c>
      <c r="C977" s="3" t="s">
        <v>388</v>
      </c>
      <c r="D977" s="3" t="s">
        <v>3419</v>
      </c>
      <c r="E977" s="3" t="s">
        <v>21</v>
      </c>
      <c r="F977" s="3" t="s">
        <v>3420</v>
      </c>
      <c r="G977" s="3" t="s">
        <v>3421</v>
      </c>
      <c r="H977" s="43">
        <v>45558</v>
      </c>
      <c r="I977" s="43">
        <v>45617</v>
      </c>
      <c r="J977" s="47" t="str">
        <f>IF(GroDB[[#This Row],[Last_Order_Date]]&lt;=GroDB[[#This Row],[Date_Received]], "Yes", "No")</f>
        <v>No</v>
      </c>
      <c r="K977" s="43">
        <f>IF(GroDB[[#This Row],[Column1]]="No",GroDB[[#This Row],[Last_Order_Date]],GroDB[[#This Row],[Date_Received]])</f>
        <v>45617</v>
      </c>
      <c r="L977" s="43">
        <f>IF(GroDB[[#This Row],[Column1]]="No",GroDB[[#This Row],[Date_Received]],GroDB[[#This Row],[Last_Order_Date]])</f>
        <v>45558</v>
      </c>
      <c r="M977" s="45">
        <f>GroDB[[#This Row],[Date_Received1]]-GroDB[[#This Row],[Procurement_Date]]</f>
        <v>59</v>
      </c>
      <c r="N977" s="43">
        <v>45391</v>
      </c>
      <c r="O977" s="91">
        <f>GroDB[[#This Row],[Expiration_Date]]-GroDB[[#This Row],[Date_Received1]]</f>
        <v>-226</v>
      </c>
      <c r="P977" s="4">
        <v>1.2000000000000002</v>
      </c>
      <c r="Q977" s="3">
        <v>67</v>
      </c>
      <c r="R977" s="3">
        <v>68</v>
      </c>
      <c r="S977" s="3">
        <v>50</v>
      </c>
      <c r="T977" s="4">
        <v>1.5</v>
      </c>
      <c r="U977" s="3">
        <v>67</v>
      </c>
      <c r="V977" s="51">
        <f>IF(GroDB[[#This Row],[LeadTime]]=0,GroDB[[#This Row],[Sales_Volume]],GroDB[[#This Row],[Sales_Volume]]/GroDB[[#This Row],[LeadTime]])</f>
        <v>1.1355932203389831</v>
      </c>
      <c r="W977" s="51">
        <f>_xlfn.STDEV.S(GroDB[Daily Sales])</f>
        <v>5.1999899792654221</v>
      </c>
      <c r="X977" s="3">
        <v>82</v>
      </c>
      <c r="Y977" s="7">
        <v>-0.16</v>
      </c>
      <c r="Z977" s="4">
        <f>GroDB[[#This Row],[Unit_Price]]*GroDB[[#This Row],[Sales_Volume]]</f>
        <v>100.5</v>
      </c>
      <c r="AA977" s="22">
        <f>GroDB[[#This Row],[ADU]]/GroDB[[#Totals],[ADU]]</f>
        <v>2.9192259758013871E-4</v>
      </c>
      <c r="AB977" s="1">
        <f>GroDB[[#This Row],[Sales_Volume]]*GroDB[[#This Row],[Ordering Cost]]</f>
        <v>80.400000000000006</v>
      </c>
    </row>
    <row r="978" spans="1:28" x14ac:dyDescent="0.35">
      <c r="A978" s="5" t="s">
        <v>1445</v>
      </c>
      <c r="B978" s="3" t="s">
        <v>18</v>
      </c>
      <c r="C978" s="3" t="s">
        <v>692</v>
      </c>
      <c r="D978" s="3" t="s">
        <v>3422</v>
      </c>
      <c r="E978" s="3" t="s">
        <v>56</v>
      </c>
      <c r="F978" s="3" t="s">
        <v>3423</v>
      </c>
      <c r="G978" s="3" t="s">
        <v>3424</v>
      </c>
      <c r="H978" s="43">
        <v>45558</v>
      </c>
      <c r="I978" s="43">
        <v>45539</v>
      </c>
      <c r="J978" s="47" t="str">
        <f>IF(GroDB[[#This Row],[Last_Order_Date]]&lt;=GroDB[[#This Row],[Date_Received]], "Yes", "No")</f>
        <v>Yes</v>
      </c>
      <c r="K978" s="43">
        <f>IF(GroDB[[#This Row],[Column1]]="No",GroDB[[#This Row],[Last_Order_Date]],GroDB[[#This Row],[Date_Received]])</f>
        <v>45558</v>
      </c>
      <c r="L978" s="43">
        <f>IF(GroDB[[#This Row],[Column1]]="No",GroDB[[#This Row],[Date_Received]],GroDB[[#This Row],[Last_Order_Date]])</f>
        <v>45539</v>
      </c>
      <c r="M978" s="45">
        <f>GroDB[[#This Row],[Date_Received1]]-GroDB[[#This Row],[Procurement_Date]]</f>
        <v>19</v>
      </c>
      <c r="N978" s="43">
        <v>45646</v>
      </c>
      <c r="O978" s="91">
        <f>GroDB[[#This Row],[Expiration_Date]]-GroDB[[#This Row],[Date_Received1]]</f>
        <v>88</v>
      </c>
      <c r="P978" s="4">
        <v>8</v>
      </c>
      <c r="Q978" s="3">
        <v>53</v>
      </c>
      <c r="R978" s="3">
        <v>98</v>
      </c>
      <c r="S978" s="3">
        <v>25</v>
      </c>
      <c r="T978" s="4">
        <v>10</v>
      </c>
      <c r="U978" s="3">
        <v>55</v>
      </c>
      <c r="V978" s="51">
        <f>IF(GroDB[[#This Row],[LeadTime]]=0,GroDB[[#This Row],[Sales_Volume]],GroDB[[#This Row],[Sales_Volume]]/GroDB[[#This Row],[LeadTime]])</f>
        <v>2.8947368421052633</v>
      </c>
      <c r="W978" s="51">
        <f>_xlfn.STDEV.S(GroDB[Daily Sales])</f>
        <v>5.1999899792654221</v>
      </c>
      <c r="X978" s="3">
        <v>51</v>
      </c>
      <c r="Y978" s="7">
        <v>-0.22</v>
      </c>
      <c r="Z978" s="4">
        <f>GroDB[[#This Row],[Unit_Price]]*GroDB[[#This Row],[Sales_Volume]]</f>
        <v>550</v>
      </c>
      <c r="AA978" s="22">
        <f>GroDB[[#This Row],[ADU]]/GroDB[[#Totals],[ADU]]</f>
        <v>1.5975863549161822E-3</v>
      </c>
      <c r="AB978" s="1">
        <f>GroDB[[#This Row],[Sales_Volume]]*GroDB[[#This Row],[Ordering Cost]]</f>
        <v>440</v>
      </c>
    </row>
    <row r="979" spans="1:28" x14ac:dyDescent="0.35">
      <c r="A979" s="5" t="s">
        <v>258</v>
      </c>
      <c r="B979" s="3" t="s">
        <v>25</v>
      </c>
      <c r="C979" s="3" t="s">
        <v>1127</v>
      </c>
      <c r="D979" s="3" t="s">
        <v>3425</v>
      </c>
      <c r="E979" s="3" t="s">
        <v>21</v>
      </c>
      <c r="F979" s="3" t="s">
        <v>3426</v>
      </c>
      <c r="G979" s="3" t="s">
        <v>3427</v>
      </c>
      <c r="H979" s="43">
        <v>45558</v>
      </c>
      <c r="I979" s="43">
        <v>45626</v>
      </c>
      <c r="J979" s="47" t="str">
        <f>IF(GroDB[[#This Row],[Last_Order_Date]]&lt;=GroDB[[#This Row],[Date_Received]], "Yes", "No")</f>
        <v>No</v>
      </c>
      <c r="K979" s="43">
        <f>IF(GroDB[[#This Row],[Column1]]="No",GroDB[[#This Row],[Last_Order_Date]],GroDB[[#This Row],[Date_Received]])</f>
        <v>45626</v>
      </c>
      <c r="L979" s="43">
        <f>IF(GroDB[[#This Row],[Column1]]="No",GroDB[[#This Row],[Date_Received]],GroDB[[#This Row],[Last_Order_Date]])</f>
        <v>45558</v>
      </c>
      <c r="M979" s="45">
        <f>GroDB[[#This Row],[Date_Received1]]-GroDB[[#This Row],[Procurement_Date]]</f>
        <v>68</v>
      </c>
      <c r="N979" s="43">
        <v>45623</v>
      </c>
      <c r="O979" s="91">
        <f>GroDB[[#This Row],[Expiration_Date]]-GroDB[[#This Row],[Date_Received1]]</f>
        <v>-3</v>
      </c>
      <c r="P979" s="4">
        <v>3.2</v>
      </c>
      <c r="Q979" s="3">
        <v>49</v>
      </c>
      <c r="R979" s="3">
        <v>17</v>
      </c>
      <c r="S979" s="3">
        <v>54</v>
      </c>
      <c r="T979" s="4">
        <v>4</v>
      </c>
      <c r="U979" s="3">
        <v>45</v>
      </c>
      <c r="V979" s="51">
        <f>IF(GroDB[[#This Row],[LeadTime]]=0,GroDB[[#This Row],[Sales_Volume]],GroDB[[#This Row],[Sales_Volume]]/GroDB[[#This Row],[LeadTime]])</f>
        <v>0.66176470588235292</v>
      </c>
      <c r="W979" s="51">
        <f>_xlfn.STDEV.S(GroDB[Daily Sales])</f>
        <v>5.1999899792654221</v>
      </c>
      <c r="X979" s="3">
        <v>96</v>
      </c>
      <c r="Y979" s="7">
        <v>7.0000000000000007E-2</v>
      </c>
      <c r="Z979" s="4">
        <f>GroDB[[#This Row],[Unit_Price]]*GroDB[[#This Row],[Sales_Volume]]</f>
        <v>180</v>
      </c>
      <c r="AA979" s="22">
        <f>GroDB[[#This Row],[ADU]]/GroDB[[#Totals],[ADU]]</f>
        <v>5.2284644342711413E-4</v>
      </c>
      <c r="AB979" s="1">
        <f>GroDB[[#This Row],[Sales_Volume]]*GroDB[[#This Row],[Ordering Cost]]</f>
        <v>144</v>
      </c>
    </row>
    <row r="980" spans="1:28" x14ac:dyDescent="0.35">
      <c r="A980" s="5" t="s">
        <v>70</v>
      </c>
      <c r="B980" s="3" t="s">
        <v>32</v>
      </c>
      <c r="C980" s="3" t="s">
        <v>221</v>
      </c>
      <c r="D980" s="3" t="s">
        <v>3428</v>
      </c>
      <c r="E980" s="3" t="s">
        <v>28</v>
      </c>
      <c r="F980" s="3" t="s">
        <v>3429</v>
      </c>
      <c r="G980" s="3" t="s">
        <v>3430</v>
      </c>
      <c r="H980" s="43">
        <v>45558</v>
      </c>
      <c r="I980" s="43">
        <v>45474</v>
      </c>
      <c r="J980" s="47" t="str">
        <f>IF(GroDB[[#This Row],[Last_Order_Date]]&lt;=GroDB[[#This Row],[Date_Received]], "Yes", "No")</f>
        <v>Yes</v>
      </c>
      <c r="K980" s="43">
        <f>IF(GroDB[[#This Row],[Column1]]="No",GroDB[[#This Row],[Last_Order_Date]],GroDB[[#This Row],[Date_Received]])</f>
        <v>45558</v>
      </c>
      <c r="L980" s="43">
        <f>IF(GroDB[[#This Row],[Column1]]="No",GroDB[[#This Row],[Date_Received]],GroDB[[#This Row],[Last_Order_Date]])</f>
        <v>45474</v>
      </c>
      <c r="M980" s="45">
        <f>GroDB[[#This Row],[Date_Received1]]-GroDB[[#This Row],[Procurement_Date]]</f>
        <v>84</v>
      </c>
      <c r="N980" s="43">
        <v>45435</v>
      </c>
      <c r="O980" s="91">
        <f>GroDB[[#This Row],[Expiration_Date]]-GroDB[[#This Row],[Date_Received1]]</f>
        <v>-123</v>
      </c>
      <c r="P980" s="4">
        <v>1.36</v>
      </c>
      <c r="Q980" s="3">
        <v>63</v>
      </c>
      <c r="R980" s="3">
        <v>12</v>
      </c>
      <c r="S980" s="3">
        <v>82</v>
      </c>
      <c r="T980" s="4">
        <v>1.7</v>
      </c>
      <c r="U980" s="3">
        <v>56</v>
      </c>
      <c r="V980" s="51">
        <f>IF(GroDB[[#This Row],[LeadTime]]=0,GroDB[[#This Row],[Sales_Volume]],GroDB[[#This Row],[Sales_Volume]]/GroDB[[#This Row],[LeadTime]])</f>
        <v>0.66666666666666663</v>
      </c>
      <c r="W980" s="51">
        <f>_xlfn.STDEV.S(GroDB[Daily Sales])</f>
        <v>5.1999899792654221</v>
      </c>
      <c r="X980" s="3">
        <v>31</v>
      </c>
      <c r="Y980" s="7">
        <v>-1.1299999999999999</v>
      </c>
      <c r="Z980" s="4">
        <f>GroDB[[#This Row],[Unit_Price]]*GroDB[[#This Row],[Sales_Volume]]</f>
        <v>95.2</v>
      </c>
      <c r="AA980" s="22">
        <f>GroDB[[#This Row],[ADU]]/GroDB[[#Totals],[ADU]]</f>
        <v>2.7652767452367372E-4</v>
      </c>
      <c r="AB980" s="1">
        <f>GroDB[[#This Row],[Sales_Volume]]*GroDB[[#This Row],[Ordering Cost]]</f>
        <v>76.160000000000011</v>
      </c>
    </row>
    <row r="981" spans="1:28" x14ac:dyDescent="0.35">
      <c r="A981" s="5" t="s">
        <v>984</v>
      </c>
      <c r="B981" s="3" t="s">
        <v>18</v>
      </c>
      <c r="C981" s="3" t="s">
        <v>1465</v>
      </c>
      <c r="D981" s="3" t="s">
        <v>3431</v>
      </c>
      <c r="E981" s="3" t="s">
        <v>21</v>
      </c>
      <c r="F981" s="3" t="s">
        <v>3432</v>
      </c>
      <c r="G981" s="3" t="s">
        <v>3433</v>
      </c>
      <c r="H981" s="43">
        <v>45559</v>
      </c>
      <c r="I981" s="43">
        <v>45672</v>
      </c>
      <c r="J981" s="47" t="str">
        <f>IF(GroDB[[#This Row],[Last_Order_Date]]&lt;=GroDB[[#This Row],[Date_Received]], "Yes", "No")</f>
        <v>No</v>
      </c>
      <c r="K981" s="43">
        <f>IF(GroDB[[#This Row],[Column1]]="No",GroDB[[#This Row],[Last_Order_Date]],GroDB[[#This Row],[Date_Received]])</f>
        <v>45672</v>
      </c>
      <c r="L981" s="43">
        <f>IF(GroDB[[#This Row],[Column1]]="No",GroDB[[#This Row],[Date_Received]],GroDB[[#This Row],[Last_Order_Date]])</f>
        <v>45559</v>
      </c>
      <c r="M981" s="45">
        <f>GroDB[[#This Row],[Date_Received1]]-GroDB[[#This Row],[Procurement_Date]]</f>
        <v>113</v>
      </c>
      <c r="N981" s="43">
        <v>45423</v>
      </c>
      <c r="O981" s="91">
        <f>GroDB[[#This Row],[Expiration_Date]]-GroDB[[#This Row],[Date_Received1]]</f>
        <v>-249</v>
      </c>
      <c r="P981" s="4">
        <v>3.2</v>
      </c>
      <c r="Q981" s="3">
        <v>73</v>
      </c>
      <c r="R981" s="3">
        <v>87</v>
      </c>
      <c r="S981" s="3">
        <v>46</v>
      </c>
      <c r="T981" s="4">
        <v>4</v>
      </c>
      <c r="U981" s="3">
        <v>47</v>
      </c>
      <c r="V981" s="51">
        <f>IF(GroDB[[#This Row],[LeadTime]]=0,GroDB[[#This Row],[Sales_Volume]],GroDB[[#This Row],[Sales_Volume]]/GroDB[[#This Row],[LeadTime]])</f>
        <v>0.41592920353982299</v>
      </c>
      <c r="W981" s="51">
        <f>_xlfn.STDEV.S(GroDB[Daily Sales])</f>
        <v>5.1999899792654221</v>
      </c>
      <c r="X981" s="3">
        <v>67</v>
      </c>
      <c r="Y981" s="7">
        <v>0.45</v>
      </c>
      <c r="Z981" s="4">
        <f>GroDB[[#This Row],[Unit_Price]]*GroDB[[#This Row],[Sales_Volume]]</f>
        <v>188</v>
      </c>
      <c r="AA981" s="22">
        <f>GroDB[[#This Row],[ADU]]/GroDB[[#Totals],[ADU]]</f>
        <v>5.4608406313498591E-4</v>
      </c>
      <c r="AB981" s="1">
        <f>GroDB[[#This Row],[Sales_Volume]]*GroDB[[#This Row],[Ordering Cost]]</f>
        <v>150.4</v>
      </c>
    </row>
    <row r="982" spans="1:28" x14ac:dyDescent="0.35">
      <c r="A982" s="5" t="s">
        <v>420</v>
      </c>
      <c r="B982" s="3" t="s">
        <v>60</v>
      </c>
      <c r="C982" s="3" t="s">
        <v>555</v>
      </c>
      <c r="D982" s="3" t="s">
        <v>3434</v>
      </c>
      <c r="E982" s="3" t="s">
        <v>21</v>
      </c>
      <c r="F982" s="3" t="s">
        <v>3435</v>
      </c>
      <c r="G982" s="3" t="s">
        <v>3436</v>
      </c>
      <c r="H982" s="43">
        <v>45559</v>
      </c>
      <c r="I982" s="43">
        <v>45479</v>
      </c>
      <c r="J982" s="47" t="str">
        <f>IF(GroDB[[#This Row],[Last_Order_Date]]&lt;=GroDB[[#This Row],[Date_Received]], "Yes", "No")</f>
        <v>Yes</v>
      </c>
      <c r="K982" s="43">
        <f>IF(GroDB[[#This Row],[Column1]]="No",GroDB[[#This Row],[Last_Order_Date]],GroDB[[#This Row],[Date_Received]])</f>
        <v>45559</v>
      </c>
      <c r="L982" s="43">
        <f>IF(GroDB[[#This Row],[Column1]]="No",GroDB[[#This Row],[Date_Received]],GroDB[[#This Row],[Last_Order_Date]])</f>
        <v>45479</v>
      </c>
      <c r="M982" s="45">
        <f>GroDB[[#This Row],[Date_Received1]]-GroDB[[#This Row],[Procurement_Date]]</f>
        <v>80</v>
      </c>
      <c r="N982" s="43">
        <v>45580</v>
      </c>
      <c r="O982" s="91">
        <f>GroDB[[#This Row],[Expiration_Date]]-GroDB[[#This Row],[Date_Received1]]</f>
        <v>21</v>
      </c>
      <c r="P982" s="4">
        <v>14.4</v>
      </c>
      <c r="Q982" s="3">
        <v>89</v>
      </c>
      <c r="R982" s="3">
        <v>95</v>
      </c>
      <c r="S982" s="3">
        <v>41</v>
      </c>
      <c r="T982" s="4">
        <v>18</v>
      </c>
      <c r="U982" s="3">
        <v>76</v>
      </c>
      <c r="V982" s="51">
        <f>IF(GroDB[[#This Row],[LeadTime]]=0,GroDB[[#This Row],[Sales_Volume]],GroDB[[#This Row],[Sales_Volume]]/GroDB[[#This Row],[LeadTime]])</f>
        <v>0.95</v>
      </c>
      <c r="W982" s="51">
        <f>_xlfn.STDEV.S(GroDB[Daily Sales])</f>
        <v>5.1999899792654221</v>
      </c>
      <c r="X982" s="3">
        <v>96</v>
      </c>
      <c r="Y982" s="7">
        <v>-0.43</v>
      </c>
      <c r="Z982" s="4">
        <f>GroDB[[#This Row],[Unit_Price]]*GroDB[[#This Row],[Sales_Volume]]</f>
        <v>1368</v>
      </c>
      <c r="AA982" s="22">
        <f>GroDB[[#This Row],[ADU]]/GroDB[[#Totals],[ADU]]</f>
        <v>3.9736329700460673E-3</v>
      </c>
      <c r="AB982" s="1">
        <f>GroDB[[#This Row],[Sales_Volume]]*GroDB[[#This Row],[Ordering Cost]]</f>
        <v>1094.4000000000001</v>
      </c>
    </row>
    <row r="983" spans="1:28" x14ac:dyDescent="0.35">
      <c r="A983" s="5" t="s">
        <v>1069</v>
      </c>
      <c r="B983" s="3" t="s">
        <v>18</v>
      </c>
      <c r="C983" s="3" t="s">
        <v>112</v>
      </c>
      <c r="D983" s="3" t="s">
        <v>3437</v>
      </c>
      <c r="E983" s="3" t="s">
        <v>21</v>
      </c>
      <c r="F983" s="3" t="s">
        <v>3438</v>
      </c>
      <c r="G983" s="3" t="s">
        <v>3439</v>
      </c>
      <c r="H983" s="43">
        <v>45560</v>
      </c>
      <c r="I983" s="43">
        <v>45624</v>
      </c>
      <c r="J983" s="47" t="str">
        <f>IF(GroDB[[#This Row],[Last_Order_Date]]&lt;=GroDB[[#This Row],[Date_Received]], "Yes", "No")</f>
        <v>No</v>
      </c>
      <c r="K983" s="43">
        <f>IF(GroDB[[#This Row],[Column1]]="No",GroDB[[#This Row],[Last_Order_Date]],GroDB[[#This Row],[Date_Received]])</f>
        <v>45624</v>
      </c>
      <c r="L983" s="43">
        <f>IF(GroDB[[#This Row],[Column1]]="No",GroDB[[#This Row],[Date_Received]],GroDB[[#This Row],[Last_Order_Date]])</f>
        <v>45560</v>
      </c>
      <c r="M983" s="45">
        <f>GroDB[[#This Row],[Date_Received1]]-GroDB[[#This Row],[Procurement_Date]]</f>
        <v>64</v>
      </c>
      <c r="N983" s="43">
        <v>45455</v>
      </c>
      <c r="O983" s="91">
        <f>GroDB[[#This Row],[Expiration_Date]]-GroDB[[#This Row],[Date_Received1]]</f>
        <v>-169</v>
      </c>
      <c r="P983" s="4">
        <v>4.8000000000000007</v>
      </c>
      <c r="Q983" s="3">
        <v>26</v>
      </c>
      <c r="R983" s="3">
        <v>97</v>
      </c>
      <c r="S983" s="3">
        <v>12</v>
      </c>
      <c r="T983" s="4">
        <v>6</v>
      </c>
      <c r="U983" s="3">
        <v>94</v>
      </c>
      <c r="V983" s="51">
        <f>IF(GroDB[[#This Row],[LeadTime]]=0,GroDB[[#This Row],[Sales_Volume]],GroDB[[#This Row],[Sales_Volume]]/GroDB[[#This Row],[LeadTime]])</f>
        <v>1.46875</v>
      </c>
      <c r="W983" s="51">
        <f>_xlfn.STDEV.S(GroDB[Daily Sales])</f>
        <v>5.1999899792654221</v>
      </c>
      <c r="X983" s="3">
        <v>58</v>
      </c>
      <c r="Y983" s="7">
        <v>-0.26</v>
      </c>
      <c r="Z983" s="4">
        <f>GroDB[[#This Row],[Unit_Price]]*GroDB[[#This Row],[Sales_Volume]]</f>
        <v>564</v>
      </c>
      <c r="AA983" s="22">
        <f>GroDB[[#This Row],[ADU]]/GroDB[[#Totals],[ADU]]</f>
        <v>1.6382521894049576E-3</v>
      </c>
      <c r="AB983" s="1">
        <f>GroDB[[#This Row],[Sales_Volume]]*GroDB[[#This Row],[Ordering Cost]]</f>
        <v>451.20000000000005</v>
      </c>
    </row>
    <row r="984" spans="1:28" x14ac:dyDescent="0.35">
      <c r="A984" s="5" t="s">
        <v>80</v>
      </c>
      <c r="B984" s="3" t="s">
        <v>25</v>
      </c>
      <c r="C984" s="3" t="s">
        <v>316</v>
      </c>
      <c r="D984" s="3" t="s">
        <v>3440</v>
      </c>
      <c r="E984" s="3" t="s">
        <v>21</v>
      </c>
      <c r="F984" s="3" t="s">
        <v>3441</v>
      </c>
      <c r="G984" s="3" t="s">
        <v>3442</v>
      </c>
      <c r="H984" s="43">
        <v>45561</v>
      </c>
      <c r="I984" s="43">
        <v>45424</v>
      </c>
      <c r="J984" s="47" t="str">
        <f>IF(GroDB[[#This Row],[Last_Order_Date]]&lt;=GroDB[[#This Row],[Date_Received]], "Yes", "No")</f>
        <v>Yes</v>
      </c>
      <c r="K984" s="43">
        <f>IF(GroDB[[#This Row],[Column1]]="No",GroDB[[#This Row],[Last_Order_Date]],GroDB[[#This Row],[Date_Received]])</f>
        <v>45561</v>
      </c>
      <c r="L984" s="43">
        <f>IF(GroDB[[#This Row],[Column1]]="No",GroDB[[#This Row],[Date_Received]],GroDB[[#This Row],[Last_Order_Date]])</f>
        <v>45424</v>
      </c>
      <c r="M984" s="45">
        <f>GroDB[[#This Row],[Date_Received1]]-GroDB[[#This Row],[Procurement_Date]]</f>
        <v>137</v>
      </c>
      <c r="N984" s="43">
        <v>45447</v>
      </c>
      <c r="O984" s="91">
        <f>GroDB[[#This Row],[Expiration_Date]]-GroDB[[#This Row],[Date_Received1]]</f>
        <v>-114</v>
      </c>
      <c r="P984" s="4">
        <v>8</v>
      </c>
      <c r="Q984" s="3">
        <v>50</v>
      </c>
      <c r="R984" s="3">
        <v>36</v>
      </c>
      <c r="S984" s="3">
        <v>81</v>
      </c>
      <c r="T984" s="4">
        <v>10</v>
      </c>
      <c r="U984" s="3">
        <v>27</v>
      </c>
      <c r="V984" s="51">
        <f>IF(GroDB[[#This Row],[LeadTime]]=0,GroDB[[#This Row],[Sales_Volume]],GroDB[[#This Row],[Sales_Volume]]/GroDB[[#This Row],[LeadTime]])</f>
        <v>0.19708029197080293</v>
      </c>
      <c r="W984" s="51">
        <f>_xlfn.STDEV.S(GroDB[Daily Sales])</f>
        <v>5.1999899792654221</v>
      </c>
      <c r="X984" s="3">
        <v>6</v>
      </c>
      <c r="Y984" s="7">
        <v>0.38</v>
      </c>
      <c r="Z984" s="4">
        <f>GroDB[[#This Row],[Unit_Price]]*GroDB[[#This Row],[Sales_Volume]]</f>
        <v>270</v>
      </c>
      <c r="AA984" s="22">
        <f>GroDB[[#This Row],[ADU]]/GroDB[[#Totals],[ADU]]</f>
        <v>7.8426966514067126E-4</v>
      </c>
      <c r="AB984" s="1">
        <f>GroDB[[#This Row],[Sales_Volume]]*GroDB[[#This Row],[Ordering Cost]]</f>
        <v>216</v>
      </c>
    </row>
    <row r="985" spans="1:28" x14ac:dyDescent="0.35">
      <c r="A985" s="5" t="s">
        <v>674</v>
      </c>
      <c r="B985" s="3" t="s">
        <v>60</v>
      </c>
      <c r="C985" s="3" t="s">
        <v>2001</v>
      </c>
      <c r="D985" s="3" t="s">
        <v>3443</v>
      </c>
      <c r="E985" s="3" t="s">
        <v>56</v>
      </c>
      <c r="F985" s="3" t="s">
        <v>3444</v>
      </c>
      <c r="G985" s="3" t="s">
        <v>3445</v>
      </c>
      <c r="H985" s="43">
        <v>45561</v>
      </c>
      <c r="I985" s="43">
        <v>45497</v>
      </c>
      <c r="J985" s="47" t="str">
        <f>IF(GroDB[[#This Row],[Last_Order_Date]]&lt;=GroDB[[#This Row],[Date_Received]], "Yes", "No")</f>
        <v>Yes</v>
      </c>
      <c r="K985" s="43">
        <f>IF(GroDB[[#This Row],[Column1]]="No",GroDB[[#This Row],[Last_Order_Date]],GroDB[[#This Row],[Date_Received]])</f>
        <v>45561</v>
      </c>
      <c r="L985" s="43">
        <f>IF(GroDB[[#This Row],[Column1]]="No",GroDB[[#This Row],[Date_Received]],GroDB[[#This Row],[Last_Order_Date]])</f>
        <v>45497</v>
      </c>
      <c r="M985" s="45">
        <f>GroDB[[#This Row],[Date_Received1]]-GroDB[[#This Row],[Procurement_Date]]</f>
        <v>64</v>
      </c>
      <c r="N985" s="43">
        <v>45359</v>
      </c>
      <c r="O985" s="91">
        <f>GroDB[[#This Row],[Expiration_Date]]-GroDB[[#This Row],[Date_Received1]]</f>
        <v>-202</v>
      </c>
      <c r="P985" s="4">
        <v>7.2</v>
      </c>
      <c r="Q985" s="3">
        <v>43</v>
      </c>
      <c r="R985" s="3">
        <v>7</v>
      </c>
      <c r="S985" s="3">
        <v>63</v>
      </c>
      <c r="T985" s="4">
        <v>9</v>
      </c>
      <c r="U985" s="3">
        <v>66</v>
      </c>
      <c r="V985" s="51">
        <f>IF(GroDB[[#This Row],[LeadTime]]=0,GroDB[[#This Row],[Sales_Volume]],GroDB[[#This Row],[Sales_Volume]]/GroDB[[#This Row],[LeadTime]])</f>
        <v>1.03125</v>
      </c>
      <c r="W985" s="51">
        <f>_xlfn.STDEV.S(GroDB[Daily Sales])</f>
        <v>5.1999899792654221</v>
      </c>
      <c r="X985" s="3">
        <v>71</v>
      </c>
      <c r="Y985" s="7">
        <v>0.78</v>
      </c>
      <c r="Z985" s="4">
        <f>GroDB[[#This Row],[Unit_Price]]*GroDB[[#This Row],[Sales_Volume]]</f>
        <v>594</v>
      </c>
      <c r="AA985" s="22">
        <f>GroDB[[#This Row],[ADU]]/GroDB[[#Totals],[ADU]]</f>
        <v>1.7253932633094766E-3</v>
      </c>
      <c r="AB985" s="1">
        <f>GroDB[[#This Row],[Sales_Volume]]*GroDB[[#This Row],[Ordering Cost]]</f>
        <v>475.2</v>
      </c>
    </row>
    <row r="986" spans="1:28" x14ac:dyDescent="0.35">
      <c r="A986" s="5" t="s">
        <v>248</v>
      </c>
      <c r="B986" s="3" t="s">
        <v>32</v>
      </c>
      <c r="C986" s="3" t="s">
        <v>38</v>
      </c>
      <c r="D986" s="3" t="s">
        <v>3446</v>
      </c>
      <c r="E986" s="3" t="s">
        <v>56</v>
      </c>
      <c r="F986" s="3" t="s">
        <v>3447</v>
      </c>
      <c r="G986" s="3" t="s">
        <v>3448</v>
      </c>
      <c r="H986" s="43">
        <v>45562</v>
      </c>
      <c r="I986" s="43">
        <v>45533</v>
      </c>
      <c r="J986" s="47" t="str">
        <f>IF(GroDB[[#This Row],[Last_Order_Date]]&lt;=GroDB[[#This Row],[Date_Received]], "Yes", "No")</f>
        <v>Yes</v>
      </c>
      <c r="K986" s="43">
        <f>IF(GroDB[[#This Row],[Column1]]="No",GroDB[[#This Row],[Last_Order_Date]],GroDB[[#This Row],[Date_Received]])</f>
        <v>45562</v>
      </c>
      <c r="L986" s="43">
        <f>IF(GroDB[[#This Row],[Column1]]="No",GroDB[[#This Row],[Date_Received]],GroDB[[#This Row],[Last_Order_Date]])</f>
        <v>45533</v>
      </c>
      <c r="M986" s="45">
        <f>GroDB[[#This Row],[Date_Received1]]-GroDB[[#This Row],[Procurement_Date]]</f>
        <v>29</v>
      </c>
      <c r="N986" s="43">
        <v>45694</v>
      </c>
      <c r="O986" s="91">
        <f>GroDB[[#This Row],[Expiration_Date]]-GroDB[[#This Row],[Date_Received1]]</f>
        <v>132</v>
      </c>
      <c r="P986" s="4">
        <v>5.6000000000000005</v>
      </c>
      <c r="Q986" s="3">
        <v>97</v>
      </c>
      <c r="R986" s="3">
        <v>57</v>
      </c>
      <c r="S986" s="3">
        <v>84</v>
      </c>
      <c r="T986" s="4">
        <v>7</v>
      </c>
      <c r="U986" s="3">
        <v>95</v>
      </c>
      <c r="V986" s="51">
        <f>IF(GroDB[[#This Row],[LeadTime]]=0,GroDB[[#This Row],[Sales_Volume]],GroDB[[#This Row],[Sales_Volume]]/GroDB[[#This Row],[LeadTime]])</f>
        <v>3.2758620689655173</v>
      </c>
      <c r="W986" s="51">
        <f>_xlfn.STDEV.S(GroDB[Daily Sales])</f>
        <v>5.1999899792654221</v>
      </c>
      <c r="X986" s="3">
        <v>28</v>
      </c>
      <c r="Y986" s="7">
        <v>-0.08</v>
      </c>
      <c r="Z986" s="4">
        <f>GroDB[[#This Row],[Unit_Price]]*GroDB[[#This Row],[Sales_Volume]]</f>
        <v>665</v>
      </c>
      <c r="AA986" s="22">
        <f>GroDB[[#This Row],[ADU]]/GroDB[[#Totals],[ADU]]</f>
        <v>1.9316271382168384E-3</v>
      </c>
      <c r="AB986" s="1">
        <f>GroDB[[#This Row],[Sales_Volume]]*GroDB[[#This Row],[Ordering Cost]]</f>
        <v>532</v>
      </c>
    </row>
    <row r="987" spans="1:28" x14ac:dyDescent="0.35">
      <c r="A987" s="5" t="s">
        <v>288</v>
      </c>
      <c r="B987" s="3" t="s">
        <v>60</v>
      </c>
      <c r="C987" s="3" t="s">
        <v>1261</v>
      </c>
      <c r="D987" s="3" t="s">
        <v>3449</v>
      </c>
      <c r="E987" s="3" t="s">
        <v>56</v>
      </c>
      <c r="F987" s="3" t="s">
        <v>3450</v>
      </c>
      <c r="G987" s="3" t="s">
        <v>3451</v>
      </c>
      <c r="H987" s="43">
        <v>45562</v>
      </c>
      <c r="I987" s="43">
        <v>45492</v>
      </c>
      <c r="J987" s="47" t="str">
        <f>IF(GroDB[[#This Row],[Last_Order_Date]]&lt;=GroDB[[#This Row],[Date_Received]], "Yes", "No")</f>
        <v>Yes</v>
      </c>
      <c r="K987" s="43">
        <f>IF(GroDB[[#This Row],[Column1]]="No",GroDB[[#This Row],[Last_Order_Date]],GroDB[[#This Row],[Date_Received]])</f>
        <v>45562</v>
      </c>
      <c r="L987" s="43">
        <f>IF(GroDB[[#This Row],[Column1]]="No",GroDB[[#This Row],[Date_Received]],GroDB[[#This Row],[Last_Order_Date]])</f>
        <v>45492</v>
      </c>
      <c r="M987" s="45">
        <f>GroDB[[#This Row],[Date_Received1]]-GroDB[[#This Row],[Procurement_Date]]</f>
        <v>70</v>
      </c>
      <c r="N987" s="43">
        <v>45470</v>
      </c>
      <c r="O987" s="91">
        <f>GroDB[[#This Row],[Expiration_Date]]-GroDB[[#This Row],[Date_Received1]]</f>
        <v>-92</v>
      </c>
      <c r="P987" s="4">
        <v>9.6000000000000014</v>
      </c>
      <c r="Q987" s="3">
        <v>98</v>
      </c>
      <c r="R987" s="3">
        <v>65</v>
      </c>
      <c r="S987" s="3">
        <v>76</v>
      </c>
      <c r="T987" s="4">
        <v>12</v>
      </c>
      <c r="U987" s="3">
        <v>62</v>
      </c>
      <c r="V987" s="51">
        <f>IF(GroDB[[#This Row],[LeadTime]]=0,GroDB[[#This Row],[Sales_Volume]],GroDB[[#This Row],[Sales_Volume]]/GroDB[[#This Row],[LeadTime]])</f>
        <v>0.88571428571428568</v>
      </c>
      <c r="W987" s="51">
        <f>_xlfn.STDEV.S(GroDB[Daily Sales])</f>
        <v>5.1999899792654221</v>
      </c>
      <c r="X987" s="3">
        <v>47</v>
      </c>
      <c r="Y987" s="7">
        <v>0.71</v>
      </c>
      <c r="Z987" s="4">
        <f>GroDB[[#This Row],[Unit_Price]]*GroDB[[#This Row],[Sales_Volume]]</f>
        <v>744</v>
      </c>
      <c r="AA987" s="22">
        <f>GroDB[[#This Row],[ADU]]/GroDB[[#Totals],[ADU]]</f>
        <v>2.1610986328320717E-3</v>
      </c>
      <c r="AB987" s="1">
        <f>GroDB[[#This Row],[Sales_Volume]]*GroDB[[#This Row],[Ordering Cost]]</f>
        <v>595.20000000000005</v>
      </c>
    </row>
    <row r="988" spans="1:28" x14ac:dyDescent="0.35">
      <c r="A988" s="5" t="s">
        <v>31</v>
      </c>
      <c r="B988" s="3" t="s">
        <v>32</v>
      </c>
      <c r="C988" s="3" t="s">
        <v>3452</v>
      </c>
      <c r="D988" s="3" t="s">
        <v>3453</v>
      </c>
      <c r="E988" s="3" t="s">
        <v>28</v>
      </c>
      <c r="F988" s="3" t="s">
        <v>3454</v>
      </c>
      <c r="G988" s="3" t="s">
        <v>3455</v>
      </c>
      <c r="H988" s="43">
        <v>45562</v>
      </c>
      <c r="I988" s="43">
        <v>45569</v>
      </c>
      <c r="J988" s="47" t="str">
        <f>IF(GroDB[[#This Row],[Last_Order_Date]]&lt;=GroDB[[#This Row],[Date_Received]], "Yes", "No")</f>
        <v>No</v>
      </c>
      <c r="K988" s="43">
        <f>IF(GroDB[[#This Row],[Column1]]="No",GroDB[[#This Row],[Last_Order_Date]],GroDB[[#This Row],[Date_Received]])</f>
        <v>45569</v>
      </c>
      <c r="L988" s="43">
        <f>IF(GroDB[[#This Row],[Column1]]="No",GroDB[[#This Row],[Date_Received]],GroDB[[#This Row],[Last_Order_Date]])</f>
        <v>45562</v>
      </c>
      <c r="M988" s="45">
        <f>GroDB[[#This Row],[Date_Received1]]-GroDB[[#This Row],[Procurement_Date]]</f>
        <v>7</v>
      </c>
      <c r="N988" s="43">
        <v>45501</v>
      </c>
      <c r="O988" s="91">
        <f>GroDB[[#This Row],[Expiration_Date]]-GroDB[[#This Row],[Date_Received1]]</f>
        <v>-68</v>
      </c>
      <c r="P988" s="4">
        <v>9.6000000000000014</v>
      </c>
      <c r="Q988" s="3">
        <v>52</v>
      </c>
      <c r="R988" s="3">
        <v>56</v>
      </c>
      <c r="S988" s="3">
        <v>34</v>
      </c>
      <c r="T988" s="4">
        <v>12</v>
      </c>
      <c r="U988" s="3">
        <v>31</v>
      </c>
      <c r="V988" s="51">
        <f>IF(GroDB[[#This Row],[LeadTime]]=0,GroDB[[#This Row],[Sales_Volume]],GroDB[[#This Row],[Sales_Volume]]/GroDB[[#This Row],[LeadTime]])</f>
        <v>4.4285714285714288</v>
      </c>
      <c r="W988" s="51">
        <f>_xlfn.STDEV.S(GroDB[Daily Sales])</f>
        <v>5.1999899792654221</v>
      </c>
      <c r="X988" s="3">
        <v>69</v>
      </c>
      <c r="Y988" s="7">
        <v>0.24</v>
      </c>
      <c r="Z988" s="4">
        <f>GroDB[[#This Row],[Unit_Price]]*GroDB[[#This Row],[Sales_Volume]]</f>
        <v>372</v>
      </c>
      <c r="AA988" s="22">
        <f>GroDB[[#This Row],[ADU]]/GroDB[[#Totals],[ADU]]</f>
        <v>1.0805493164160358E-3</v>
      </c>
      <c r="AB988" s="1">
        <f>GroDB[[#This Row],[Sales_Volume]]*GroDB[[#This Row],[Ordering Cost]]</f>
        <v>297.60000000000002</v>
      </c>
    </row>
    <row r="989" spans="1:28" x14ac:dyDescent="0.35">
      <c r="A989" s="5" t="s">
        <v>2626</v>
      </c>
      <c r="B989" s="3" t="s">
        <v>53</v>
      </c>
      <c r="C989" s="3" t="s">
        <v>922</v>
      </c>
      <c r="D989" s="3" t="s">
        <v>3456</v>
      </c>
      <c r="E989" s="3" t="s">
        <v>56</v>
      </c>
      <c r="F989" s="3" t="s">
        <v>3457</v>
      </c>
      <c r="G989" s="3" t="s">
        <v>3458</v>
      </c>
      <c r="H989" s="43">
        <v>45564</v>
      </c>
      <c r="I989" s="43">
        <v>45469</v>
      </c>
      <c r="J989" s="47" t="str">
        <f>IF(GroDB[[#This Row],[Last_Order_Date]]&lt;=GroDB[[#This Row],[Date_Received]], "Yes", "No")</f>
        <v>Yes</v>
      </c>
      <c r="K989" s="43">
        <f>IF(GroDB[[#This Row],[Column1]]="No",GroDB[[#This Row],[Last_Order_Date]],GroDB[[#This Row],[Date_Received]])</f>
        <v>45564</v>
      </c>
      <c r="L989" s="43">
        <f>IF(GroDB[[#This Row],[Column1]]="No",GroDB[[#This Row],[Date_Received]],GroDB[[#This Row],[Last_Order_Date]])</f>
        <v>45469</v>
      </c>
      <c r="M989" s="45">
        <f>GroDB[[#This Row],[Date_Received1]]-GroDB[[#This Row],[Procurement_Date]]</f>
        <v>95</v>
      </c>
      <c r="N989" s="43">
        <v>45613</v>
      </c>
      <c r="O989" s="91">
        <f>GroDB[[#This Row],[Expiration_Date]]-GroDB[[#This Row],[Date_Received1]]</f>
        <v>49</v>
      </c>
      <c r="P989" s="4">
        <v>1.2000000000000002</v>
      </c>
      <c r="Q989" s="3">
        <v>72</v>
      </c>
      <c r="R989" s="3">
        <v>72</v>
      </c>
      <c r="S989" s="3">
        <v>68</v>
      </c>
      <c r="T989" s="4">
        <v>1.5</v>
      </c>
      <c r="U989" s="3">
        <v>39</v>
      </c>
      <c r="V989" s="51">
        <f>IF(GroDB[[#This Row],[LeadTime]]=0,GroDB[[#This Row],[Sales_Volume]],GroDB[[#This Row],[Sales_Volume]]/GroDB[[#This Row],[LeadTime]])</f>
        <v>0.41052631578947368</v>
      </c>
      <c r="W989" s="51">
        <f>_xlfn.STDEV.S(GroDB[Daily Sales])</f>
        <v>5.1999899792654221</v>
      </c>
      <c r="X989" s="3">
        <v>78</v>
      </c>
      <c r="Y989" s="7">
        <v>-1.23</v>
      </c>
      <c r="Z989" s="4">
        <f>GroDB[[#This Row],[Unit_Price]]*GroDB[[#This Row],[Sales_Volume]]</f>
        <v>58.5</v>
      </c>
      <c r="AA989" s="22">
        <f>GroDB[[#This Row],[ADU]]/GroDB[[#Totals],[ADU]]</f>
        <v>1.6992509411381209E-4</v>
      </c>
      <c r="AB989" s="1">
        <f>GroDB[[#This Row],[Sales_Volume]]*GroDB[[#This Row],[Ordering Cost]]</f>
        <v>46.800000000000004</v>
      </c>
    </row>
    <row r="990" spans="1:28" x14ac:dyDescent="0.35">
      <c r="A990" s="5" t="s">
        <v>355</v>
      </c>
      <c r="B990" s="3" t="s">
        <v>18</v>
      </c>
      <c r="C990" s="3" t="s">
        <v>451</v>
      </c>
      <c r="D990" s="3" t="s">
        <v>3459</v>
      </c>
      <c r="E990" s="3" t="s">
        <v>21</v>
      </c>
      <c r="F990" s="3" t="s">
        <v>3460</v>
      </c>
      <c r="G990" s="3" t="s">
        <v>3461</v>
      </c>
      <c r="H990" s="43">
        <v>45564</v>
      </c>
      <c r="I990" s="43">
        <v>45460</v>
      </c>
      <c r="J990" s="47" t="str">
        <f>IF(GroDB[[#This Row],[Last_Order_Date]]&lt;=GroDB[[#This Row],[Date_Received]], "Yes", "No")</f>
        <v>Yes</v>
      </c>
      <c r="K990" s="43">
        <f>IF(GroDB[[#This Row],[Column1]]="No",GroDB[[#This Row],[Last_Order_Date]],GroDB[[#This Row],[Date_Received]])</f>
        <v>45564</v>
      </c>
      <c r="L990" s="43">
        <f>IF(GroDB[[#This Row],[Column1]]="No",GroDB[[#This Row],[Date_Received]],GroDB[[#This Row],[Last_Order_Date]])</f>
        <v>45460</v>
      </c>
      <c r="M990" s="45">
        <f>GroDB[[#This Row],[Date_Received1]]-GroDB[[#This Row],[Procurement_Date]]</f>
        <v>104</v>
      </c>
      <c r="N990" s="43">
        <v>45475</v>
      </c>
      <c r="O990" s="91">
        <f>GroDB[[#This Row],[Expiration_Date]]-GroDB[[#This Row],[Date_Received1]]</f>
        <v>-89</v>
      </c>
      <c r="P990" s="4">
        <v>0.8</v>
      </c>
      <c r="Q990" s="3">
        <v>24</v>
      </c>
      <c r="R990" s="3">
        <v>32</v>
      </c>
      <c r="S990" s="3">
        <v>17</v>
      </c>
      <c r="T990" s="4">
        <v>1</v>
      </c>
      <c r="U990" s="3">
        <v>55</v>
      </c>
      <c r="V990" s="51">
        <f>IF(GroDB[[#This Row],[LeadTime]]=0,GroDB[[#This Row],[Sales_Volume]],GroDB[[#This Row],[Sales_Volume]]/GroDB[[#This Row],[LeadTime]])</f>
        <v>0.52884615384615385</v>
      </c>
      <c r="W990" s="51">
        <f>_xlfn.STDEV.S(GroDB[Daily Sales])</f>
        <v>5.1999899792654221</v>
      </c>
      <c r="X990" s="3">
        <v>72</v>
      </c>
      <c r="Y990" s="7">
        <v>-1</v>
      </c>
      <c r="Z990" s="4">
        <f>GroDB[[#This Row],[Unit_Price]]*GroDB[[#This Row],[Sales_Volume]]</f>
        <v>55</v>
      </c>
      <c r="AA990" s="22">
        <f>GroDB[[#This Row],[ADU]]/GroDB[[#Totals],[ADU]]</f>
        <v>1.597586354916182E-4</v>
      </c>
      <c r="AB990" s="1">
        <f>GroDB[[#This Row],[Sales_Volume]]*GroDB[[#This Row],[Ordering Cost]]</f>
        <v>44</v>
      </c>
    </row>
    <row r="991" spans="1:28" x14ac:dyDescent="0.35">
      <c r="A991" s="5" t="s">
        <v>789</v>
      </c>
      <c r="B991" s="3" t="s">
        <v>18</v>
      </c>
      <c r="C991" s="3" t="s">
        <v>2856</v>
      </c>
      <c r="D991" s="3" t="s">
        <v>3462</v>
      </c>
      <c r="E991" s="3" t="s">
        <v>21</v>
      </c>
      <c r="F991" s="3" t="s">
        <v>3463</v>
      </c>
      <c r="G991" s="3" t="s">
        <v>3464</v>
      </c>
      <c r="H991" s="43">
        <v>45565</v>
      </c>
      <c r="I991" s="43">
        <v>45702</v>
      </c>
      <c r="J991" s="47" t="str">
        <f>IF(GroDB[[#This Row],[Last_Order_Date]]&lt;=GroDB[[#This Row],[Date_Received]], "Yes", "No")</f>
        <v>No</v>
      </c>
      <c r="K991" s="43">
        <f>IF(GroDB[[#This Row],[Column1]]="No",GroDB[[#This Row],[Last_Order_Date]],GroDB[[#This Row],[Date_Received]])</f>
        <v>45702</v>
      </c>
      <c r="L991" s="43">
        <f>IF(GroDB[[#This Row],[Column1]]="No",GroDB[[#This Row],[Date_Received]],GroDB[[#This Row],[Last_Order_Date]])</f>
        <v>45565</v>
      </c>
      <c r="M991" s="45">
        <f>GroDB[[#This Row],[Date_Received1]]-GroDB[[#This Row],[Procurement_Date]]</f>
        <v>137</v>
      </c>
      <c r="N991" s="43">
        <v>45407</v>
      </c>
      <c r="O991" s="91">
        <f>GroDB[[#This Row],[Expiration_Date]]-GroDB[[#This Row],[Date_Received1]]</f>
        <v>-295</v>
      </c>
      <c r="P991" s="4">
        <v>1.6</v>
      </c>
      <c r="Q991" s="3">
        <v>81</v>
      </c>
      <c r="R991" s="3">
        <v>99</v>
      </c>
      <c r="S991" s="3">
        <v>28</v>
      </c>
      <c r="T991" s="4">
        <v>2</v>
      </c>
      <c r="U991" s="3">
        <v>20</v>
      </c>
      <c r="V991" s="51">
        <f>IF(GroDB[[#This Row],[LeadTime]]=0,GroDB[[#This Row],[Sales_Volume]],GroDB[[#This Row],[Sales_Volume]]/GroDB[[#This Row],[LeadTime]])</f>
        <v>0.145985401459854</v>
      </c>
      <c r="W991" s="51">
        <f>_xlfn.STDEV.S(GroDB[Daily Sales])</f>
        <v>5.1999899792654221</v>
      </c>
      <c r="X991" s="3">
        <v>85</v>
      </c>
      <c r="Y991" s="7">
        <v>-0.31</v>
      </c>
      <c r="Z991" s="4">
        <f>GroDB[[#This Row],[Unit_Price]]*GroDB[[#This Row],[Sales_Volume]]</f>
        <v>40</v>
      </c>
      <c r="AA991" s="22">
        <f>GroDB[[#This Row],[ADU]]/GroDB[[#Totals],[ADU]]</f>
        <v>1.161880985393587E-4</v>
      </c>
      <c r="AB991" s="1">
        <f>GroDB[[#This Row],[Sales_Volume]]*GroDB[[#This Row],[Ordering Cost]]</f>
        <v>32</v>
      </c>
    </row>
    <row r="992" spans="1:28" x14ac:dyDescent="0.35">
      <c r="A992" s="8" t="s">
        <v>1069</v>
      </c>
      <c r="B992" s="9" t="s">
        <v>18</v>
      </c>
      <c r="C992" s="9" t="s">
        <v>54</v>
      </c>
      <c r="D992" s="9" t="s">
        <v>3465</v>
      </c>
      <c r="E992" s="9" t="s">
        <v>21</v>
      </c>
      <c r="F992" s="9" t="s">
        <v>3466</v>
      </c>
      <c r="G992" s="9" t="s">
        <v>3467</v>
      </c>
      <c r="H992" s="44">
        <v>45565</v>
      </c>
      <c r="I992" s="44">
        <v>45463</v>
      </c>
      <c r="J992" s="48" t="str">
        <f>IF(GroDB[[#This Row],[Last_Order_Date]]&lt;=GroDB[[#This Row],[Date_Received]], "Yes", "No")</f>
        <v>Yes</v>
      </c>
      <c r="K992" s="44">
        <f>IF(GroDB[[#This Row],[Column1]]="No",GroDB[[#This Row],[Last_Order_Date]],GroDB[[#This Row],[Date_Received]])</f>
        <v>45565</v>
      </c>
      <c r="L992" s="44">
        <f>IF(GroDB[[#This Row],[Column1]]="No",GroDB[[#This Row],[Date_Received]],GroDB[[#This Row],[Last_Order_Date]])</f>
        <v>45463</v>
      </c>
      <c r="M992" s="46">
        <f>GroDB[[#This Row],[Date_Received1]]-GroDB[[#This Row],[Procurement_Date]]</f>
        <v>102</v>
      </c>
      <c r="N992" s="44">
        <v>45464</v>
      </c>
      <c r="O992" s="92">
        <f>GroDB[[#This Row],[Expiration_Date]]-GroDB[[#This Row],[Date_Received1]]</f>
        <v>-101</v>
      </c>
      <c r="P992" s="11">
        <v>4.8000000000000007</v>
      </c>
      <c r="Q992" s="9">
        <v>94</v>
      </c>
      <c r="R992" s="9">
        <v>77</v>
      </c>
      <c r="S992" s="9">
        <v>89</v>
      </c>
      <c r="T992" s="11">
        <v>6</v>
      </c>
      <c r="U992" s="9">
        <v>40</v>
      </c>
      <c r="V992" s="52">
        <f>IF(GroDB[[#This Row],[LeadTime]]=0,GroDB[[#This Row],[Sales_Volume]],GroDB[[#This Row],[Sales_Volume]]/GroDB[[#This Row],[LeadTime]])</f>
        <v>0.39215686274509803</v>
      </c>
      <c r="W992" s="52">
        <f>_xlfn.STDEV.S(GroDB[Daily Sales])</f>
        <v>5.1999899792654221</v>
      </c>
      <c r="X992" s="9">
        <v>84</v>
      </c>
      <c r="Y992" s="12">
        <v>-3.25</v>
      </c>
      <c r="Z992" s="11">
        <f>GroDB[[#This Row],[Unit_Price]]*GroDB[[#This Row],[Sales_Volume]]</f>
        <v>240</v>
      </c>
      <c r="AA992" s="22">
        <f>GroDB[[#This Row],[ADU]]/GroDB[[#Totals],[ADU]]</f>
        <v>6.9712859123615225E-4</v>
      </c>
      <c r="AB992" s="1">
        <f>GroDB[[#This Row],[Sales_Volume]]*GroDB[[#This Row],[Ordering Cost]]</f>
        <v>192.00000000000003</v>
      </c>
    </row>
    <row r="993" spans="1:28" x14ac:dyDescent="0.35">
      <c r="A993" s="8"/>
      <c r="B993" s="9"/>
      <c r="C993" s="9"/>
      <c r="D993" s="9"/>
      <c r="E993" s="9"/>
      <c r="F993" s="9"/>
      <c r="G993" s="9"/>
      <c r="H993" s="10"/>
      <c r="I993" s="10"/>
      <c r="J993" s="49"/>
      <c r="K993" s="10"/>
      <c r="L993" s="10"/>
      <c r="M993" s="10"/>
      <c r="N993" s="10"/>
      <c r="O993" s="10"/>
      <c r="P993" s="10"/>
      <c r="Q993" s="9"/>
      <c r="R993" s="9"/>
      <c r="S993" s="9"/>
      <c r="T993" s="11"/>
      <c r="U993" s="9"/>
      <c r="V993" s="9"/>
      <c r="W993" s="9"/>
      <c r="X993" s="9"/>
      <c r="Y993" s="12"/>
      <c r="Z993" s="11">
        <f>SUM(GroDB[ADU])</f>
        <v>344269.34000000014</v>
      </c>
      <c r="AA993" s="39"/>
      <c r="AB993" s="90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A5-5145-4305-B072-E187ABE9A13B}">
  <dimension ref="A1:P361"/>
  <sheetViews>
    <sheetView topLeftCell="I35" zoomScale="80" zoomScaleNormal="80" workbookViewId="0">
      <selection activeCell="A3" sqref="A3:M3"/>
    </sheetView>
  </sheetViews>
  <sheetFormatPr defaultRowHeight="14.5" x14ac:dyDescent="0.35"/>
  <cols>
    <col min="1" max="1" width="13.453125" bestFit="1" customWidth="1"/>
    <col min="2" max="2" width="19.453125" bestFit="1" customWidth="1"/>
    <col min="3" max="3" width="11.1796875" bestFit="1" customWidth="1"/>
    <col min="4" max="4" width="17.1796875" bestFit="1" customWidth="1"/>
    <col min="5" max="5" width="17.81640625" bestFit="1" customWidth="1"/>
    <col min="6" max="6" width="14.08984375" customWidth="1"/>
    <col min="7" max="7" width="15.6328125" bestFit="1" customWidth="1"/>
    <col min="8" max="8" width="15.6328125" customWidth="1"/>
    <col min="9" max="9" width="20" customWidth="1"/>
    <col min="10" max="10" width="9.26953125" hidden="1" customWidth="1"/>
    <col min="11" max="11" width="9" hidden="1" customWidth="1"/>
    <col min="12" max="12" width="16.453125" hidden="1" customWidth="1"/>
    <col min="13" max="13" width="8.7265625" style="19"/>
    <col min="14" max="14" width="11.36328125" bestFit="1" customWidth="1"/>
    <col min="15" max="15" width="12.1796875" bestFit="1" customWidth="1"/>
    <col min="16" max="16" width="10.54296875" bestFit="1" customWidth="1"/>
  </cols>
  <sheetData>
    <row r="1" spans="1:13" ht="15" thickBot="1" x14ac:dyDescent="0.4"/>
    <row r="2" spans="1:13" ht="18" x14ac:dyDescent="0.4">
      <c r="A2" s="111" t="s">
        <v>3571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</row>
    <row r="3" spans="1:13" ht="15" thickBot="1" x14ac:dyDescent="0.4">
      <c r="A3" s="112" t="s">
        <v>3486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</row>
    <row r="4" spans="1:13" x14ac:dyDescent="0.35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3" x14ac:dyDescent="0.35">
      <c r="A5" s="13" t="s">
        <v>3468</v>
      </c>
      <c r="B5" t="s">
        <v>3474</v>
      </c>
    </row>
    <row r="6" spans="1:13" x14ac:dyDescent="0.35">
      <c r="A6" s="14" t="s">
        <v>18</v>
      </c>
      <c r="B6" s="1">
        <v>91874.489999999976</v>
      </c>
      <c r="C6" s="21">
        <f>GETPIVOTDATA("ADU",$B$6,"Catagory","Fruits &amp; Vegetables")/GETPIVOTDATA("ADU",$B$13)</f>
        <v>0.26686805743433323</v>
      </c>
    </row>
    <row r="7" spans="1:13" x14ac:dyDescent="0.35">
      <c r="A7" s="14" t="s">
        <v>127</v>
      </c>
      <c r="B7" s="1">
        <v>71517.55</v>
      </c>
      <c r="C7" s="21">
        <f>GETPIVOTDATA("ADU",$B$7,"Catagory","Beverages")/GETPIVOTDATA("ADU",$B$13)</f>
        <v>0.20773720366733794</v>
      </c>
    </row>
    <row r="8" spans="1:13" x14ac:dyDescent="0.35">
      <c r="A8" s="14" t="s">
        <v>60</v>
      </c>
      <c r="B8" s="1">
        <v>61539.1</v>
      </c>
      <c r="C8" s="21">
        <f>GETPIVOTDATA("ADU",$B$8,"Catagory","Seafood")/GETPIVOTDATA("ADU",$A$5)</f>
        <v>0.17875277537058631</v>
      </c>
    </row>
    <row r="9" spans="1:13" x14ac:dyDescent="0.35">
      <c r="A9" s="14" t="s">
        <v>32</v>
      </c>
      <c r="B9" s="1">
        <v>48344.950000000004</v>
      </c>
      <c r="C9" s="21">
        <f>GETPIVOTDATA("ADU",$B$7,"Catagory","Beverages")/GETPIVOTDATA("ADU",$B$13)</f>
        <v>0.20773720366733794</v>
      </c>
    </row>
    <row r="10" spans="1:13" x14ac:dyDescent="0.35">
      <c r="A10" s="14" t="s">
        <v>53</v>
      </c>
      <c r="B10" s="1">
        <v>33797.050000000003</v>
      </c>
      <c r="C10" s="21">
        <f>GETPIVOTDATA("ADU",$B$7,"Catagory","Beverages")/GETPIVOTDATA("ADU",$B$13)</f>
        <v>0.20773720366733794</v>
      </c>
    </row>
    <row r="11" spans="1:13" x14ac:dyDescent="0.35">
      <c r="A11" s="14" t="s">
        <v>25</v>
      </c>
      <c r="B11" s="1">
        <v>18841.899999999994</v>
      </c>
      <c r="C11" s="21">
        <f>GETPIVOTDATA("ADU",$B$7,"Catagory","Beverages")/GETPIVOTDATA("ADU",$B$13)</f>
        <v>0.20773720366733794</v>
      </c>
    </row>
    <row r="12" spans="1:13" x14ac:dyDescent="0.35">
      <c r="A12" s="14" t="s">
        <v>91</v>
      </c>
      <c r="B12" s="1">
        <v>18354.3</v>
      </c>
      <c r="C12" s="21">
        <f>GETPIVOTDATA("ADU",$B$7,"Catagory","Beverages")/GETPIVOTDATA("ADU",$B$13)</f>
        <v>0.20773720366733794</v>
      </c>
    </row>
    <row r="13" spans="1:13" x14ac:dyDescent="0.35">
      <c r="A13" s="14" t="s">
        <v>3469</v>
      </c>
      <c r="B13" s="1">
        <v>344269.33999999997</v>
      </c>
      <c r="C13" s="21"/>
    </row>
    <row r="17" spans="1:13" x14ac:dyDescent="0.35">
      <c r="A17" s="13" t="s">
        <v>3468</v>
      </c>
      <c r="B17" t="s">
        <v>3474</v>
      </c>
      <c r="C17" t="s">
        <v>3475</v>
      </c>
      <c r="E17" s="28" t="s">
        <v>3476</v>
      </c>
      <c r="F17" s="28" t="s">
        <v>3482</v>
      </c>
      <c r="G17" s="28" t="s">
        <v>3483</v>
      </c>
      <c r="H17" s="28" t="s">
        <v>3485</v>
      </c>
      <c r="I17" s="28" t="s">
        <v>3484</v>
      </c>
      <c r="J17" s="28" t="s">
        <v>3479</v>
      </c>
      <c r="K17" s="28" t="s">
        <v>3480</v>
      </c>
      <c r="L17" s="28" t="s">
        <v>3481</v>
      </c>
      <c r="M17" s="28" t="s">
        <v>3477</v>
      </c>
    </row>
    <row r="18" spans="1:13" x14ac:dyDescent="0.35">
      <c r="A18" s="14" t="s">
        <v>126</v>
      </c>
      <c r="B18" s="1">
        <v>17644</v>
      </c>
      <c r="C18" s="2">
        <v>5.1250570265711122E-2</v>
      </c>
      <c r="E18" s="3" t="s">
        <v>126</v>
      </c>
      <c r="F18" s="33">
        <v>17644</v>
      </c>
      <c r="G18" s="25">
        <v>5.1250570265711101E-2</v>
      </c>
      <c r="H18" s="33">
        <f>SUM($F$18:F18)</f>
        <v>17644</v>
      </c>
      <c r="I18" s="31">
        <f>SUM($G$18:G18)</f>
        <v>5.1250570265711101E-2</v>
      </c>
      <c r="J18" s="26">
        <v>16</v>
      </c>
      <c r="K18" s="25">
        <f>J18/990</f>
        <v>1.6161616161616162E-2</v>
      </c>
      <c r="L18" s="25">
        <f>SUM($K$18:K18)</f>
        <v>1.6161616161616162E-2</v>
      </c>
      <c r="M18" s="29" t="str">
        <f>IF(I18&lt;=80%, "A",IF(AND(I18&gt;80%,I18&lt;=95%),"B",IF(I18&gt;95%,"C")))</f>
        <v>A</v>
      </c>
    </row>
    <row r="19" spans="1:13" x14ac:dyDescent="0.35">
      <c r="A19" s="14" t="s">
        <v>517</v>
      </c>
      <c r="B19" s="1">
        <v>15965.65</v>
      </c>
      <c r="C19" s="2">
        <v>4.6375462886122799E-2</v>
      </c>
      <c r="E19" s="3" t="s">
        <v>517</v>
      </c>
      <c r="F19" s="33">
        <v>15965.65</v>
      </c>
      <c r="G19" s="25">
        <v>4.6375462886122799E-2</v>
      </c>
      <c r="H19" s="33">
        <f>SUM($F$18:F19)</f>
        <v>33609.65</v>
      </c>
      <c r="I19" s="31">
        <f>SUM($G$18:G19)</f>
        <v>9.7626033151833908E-2</v>
      </c>
      <c r="J19" s="26">
        <v>10</v>
      </c>
      <c r="K19" s="25">
        <f t="shared" ref="K19:K82" si="0">J19/990</f>
        <v>1.0101010101010102E-2</v>
      </c>
      <c r="L19" s="25">
        <f>SUM($K$18:K19)</f>
        <v>2.6262626262626265E-2</v>
      </c>
      <c r="M19" s="29" t="str">
        <f t="shared" ref="M19:M82" si="1">IF(I19&lt;=80%, "A",IF(AND(I19&gt;80%,I19&lt;=95%),"B",IF(I19&gt;95%,"C")))</f>
        <v>A</v>
      </c>
    </row>
    <row r="20" spans="1:13" x14ac:dyDescent="0.35">
      <c r="A20" s="14" t="s">
        <v>976</v>
      </c>
      <c r="B20" s="1">
        <v>10700</v>
      </c>
      <c r="C20" s="2">
        <v>3.1080316359278454E-2</v>
      </c>
      <c r="E20" s="3" t="s">
        <v>976</v>
      </c>
      <c r="F20" s="33">
        <v>10700</v>
      </c>
      <c r="G20" s="25">
        <v>3.1080316359278454E-2</v>
      </c>
      <c r="H20" s="33">
        <f>SUM($F$18:F20)</f>
        <v>44309.65</v>
      </c>
      <c r="I20" s="31">
        <f>SUM($G$18:G20)</f>
        <v>0.12870634951111237</v>
      </c>
      <c r="J20" s="26">
        <v>8</v>
      </c>
      <c r="K20" s="25">
        <f t="shared" si="0"/>
        <v>8.0808080808080808E-3</v>
      </c>
      <c r="L20" s="25">
        <f>SUM($K$18:K20)</f>
        <v>3.4343434343434343E-2</v>
      </c>
      <c r="M20" s="29" t="str">
        <f t="shared" si="1"/>
        <v>A</v>
      </c>
    </row>
    <row r="21" spans="1:13" x14ac:dyDescent="0.35">
      <c r="A21" s="14" t="s">
        <v>433</v>
      </c>
      <c r="B21" s="1">
        <v>10117.68</v>
      </c>
      <c r="C21" s="2">
        <v>2.9388850020742464E-2</v>
      </c>
      <c r="E21" s="3" t="s">
        <v>433</v>
      </c>
      <c r="F21" s="33">
        <v>10117.68</v>
      </c>
      <c r="G21" s="25">
        <v>2.9388850020742464E-2</v>
      </c>
      <c r="H21" s="33">
        <f>SUM($F$18:F21)</f>
        <v>54427.33</v>
      </c>
      <c r="I21" s="31">
        <f>SUM($G$18:G21)</f>
        <v>0.15809519953185483</v>
      </c>
      <c r="J21" s="26">
        <v>4</v>
      </c>
      <c r="K21" s="25">
        <f t="shared" si="0"/>
        <v>4.0404040404040404E-3</v>
      </c>
      <c r="L21" s="25">
        <f>SUM($K$18:K21)</f>
        <v>3.8383838383838381E-2</v>
      </c>
      <c r="M21" s="29" t="str">
        <f t="shared" si="1"/>
        <v>A</v>
      </c>
    </row>
    <row r="22" spans="1:13" x14ac:dyDescent="0.35">
      <c r="A22" s="14" t="s">
        <v>587</v>
      </c>
      <c r="B22" s="1">
        <v>10113</v>
      </c>
      <c r="C22" s="2">
        <v>2.9375256013213363E-2</v>
      </c>
      <c r="E22" s="3" t="s">
        <v>587</v>
      </c>
      <c r="F22" s="33">
        <v>10113</v>
      </c>
      <c r="G22" s="25">
        <v>2.9375256013213363E-2</v>
      </c>
      <c r="H22" s="33">
        <f>SUM($F$18:F22)</f>
        <v>64540.33</v>
      </c>
      <c r="I22" s="31">
        <f>SUM($G$18:G22)</f>
        <v>0.18747045554506819</v>
      </c>
      <c r="J22" s="26">
        <v>6</v>
      </c>
      <c r="K22" s="25">
        <f t="shared" si="0"/>
        <v>6.0606060606060606E-3</v>
      </c>
      <c r="L22" s="25">
        <f>SUM($K$18:K22)</f>
        <v>4.4444444444444439E-2</v>
      </c>
      <c r="M22" s="29" t="str">
        <f t="shared" si="1"/>
        <v>A</v>
      </c>
    </row>
    <row r="23" spans="1:13" x14ac:dyDescent="0.35">
      <c r="A23" s="14" t="s">
        <v>566</v>
      </c>
      <c r="B23" s="1">
        <v>9978</v>
      </c>
      <c r="C23" s="2">
        <v>2.8983121180643029E-2</v>
      </c>
      <c r="E23" s="3" t="s">
        <v>566</v>
      </c>
      <c r="F23" s="33">
        <v>9978</v>
      </c>
      <c r="G23" s="25">
        <v>2.8983121180643029E-2</v>
      </c>
      <c r="H23" s="33">
        <f>SUM($F$18:F23)</f>
        <v>74518.33</v>
      </c>
      <c r="I23" s="31">
        <f>SUM($G$18:G23)</f>
        <v>0.21645357672571122</v>
      </c>
      <c r="J23" s="26">
        <v>10</v>
      </c>
      <c r="K23" s="25">
        <f t="shared" si="0"/>
        <v>1.0101010101010102E-2</v>
      </c>
      <c r="L23" s="25">
        <f>SUM($K$18:K23)</f>
        <v>5.4545454545454543E-2</v>
      </c>
      <c r="M23" s="29" t="str">
        <f t="shared" si="1"/>
        <v>A</v>
      </c>
    </row>
    <row r="24" spans="1:13" x14ac:dyDescent="0.35">
      <c r="A24" s="14" t="s">
        <v>674</v>
      </c>
      <c r="B24" s="1">
        <v>8028</v>
      </c>
      <c r="C24" s="2">
        <v>2.3318951376849292E-2</v>
      </c>
      <c r="E24" s="3" t="s">
        <v>674</v>
      </c>
      <c r="F24" s="33">
        <v>8028</v>
      </c>
      <c r="G24" s="25">
        <v>2.3318951376849292E-2</v>
      </c>
      <c r="H24" s="33">
        <f>SUM($F$18:F24)</f>
        <v>82546.33</v>
      </c>
      <c r="I24" s="31">
        <f>SUM($G$18:G24)</f>
        <v>0.2397725281025605</v>
      </c>
      <c r="J24" s="26">
        <v>14</v>
      </c>
      <c r="K24" s="25">
        <f t="shared" si="0"/>
        <v>1.4141414141414142E-2</v>
      </c>
      <c r="L24" s="25">
        <f>SUM($K$18:K24)</f>
        <v>6.8686868686868685E-2</v>
      </c>
      <c r="M24" s="29" t="str">
        <f t="shared" si="1"/>
        <v>A</v>
      </c>
    </row>
    <row r="25" spans="1:13" x14ac:dyDescent="0.35">
      <c r="A25" s="14" t="s">
        <v>465</v>
      </c>
      <c r="B25" s="1">
        <v>7495.4800000000005</v>
      </c>
      <c r="C25" s="2">
        <v>2.1772139220994809E-2</v>
      </c>
      <c r="E25" s="3" t="s">
        <v>465</v>
      </c>
      <c r="F25" s="33">
        <v>7495.4800000000005</v>
      </c>
      <c r="G25" s="25">
        <v>2.1772139220994809E-2</v>
      </c>
      <c r="H25" s="33">
        <f>SUM($F$18:F25)</f>
        <v>90041.81</v>
      </c>
      <c r="I25" s="31">
        <f>SUM($G$18:G25)</f>
        <v>0.2615446673235553</v>
      </c>
      <c r="J25" s="26">
        <v>7</v>
      </c>
      <c r="K25" s="25">
        <f t="shared" si="0"/>
        <v>7.0707070707070711E-3</v>
      </c>
      <c r="L25" s="25">
        <f>SUM($K$18:K25)</f>
        <v>7.575757575757576E-2</v>
      </c>
      <c r="M25" s="29" t="str">
        <f t="shared" si="1"/>
        <v>A</v>
      </c>
    </row>
    <row r="26" spans="1:13" x14ac:dyDescent="0.35">
      <c r="A26" s="14" t="s">
        <v>980</v>
      </c>
      <c r="B26" s="1">
        <v>7425</v>
      </c>
      <c r="C26" s="2">
        <v>2.156741579136846E-2</v>
      </c>
      <c r="E26" s="3" t="s">
        <v>980</v>
      </c>
      <c r="F26" s="33">
        <v>7425</v>
      </c>
      <c r="G26" s="25">
        <v>2.156741579136846E-2</v>
      </c>
      <c r="H26" s="33">
        <f>SUM($F$18:F26)</f>
        <v>97466.81</v>
      </c>
      <c r="I26" s="31">
        <f>SUM($G$18:G26)</f>
        <v>0.28311208311492375</v>
      </c>
      <c r="J26" s="26">
        <v>8</v>
      </c>
      <c r="K26" s="25">
        <f t="shared" si="0"/>
        <v>8.0808080808080808E-3</v>
      </c>
      <c r="L26" s="25">
        <f>SUM($K$18:K26)</f>
        <v>8.3838383838383837E-2</v>
      </c>
      <c r="M26" s="29" t="str">
        <f t="shared" si="1"/>
        <v>A</v>
      </c>
    </row>
    <row r="27" spans="1:13" x14ac:dyDescent="0.35">
      <c r="A27" s="14" t="s">
        <v>420</v>
      </c>
      <c r="B27" s="1">
        <v>7416</v>
      </c>
      <c r="C27" s="2">
        <v>2.1541273469197104E-2</v>
      </c>
      <c r="E27" s="3" t="s">
        <v>420</v>
      </c>
      <c r="F27" s="33">
        <v>7416</v>
      </c>
      <c r="G27" s="25">
        <v>2.1541273469197104E-2</v>
      </c>
      <c r="H27" s="33">
        <f>SUM($F$18:F27)</f>
        <v>104882.81</v>
      </c>
      <c r="I27" s="31">
        <f>SUM($G$18:G27)</f>
        <v>0.30465335658412085</v>
      </c>
      <c r="J27" s="26">
        <v>10</v>
      </c>
      <c r="K27" s="25">
        <f t="shared" si="0"/>
        <v>1.0101010101010102E-2</v>
      </c>
      <c r="L27" s="25">
        <f>SUM($K$18:K27)</f>
        <v>9.3939393939393934E-2</v>
      </c>
      <c r="M27" s="29" t="str">
        <f t="shared" si="1"/>
        <v>A</v>
      </c>
    </row>
    <row r="28" spans="1:13" x14ac:dyDescent="0.35">
      <c r="A28" s="14" t="s">
        <v>288</v>
      </c>
      <c r="B28" s="1">
        <v>7409.1</v>
      </c>
      <c r="C28" s="2">
        <v>2.1521231022199064E-2</v>
      </c>
      <c r="E28" s="3" t="s">
        <v>288</v>
      </c>
      <c r="F28" s="33">
        <v>7409.1</v>
      </c>
      <c r="G28" s="25">
        <v>2.1521231022199064E-2</v>
      </c>
      <c r="H28" s="33">
        <f>SUM($F$18:F28)</f>
        <v>112291.91</v>
      </c>
      <c r="I28" s="31">
        <f>SUM($G$18:G28)</f>
        <v>0.3261745876063199</v>
      </c>
      <c r="J28" s="26">
        <v>8</v>
      </c>
      <c r="K28" s="25">
        <f t="shared" si="0"/>
        <v>8.0808080808080808E-3</v>
      </c>
      <c r="L28" s="25">
        <f>SUM($K$18:K28)</f>
        <v>0.10202020202020201</v>
      </c>
      <c r="M28" s="29" t="str">
        <f t="shared" si="1"/>
        <v>A</v>
      </c>
    </row>
    <row r="29" spans="1:13" x14ac:dyDescent="0.35">
      <c r="A29" s="14" t="s">
        <v>59</v>
      </c>
      <c r="B29" s="1">
        <v>6680</v>
      </c>
      <c r="C29" s="2">
        <v>1.9403412456072903E-2</v>
      </c>
      <c r="E29" s="3" t="s">
        <v>59</v>
      </c>
      <c r="F29" s="33">
        <v>6680</v>
      </c>
      <c r="G29" s="25">
        <v>1.9403412456072903E-2</v>
      </c>
      <c r="H29" s="33">
        <f>SUM($F$18:F29)</f>
        <v>118971.91</v>
      </c>
      <c r="I29" s="31">
        <f>SUM($G$18:G29)</f>
        <v>0.34557800006239281</v>
      </c>
      <c r="J29" s="26">
        <v>11</v>
      </c>
      <c r="K29" s="25">
        <f t="shared" si="0"/>
        <v>1.1111111111111112E-2</v>
      </c>
      <c r="L29" s="25">
        <f>SUM($K$18:K29)</f>
        <v>0.11313131313131312</v>
      </c>
      <c r="M29" s="29" t="str">
        <f t="shared" si="1"/>
        <v>A</v>
      </c>
    </row>
    <row r="30" spans="1:13" x14ac:dyDescent="0.35">
      <c r="A30" s="14" t="s">
        <v>31</v>
      </c>
      <c r="B30" s="1">
        <v>6184.7</v>
      </c>
      <c r="C30" s="2">
        <v>1.7964713325909293E-2</v>
      </c>
      <c r="E30" s="3" t="s">
        <v>31</v>
      </c>
      <c r="F30" s="33">
        <v>6184.7</v>
      </c>
      <c r="G30" s="25">
        <v>1.7964713325909293E-2</v>
      </c>
      <c r="H30" s="33">
        <f>SUM($F$18:F30)</f>
        <v>125156.61</v>
      </c>
      <c r="I30" s="31">
        <f>SUM($G$18:G30)</f>
        <v>0.36354271338830213</v>
      </c>
      <c r="J30" s="26">
        <v>9</v>
      </c>
      <c r="K30" s="25">
        <f t="shared" si="0"/>
        <v>9.0909090909090905E-3</v>
      </c>
      <c r="L30" s="25">
        <f>SUM($K$18:K30)</f>
        <v>0.12222222222222222</v>
      </c>
      <c r="M30" s="29" t="str">
        <f t="shared" si="1"/>
        <v>A</v>
      </c>
    </row>
    <row r="31" spans="1:13" x14ac:dyDescent="0.35">
      <c r="A31" s="14" t="s">
        <v>75</v>
      </c>
      <c r="B31" s="1">
        <v>6061.4000000000005</v>
      </c>
      <c r="C31" s="2">
        <v>1.7606563512161718E-2</v>
      </c>
      <c r="E31" s="3" t="s">
        <v>75</v>
      </c>
      <c r="F31" s="33">
        <v>6061.4000000000005</v>
      </c>
      <c r="G31" s="25">
        <v>1.7606563512161718E-2</v>
      </c>
      <c r="H31" s="33">
        <f>SUM($F$18:F31)</f>
        <v>131218.01</v>
      </c>
      <c r="I31" s="31">
        <f>SUM($G$18:G31)</f>
        <v>0.38114927690046385</v>
      </c>
      <c r="J31" s="26">
        <v>10</v>
      </c>
      <c r="K31" s="25">
        <f t="shared" si="0"/>
        <v>1.0101010101010102E-2</v>
      </c>
      <c r="L31" s="25">
        <f>SUM($K$18:K31)</f>
        <v>0.13232323232323231</v>
      </c>
      <c r="M31" s="29" t="str">
        <f t="shared" si="1"/>
        <v>A</v>
      </c>
    </row>
    <row r="32" spans="1:13" x14ac:dyDescent="0.35">
      <c r="A32" s="14" t="s">
        <v>156</v>
      </c>
      <c r="B32" s="1">
        <v>5896</v>
      </c>
      <c r="C32" s="2">
        <v>1.7126125724701471E-2</v>
      </c>
      <c r="E32" s="3" t="s">
        <v>156</v>
      </c>
      <c r="F32" s="33">
        <v>5896</v>
      </c>
      <c r="G32" s="25">
        <v>1.7126125724701471E-2</v>
      </c>
      <c r="H32" s="33">
        <f>SUM($F$18:F32)</f>
        <v>137114.01</v>
      </c>
      <c r="I32" s="31">
        <f>SUM($G$18:G32)</f>
        <v>0.39827540262516531</v>
      </c>
      <c r="J32" s="26">
        <v>8</v>
      </c>
      <c r="K32" s="25">
        <f t="shared" si="0"/>
        <v>8.0808080808080808E-3</v>
      </c>
      <c r="L32" s="25">
        <f>SUM($K$18:K32)</f>
        <v>0.14040404040404039</v>
      </c>
      <c r="M32" s="29" t="str">
        <f t="shared" si="1"/>
        <v>A</v>
      </c>
    </row>
    <row r="33" spans="1:16" x14ac:dyDescent="0.35">
      <c r="A33" s="14" t="s">
        <v>342</v>
      </c>
      <c r="B33" s="1">
        <v>5832</v>
      </c>
      <c r="C33" s="2">
        <v>1.6940224767038499E-2</v>
      </c>
      <c r="E33" s="3" t="s">
        <v>342</v>
      </c>
      <c r="F33" s="33">
        <v>5832</v>
      </c>
      <c r="G33" s="25">
        <v>1.6940224767038499E-2</v>
      </c>
      <c r="H33" s="33">
        <f>SUM($F$18:F33)</f>
        <v>142946.01</v>
      </c>
      <c r="I33" s="31">
        <f>SUM($G$18:G33)</f>
        <v>0.4152156273922038</v>
      </c>
      <c r="J33" s="26">
        <v>15</v>
      </c>
      <c r="K33" s="25">
        <f t="shared" si="0"/>
        <v>1.5151515151515152E-2</v>
      </c>
      <c r="L33" s="25">
        <f>SUM($K$18:K33)</f>
        <v>0.15555555555555556</v>
      </c>
      <c r="M33" s="29" t="str">
        <f t="shared" si="1"/>
        <v>A</v>
      </c>
    </row>
    <row r="34" spans="1:16" x14ac:dyDescent="0.35">
      <c r="A34" s="14" t="s">
        <v>1081</v>
      </c>
      <c r="B34" s="1">
        <v>5594.1</v>
      </c>
      <c r="C34" s="2">
        <v>1.6249196050975662E-2</v>
      </c>
      <c r="E34" s="3" t="s">
        <v>1081</v>
      </c>
      <c r="F34" s="33">
        <v>5594.1</v>
      </c>
      <c r="G34" s="25">
        <v>1.6249196050975662E-2</v>
      </c>
      <c r="H34" s="33">
        <f>SUM($F$18:F34)</f>
        <v>148540.11000000002</v>
      </c>
      <c r="I34" s="31">
        <f>SUM($G$18:G34)</f>
        <v>0.43146482344317949</v>
      </c>
      <c r="J34" s="26">
        <v>10</v>
      </c>
      <c r="K34" s="25">
        <f t="shared" si="0"/>
        <v>1.0101010101010102E-2</v>
      </c>
      <c r="L34" s="25">
        <f>SUM($K$18:K34)</f>
        <v>0.16565656565656567</v>
      </c>
      <c r="M34" s="29" t="str">
        <f t="shared" si="1"/>
        <v>A</v>
      </c>
    </row>
    <row r="35" spans="1:16" x14ac:dyDescent="0.35">
      <c r="A35" s="14" t="s">
        <v>1085</v>
      </c>
      <c r="B35" s="1">
        <v>5117.3999999999996</v>
      </c>
      <c r="C35" s="2">
        <v>1.4864524386632855E-2</v>
      </c>
      <c r="E35" s="3" t="s">
        <v>1085</v>
      </c>
      <c r="F35" s="33">
        <v>5117.3999999999996</v>
      </c>
      <c r="G35" s="25">
        <v>1.4864524386632855E-2</v>
      </c>
      <c r="H35" s="33">
        <f>SUM($F$18:F35)</f>
        <v>153657.51</v>
      </c>
      <c r="I35" s="31">
        <f>SUM($G$18:G35)</f>
        <v>0.44632934782981237</v>
      </c>
      <c r="J35" s="26">
        <v>10</v>
      </c>
      <c r="K35" s="25">
        <f t="shared" si="0"/>
        <v>1.0101010101010102E-2</v>
      </c>
      <c r="L35" s="25">
        <f>SUM($K$18:K35)</f>
        <v>0.17575757575757578</v>
      </c>
      <c r="M35" s="29" t="str">
        <f t="shared" si="1"/>
        <v>A</v>
      </c>
    </row>
    <row r="36" spans="1:16" x14ac:dyDescent="0.35">
      <c r="A36" s="14" t="s">
        <v>333</v>
      </c>
      <c r="B36" s="1">
        <v>4804</v>
      </c>
      <c r="C36" s="2">
        <v>1.395419063457698E-2</v>
      </c>
      <c r="E36" s="3" t="s">
        <v>333</v>
      </c>
      <c r="F36" s="33">
        <v>4804</v>
      </c>
      <c r="G36" s="25">
        <v>1.395419063457698E-2</v>
      </c>
      <c r="H36" s="33">
        <f>SUM($F$18:F36)</f>
        <v>158461.51</v>
      </c>
      <c r="I36" s="31">
        <f>SUM($G$18:G36)</f>
        <v>0.46028353846438935</v>
      </c>
      <c r="J36" s="26">
        <v>8</v>
      </c>
      <c r="K36" s="25">
        <f t="shared" si="0"/>
        <v>8.0808080808080808E-3</v>
      </c>
      <c r="L36" s="25">
        <f>SUM($K$18:K36)</f>
        <v>0.18383838383838386</v>
      </c>
      <c r="M36" s="29" t="str">
        <f t="shared" si="1"/>
        <v>A</v>
      </c>
    </row>
    <row r="37" spans="1:16" ht="15" thickBot="1" x14ac:dyDescent="0.4">
      <c r="A37" s="14" t="s">
        <v>329</v>
      </c>
      <c r="B37" s="1">
        <v>4571.8500000000004</v>
      </c>
      <c r="C37" s="2">
        <v>1.3279863957679178E-2</v>
      </c>
      <c r="E37" s="3" t="s">
        <v>329</v>
      </c>
      <c r="F37" s="33">
        <v>4571.8500000000004</v>
      </c>
      <c r="G37" s="25">
        <v>1.3279863957679178E-2</v>
      </c>
      <c r="H37" s="33">
        <f>SUM($F$18:F37)</f>
        <v>163033.36000000002</v>
      </c>
      <c r="I37" s="31">
        <f>SUM($G$18:G37)</f>
        <v>0.47356340242206851</v>
      </c>
      <c r="J37" s="26">
        <v>12</v>
      </c>
      <c r="K37" s="25">
        <f t="shared" si="0"/>
        <v>1.2121212121212121E-2</v>
      </c>
      <c r="L37" s="25">
        <f>SUM($K$18:K37)</f>
        <v>0.19595959595959597</v>
      </c>
      <c r="M37" s="29" t="str">
        <f t="shared" si="1"/>
        <v>A</v>
      </c>
    </row>
    <row r="38" spans="1:16" ht="15" thickBot="1" x14ac:dyDescent="0.4">
      <c r="A38" s="14" t="s">
        <v>165</v>
      </c>
      <c r="B38" s="1">
        <v>4388</v>
      </c>
      <c r="C38" s="2">
        <v>1.274583440976765E-2</v>
      </c>
      <c r="E38" s="3" t="s">
        <v>165</v>
      </c>
      <c r="F38" s="33">
        <v>4388</v>
      </c>
      <c r="G38" s="25">
        <v>1.274583440976765E-2</v>
      </c>
      <c r="H38" s="33">
        <f>SUM($F$18:F38)</f>
        <v>167421.36000000002</v>
      </c>
      <c r="I38" s="31">
        <f>SUM($G$18:G38)</f>
        <v>0.48630923683183619</v>
      </c>
      <c r="J38" s="26">
        <v>10</v>
      </c>
      <c r="K38" s="25">
        <f t="shared" si="0"/>
        <v>1.0101010101010102E-2</v>
      </c>
      <c r="L38" s="25">
        <f>SUM($K$18:K38)</f>
        <v>0.20606060606060608</v>
      </c>
      <c r="M38" s="29" t="str">
        <f t="shared" si="1"/>
        <v>A</v>
      </c>
      <c r="O38" s="100" t="s">
        <v>3534</v>
      </c>
      <c r="P38" s="100" t="s">
        <v>3535</v>
      </c>
    </row>
    <row r="39" spans="1:16" x14ac:dyDescent="0.35">
      <c r="A39" s="14" t="s">
        <v>220</v>
      </c>
      <c r="B39" s="1">
        <v>4184</v>
      </c>
      <c r="C39" s="2">
        <v>1.2153275107216919E-2</v>
      </c>
      <c r="E39" s="3" t="s">
        <v>220</v>
      </c>
      <c r="F39" s="33">
        <v>4184</v>
      </c>
      <c r="G39" s="25">
        <v>1.2153275107216919E-2</v>
      </c>
      <c r="H39" s="33">
        <f>SUM($F$18:F39)</f>
        <v>171605.36000000002</v>
      </c>
      <c r="I39" s="31">
        <f>SUM($G$18:G39)</f>
        <v>0.49846251193905311</v>
      </c>
      <c r="J39" s="26">
        <v>8</v>
      </c>
      <c r="K39" s="25">
        <f t="shared" si="0"/>
        <v>8.0808080808080808E-3</v>
      </c>
      <c r="L39" s="25">
        <f>SUM($K$18:K39)</f>
        <v>0.21414141414141416</v>
      </c>
      <c r="M39" s="29" t="str">
        <f t="shared" si="1"/>
        <v>A</v>
      </c>
      <c r="O39" s="99" t="s">
        <v>3530</v>
      </c>
      <c r="P39" s="99">
        <f>COUNTIF($M$18:$M$138,"A")</f>
        <v>58</v>
      </c>
    </row>
    <row r="40" spans="1:16" x14ac:dyDescent="0.35">
      <c r="A40" s="14" t="s">
        <v>239</v>
      </c>
      <c r="B40" s="1">
        <v>4173</v>
      </c>
      <c r="C40" s="2">
        <v>1.2121323380118598E-2</v>
      </c>
      <c r="E40" s="3" t="s">
        <v>239</v>
      </c>
      <c r="F40" s="33">
        <v>4173</v>
      </c>
      <c r="G40" s="25">
        <v>1.2121323380118598E-2</v>
      </c>
      <c r="H40" s="33">
        <f>SUM($F$18:F40)</f>
        <v>175778.36000000002</v>
      </c>
      <c r="I40" s="31">
        <f>SUM($G$18:G40)</f>
        <v>0.51058383531917173</v>
      </c>
      <c r="J40" s="26">
        <v>12</v>
      </c>
      <c r="K40" s="25">
        <f t="shared" si="0"/>
        <v>1.2121212121212121E-2</v>
      </c>
      <c r="L40" s="25">
        <f>SUM($K$18:K40)</f>
        <v>0.22626262626262628</v>
      </c>
      <c r="M40" s="29" t="str">
        <f t="shared" si="1"/>
        <v>A</v>
      </c>
      <c r="O40" s="3" t="s">
        <v>3531</v>
      </c>
      <c r="P40" s="3">
        <f>COUNTIF($M$18:$M$138,"B")</f>
        <v>37</v>
      </c>
    </row>
    <row r="41" spans="1:16" x14ac:dyDescent="0.35">
      <c r="A41" s="14" t="s">
        <v>392</v>
      </c>
      <c r="B41" s="1">
        <v>4163.5</v>
      </c>
      <c r="C41" s="2">
        <v>1.2093728706715498E-2</v>
      </c>
      <c r="E41" s="3" t="s">
        <v>392</v>
      </c>
      <c r="F41" s="33">
        <v>4163.5</v>
      </c>
      <c r="G41" s="25">
        <v>1.2093728706715498E-2</v>
      </c>
      <c r="H41" s="33">
        <f>SUM($F$18:F41)</f>
        <v>179941.86000000002</v>
      </c>
      <c r="I41" s="31">
        <f>SUM($G$18:G41)</f>
        <v>0.52267756402588728</v>
      </c>
      <c r="J41" s="26">
        <v>14</v>
      </c>
      <c r="K41" s="25">
        <f t="shared" si="0"/>
        <v>1.4141414141414142E-2</v>
      </c>
      <c r="L41" s="25">
        <f>SUM($K$18:K41)</f>
        <v>0.24040404040404043</v>
      </c>
      <c r="M41" s="29" t="str">
        <f t="shared" si="1"/>
        <v>A</v>
      </c>
      <c r="O41" s="3" t="s">
        <v>3532</v>
      </c>
      <c r="P41" s="3">
        <f>COUNTIF($M$18:$M$138,"C")</f>
        <v>26</v>
      </c>
    </row>
    <row r="42" spans="1:16" x14ac:dyDescent="0.35">
      <c r="A42" s="14" t="s">
        <v>1445</v>
      </c>
      <c r="B42" s="1">
        <v>4140</v>
      </c>
      <c r="C42" s="2">
        <v>1.2025468198823625E-2</v>
      </c>
      <c r="E42" s="3" t="s">
        <v>1445</v>
      </c>
      <c r="F42" s="33">
        <v>4140</v>
      </c>
      <c r="G42" s="25">
        <v>1.2025468198823625E-2</v>
      </c>
      <c r="H42" s="33">
        <f>SUM($F$18:F42)</f>
        <v>184081.86000000002</v>
      </c>
      <c r="I42" s="31">
        <f>SUM($G$18:G42)</f>
        <v>0.53470303222471094</v>
      </c>
      <c r="J42" s="26">
        <v>8</v>
      </c>
      <c r="K42" s="25">
        <f t="shared" si="0"/>
        <v>8.0808080808080808E-3</v>
      </c>
      <c r="L42" s="25">
        <f>SUM($K$18:K42)</f>
        <v>0.2484848484848485</v>
      </c>
      <c r="M42" s="29" t="str">
        <f t="shared" si="1"/>
        <v>A</v>
      </c>
      <c r="O42" s="3" t="s">
        <v>3533</v>
      </c>
      <c r="P42" s="3">
        <f>SUM(P39:P41)</f>
        <v>121</v>
      </c>
    </row>
    <row r="43" spans="1:16" x14ac:dyDescent="0.35">
      <c r="A43" s="14" t="s">
        <v>632</v>
      </c>
      <c r="B43" s="1">
        <v>3928</v>
      </c>
      <c r="C43" s="2">
        <v>1.1409671276565026E-2</v>
      </c>
      <c r="E43" s="3" t="s">
        <v>632</v>
      </c>
      <c r="F43" s="33">
        <v>3928</v>
      </c>
      <c r="G43" s="25">
        <v>1.1409671276565026E-2</v>
      </c>
      <c r="H43" s="33">
        <f>SUM($F$18:F43)</f>
        <v>188009.86000000002</v>
      </c>
      <c r="I43" s="31">
        <f>SUM($G$18:G43)</f>
        <v>0.54611270350127594</v>
      </c>
      <c r="J43" s="26">
        <v>7</v>
      </c>
      <c r="K43" s="25">
        <f t="shared" si="0"/>
        <v>7.0707070707070711E-3</v>
      </c>
      <c r="L43" s="25">
        <f>SUM($K$18:K43)</f>
        <v>0.25555555555555559</v>
      </c>
      <c r="M43" s="29" t="str">
        <f t="shared" si="1"/>
        <v>A</v>
      </c>
    </row>
    <row r="44" spans="1:16" x14ac:dyDescent="0.35">
      <c r="A44" s="14" t="s">
        <v>446</v>
      </c>
      <c r="B44" s="1">
        <v>3847.5</v>
      </c>
      <c r="C44" s="2">
        <v>1.1175842728254566E-2</v>
      </c>
      <c r="E44" s="3" t="s">
        <v>446</v>
      </c>
      <c r="F44" s="33">
        <v>3847.5</v>
      </c>
      <c r="G44" s="25">
        <v>1.1175842728254566E-2</v>
      </c>
      <c r="H44" s="33">
        <f>SUM($F$18:F44)</f>
        <v>191857.36000000002</v>
      </c>
      <c r="I44" s="31">
        <f>SUM($G$18:G44)</f>
        <v>0.5572885462295305</v>
      </c>
      <c r="J44" s="26">
        <v>10</v>
      </c>
      <c r="K44" s="25">
        <f t="shared" si="0"/>
        <v>1.0101010101010102E-2</v>
      </c>
      <c r="L44" s="25">
        <f>SUM($K$18:K44)</f>
        <v>0.2656565656565657</v>
      </c>
      <c r="M44" s="29" t="str">
        <f t="shared" si="1"/>
        <v>A</v>
      </c>
    </row>
    <row r="45" spans="1:16" x14ac:dyDescent="0.35">
      <c r="A45" s="14" t="s">
        <v>146</v>
      </c>
      <c r="B45" s="1">
        <v>3771.5</v>
      </c>
      <c r="C45" s="2">
        <v>1.0955085341029782E-2</v>
      </c>
      <c r="E45" s="3" t="s">
        <v>146</v>
      </c>
      <c r="F45" s="33">
        <v>3771.5</v>
      </c>
      <c r="G45" s="25">
        <v>1.0955085341029782E-2</v>
      </c>
      <c r="H45" s="33">
        <f>SUM($F$18:F45)</f>
        <v>195628.86000000002</v>
      </c>
      <c r="I45" s="31">
        <f>SUM($G$18:G45)</f>
        <v>0.56824363157056024</v>
      </c>
      <c r="J45" s="26">
        <v>13</v>
      </c>
      <c r="K45" s="25">
        <f t="shared" si="0"/>
        <v>1.3131313131313131E-2</v>
      </c>
      <c r="L45" s="25">
        <f>SUM($K$18:K45)</f>
        <v>0.27878787878787881</v>
      </c>
      <c r="M45" s="29" t="str">
        <f t="shared" si="1"/>
        <v>A</v>
      </c>
    </row>
    <row r="46" spans="1:16" x14ac:dyDescent="0.35">
      <c r="A46" s="14" t="s">
        <v>65</v>
      </c>
      <c r="B46" s="1">
        <v>3719.6</v>
      </c>
      <c r="C46" s="2">
        <v>1.0804331283174966E-2</v>
      </c>
      <c r="E46" s="3" t="s">
        <v>65</v>
      </c>
      <c r="F46" s="33">
        <v>3719.6</v>
      </c>
      <c r="G46" s="25">
        <v>1.0804331283174966E-2</v>
      </c>
      <c r="H46" s="33">
        <f>SUM($F$18:F46)</f>
        <v>199348.46000000002</v>
      </c>
      <c r="I46" s="31">
        <f>SUM($G$18:G46)</f>
        <v>0.57904796285373517</v>
      </c>
      <c r="J46" s="26">
        <v>7</v>
      </c>
      <c r="K46" s="25">
        <f t="shared" si="0"/>
        <v>7.0707070707070711E-3</v>
      </c>
      <c r="L46" s="25">
        <f>SUM($K$18:K46)</f>
        <v>0.28585858585858587</v>
      </c>
      <c r="M46" s="29" t="str">
        <f t="shared" si="1"/>
        <v>A</v>
      </c>
    </row>
    <row r="47" spans="1:16" x14ac:dyDescent="0.35">
      <c r="A47" s="14" t="s">
        <v>495</v>
      </c>
      <c r="B47" s="1">
        <v>3562.7999999999997</v>
      </c>
      <c r="C47" s="2">
        <v>1.034887393690068E-2</v>
      </c>
      <c r="E47" s="3" t="s">
        <v>495</v>
      </c>
      <c r="F47" s="33">
        <v>3562.7999999999997</v>
      </c>
      <c r="G47" s="25">
        <v>1.034887393690068E-2</v>
      </c>
      <c r="H47" s="33">
        <f>SUM($F$18:F47)</f>
        <v>202911.26</v>
      </c>
      <c r="I47" s="31">
        <f>SUM($G$18:G47)</f>
        <v>0.58939683679063581</v>
      </c>
      <c r="J47" s="26">
        <v>8</v>
      </c>
      <c r="K47" s="25">
        <f t="shared" si="0"/>
        <v>8.0808080808080808E-3</v>
      </c>
      <c r="L47" s="25">
        <f>SUM($K$18:K47)</f>
        <v>0.29393939393939394</v>
      </c>
      <c r="M47" s="29" t="str">
        <f t="shared" si="1"/>
        <v>A</v>
      </c>
    </row>
    <row r="48" spans="1:16" x14ac:dyDescent="0.35">
      <c r="A48" s="14" t="s">
        <v>80</v>
      </c>
      <c r="B48" s="1">
        <v>3530</v>
      </c>
      <c r="C48" s="2">
        <v>1.0253599696098403E-2</v>
      </c>
      <c r="E48" s="3" t="s">
        <v>80</v>
      </c>
      <c r="F48" s="33">
        <v>3530</v>
      </c>
      <c r="G48" s="25">
        <v>1.0253599696098403E-2</v>
      </c>
      <c r="H48" s="33">
        <f>SUM($F$18:F48)</f>
        <v>206441.26</v>
      </c>
      <c r="I48" s="31">
        <f>SUM($G$18:G48)</f>
        <v>0.59965043648673422</v>
      </c>
      <c r="J48" s="26">
        <v>7</v>
      </c>
      <c r="K48" s="25">
        <f t="shared" si="0"/>
        <v>7.0707070707070711E-3</v>
      </c>
      <c r="L48" s="25">
        <f>SUM($K$18:K48)</f>
        <v>0.30101010101010101</v>
      </c>
      <c r="M48" s="29" t="str">
        <f t="shared" si="1"/>
        <v>A</v>
      </c>
    </row>
    <row r="49" spans="1:13" x14ac:dyDescent="0.35">
      <c r="A49" s="14" t="s">
        <v>17</v>
      </c>
      <c r="B49" s="1">
        <v>3184.6000000000004</v>
      </c>
      <c r="C49" s="2">
        <v>9.2503154652110436E-3</v>
      </c>
      <c r="E49" s="3" t="s">
        <v>17</v>
      </c>
      <c r="F49" s="33">
        <v>3184.6000000000004</v>
      </c>
      <c r="G49" s="25">
        <v>9.2503154652110436E-3</v>
      </c>
      <c r="H49" s="33">
        <f>SUM($F$18:F49)</f>
        <v>209625.86000000002</v>
      </c>
      <c r="I49" s="31">
        <f>SUM($G$18:G49)</f>
        <v>0.60890075195194526</v>
      </c>
      <c r="J49" s="26">
        <v>12</v>
      </c>
      <c r="K49" s="25">
        <f t="shared" si="0"/>
        <v>1.2121212121212121E-2</v>
      </c>
      <c r="L49" s="25">
        <f>SUM($K$18:K49)</f>
        <v>0.31313131313131315</v>
      </c>
      <c r="M49" s="29" t="str">
        <f t="shared" si="1"/>
        <v>A</v>
      </c>
    </row>
    <row r="50" spans="1:13" x14ac:dyDescent="0.35">
      <c r="A50" s="14" t="s">
        <v>111</v>
      </c>
      <c r="B50" s="1">
        <v>3117</v>
      </c>
      <c r="C50" s="2">
        <v>9.0539575786795258E-3</v>
      </c>
      <c r="E50" s="3" t="s">
        <v>111</v>
      </c>
      <c r="F50" s="33">
        <v>3117</v>
      </c>
      <c r="G50" s="25">
        <v>9.0539575786795258E-3</v>
      </c>
      <c r="H50" s="33">
        <f>SUM($F$18:F50)</f>
        <v>212742.86000000002</v>
      </c>
      <c r="I50" s="31">
        <f>SUM($G$18:G50)</f>
        <v>0.61795470953062481</v>
      </c>
      <c r="J50" s="26">
        <v>9</v>
      </c>
      <c r="K50" s="25">
        <f t="shared" si="0"/>
        <v>9.0909090909090905E-3</v>
      </c>
      <c r="L50" s="25">
        <f>SUM($K$18:K50)</f>
        <v>0.32222222222222224</v>
      </c>
      <c r="M50" s="29" t="str">
        <f t="shared" si="1"/>
        <v>A</v>
      </c>
    </row>
    <row r="51" spans="1:13" x14ac:dyDescent="0.35">
      <c r="A51" s="14" t="s">
        <v>1624</v>
      </c>
      <c r="B51" s="1">
        <v>3015</v>
      </c>
      <c r="C51" s="2">
        <v>8.7576779274041623E-3</v>
      </c>
      <c r="E51" s="3" t="s">
        <v>1624</v>
      </c>
      <c r="F51" s="33">
        <v>3015</v>
      </c>
      <c r="G51" s="25">
        <v>8.7576779274041623E-3</v>
      </c>
      <c r="H51" s="33">
        <f>SUM($F$18:F51)</f>
        <v>215757.86000000002</v>
      </c>
      <c r="I51" s="31">
        <f>SUM($G$18:G51)</f>
        <v>0.62671238745802893</v>
      </c>
      <c r="J51" s="26">
        <v>7</v>
      </c>
      <c r="K51" s="25">
        <f t="shared" si="0"/>
        <v>7.0707070707070711E-3</v>
      </c>
      <c r="L51" s="25">
        <f>SUM($K$18:K51)</f>
        <v>0.3292929292929293</v>
      </c>
      <c r="M51" s="29" t="str">
        <f t="shared" si="1"/>
        <v>A</v>
      </c>
    </row>
    <row r="52" spans="1:13" x14ac:dyDescent="0.35">
      <c r="A52" s="14" t="s">
        <v>225</v>
      </c>
      <c r="B52" s="1">
        <v>2990</v>
      </c>
      <c r="C52" s="2">
        <v>8.6850603658170621E-3</v>
      </c>
      <c r="E52" s="3" t="s">
        <v>225</v>
      </c>
      <c r="F52" s="33">
        <v>2990</v>
      </c>
      <c r="G52" s="25">
        <v>8.6850603658170621E-3</v>
      </c>
      <c r="H52" s="33">
        <f>SUM($F$18:F52)</f>
        <v>218747.86000000002</v>
      </c>
      <c r="I52" s="31">
        <f>SUM($G$18:G52)</f>
        <v>0.635397447823846</v>
      </c>
      <c r="J52" s="26">
        <v>9</v>
      </c>
      <c r="K52" s="25">
        <f t="shared" si="0"/>
        <v>9.0909090909090905E-3</v>
      </c>
      <c r="L52" s="25">
        <f>SUM($K$18:K52)</f>
        <v>0.3383838383838384</v>
      </c>
      <c r="M52" s="29" t="str">
        <f t="shared" si="1"/>
        <v>A</v>
      </c>
    </row>
    <row r="53" spans="1:13" x14ac:dyDescent="0.35">
      <c r="A53" s="14" t="s">
        <v>984</v>
      </c>
      <c r="B53" s="1">
        <v>2904</v>
      </c>
      <c r="C53" s="2">
        <v>8.4352559539574417E-3</v>
      </c>
      <c r="E53" s="3" t="s">
        <v>984</v>
      </c>
      <c r="F53" s="33">
        <v>2904</v>
      </c>
      <c r="G53" s="25">
        <v>8.4352559539574417E-3</v>
      </c>
      <c r="H53" s="33">
        <f>SUM($F$18:F53)</f>
        <v>221651.86000000002</v>
      </c>
      <c r="I53" s="31">
        <f>SUM($G$18:G53)</f>
        <v>0.64383270377780344</v>
      </c>
      <c r="J53" s="26">
        <v>10</v>
      </c>
      <c r="K53" s="25">
        <f t="shared" si="0"/>
        <v>1.0101010101010102E-2</v>
      </c>
      <c r="L53" s="25">
        <f>SUM($K$18:K53)</f>
        <v>0.34848484848484851</v>
      </c>
      <c r="M53" s="29" t="str">
        <f t="shared" si="1"/>
        <v>A</v>
      </c>
    </row>
    <row r="54" spans="1:13" x14ac:dyDescent="0.35">
      <c r="A54" s="14" t="s">
        <v>691</v>
      </c>
      <c r="B54" s="1">
        <v>2877</v>
      </c>
      <c r="C54" s="2">
        <v>8.3568289874433738E-3</v>
      </c>
      <c r="E54" s="3" t="s">
        <v>691</v>
      </c>
      <c r="F54" s="33">
        <v>2877</v>
      </c>
      <c r="G54" s="25">
        <v>8.3568289874433738E-3</v>
      </c>
      <c r="H54" s="33">
        <f>SUM($F$18:F54)</f>
        <v>224528.86000000002</v>
      </c>
      <c r="I54" s="31">
        <f>SUM($G$18:G54)</f>
        <v>0.65218953276524683</v>
      </c>
      <c r="J54" s="26">
        <v>7</v>
      </c>
      <c r="K54" s="25">
        <f t="shared" si="0"/>
        <v>7.0707070707070711E-3</v>
      </c>
      <c r="L54" s="25">
        <f>SUM($K$18:K54)</f>
        <v>0.35555555555555557</v>
      </c>
      <c r="M54" s="29" t="str">
        <f t="shared" si="1"/>
        <v>A</v>
      </c>
    </row>
    <row r="55" spans="1:13" x14ac:dyDescent="0.35">
      <c r="A55" s="14" t="s">
        <v>1516</v>
      </c>
      <c r="B55" s="1">
        <v>2865.5</v>
      </c>
      <c r="C55" s="2">
        <v>8.3234249091133083E-3</v>
      </c>
      <c r="E55" s="3" t="s">
        <v>1516</v>
      </c>
      <c r="F55" s="33">
        <v>2865.5</v>
      </c>
      <c r="G55" s="25">
        <v>8.3234249091133083E-3</v>
      </c>
      <c r="H55" s="33">
        <f>SUM($F$18:F55)</f>
        <v>227394.36000000002</v>
      </c>
      <c r="I55" s="31">
        <f>SUM($G$18:G55)</f>
        <v>0.66051295767436013</v>
      </c>
      <c r="J55" s="26">
        <v>7</v>
      </c>
      <c r="K55" s="25">
        <f t="shared" si="0"/>
        <v>7.0707070707070711E-3</v>
      </c>
      <c r="L55" s="25">
        <f>SUM($K$18:K55)</f>
        <v>0.36262626262626263</v>
      </c>
      <c r="M55" s="29" t="str">
        <f t="shared" si="1"/>
        <v>A</v>
      </c>
    </row>
    <row r="56" spans="1:13" x14ac:dyDescent="0.35">
      <c r="A56" s="14" t="s">
        <v>90</v>
      </c>
      <c r="B56" s="1">
        <v>2784</v>
      </c>
      <c r="C56" s="2">
        <v>8.0866916583393639E-3</v>
      </c>
      <c r="E56" s="3" t="s">
        <v>90</v>
      </c>
      <c r="F56" s="33">
        <v>2784</v>
      </c>
      <c r="G56" s="25">
        <v>8.0866916583393639E-3</v>
      </c>
      <c r="H56" s="33">
        <f>SUM($F$18:F56)</f>
        <v>230178.36000000002</v>
      </c>
      <c r="I56" s="31">
        <f>SUM($G$18:G56)</f>
        <v>0.66859964933269955</v>
      </c>
      <c r="J56" s="26">
        <v>10</v>
      </c>
      <c r="K56" s="25">
        <f t="shared" si="0"/>
        <v>1.0101010101010102E-2</v>
      </c>
      <c r="L56" s="25">
        <f>SUM($K$18:K56)</f>
        <v>0.37272727272727274</v>
      </c>
      <c r="M56" s="29" t="str">
        <f t="shared" si="1"/>
        <v>A</v>
      </c>
    </row>
    <row r="57" spans="1:13" x14ac:dyDescent="0.35">
      <c r="A57" s="14" t="s">
        <v>355</v>
      </c>
      <c r="B57" s="1">
        <v>2752.7999999999997</v>
      </c>
      <c r="C57" s="2">
        <v>7.9960649414786648E-3</v>
      </c>
      <c r="E57" s="3" t="s">
        <v>355</v>
      </c>
      <c r="F57" s="33">
        <v>2752.7999999999997</v>
      </c>
      <c r="G57" s="25">
        <v>7.9960649414786648E-3</v>
      </c>
      <c r="H57" s="33">
        <f>SUM($F$18:F57)</f>
        <v>232931.16</v>
      </c>
      <c r="I57" s="31">
        <f>SUM($G$18:G57)</f>
        <v>0.67659571427417819</v>
      </c>
      <c r="J57" s="26">
        <v>8</v>
      </c>
      <c r="K57" s="25">
        <f t="shared" si="0"/>
        <v>8.0808080808080808E-3</v>
      </c>
      <c r="L57" s="25">
        <f>SUM($K$18:K57)</f>
        <v>0.38080808080808082</v>
      </c>
      <c r="M57" s="29" t="str">
        <f t="shared" si="1"/>
        <v>A</v>
      </c>
    </row>
    <row r="58" spans="1:13" x14ac:dyDescent="0.35">
      <c r="A58" s="14" t="s">
        <v>137</v>
      </c>
      <c r="B58" s="1">
        <v>2713.7</v>
      </c>
      <c r="C58" s="2">
        <v>7.8824910751564437E-3</v>
      </c>
      <c r="E58" s="3" t="s">
        <v>137</v>
      </c>
      <c r="F58" s="33">
        <v>2713.7</v>
      </c>
      <c r="G58" s="25">
        <v>7.8824910751564437E-3</v>
      </c>
      <c r="H58" s="33">
        <f>SUM($F$18:F58)</f>
        <v>235644.86000000002</v>
      </c>
      <c r="I58" s="31">
        <f>SUM($G$18:G58)</f>
        <v>0.68447820534933468</v>
      </c>
      <c r="J58" s="26">
        <v>11</v>
      </c>
      <c r="K58" s="25">
        <f t="shared" si="0"/>
        <v>1.1111111111111112E-2</v>
      </c>
      <c r="L58" s="25">
        <f>SUM($K$18:K58)</f>
        <v>0.39191919191919194</v>
      </c>
      <c r="M58" s="29" t="str">
        <f t="shared" si="1"/>
        <v>A</v>
      </c>
    </row>
    <row r="59" spans="1:13" x14ac:dyDescent="0.35">
      <c r="A59" s="14" t="s">
        <v>303</v>
      </c>
      <c r="B59" s="1">
        <v>2550</v>
      </c>
      <c r="C59" s="2">
        <v>7.4069912818841175E-3</v>
      </c>
      <c r="E59" s="3" t="s">
        <v>303</v>
      </c>
      <c r="F59" s="33">
        <v>2550</v>
      </c>
      <c r="G59" s="25">
        <v>7.4069912818841175E-3</v>
      </c>
      <c r="H59" s="33">
        <f>SUM($F$18:F59)</f>
        <v>238194.86000000002</v>
      </c>
      <c r="I59" s="31">
        <f>SUM($G$18:G59)</f>
        <v>0.69188519663121884</v>
      </c>
      <c r="J59" s="26">
        <v>7</v>
      </c>
      <c r="K59" s="25">
        <f t="shared" si="0"/>
        <v>7.0707070707070711E-3</v>
      </c>
      <c r="L59" s="25">
        <f>SUM($K$18:K59)</f>
        <v>0.39898989898989901</v>
      </c>
      <c r="M59" s="29" t="str">
        <f t="shared" si="1"/>
        <v>A</v>
      </c>
    </row>
    <row r="60" spans="1:13" x14ac:dyDescent="0.35">
      <c r="A60" s="14" t="s">
        <v>151</v>
      </c>
      <c r="B60" s="1">
        <v>2528.9</v>
      </c>
      <c r="C60" s="2">
        <v>7.3457020599046047E-3</v>
      </c>
      <c r="E60" s="3" t="s">
        <v>151</v>
      </c>
      <c r="F60" s="33">
        <v>2528.9</v>
      </c>
      <c r="G60" s="25">
        <v>7.3457020599046047E-3</v>
      </c>
      <c r="H60" s="33">
        <f>SUM($F$18:F60)</f>
        <v>240723.76</v>
      </c>
      <c r="I60" s="31">
        <f>SUM($G$18:G60)</f>
        <v>0.69923089869112343</v>
      </c>
      <c r="J60" s="26">
        <v>11</v>
      </c>
      <c r="K60" s="25">
        <f t="shared" si="0"/>
        <v>1.1111111111111112E-2</v>
      </c>
      <c r="L60" s="25">
        <f>SUM($K$18:K60)</f>
        <v>0.41010101010101013</v>
      </c>
      <c r="M60" s="29" t="str">
        <f t="shared" si="1"/>
        <v>A</v>
      </c>
    </row>
    <row r="61" spans="1:13" x14ac:dyDescent="0.35">
      <c r="A61" s="14" t="s">
        <v>320</v>
      </c>
      <c r="B61" s="1">
        <v>2416.1499999999996</v>
      </c>
      <c r="C61" s="2">
        <v>7.0181968571467867E-3</v>
      </c>
      <c r="E61" s="3" t="s">
        <v>320</v>
      </c>
      <c r="F61" s="33">
        <v>2416.1499999999996</v>
      </c>
      <c r="G61" s="25">
        <v>7.0181968571467867E-3</v>
      </c>
      <c r="H61" s="33">
        <f>SUM($F$18:F61)</f>
        <v>243139.91</v>
      </c>
      <c r="I61" s="31">
        <f>SUM($G$18:G61)</f>
        <v>0.7062490955482702</v>
      </c>
      <c r="J61" s="26">
        <v>10</v>
      </c>
      <c r="K61" s="25">
        <f t="shared" si="0"/>
        <v>1.0101010101010102E-2</v>
      </c>
      <c r="L61" s="25">
        <f>SUM($K$18:K61)</f>
        <v>0.42020202020202024</v>
      </c>
      <c r="M61" s="29" t="str">
        <f t="shared" si="1"/>
        <v>A</v>
      </c>
    </row>
    <row r="62" spans="1:13" x14ac:dyDescent="0.35">
      <c r="A62" s="14" t="s">
        <v>470</v>
      </c>
      <c r="B62" s="1">
        <v>2416</v>
      </c>
      <c r="C62" s="2">
        <v>7.0177611517772652E-3</v>
      </c>
      <c r="E62" s="3" t="s">
        <v>470</v>
      </c>
      <c r="F62" s="33">
        <v>2416</v>
      </c>
      <c r="G62" s="25">
        <v>7.0177611517772652E-3</v>
      </c>
      <c r="H62" s="33">
        <f>SUM($F$18:F62)</f>
        <v>245555.91</v>
      </c>
      <c r="I62" s="31">
        <f>SUM($G$18:G62)</f>
        <v>0.71326685670004741</v>
      </c>
      <c r="J62" s="26">
        <v>9</v>
      </c>
      <c r="K62" s="25">
        <f t="shared" si="0"/>
        <v>9.0909090909090905E-3</v>
      </c>
      <c r="L62" s="25">
        <f>SUM($K$18:K62)</f>
        <v>0.42929292929292934</v>
      </c>
      <c r="M62" s="29" t="str">
        <f t="shared" si="1"/>
        <v>A</v>
      </c>
    </row>
    <row r="63" spans="1:13" x14ac:dyDescent="0.35">
      <c r="A63" s="14" t="s">
        <v>263</v>
      </c>
      <c r="B63" s="1">
        <v>2310</v>
      </c>
      <c r="C63" s="2">
        <v>6.7098626906479646E-3</v>
      </c>
      <c r="E63" s="3" t="s">
        <v>263</v>
      </c>
      <c r="F63" s="33">
        <v>2310</v>
      </c>
      <c r="G63" s="25">
        <v>6.7098626906479646E-3</v>
      </c>
      <c r="H63" s="33">
        <f>SUM($F$18:F63)</f>
        <v>247865.91</v>
      </c>
      <c r="I63" s="31">
        <f>SUM($G$18:G63)</f>
        <v>0.71997671939069541</v>
      </c>
      <c r="J63" s="26">
        <v>6</v>
      </c>
      <c r="K63" s="25">
        <f t="shared" si="0"/>
        <v>6.0606060606060606E-3</v>
      </c>
      <c r="L63" s="25">
        <f>SUM($K$18:K63)</f>
        <v>0.43535353535353538</v>
      </c>
      <c r="M63" s="29" t="str">
        <f t="shared" si="1"/>
        <v>A</v>
      </c>
    </row>
    <row r="64" spans="1:13" x14ac:dyDescent="0.35">
      <c r="A64" s="14" t="s">
        <v>96</v>
      </c>
      <c r="B64" s="1">
        <v>2289.46</v>
      </c>
      <c r="C64" s="2">
        <v>6.6502001020480031E-3</v>
      </c>
      <c r="E64" s="3" t="s">
        <v>96</v>
      </c>
      <c r="F64" s="33">
        <v>2289.46</v>
      </c>
      <c r="G64" s="25">
        <v>6.6502001020480031E-3</v>
      </c>
      <c r="H64" s="33">
        <f>SUM($F$18:F64)</f>
        <v>250155.37</v>
      </c>
      <c r="I64" s="31">
        <f>SUM($G$18:G64)</f>
        <v>0.72662691949274338</v>
      </c>
      <c r="J64" s="26">
        <v>15</v>
      </c>
      <c r="K64" s="25">
        <f t="shared" si="0"/>
        <v>1.5151515151515152E-2</v>
      </c>
      <c r="L64" s="25">
        <f>SUM($K$18:K64)</f>
        <v>0.45050505050505052</v>
      </c>
      <c r="M64" s="29" t="str">
        <f t="shared" si="1"/>
        <v>A</v>
      </c>
    </row>
    <row r="65" spans="1:13" x14ac:dyDescent="0.35">
      <c r="A65" s="14" t="s">
        <v>248</v>
      </c>
      <c r="B65" s="1">
        <v>2268</v>
      </c>
      <c r="C65" s="2">
        <v>6.5878651871816374E-3</v>
      </c>
      <c r="E65" s="3" t="s">
        <v>248</v>
      </c>
      <c r="F65" s="33">
        <v>2268</v>
      </c>
      <c r="G65" s="25">
        <v>6.5878651871816374E-3</v>
      </c>
      <c r="H65" s="33">
        <f>SUM($F$18:F65)</f>
        <v>252423.37</v>
      </c>
      <c r="I65" s="31">
        <f>SUM($G$18:G65)</f>
        <v>0.73321478467992507</v>
      </c>
      <c r="J65" s="26">
        <v>6</v>
      </c>
      <c r="K65" s="25">
        <f t="shared" si="0"/>
        <v>6.0606060606060606E-3</v>
      </c>
      <c r="L65" s="25">
        <f>SUM($K$18:K65)</f>
        <v>0.45656565656565656</v>
      </c>
      <c r="M65" s="29" t="str">
        <f t="shared" si="1"/>
        <v>A</v>
      </c>
    </row>
    <row r="66" spans="1:13" x14ac:dyDescent="0.35">
      <c r="A66" s="14" t="s">
        <v>490</v>
      </c>
      <c r="B66" s="1">
        <v>2245.6999999999998</v>
      </c>
      <c r="C66" s="2">
        <v>6.5230903222459457E-3</v>
      </c>
      <c r="E66" s="3" t="s">
        <v>490</v>
      </c>
      <c r="F66" s="33">
        <v>2245.6999999999998</v>
      </c>
      <c r="G66" s="25">
        <v>6.5230903222459457E-3</v>
      </c>
      <c r="H66" s="33">
        <f>SUM($F$18:F66)</f>
        <v>254669.07</v>
      </c>
      <c r="I66" s="31">
        <f>SUM($G$18:G66)</f>
        <v>0.73973787500217103</v>
      </c>
      <c r="J66" s="26">
        <v>8</v>
      </c>
      <c r="K66" s="25">
        <f t="shared" si="0"/>
        <v>8.0808080808080808E-3</v>
      </c>
      <c r="L66" s="25">
        <f>SUM($K$18:K66)</f>
        <v>0.46464646464646464</v>
      </c>
      <c r="M66" s="29" t="str">
        <f t="shared" si="1"/>
        <v>A</v>
      </c>
    </row>
    <row r="67" spans="1:13" x14ac:dyDescent="0.35">
      <c r="A67" s="14" t="s">
        <v>258</v>
      </c>
      <c r="B67" s="1">
        <v>2236</v>
      </c>
      <c r="C67" s="2">
        <v>6.494914708350152E-3</v>
      </c>
      <c r="E67" s="3" t="s">
        <v>258</v>
      </c>
      <c r="F67" s="33">
        <v>2236</v>
      </c>
      <c r="G67" s="25">
        <v>6.494914708350152E-3</v>
      </c>
      <c r="H67" s="33">
        <f>SUM($F$18:F67)</f>
        <v>256905.07</v>
      </c>
      <c r="I67" s="31">
        <f>SUM($G$18:G67)</f>
        <v>0.7462327897105212</v>
      </c>
      <c r="J67" s="26">
        <v>9</v>
      </c>
      <c r="K67" s="25">
        <f t="shared" si="0"/>
        <v>9.0909090909090905E-3</v>
      </c>
      <c r="L67" s="25">
        <f>SUM($K$18:K67)</f>
        <v>0.47373737373737373</v>
      </c>
      <c r="M67" s="29" t="str">
        <f t="shared" si="1"/>
        <v>A</v>
      </c>
    </row>
    <row r="68" spans="1:13" x14ac:dyDescent="0.35">
      <c r="A68" s="14" t="s">
        <v>85</v>
      </c>
      <c r="B68" s="1">
        <v>2191.6000000000004</v>
      </c>
      <c r="C68" s="2">
        <v>6.3659459189714628E-3</v>
      </c>
      <c r="E68" s="3" t="s">
        <v>85</v>
      </c>
      <c r="F68" s="33">
        <v>2191.6000000000004</v>
      </c>
      <c r="G68" s="25">
        <v>6.3659459189714628E-3</v>
      </c>
      <c r="H68" s="33">
        <f>SUM($F$18:F68)</f>
        <v>259096.67</v>
      </c>
      <c r="I68" s="31">
        <f>SUM($G$18:G68)</f>
        <v>0.75259873562949264</v>
      </c>
      <c r="J68" s="26">
        <v>11</v>
      </c>
      <c r="K68" s="25">
        <f t="shared" si="0"/>
        <v>1.1111111111111112E-2</v>
      </c>
      <c r="L68" s="25">
        <f>SUM($K$18:K68)</f>
        <v>0.48484848484848486</v>
      </c>
      <c r="M68" s="29" t="str">
        <f t="shared" si="1"/>
        <v>A</v>
      </c>
    </row>
    <row r="69" spans="1:13" x14ac:dyDescent="0.35">
      <c r="A69" s="14" t="s">
        <v>508</v>
      </c>
      <c r="B69" s="1">
        <v>2142.8000000000002</v>
      </c>
      <c r="C69" s="2">
        <v>6.2241964387534454E-3</v>
      </c>
      <c r="E69" s="3" t="s">
        <v>508</v>
      </c>
      <c r="F69" s="33">
        <v>2142.8000000000002</v>
      </c>
      <c r="G69" s="25">
        <v>6.2241964387534454E-3</v>
      </c>
      <c r="H69" s="33">
        <f>SUM($F$18:F69)</f>
        <v>261239.47</v>
      </c>
      <c r="I69" s="31">
        <f>SUM($G$18:G69)</f>
        <v>0.75882293206824614</v>
      </c>
      <c r="J69" s="26">
        <v>7</v>
      </c>
      <c r="K69" s="25">
        <f t="shared" si="0"/>
        <v>7.0707070707070711E-3</v>
      </c>
      <c r="L69" s="25">
        <f>SUM($K$18:K69)</f>
        <v>0.49191919191919192</v>
      </c>
      <c r="M69" s="29" t="str">
        <f t="shared" si="1"/>
        <v>A</v>
      </c>
    </row>
    <row r="70" spans="1:13" x14ac:dyDescent="0.35">
      <c r="A70" s="14" t="s">
        <v>325</v>
      </c>
      <c r="B70" s="1">
        <v>2118.9</v>
      </c>
      <c r="C70" s="2">
        <v>6.1547740498761778E-3</v>
      </c>
      <c r="E70" s="3" t="s">
        <v>325</v>
      </c>
      <c r="F70" s="33">
        <v>2118.9</v>
      </c>
      <c r="G70" s="25">
        <v>6.1547740498761778E-3</v>
      </c>
      <c r="H70" s="33">
        <f>SUM($F$18:F70)</f>
        <v>263358.37</v>
      </c>
      <c r="I70" s="31">
        <f>SUM($G$18:G70)</f>
        <v>0.76497770611812232</v>
      </c>
      <c r="J70" s="26">
        <v>10</v>
      </c>
      <c r="K70" s="25">
        <f t="shared" si="0"/>
        <v>1.0101010101010102E-2</v>
      </c>
      <c r="L70" s="25">
        <f>SUM($K$18:K70)</f>
        <v>0.50202020202020203</v>
      </c>
      <c r="M70" s="29" t="str">
        <f t="shared" si="1"/>
        <v>A</v>
      </c>
    </row>
    <row r="71" spans="1:13" x14ac:dyDescent="0.35">
      <c r="A71" s="14" t="s">
        <v>276</v>
      </c>
      <c r="B71" s="1">
        <v>2108.85</v>
      </c>
      <c r="C71" s="2">
        <v>6.1255817901181642E-3</v>
      </c>
      <c r="E71" s="3" t="s">
        <v>276</v>
      </c>
      <c r="F71" s="33">
        <v>2108.85</v>
      </c>
      <c r="G71" s="25">
        <v>6.1255817901181642E-3</v>
      </c>
      <c r="H71" s="33">
        <f>SUM($F$18:F71)</f>
        <v>265467.21999999997</v>
      </c>
      <c r="I71" s="31">
        <f>SUM($G$18:G71)</f>
        <v>0.77110328790824045</v>
      </c>
      <c r="J71" s="26">
        <v>10</v>
      </c>
      <c r="K71" s="25">
        <f t="shared" si="0"/>
        <v>1.0101010101010102E-2</v>
      </c>
      <c r="L71" s="25">
        <f>SUM($K$18:K71)</f>
        <v>0.51212121212121209</v>
      </c>
      <c r="M71" s="29" t="str">
        <f t="shared" si="1"/>
        <v>A</v>
      </c>
    </row>
    <row r="72" spans="1:13" x14ac:dyDescent="0.35">
      <c r="A72" s="14" t="s">
        <v>1069</v>
      </c>
      <c r="B72" s="1">
        <v>2065.1999999999998</v>
      </c>
      <c r="C72" s="2">
        <v>5.9987915275870893E-3</v>
      </c>
      <c r="E72" s="3" t="s">
        <v>1069</v>
      </c>
      <c r="F72" s="33">
        <v>2065.1999999999998</v>
      </c>
      <c r="G72" s="25">
        <v>5.9987915275870893E-3</v>
      </c>
      <c r="H72" s="33">
        <f>SUM($F$18:F72)</f>
        <v>267532.42</v>
      </c>
      <c r="I72" s="31">
        <f>SUM($G$18:G72)</f>
        <v>0.77710207943582754</v>
      </c>
      <c r="J72" s="26">
        <v>6</v>
      </c>
      <c r="K72" s="25">
        <f t="shared" si="0"/>
        <v>6.0606060606060606E-3</v>
      </c>
      <c r="L72" s="25">
        <f>SUM($K$18:K72)</f>
        <v>0.51818181818181819</v>
      </c>
      <c r="M72" s="29" t="str">
        <f t="shared" si="1"/>
        <v>A</v>
      </c>
    </row>
    <row r="73" spans="1:13" x14ac:dyDescent="0.35">
      <c r="A73" s="14" t="s">
        <v>101</v>
      </c>
      <c r="B73" s="1">
        <v>2038.4</v>
      </c>
      <c r="C73" s="2">
        <v>5.920945501565719E-3</v>
      </c>
      <c r="E73" s="3" t="s">
        <v>101</v>
      </c>
      <c r="F73" s="33">
        <v>2038.4</v>
      </c>
      <c r="G73" s="25">
        <v>5.920945501565719E-3</v>
      </c>
      <c r="H73" s="33">
        <f>SUM($F$18:F73)</f>
        <v>269570.82</v>
      </c>
      <c r="I73" s="31">
        <f>SUM($G$18:G73)</f>
        <v>0.78302302493739329</v>
      </c>
      <c r="J73" s="26">
        <v>9</v>
      </c>
      <c r="K73" s="25">
        <f t="shared" si="0"/>
        <v>9.0909090909090905E-3</v>
      </c>
      <c r="L73" s="25">
        <f>SUM($K$18:K73)</f>
        <v>0.52727272727272723</v>
      </c>
      <c r="M73" s="29" t="str">
        <f t="shared" si="1"/>
        <v>A</v>
      </c>
    </row>
    <row r="74" spans="1:13" x14ac:dyDescent="0.35">
      <c r="A74" s="14" t="s">
        <v>42</v>
      </c>
      <c r="B74" s="1">
        <v>1988</v>
      </c>
      <c r="C74" s="2">
        <v>5.7745484974061276E-3</v>
      </c>
      <c r="E74" s="3" t="s">
        <v>42</v>
      </c>
      <c r="F74" s="33">
        <v>1988</v>
      </c>
      <c r="G74" s="25">
        <v>5.7745484974061276E-3</v>
      </c>
      <c r="H74" s="33">
        <f>SUM($F$18:F74)</f>
        <v>271558.82</v>
      </c>
      <c r="I74" s="31">
        <f>SUM($G$18:G74)</f>
        <v>0.78879757343479939</v>
      </c>
      <c r="J74" s="26">
        <v>4</v>
      </c>
      <c r="K74" s="25">
        <f t="shared" si="0"/>
        <v>4.0404040404040404E-3</v>
      </c>
      <c r="L74" s="25">
        <f>SUM($K$18:K74)</f>
        <v>0.53131313131313129</v>
      </c>
      <c r="M74" s="29" t="str">
        <f t="shared" si="1"/>
        <v>A</v>
      </c>
    </row>
    <row r="75" spans="1:13" x14ac:dyDescent="0.35">
      <c r="A75" s="14" t="s">
        <v>1369</v>
      </c>
      <c r="B75" s="1">
        <v>1965.5</v>
      </c>
      <c r="C75" s="2">
        <v>5.7091926919777391E-3</v>
      </c>
      <c r="E75" s="3" t="s">
        <v>1369</v>
      </c>
      <c r="F75" s="33">
        <v>1965.5</v>
      </c>
      <c r="G75" s="25">
        <v>5.7091926919777391E-3</v>
      </c>
      <c r="H75" s="33">
        <f>SUM($F$18:F75)</f>
        <v>273524.32</v>
      </c>
      <c r="I75" s="31">
        <f>SUM($G$18:G75)</f>
        <v>0.79450676612677718</v>
      </c>
      <c r="J75" s="26">
        <v>9</v>
      </c>
      <c r="K75" s="25">
        <f t="shared" si="0"/>
        <v>9.0909090909090905E-3</v>
      </c>
      <c r="L75" s="25">
        <f>SUM($K$18:K75)</f>
        <v>0.54040404040404033</v>
      </c>
      <c r="M75" s="29" t="str">
        <f t="shared" si="1"/>
        <v>A</v>
      </c>
    </row>
    <row r="76" spans="1:13" x14ac:dyDescent="0.35">
      <c r="A76" s="14" t="s">
        <v>253</v>
      </c>
      <c r="B76" s="1">
        <v>1940</v>
      </c>
      <c r="C76" s="2">
        <v>5.6351227791588956E-3</v>
      </c>
      <c r="E76" s="3" t="s">
        <v>253</v>
      </c>
      <c r="F76" s="33">
        <v>1940</v>
      </c>
      <c r="G76" s="25">
        <v>5.6351227791588956E-3</v>
      </c>
      <c r="H76" s="33">
        <f>SUM($F$18:F76)</f>
        <v>275464.32000000001</v>
      </c>
      <c r="I76" s="31">
        <f>SUM($G$18:G76)</f>
        <v>0.80014188890593607</v>
      </c>
      <c r="J76" s="26">
        <v>7</v>
      </c>
      <c r="K76" s="25">
        <f t="shared" si="0"/>
        <v>7.0707070707070711E-3</v>
      </c>
      <c r="L76" s="25">
        <f>SUM($K$18:K76)</f>
        <v>0.54747474747474745</v>
      </c>
      <c r="M76" s="29" t="str">
        <f t="shared" si="1"/>
        <v>B</v>
      </c>
    </row>
    <row r="77" spans="1:13" x14ac:dyDescent="0.35">
      <c r="A77" s="14" t="s">
        <v>549</v>
      </c>
      <c r="B77" s="1">
        <v>1913.7</v>
      </c>
      <c r="C77" s="2">
        <v>5.5587291043692694E-3</v>
      </c>
      <c r="E77" s="3" t="s">
        <v>549</v>
      </c>
      <c r="F77" s="33">
        <v>1913.7</v>
      </c>
      <c r="G77" s="25">
        <v>5.5587291043692694E-3</v>
      </c>
      <c r="H77" s="33">
        <f>SUM($F$18:F77)</f>
        <v>277378.02</v>
      </c>
      <c r="I77" s="31">
        <f>SUM($G$18:G77)</f>
        <v>0.80570061801030535</v>
      </c>
      <c r="J77" s="26">
        <v>13</v>
      </c>
      <c r="K77" s="25">
        <f t="shared" si="0"/>
        <v>1.3131313131313131E-2</v>
      </c>
      <c r="L77" s="25">
        <f>SUM($K$18:K77)</f>
        <v>0.56060606060606055</v>
      </c>
      <c r="M77" s="29" t="str">
        <f t="shared" si="1"/>
        <v>B</v>
      </c>
    </row>
    <row r="78" spans="1:13" x14ac:dyDescent="0.35">
      <c r="A78" s="14" t="s">
        <v>1202</v>
      </c>
      <c r="B78" s="1">
        <v>1899</v>
      </c>
      <c r="C78" s="2">
        <v>5.516029978156054E-3</v>
      </c>
      <c r="E78" s="3" t="s">
        <v>1202</v>
      </c>
      <c r="F78" s="33">
        <v>1899</v>
      </c>
      <c r="G78" s="25">
        <v>5.516029978156054E-3</v>
      </c>
      <c r="H78" s="33">
        <f>SUM($F$18:F78)</f>
        <v>279277.02</v>
      </c>
      <c r="I78" s="31">
        <f>SUM($G$18:G78)</f>
        <v>0.81121664798846138</v>
      </c>
      <c r="J78" s="26">
        <v>9</v>
      </c>
      <c r="K78" s="25">
        <f t="shared" si="0"/>
        <v>9.0909090909090905E-3</v>
      </c>
      <c r="L78" s="25">
        <f>SUM($K$18:K78)</f>
        <v>0.56969696969696959</v>
      </c>
      <c r="M78" s="29" t="str">
        <f t="shared" si="1"/>
        <v>B</v>
      </c>
    </row>
    <row r="79" spans="1:13" x14ac:dyDescent="0.35">
      <c r="A79" s="14" t="s">
        <v>1117</v>
      </c>
      <c r="B79" s="1">
        <v>1848</v>
      </c>
      <c r="C79" s="2">
        <v>5.3678901525183714E-3</v>
      </c>
      <c r="E79" s="3" t="s">
        <v>1117</v>
      </c>
      <c r="F79" s="33">
        <v>1848</v>
      </c>
      <c r="G79" s="25">
        <v>5.3678901525183714E-3</v>
      </c>
      <c r="H79" s="33">
        <f>SUM($F$18:F79)</f>
        <v>281125.02</v>
      </c>
      <c r="I79" s="31">
        <f>SUM($G$18:G79)</f>
        <v>0.81658453814097975</v>
      </c>
      <c r="J79" s="26">
        <v>6</v>
      </c>
      <c r="K79" s="25">
        <f t="shared" si="0"/>
        <v>6.0606060606060606E-3</v>
      </c>
      <c r="L79" s="25">
        <f>SUM($K$18:K79)</f>
        <v>0.57575757575757569</v>
      </c>
      <c r="M79" s="29" t="str">
        <f t="shared" si="1"/>
        <v>B</v>
      </c>
    </row>
    <row r="80" spans="1:13" x14ac:dyDescent="0.35">
      <c r="A80" s="14" t="s">
        <v>665</v>
      </c>
      <c r="B80" s="1">
        <v>1804.1</v>
      </c>
      <c r="C80" s="2">
        <v>5.2403737143714253E-3</v>
      </c>
      <c r="E80" s="3" t="s">
        <v>665</v>
      </c>
      <c r="F80" s="33">
        <v>1804.1</v>
      </c>
      <c r="G80" s="25">
        <v>5.2403737143714253E-3</v>
      </c>
      <c r="H80" s="33">
        <f>SUM($F$18:F80)</f>
        <v>282929.12</v>
      </c>
      <c r="I80" s="31">
        <f>SUM($G$18:G80)</f>
        <v>0.82182491185535123</v>
      </c>
      <c r="J80" s="26">
        <v>6</v>
      </c>
      <c r="K80" s="25">
        <f t="shared" si="0"/>
        <v>6.0606060606060606E-3</v>
      </c>
      <c r="L80" s="25">
        <f>SUM($K$18:K80)</f>
        <v>0.58181818181818179</v>
      </c>
      <c r="M80" s="29" t="str">
        <f t="shared" si="1"/>
        <v>B</v>
      </c>
    </row>
    <row r="81" spans="1:13" x14ac:dyDescent="0.35">
      <c r="A81" s="14" t="s">
        <v>1278</v>
      </c>
      <c r="B81" s="1">
        <v>1691</v>
      </c>
      <c r="C81" s="2">
        <v>4.9118518657513882E-3</v>
      </c>
      <c r="E81" s="3" t="s">
        <v>1278</v>
      </c>
      <c r="F81" s="33">
        <v>1691</v>
      </c>
      <c r="G81" s="25">
        <v>4.9118518657513882E-3</v>
      </c>
      <c r="H81" s="33">
        <f>SUM($F$18:F81)</f>
        <v>284620.12</v>
      </c>
      <c r="I81" s="31">
        <f>SUM($G$18:G81)</f>
        <v>0.82673676372110261</v>
      </c>
      <c r="J81" s="26">
        <v>8</v>
      </c>
      <c r="K81" s="25">
        <f t="shared" si="0"/>
        <v>8.0808080808080808E-3</v>
      </c>
      <c r="L81" s="25">
        <f>SUM($K$18:K81)</f>
        <v>0.58989898989898992</v>
      </c>
      <c r="M81" s="29" t="str">
        <f t="shared" si="1"/>
        <v>B</v>
      </c>
    </row>
    <row r="82" spans="1:13" x14ac:dyDescent="0.35">
      <c r="A82" s="14" t="s">
        <v>438</v>
      </c>
      <c r="B82" s="1">
        <v>1685</v>
      </c>
      <c r="C82" s="2">
        <v>4.8944236509704852E-3</v>
      </c>
      <c r="E82" s="3" t="s">
        <v>438</v>
      </c>
      <c r="F82" s="33">
        <v>1685</v>
      </c>
      <c r="G82" s="25">
        <v>4.8944236509704852E-3</v>
      </c>
      <c r="H82" s="33">
        <f>SUM($F$18:F82)</f>
        <v>286305.12</v>
      </c>
      <c r="I82" s="31">
        <f>SUM($G$18:G82)</f>
        <v>0.83163118737207309</v>
      </c>
      <c r="J82" s="26">
        <v>7</v>
      </c>
      <c r="K82" s="25">
        <f t="shared" si="0"/>
        <v>7.0707070707070711E-3</v>
      </c>
      <c r="L82" s="25">
        <f>SUM($K$18:K82)</f>
        <v>0.59696969696969704</v>
      </c>
      <c r="M82" s="29" t="str">
        <f t="shared" si="1"/>
        <v>B</v>
      </c>
    </row>
    <row r="83" spans="1:13" x14ac:dyDescent="0.35">
      <c r="A83" s="14" t="s">
        <v>380</v>
      </c>
      <c r="B83" s="1">
        <v>1672.9</v>
      </c>
      <c r="C83" s="2">
        <v>4.8592767511623294E-3</v>
      </c>
      <c r="E83" s="3" t="s">
        <v>380</v>
      </c>
      <c r="F83" s="33">
        <v>1672.9</v>
      </c>
      <c r="G83" s="25">
        <v>4.8592767511623294E-3</v>
      </c>
      <c r="H83" s="33">
        <f>SUM($F$18:F83)</f>
        <v>287978.02</v>
      </c>
      <c r="I83" s="31">
        <f>SUM($G$18:G83)</f>
        <v>0.83649046412323547</v>
      </c>
      <c r="J83" s="26">
        <v>6</v>
      </c>
      <c r="K83" s="25">
        <f t="shared" ref="K83:K138" si="2">J83/990</f>
        <v>6.0606060606060606E-3</v>
      </c>
      <c r="L83" s="25">
        <f>SUM($K$18:K83)</f>
        <v>0.60303030303030314</v>
      </c>
      <c r="M83" s="29" t="str">
        <f t="shared" ref="M83:M138" si="3">IF(I83&lt;=80%, "A",IF(AND(I83&gt;80%,I83&lt;=95%),"B",IF(I83&gt;95%,"C")))</f>
        <v>B</v>
      </c>
    </row>
    <row r="84" spans="1:13" x14ac:dyDescent="0.35">
      <c r="A84" s="14" t="s">
        <v>1179</v>
      </c>
      <c r="B84" s="1">
        <v>1565</v>
      </c>
      <c r="C84" s="2">
        <v>4.5458593553524091E-3</v>
      </c>
      <c r="E84" s="3" t="s">
        <v>1179</v>
      </c>
      <c r="F84" s="33">
        <v>1565</v>
      </c>
      <c r="G84" s="25">
        <v>4.5458593553524091E-3</v>
      </c>
      <c r="H84" s="33">
        <f>SUM($F$18:F84)</f>
        <v>289543.02</v>
      </c>
      <c r="I84" s="31">
        <f>SUM($G$18:G84)</f>
        <v>0.84103632347858792</v>
      </c>
      <c r="J84" s="26">
        <v>9</v>
      </c>
      <c r="K84" s="25">
        <f t="shared" si="2"/>
        <v>9.0909090909090905E-3</v>
      </c>
      <c r="L84" s="25">
        <f>SUM($K$18:K84)</f>
        <v>0.61212121212121218</v>
      </c>
      <c r="M84" s="29" t="str">
        <f t="shared" si="3"/>
        <v>B</v>
      </c>
    </row>
    <row r="85" spans="1:13" x14ac:dyDescent="0.35">
      <c r="A85" s="14" t="s">
        <v>106</v>
      </c>
      <c r="B85" s="1">
        <v>1545.2</v>
      </c>
      <c r="C85" s="2">
        <v>4.4883462465754266E-3</v>
      </c>
      <c r="E85" s="3" t="s">
        <v>106</v>
      </c>
      <c r="F85" s="33">
        <v>1545.2</v>
      </c>
      <c r="G85" s="25">
        <v>4.4883462465754266E-3</v>
      </c>
      <c r="H85" s="33">
        <f>SUM($F$18:F85)</f>
        <v>291088.22000000003</v>
      </c>
      <c r="I85" s="31">
        <f>SUM($G$18:G85)</f>
        <v>0.84552466972516338</v>
      </c>
      <c r="J85" s="26">
        <v>10</v>
      </c>
      <c r="K85" s="25">
        <f t="shared" si="2"/>
        <v>1.0101010101010102E-2</v>
      </c>
      <c r="L85" s="25">
        <f>SUM($K$18:K85)</f>
        <v>0.62222222222222223</v>
      </c>
      <c r="M85" s="29" t="str">
        <f t="shared" si="3"/>
        <v>B</v>
      </c>
    </row>
    <row r="86" spans="1:13" x14ac:dyDescent="0.35">
      <c r="A86" s="14" t="s">
        <v>52</v>
      </c>
      <c r="B86" s="1">
        <v>1545</v>
      </c>
      <c r="C86" s="2">
        <v>4.4877653060827298E-3</v>
      </c>
      <c r="E86" s="3" t="s">
        <v>52</v>
      </c>
      <c r="F86" s="33">
        <v>1545</v>
      </c>
      <c r="G86" s="25">
        <v>4.4877653060827298E-3</v>
      </c>
      <c r="H86" s="33">
        <f>SUM($F$18:F86)</f>
        <v>292633.22000000003</v>
      </c>
      <c r="I86" s="31">
        <f>SUM($G$18:G86)</f>
        <v>0.85001243503124613</v>
      </c>
      <c r="J86" s="26">
        <v>5</v>
      </c>
      <c r="K86" s="25">
        <f t="shared" si="2"/>
        <v>5.0505050505050509E-3</v>
      </c>
      <c r="L86" s="25">
        <f>SUM($K$18:K86)</f>
        <v>0.62727272727272732</v>
      </c>
      <c r="M86" s="29" t="str">
        <f t="shared" si="3"/>
        <v>B</v>
      </c>
    </row>
    <row r="87" spans="1:13" x14ac:dyDescent="0.35">
      <c r="A87" s="14" t="s">
        <v>736</v>
      </c>
      <c r="B87" s="1">
        <v>1510</v>
      </c>
      <c r="C87" s="2">
        <v>4.3861007198607912E-3</v>
      </c>
      <c r="E87" s="3" t="s">
        <v>736</v>
      </c>
      <c r="F87" s="33">
        <v>1510</v>
      </c>
      <c r="G87" s="25">
        <v>4.3861007198607912E-3</v>
      </c>
      <c r="H87" s="33">
        <f>SUM($F$18:F87)</f>
        <v>294143.22000000003</v>
      </c>
      <c r="I87" s="31">
        <f>SUM($G$18:G87)</f>
        <v>0.85439853575110691</v>
      </c>
      <c r="J87" s="26">
        <v>6</v>
      </c>
      <c r="K87" s="25">
        <f t="shared" si="2"/>
        <v>6.0606060606060606E-3</v>
      </c>
      <c r="L87" s="25">
        <f>SUM($K$18:K87)</f>
        <v>0.63333333333333341</v>
      </c>
      <c r="M87" s="29" t="str">
        <f t="shared" si="3"/>
        <v>B</v>
      </c>
    </row>
    <row r="88" spans="1:13" x14ac:dyDescent="0.35">
      <c r="A88" s="14" t="s">
        <v>175</v>
      </c>
      <c r="B88" s="1">
        <v>1503</v>
      </c>
      <c r="C88" s="2">
        <v>4.3657678026164035E-3</v>
      </c>
      <c r="E88" s="3" t="s">
        <v>175</v>
      </c>
      <c r="F88" s="33">
        <v>1503</v>
      </c>
      <c r="G88" s="25">
        <v>4.3657678026164035E-3</v>
      </c>
      <c r="H88" s="33">
        <f>SUM($F$18:F88)</f>
        <v>295646.22000000003</v>
      </c>
      <c r="I88" s="31">
        <f>SUM($G$18:G88)</f>
        <v>0.85876430355372335</v>
      </c>
      <c r="J88" s="26">
        <v>19</v>
      </c>
      <c r="K88" s="25">
        <f t="shared" si="2"/>
        <v>1.9191919191919191E-2</v>
      </c>
      <c r="L88" s="25">
        <f>SUM($K$18:K88)</f>
        <v>0.65252525252525262</v>
      </c>
      <c r="M88" s="29" t="str">
        <f t="shared" si="3"/>
        <v>B</v>
      </c>
    </row>
    <row r="89" spans="1:13" x14ac:dyDescent="0.35">
      <c r="A89" s="14" t="s">
        <v>1092</v>
      </c>
      <c r="B89" s="1">
        <v>1496</v>
      </c>
      <c r="C89" s="2">
        <v>4.3454348853720149E-3</v>
      </c>
      <c r="E89" s="3" t="s">
        <v>1092</v>
      </c>
      <c r="F89" s="33">
        <v>1496</v>
      </c>
      <c r="G89" s="25">
        <v>4.3454348853720149E-3</v>
      </c>
      <c r="H89" s="33">
        <f>SUM($F$18:F89)</f>
        <v>297142.22000000003</v>
      </c>
      <c r="I89" s="31">
        <f>SUM($G$18:G89)</f>
        <v>0.86310973843909533</v>
      </c>
      <c r="J89" s="26">
        <v>4</v>
      </c>
      <c r="K89" s="25">
        <f t="shared" si="2"/>
        <v>4.0404040404040404E-3</v>
      </c>
      <c r="L89" s="25">
        <f>SUM($K$18:K89)</f>
        <v>0.65656565656565669</v>
      </c>
      <c r="M89" s="29" t="str">
        <f t="shared" si="3"/>
        <v>B</v>
      </c>
    </row>
    <row r="90" spans="1:13" x14ac:dyDescent="0.35">
      <c r="A90" s="14" t="s">
        <v>717</v>
      </c>
      <c r="B90" s="1">
        <v>1419.25</v>
      </c>
      <c r="C90" s="2">
        <v>4.1224989712996211E-3</v>
      </c>
      <c r="E90" s="3" t="s">
        <v>717</v>
      </c>
      <c r="F90" s="33">
        <v>1419.25</v>
      </c>
      <c r="G90" s="25">
        <v>4.1224989712996211E-3</v>
      </c>
      <c r="H90" s="33">
        <f>SUM($F$18:F90)</f>
        <v>298561.47000000003</v>
      </c>
      <c r="I90" s="31">
        <f>SUM($G$18:G90)</f>
        <v>0.8672322374103949</v>
      </c>
      <c r="J90" s="26">
        <v>6</v>
      </c>
      <c r="K90" s="25">
        <f t="shared" si="2"/>
        <v>6.0606060606060606E-3</v>
      </c>
      <c r="L90" s="25">
        <f>SUM($K$18:K90)</f>
        <v>0.66262626262626279</v>
      </c>
      <c r="M90" s="29" t="str">
        <f t="shared" si="3"/>
        <v>B</v>
      </c>
    </row>
    <row r="91" spans="1:13" x14ac:dyDescent="0.35">
      <c r="A91" s="14" t="s">
        <v>828</v>
      </c>
      <c r="B91" s="1">
        <v>1417</v>
      </c>
      <c r="C91" s="2">
        <v>4.1159633907567814E-3</v>
      </c>
      <c r="E91" s="3" t="s">
        <v>828</v>
      </c>
      <c r="F91" s="33">
        <v>1417</v>
      </c>
      <c r="G91" s="25">
        <v>4.1159633907567814E-3</v>
      </c>
      <c r="H91" s="33">
        <f>SUM($F$18:F91)</f>
        <v>299978.47000000003</v>
      </c>
      <c r="I91" s="31">
        <f>SUM($G$18:G91)</f>
        <v>0.87134820080115172</v>
      </c>
      <c r="J91" s="26">
        <v>4</v>
      </c>
      <c r="K91" s="25">
        <f t="shared" si="2"/>
        <v>4.0404040404040404E-3</v>
      </c>
      <c r="L91" s="25">
        <f>SUM($K$18:K91)</f>
        <v>0.66666666666666685</v>
      </c>
      <c r="M91" s="29" t="str">
        <f t="shared" si="3"/>
        <v>B</v>
      </c>
    </row>
    <row r="92" spans="1:13" x14ac:dyDescent="0.35">
      <c r="A92" s="14" t="s">
        <v>544</v>
      </c>
      <c r="B92" s="1">
        <v>1416.3999999999999</v>
      </c>
      <c r="C92" s="2">
        <v>4.1142205692786911E-3</v>
      </c>
      <c r="E92" s="3" t="s">
        <v>544</v>
      </c>
      <c r="F92" s="33">
        <v>1416.3999999999999</v>
      </c>
      <c r="G92" s="25">
        <v>4.1142205692786911E-3</v>
      </c>
      <c r="H92" s="33">
        <f>SUM($F$18:F92)</f>
        <v>301394.87000000005</v>
      </c>
      <c r="I92" s="31">
        <f>SUM($G$18:G92)</f>
        <v>0.8754624213704304</v>
      </c>
      <c r="J92" s="26">
        <v>8</v>
      </c>
      <c r="K92" s="25">
        <f t="shared" si="2"/>
        <v>8.0808080808080808E-3</v>
      </c>
      <c r="L92" s="25">
        <f>SUM($K$18:K92)</f>
        <v>0.67474747474747498</v>
      </c>
      <c r="M92" s="29" t="str">
        <f t="shared" si="3"/>
        <v>B</v>
      </c>
    </row>
    <row r="93" spans="1:13" x14ac:dyDescent="0.35">
      <c r="A93" s="14" t="s">
        <v>170</v>
      </c>
      <c r="B93" s="1">
        <v>1386</v>
      </c>
      <c r="C93" s="2">
        <v>4.025917614388779E-3</v>
      </c>
      <c r="E93" s="3" t="s">
        <v>170</v>
      </c>
      <c r="F93" s="33">
        <v>1386</v>
      </c>
      <c r="G93" s="25">
        <v>4.025917614388779E-3</v>
      </c>
      <c r="H93" s="33">
        <f>SUM($F$18:F93)</f>
        <v>302780.87000000005</v>
      </c>
      <c r="I93" s="31">
        <f>SUM($G$18:G93)</f>
        <v>0.87948833898481915</v>
      </c>
      <c r="J93" s="26">
        <v>6</v>
      </c>
      <c r="K93" s="25">
        <f t="shared" si="2"/>
        <v>6.0606060606060606E-3</v>
      </c>
      <c r="L93" s="25">
        <f>SUM($K$18:K93)</f>
        <v>0.68080808080808108</v>
      </c>
      <c r="M93" s="29" t="str">
        <f t="shared" si="3"/>
        <v>B</v>
      </c>
    </row>
    <row r="94" spans="1:13" x14ac:dyDescent="0.35">
      <c r="A94" s="14" t="s">
        <v>116</v>
      </c>
      <c r="B94" s="1">
        <v>1362</v>
      </c>
      <c r="C94" s="2">
        <v>3.9562047552651634E-3</v>
      </c>
      <c r="E94" s="3" t="s">
        <v>116</v>
      </c>
      <c r="F94" s="33">
        <v>1362</v>
      </c>
      <c r="G94" s="25">
        <v>3.9562047552651634E-3</v>
      </c>
      <c r="H94" s="33">
        <f>SUM($F$18:F94)</f>
        <v>304142.87000000005</v>
      </c>
      <c r="I94" s="31">
        <f>SUM($G$18:G94)</f>
        <v>0.8834445437400843</v>
      </c>
      <c r="J94" s="26">
        <v>10</v>
      </c>
      <c r="K94" s="25">
        <f t="shared" si="2"/>
        <v>1.0101010101010102E-2</v>
      </c>
      <c r="L94" s="25">
        <f>SUM($K$18:K94)</f>
        <v>0.69090909090909114</v>
      </c>
      <c r="M94" s="29" t="str">
        <f t="shared" si="3"/>
        <v>B</v>
      </c>
    </row>
    <row r="95" spans="1:13" x14ac:dyDescent="0.35">
      <c r="A95" s="14" t="s">
        <v>707</v>
      </c>
      <c r="B95" s="1">
        <v>1361.6</v>
      </c>
      <c r="C95" s="2">
        <v>3.9550428742797699E-3</v>
      </c>
      <c r="E95" s="3" t="s">
        <v>707</v>
      </c>
      <c r="F95" s="33">
        <v>1361.6</v>
      </c>
      <c r="G95" s="25">
        <v>3.9550428742797699E-3</v>
      </c>
      <c r="H95" s="33">
        <f>SUM($F$18:F95)</f>
        <v>305504.47000000003</v>
      </c>
      <c r="I95" s="31">
        <f>SUM($G$18:G95)</f>
        <v>0.88739958661436402</v>
      </c>
      <c r="J95" s="26">
        <v>9</v>
      </c>
      <c r="K95" s="25">
        <f t="shared" si="2"/>
        <v>9.0909090909090905E-3</v>
      </c>
      <c r="L95" s="25">
        <f>SUM($K$18:K95)</f>
        <v>0.70000000000000018</v>
      </c>
      <c r="M95" s="29" t="str">
        <f t="shared" si="3"/>
        <v>B</v>
      </c>
    </row>
    <row r="96" spans="1:13" x14ac:dyDescent="0.35">
      <c r="A96" s="14" t="s">
        <v>836</v>
      </c>
      <c r="B96" s="1">
        <v>1340</v>
      </c>
      <c r="C96" s="2">
        <v>3.8923013010685164E-3</v>
      </c>
      <c r="E96" s="3" t="s">
        <v>836</v>
      </c>
      <c r="F96" s="33">
        <v>1340</v>
      </c>
      <c r="G96" s="25">
        <v>3.8923013010685164E-3</v>
      </c>
      <c r="H96" s="33">
        <f>SUM($F$18:F96)</f>
        <v>306844.47000000003</v>
      </c>
      <c r="I96" s="31">
        <f>SUM($G$18:G96)</f>
        <v>0.89129188791543257</v>
      </c>
      <c r="J96" s="26">
        <v>8</v>
      </c>
      <c r="K96" s="25">
        <f t="shared" si="2"/>
        <v>8.0808080808080808E-3</v>
      </c>
      <c r="L96" s="25">
        <f>SUM($K$18:K96)</f>
        <v>0.70808080808080831</v>
      </c>
      <c r="M96" s="29" t="str">
        <f t="shared" si="3"/>
        <v>B</v>
      </c>
    </row>
    <row r="97" spans="1:14" x14ac:dyDescent="0.35">
      <c r="A97" s="14" t="s">
        <v>812</v>
      </c>
      <c r="B97" s="1">
        <v>1309</v>
      </c>
      <c r="C97" s="2">
        <v>3.802255524700514E-3</v>
      </c>
      <c r="E97" s="3" t="s">
        <v>812</v>
      </c>
      <c r="F97" s="33">
        <v>1309</v>
      </c>
      <c r="G97" s="25">
        <v>3.802255524700514E-3</v>
      </c>
      <c r="H97" s="33">
        <f>SUM($F$18:F97)</f>
        <v>308153.47000000003</v>
      </c>
      <c r="I97" s="31">
        <f>SUM($G$18:G97)</f>
        <v>0.89509414344013305</v>
      </c>
      <c r="J97" s="26">
        <v>7</v>
      </c>
      <c r="K97" s="25">
        <f t="shared" si="2"/>
        <v>7.0707070707070711E-3</v>
      </c>
      <c r="L97" s="25">
        <f>SUM($K$18:K97)</f>
        <v>0.71515151515151543</v>
      </c>
      <c r="M97" s="29" t="str">
        <f t="shared" si="3"/>
        <v>B</v>
      </c>
    </row>
    <row r="98" spans="1:14" x14ac:dyDescent="0.35">
      <c r="A98" s="14" t="s">
        <v>627</v>
      </c>
      <c r="B98" s="1">
        <v>1302.5</v>
      </c>
      <c r="C98" s="2">
        <v>3.7833749586878682E-3</v>
      </c>
      <c r="E98" s="3" t="s">
        <v>627</v>
      </c>
      <c r="F98" s="33">
        <v>1302.5</v>
      </c>
      <c r="G98" s="25">
        <v>3.7833749586878682E-3</v>
      </c>
      <c r="H98" s="33">
        <f>SUM($F$18:F98)</f>
        <v>309455.97000000003</v>
      </c>
      <c r="I98" s="31">
        <f>SUM($G$18:G98)</f>
        <v>0.89887751839882091</v>
      </c>
      <c r="J98" s="26">
        <v>9</v>
      </c>
      <c r="K98" s="25">
        <f t="shared" si="2"/>
        <v>9.0909090909090905E-3</v>
      </c>
      <c r="L98" s="25">
        <f>SUM($K$18:K98)</f>
        <v>0.72424242424242447</v>
      </c>
      <c r="M98" s="29" t="str">
        <f t="shared" si="3"/>
        <v>B</v>
      </c>
    </row>
    <row r="99" spans="1:14" x14ac:dyDescent="0.35">
      <c r="A99" s="14" t="s">
        <v>416</v>
      </c>
      <c r="B99" s="1">
        <v>1254</v>
      </c>
      <c r="C99" s="2">
        <v>3.6424968892088952E-3</v>
      </c>
      <c r="E99" s="3" t="s">
        <v>416</v>
      </c>
      <c r="F99" s="33">
        <v>1254</v>
      </c>
      <c r="G99" s="25">
        <v>3.6424968892088952E-3</v>
      </c>
      <c r="H99" s="33">
        <f>SUM($F$18:F99)</f>
        <v>310709.97000000003</v>
      </c>
      <c r="I99" s="31">
        <f>SUM($G$18:G99)</f>
        <v>0.90252001528802983</v>
      </c>
      <c r="J99" s="26">
        <v>7</v>
      </c>
      <c r="K99" s="25">
        <f t="shared" si="2"/>
        <v>7.0707070707070711E-3</v>
      </c>
      <c r="L99" s="25">
        <f>SUM($K$18:K99)</f>
        <v>0.73131313131313158</v>
      </c>
      <c r="M99" s="29" t="str">
        <f t="shared" si="3"/>
        <v>B</v>
      </c>
    </row>
    <row r="100" spans="1:14" x14ac:dyDescent="0.35">
      <c r="A100" s="14" t="s">
        <v>817</v>
      </c>
      <c r="B100" s="1">
        <v>1233</v>
      </c>
      <c r="C100" s="2">
        <v>3.581498137475732E-3</v>
      </c>
      <c r="E100" s="3" t="s">
        <v>817</v>
      </c>
      <c r="F100" s="33">
        <v>1233</v>
      </c>
      <c r="G100" s="25">
        <v>3.581498137475732E-3</v>
      </c>
      <c r="H100" s="33">
        <f>SUM($F$18:F100)</f>
        <v>311942.97000000003</v>
      </c>
      <c r="I100" s="31">
        <f>SUM($G$18:G100)</f>
        <v>0.9061015134255056</v>
      </c>
      <c r="J100" s="26">
        <v>6</v>
      </c>
      <c r="K100" s="25">
        <f t="shared" si="2"/>
        <v>6.0606060606060606E-3</v>
      </c>
      <c r="L100" s="25">
        <f>SUM($K$18:K100)</f>
        <v>0.73737373737373768</v>
      </c>
      <c r="M100" s="29" t="str">
        <f t="shared" si="3"/>
        <v>B</v>
      </c>
    </row>
    <row r="101" spans="1:14" x14ac:dyDescent="0.35">
      <c r="A101" s="14" t="s">
        <v>211</v>
      </c>
      <c r="B101" s="1">
        <v>1212.5</v>
      </c>
      <c r="C101" s="2">
        <v>3.5219517369743107E-3</v>
      </c>
      <c r="E101" s="3" t="s">
        <v>211</v>
      </c>
      <c r="F101" s="33">
        <v>1212.5</v>
      </c>
      <c r="G101" s="25">
        <v>3.5219517369743107E-3</v>
      </c>
      <c r="H101" s="33">
        <f>SUM($F$18:F101)</f>
        <v>313155.47000000003</v>
      </c>
      <c r="I101" s="31">
        <f>SUM($G$18:G101)</f>
        <v>0.90962346516247994</v>
      </c>
      <c r="J101" s="26">
        <v>6</v>
      </c>
      <c r="K101" s="25">
        <f t="shared" si="2"/>
        <v>6.0606060606060606E-3</v>
      </c>
      <c r="L101" s="25">
        <f>SUM($K$18:K101)</f>
        <v>0.74343434343434378</v>
      </c>
      <c r="M101" s="29" t="str">
        <f t="shared" si="3"/>
        <v>B</v>
      </c>
    </row>
    <row r="102" spans="1:14" x14ac:dyDescent="0.35">
      <c r="A102" s="14" t="s">
        <v>1257</v>
      </c>
      <c r="B102" s="1">
        <v>1210</v>
      </c>
      <c r="C102" s="2">
        <v>3.5146899808156003E-3</v>
      </c>
      <c r="E102" s="3" t="s">
        <v>1257</v>
      </c>
      <c r="F102" s="33">
        <v>1210</v>
      </c>
      <c r="G102" s="25">
        <v>3.5146899808156003E-3</v>
      </c>
      <c r="H102" s="33">
        <f>SUM($F$18:F102)</f>
        <v>314365.47000000003</v>
      </c>
      <c r="I102" s="31">
        <f>SUM($G$18:G102)</f>
        <v>0.91313815514329555</v>
      </c>
      <c r="J102" s="26">
        <v>3</v>
      </c>
      <c r="K102" s="25">
        <f t="shared" si="2"/>
        <v>3.0303030303030303E-3</v>
      </c>
      <c r="L102" s="25">
        <f>SUM($K$18:K102)</f>
        <v>0.74646464646464683</v>
      </c>
      <c r="M102" s="29" t="str">
        <f t="shared" si="3"/>
        <v>B</v>
      </c>
    </row>
    <row r="103" spans="1:14" x14ac:dyDescent="0.35">
      <c r="A103" s="14" t="s">
        <v>293</v>
      </c>
      <c r="B103" s="1">
        <v>1194</v>
      </c>
      <c r="C103" s="2">
        <v>3.4682147413998567E-3</v>
      </c>
      <c r="E103" s="3" t="s">
        <v>293</v>
      </c>
      <c r="F103" s="33">
        <v>1194</v>
      </c>
      <c r="G103" s="25">
        <v>3.4682147413998567E-3</v>
      </c>
      <c r="H103" s="33">
        <f>SUM($F$18:F103)</f>
        <v>315559.47000000003</v>
      </c>
      <c r="I103" s="31">
        <f>SUM($G$18:G103)</f>
        <v>0.91660636988469546</v>
      </c>
      <c r="J103" s="26">
        <v>12</v>
      </c>
      <c r="K103" s="25">
        <f t="shared" si="2"/>
        <v>1.2121212121212121E-2</v>
      </c>
      <c r="L103" s="25">
        <f>SUM($K$18:K103)</f>
        <v>0.75858585858585892</v>
      </c>
      <c r="M103" s="29" t="str">
        <f t="shared" si="3"/>
        <v>B</v>
      </c>
    </row>
    <row r="104" spans="1:14" x14ac:dyDescent="0.35">
      <c r="A104" s="14" t="s">
        <v>1109</v>
      </c>
      <c r="B104" s="1">
        <v>1192.5</v>
      </c>
      <c r="C104" s="2">
        <v>3.4638576877046314E-3</v>
      </c>
      <c r="E104" s="3" t="s">
        <v>1109</v>
      </c>
      <c r="F104" s="33">
        <v>1192.5</v>
      </c>
      <c r="G104" s="25">
        <v>3.4638576877046314E-3</v>
      </c>
      <c r="H104" s="33">
        <f>SUM($F$18:F104)</f>
        <v>316751.97000000003</v>
      </c>
      <c r="I104" s="31">
        <f>SUM($G$18:G104)</f>
        <v>0.92007022757240009</v>
      </c>
      <c r="J104" s="26">
        <v>10</v>
      </c>
      <c r="K104" s="25">
        <f t="shared" si="2"/>
        <v>1.0101010101010102E-2</v>
      </c>
      <c r="L104" s="25">
        <f>SUM($K$18:K104)</f>
        <v>0.76868686868686897</v>
      </c>
      <c r="M104" s="29" t="str">
        <f t="shared" si="3"/>
        <v>B</v>
      </c>
    </row>
    <row r="105" spans="1:14" x14ac:dyDescent="0.35">
      <c r="A105" s="14" t="s">
        <v>397</v>
      </c>
      <c r="B105" s="1">
        <v>1180</v>
      </c>
      <c r="C105" s="2">
        <v>3.4275489069110813E-3</v>
      </c>
      <c r="E105" s="3" t="s">
        <v>397</v>
      </c>
      <c r="F105" s="33">
        <v>1180</v>
      </c>
      <c r="G105" s="25">
        <v>3.4275489069110813E-3</v>
      </c>
      <c r="H105" s="33">
        <f>SUM($F$18:F105)</f>
        <v>317931.97000000003</v>
      </c>
      <c r="I105" s="31">
        <f>SUM($G$18:G105)</f>
        <v>0.92349777647931119</v>
      </c>
      <c r="J105" s="26">
        <v>6</v>
      </c>
      <c r="K105" s="25">
        <f t="shared" si="2"/>
        <v>6.0606060606060606E-3</v>
      </c>
      <c r="L105" s="25">
        <f>SUM($K$18:K105)</f>
        <v>0.77474747474747507</v>
      </c>
      <c r="M105" s="29" t="str">
        <f t="shared" si="3"/>
        <v>B</v>
      </c>
    </row>
    <row r="106" spans="1:14" x14ac:dyDescent="0.35">
      <c r="A106" s="14" t="s">
        <v>592</v>
      </c>
      <c r="B106" s="1">
        <v>1175</v>
      </c>
      <c r="C106" s="2">
        <v>3.4130253945936617E-3</v>
      </c>
      <c r="E106" s="3" t="s">
        <v>592</v>
      </c>
      <c r="F106" s="33">
        <v>1175</v>
      </c>
      <c r="G106" s="25">
        <v>3.4130253945936617E-3</v>
      </c>
      <c r="H106" s="33">
        <f>SUM($F$18:F106)</f>
        <v>319106.97000000003</v>
      </c>
      <c r="I106" s="31">
        <f>SUM($G$18:G106)</f>
        <v>0.92691080187390484</v>
      </c>
      <c r="J106" s="26">
        <v>4</v>
      </c>
      <c r="K106" s="25">
        <f t="shared" si="2"/>
        <v>4.0404040404040404E-3</v>
      </c>
      <c r="L106" s="25">
        <f>SUM($K$18:K106)</f>
        <v>0.77878787878787914</v>
      </c>
      <c r="M106" s="29" t="str">
        <f t="shared" si="3"/>
        <v>B</v>
      </c>
    </row>
    <row r="107" spans="1:14" x14ac:dyDescent="0.35">
      <c r="A107" s="14" t="s">
        <v>1016</v>
      </c>
      <c r="B107" s="1">
        <v>1167.5</v>
      </c>
      <c r="C107" s="2">
        <v>3.391240126117532E-3</v>
      </c>
      <c r="E107" s="3" t="s">
        <v>1016</v>
      </c>
      <c r="F107" s="33">
        <v>1167.5</v>
      </c>
      <c r="G107" s="25">
        <v>3.391240126117532E-3</v>
      </c>
      <c r="H107" s="33">
        <f>SUM($F$18:F107)</f>
        <v>320274.47000000003</v>
      </c>
      <c r="I107" s="31">
        <f>SUM($G$18:G107)</f>
        <v>0.93030204200002242</v>
      </c>
      <c r="J107" s="26">
        <v>9</v>
      </c>
      <c r="K107" s="25">
        <f t="shared" si="2"/>
        <v>9.0909090909090905E-3</v>
      </c>
      <c r="L107" s="25">
        <f>SUM($K$18:K107)</f>
        <v>0.78787878787878818</v>
      </c>
      <c r="M107" s="29" t="str">
        <f t="shared" si="3"/>
        <v>B</v>
      </c>
    </row>
    <row r="108" spans="1:14" x14ac:dyDescent="0.35">
      <c r="A108" s="14" t="s">
        <v>554</v>
      </c>
      <c r="B108" s="1">
        <v>1165</v>
      </c>
      <c r="C108" s="2">
        <v>3.3839783699588224E-3</v>
      </c>
      <c r="E108" s="3" t="s">
        <v>554</v>
      </c>
      <c r="F108" s="33">
        <v>1165</v>
      </c>
      <c r="G108" s="25">
        <v>3.3839783699588224E-3</v>
      </c>
      <c r="H108" s="33">
        <f>SUM($F$18:F108)</f>
        <v>321439.47000000003</v>
      </c>
      <c r="I108" s="31">
        <f>SUM($G$18:G108)</f>
        <v>0.93368602036998127</v>
      </c>
      <c r="J108" s="26">
        <v>9</v>
      </c>
      <c r="K108" s="25">
        <f t="shared" si="2"/>
        <v>9.0909090909090905E-3</v>
      </c>
      <c r="L108" s="25">
        <f>SUM($K$18:K108)</f>
        <v>0.79696969696969722</v>
      </c>
      <c r="M108" s="29" t="str">
        <f t="shared" si="3"/>
        <v>B</v>
      </c>
    </row>
    <row r="109" spans="1:14" x14ac:dyDescent="0.35">
      <c r="A109" s="14" t="s">
        <v>216</v>
      </c>
      <c r="B109" s="1">
        <v>1162</v>
      </c>
      <c r="C109" s="2">
        <v>3.37526426256837E-3</v>
      </c>
      <c r="E109" s="3" t="s">
        <v>216</v>
      </c>
      <c r="F109" s="33">
        <v>1162</v>
      </c>
      <c r="G109" s="25">
        <v>3.37526426256837E-3</v>
      </c>
      <c r="H109" s="33">
        <f>SUM($F$18:F109)</f>
        <v>322601.47000000003</v>
      </c>
      <c r="I109" s="31">
        <f>SUM($G$18:G109)</f>
        <v>0.93706128463254967</v>
      </c>
      <c r="J109" s="26">
        <v>4</v>
      </c>
      <c r="K109" s="25">
        <f t="shared" si="2"/>
        <v>4.0404040404040404E-3</v>
      </c>
      <c r="L109" s="25">
        <f>SUM($K$18:K109)</f>
        <v>0.80101010101010128</v>
      </c>
      <c r="M109" s="29" t="str">
        <f t="shared" si="3"/>
        <v>B</v>
      </c>
    </row>
    <row r="110" spans="1:14" x14ac:dyDescent="0.35">
      <c r="A110" s="14" t="s">
        <v>47</v>
      </c>
      <c r="B110" s="1">
        <v>1152.75</v>
      </c>
      <c r="C110" s="2">
        <v>3.3483957647811435E-3</v>
      </c>
      <c r="E110" s="3" t="s">
        <v>47</v>
      </c>
      <c r="F110" s="33">
        <v>1152.75</v>
      </c>
      <c r="G110" s="25">
        <v>3.3483957647811435E-3</v>
      </c>
      <c r="H110" s="33">
        <f>SUM($F$18:F110)</f>
        <v>323754.22000000003</v>
      </c>
      <c r="I110" s="31">
        <f>SUM($G$18:G110)</f>
        <v>0.94040968039733086</v>
      </c>
      <c r="J110" s="26">
        <v>9</v>
      </c>
      <c r="K110" s="25">
        <f t="shared" si="2"/>
        <v>9.0909090909090905E-3</v>
      </c>
      <c r="L110" s="25">
        <f>SUM($K$18:K110)</f>
        <v>0.81010101010101032</v>
      </c>
      <c r="M110" s="29" t="str">
        <f t="shared" si="3"/>
        <v>B</v>
      </c>
    </row>
    <row r="111" spans="1:14" x14ac:dyDescent="0.35">
      <c r="A111" s="14" t="s">
        <v>574</v>
      </c>
      <c r="B111" s="1">
        <v>1150</v>
      </c>
      <c r="C111" s="2">
        <v>3.3404078330065631E-3</v>
      </c>
      <c r="E111" s="3" t="s">
        <v>574</v>
      </c>
      <c r="F111" s="33">
        <v>1150</v>
      </c>
      <c r="G111" s="25">
        <v>3.3404078330065631E-3</v>
      </c>
      <c r="H111" s="33">
        <f>SUM($F$18:F111)</f>
        <v>324904.22000000003</v>
      </c>
      <c r="I111" s="31">
        <f>SUM($G$18:G111)</f>
        <v>0.94375008823033746</v>
      </c>
      <c r="J111" s="26">
        <v>11</v>
      </c>
      <c r="K111" s="25">
        <f t="shared" si="2"/>
        <v>1.1111111111111112E-2</v>
      </c>
      <c r="L111" s="25">
        <f>SUM($K$18:K111)</f>
        <v>0.82121212121212139</v>
      </c>
      <c r="M111" s="29" t="str">
        <f t="shared" si="3"/>
        <v>B</v>
      </c>
    </row>
    <row r="112" spans="1:14" x14ac:dyDescent="0.35">
      <c r="A112" s="14" t="s">
        <v>180</v>
      </c>
      <c r="B112" s="1">
        <v>1115.1500000000001</v>
      </c>
      <c r="C112" s="2">
        <v>3.239178952154146E-3</v>
      </c>
      <c r="E112" s="3" t="s">
        <v>180</v>
      </c>
      <c r="F112" s="33">
        <v>1115.1500000000001</v>
      </c>
      <c r="G112" s="25">
        <v>3.239178952154146E-3</v>
      </c>
      <c r="H112" s="33">
        <f>SUM($F$18:F112)</f>
        <v>326019.37000000005</v>
      </c>
      <c r="I112" s="31">
        <f>SUM($G$18:G112)</f>
        <v>0.94698926718249166</v>
      </c>
      <c r="J112" s="26">
        <v>11</v>
      </c>
      <c r="K112" s="25">
        <f t="shared" si="2"/>
        <v>1.1111111111111112E-2</v>
      </c>
      <c r="L112" s="25">
        <f>SUM($K$18:K112)</f>
        <v>0.83232323232323246</v>
      </c>
      <c r="M112" s="29" t="str">
        <f t="shared" si="3"/>
        <v>B</v>
      </c>
      <c r="N112" s="35"/>
    </row>
    <row r="113" spans="1:13" x14ac:dyDescent="0.35">
      <c r="A113" s="14" t="s">
        <v>686</v>
      </c>
      <c r="B113" s="1">
        <v>1062.5</v>
      </c>
      <c r="C113" s="2">
        <v>3.0862463674517153E-3</v>
      </c>
      <c r="E113" s="3" t="s">
        <v>686</v>
      </c>
      <c r="F113" s="33">
        <v>1062.5</v>
      </c>
      <c r="G113" s="25">
        <v>3.0862463674517153E-3</v>
      </c>
      <c r="H113" s="33">
        <f>SUM($F$18:F113)</f>
        <v>327081.87000000005</v>
      </c>
      <c r="I113" s="31">
        <f>SUM($G$18:G113)</f>
        <v>0.95007551354994335</v>
      </c>
      <c r="J113" s="26">
        <v>5</v>
      </c>
      <c r="K113" s="25">
        <f t="shared" si="2"/>
        <v>5.0505050505050509E-3</v>
      </c>
      <c r="L113" s="25">
        <f>SUM($K$18:K113)</f>
        <v>0.83737373737373755</v>
      </c>
      <c r="M113" s="30" t="str">
        <f t="shared" si="3"/>
        <v>C</v>
      </c>
    </row>
    <row r="114" spans="1:13" x14ac:dyDescent="0.35">
      <c r="A114" s="14" t="s">
        <v>132</v>
      </c>
      <c r="B114" s="1">
        <v>1028</v>
      </c>
      <c r="C114" s="2">
        <v>2.9860341324615186E-3</v>
      </c>
      <c r="E114" s="3" t="s">
        <v>132</v>
      </c>
      <c r="F114" s="33">
        <v>1028</v>
      </c>
      <c r="G114" s="25">
        <v>2.9860341324615186E-3</v>
      </c>
      <c r="H114" s="33">
        <f>SUM($F$18:F114)</f>
        <v>328109.87000000005</v>
      </c>
      <c r="I114" s="31">
        <f>SUM($G$18:G114)</f>
        <v>0.95306154768240492</v>
      </c>
      <c r="J114" s="26">
        <v>6</v>
      </c>
      <c r="K114" s="25">
        <f t="shared" si="2"/>
        <v>6.0606060606060606E-3</v>
      </c>
      <c r="L114" s="25">
        <f>SUM($K$18:K114)</f>
        <v>0.84343434343434365</v>
      </c>
      <c r="M114" s="30" t="str">
        <f t="shared" si="3"/>
        <v>C</v>
      </c>
    </row>
    <row r="115" spans="1:13" x14ac:dyDescent="0.35">
      <c r="A115" s="14" t="s">
        <v>142</v>
      </c>
      <c r="B115" s="1">
        <v>1004</v>
      </c>
      <c r="C115" s="2">
        <v>2.9163212733379035E-3</v>
      </c>
      <c r="E115" s="3" t="s">
        <v>142</v>
      </c>
      <c r="F115" s="33">
        <v>1004</v>
      </c>
      <c r="G115" s="25">
        <v>2.9163212733379035E-3</v>
      </c>
      <c r="H115" s="33">
        <f>SUM($F$18:F115)</f>
        <v>329113.87000000005</v>
      </c>
      <c r="I115" s="31">
        <f>SUM($G$18:G115)</f>
        <v>0.95597786895574277</v>
      </c>
      <c r="J115" s="26">
        <v>5</v>
      </c>
      <c r="K115" s="25">
        <f t="shared" si="2"/>
        <v>5.0505050505050509E-3</v>
      </c>
      <c r="L115" s="25">
        <f>SUM($K$18:K115)</f>
        <v>0.84848484848484873</v>
      </c>
      <c r="M115" s="30" t="str">
        <f t="shared" si="3"/>
        <v>C</v>
      </c>
    </row>
    <row r="116" spans="1:13" x14ac:dyDescent="0.35">
      <c r="A116" s="14" t="s">
        <v>121</v>
      </c>
      <c r="B116" s="1">
        <v>1002.55</v>
      </c>
      <c r="C116" s="2">
        <v>2.9121094547658517E-3</v>
      </c>
      <c r="E116" s="3" t="s">
        <v>121</v>
      </c>
      <c r="F116" s="33">
        <v>1002.55</v>
      </c>
      <c r="G116" s="25">
        <v>2.9121094547658517E-3</v>
      </c>
      <c r="H116" s="33">
        <f>SUM($F$18:F116)</f>
        <v>330116.42000000004</v>
      </c>
      <c r="I116" s="31">
        <f>SUM($G$18:G116)</f>
        <v>0.9588899784105086</v>
      </c>
      <c r="J116" s="26">
        <v>8</v>
      </c>
      <c r="K116" s="25">
        <f t="shared" si="2"/>
        <v>8.0808080808080808E-3</v>
      </c>
      <c r="L116" s="25">
        <f>SUM($K$18:K116)</f>
        <v>0.85656565656565686</v>
      </c>
      <c r="M116" s="30" t="str">
        <f t="shared" si="3"/>
        <v>C</v>
      </c>
    </row>
    <row r="117" spans="1:13" x14ac:dyDescent="0.35">
      <c r="A117" s="14" t="s">
        <v>298</v>
      </c>
      <c r="B117" s="1">
        <v>957.15</v>
      </c>
      <c r="C117" s="2">
        <v>2.7802359629236794E-3</v>
      </c>
      <c r="E117" s="3" t="s">
        <v>298</v>
      </c>
      <c r="F117" s="33">
        <v>957.15</v>
      </c>
      <c r="G117" s="25">
        <v>2.7802359629236794E-3</v>
      </c>
      <c r="H117" s="33">
        <f>SUM($F$18:F117)</f>
        <v>331073.57000000007</v>
      </c>
      <c r="I117" s="31">
        <f>SUM($G$18:G117)</f>
        <v>0.96167021437343225</v>
      </c>
      <c r="J117" s="26">
        <v>6</v>
      </c>
      <c r="K117" s="25">
        <f t="shared" si="2"/>
        <v>6.0606060606060606E-3</v>
      </c>
      <c r="L117" s="25">
        <f>SUM($K$18:K117)</f>
        <v>0.86262626262626296</v>
      </c>
      <c r="M117" s="30" t="str">
        <f t="shared" si="3"/>
        <v>C</v>
      </c>
    </row>
    <row r="118" spans="1:13" x14ac:dyDescent="0.35">
      <c r="A118" s="14" t="s">
        <v>615</v>
      </c>
      <c r="B118" s="1">
        <v>954.4</v>
      </c>
      <c r="C118" s="2">
        <v>2.7722480311490987E-3</v>
      </c>
      <c r="E118" s="3" t="s">
        <v>615</v>
      </c>
      <c r="F118" s="33">
        <v>954.4</v>
      </c>
      <c r="G118" s="25">
        <v>2.7722480311490987E-3</v>
      </c>
      <c r="H118" s="33">
        <f>SUM($F$18:F118)</f>
        <v>332027.97000000009</v>
      </c>
      <c r="I118" s="31">
        <f>SUM($G$18:G118)</f>
        <v>0.96444246240458131</v>
      </c>
      <c r="J118" s="26">
        <v>8</v>
      </c>
      <c r="K118" s="25">
        <f t="shared" si="2"/>
        <v>8.0808080808080808E-3</v>
      </c>
      <c r="L118" s="25">
        <f>SUM($K$18:K118)</f>
        <v>0.8707070707070711</v>
      </c>
      <c r="M118" s="30" t="str">
        <f t="shared" si="3"/>
        <v>C</v>
      </c>
    </row>
    <row r="119" spans="1:13" x14ac:dyDescent="0.35">
      <c r="A119" s="14" t="s">
        <v>70</v>
      </c>
      <c r="B119" s="1">
        <v>898.85</v>
      </c>
      <c r="C119" s="2">
        <v>2.6108918093025644E-3</v>
      </c>
      <c r="E119" s="3" t="s">
        <v>70</v>
      </c>
      <c r="F119" s="33">
        <v>898.85</v>
      </c>
      <c r="G119" s="25">
        <v>2.6108918093025644E-3</v>
      </c>
      <c r="H119" s="33">
        <f>SUM($F$18:F119)</f>
        <v>332926.82000000007</v>
      </c>
      <c r="I119" s="31">
        <f>SUM($G$18:G119)</f>
        <v>0.96705335421388383</v>
      </c>
      <c r="J119" s="26">
        <v>9</v>
      </c>
      <c r="K119" s="25">
        <f t="shared" si="2"/>
        <v>9.0909090909090905E-3</v>
      </c>
      <c r="L119" s="25">
        <f>SUM($K$18:K119)</f>
        <v>0.87979797979798013</v>
      </c>
      <c r="M119" s="30" t="str">
        <f t="shared" si="3"/>
        <v>C</v>
      </c>
    </row>
    <row r="120" spans="1:13" x14ac:dyDescent="0.35">
      <c r="A120" s="14" t="s">
        <v>193</v>
      </c>
      <c r="B120" s="1">
        <v>883.7</v>
      </c>
      <c r="C120" s="2">
        <v>2.5668855669807819E-3</v>
      </c>
      <c r="E120" s="3" t="s">
        <v>193</v>
      </c>
      <c r="F120" s="33">
        <v>883.7</v>
      </c>
      <c r="G120" s="25">
        <v>2.5668855669807819E-3</v>
      </c>
      <c r="H120" s="33">
        <f>SUM($F$18:F120)</f>
        <v>333810.52000000008</v>
      </c>
      <c r="I120" s="31">
        <f>SUM($G$18:G120)</f>
        <v>0.96962023978086465</v>
      </c>
      <c r="J120" s="26">
        <v>7</v>
      </c>
      <c r="K120" s="25">
        <f t="shared" si="2"/>
        <v>7.0707070707070711E-3</v>
      </c>
      <c r="L120" s="25">
        <f>SUM($K$18:K120)</f>
        <v>0.88686868686868725</v>
      </c>
      <c r="M120" s="30" t="str">
        <f t="shared" si="3"/>
        <v>C</v>
      </c>
    </row>
    <row r="121" spans="1:13" x14ac:dyDescent="0.35">
      <c r="A121" s="14" t="s">
        <v>24</v>
      </c>
      <c r="B121" s="1">
        <v>870</v>
      </c>
      <c r="C121" s="2">
        <v>2.5270911432310516E-3</v>
      </c>
      <c r="E121" s="3" t="s">
        <v>24</v>
      </c>
      <c r="F121" s="33">
        <v>870</v>
      </c>
      <c r="G121" s="25">
        <v>2.5270911432310516E-3</v>
      </c>
      <c r="H121" s="33">
        <f>SUM($F$18:F121)</f>
        <v>334680.52000000008</v>
      </c>
      <c r="I121" s="31">
        <f>SUM($G$18:G121)</f>
        <v>0.97214733092409567</v>
      </c>
      <c r="J121" s="26">
        <v>7</v>
      </c>
      <c r="K121" s="25">
        <f t="shared" si="2"/>
        <v>7.0707070707070711E-3</v>
      </c>
      <c r="L121" s="25">
        <f>SUM($K$18:K121)</f>
        <v>0.89393939393939437</v>
      </c>
      <c r="M121" s="30" t="str">
        <f t="shared" si="3"/>
        <v>C</v>
      </c>
    </row>
    <row r="122" spans="1:13" x14ac:dyDescent="0.35">
      <c r="A122" s="14" t="s">
        <v>700</v>
      </c>
      <c r="B122" s="1">
        <v>868.47</v>
      </c>
      <c r="C122" s="2">
        <v>2.5226469484619209E-3</v>
      </c>
      <c r="E122" s="3" t="s">
        <v>700</v>
      </c>
      <c r="F122" s="33">
        <v>868.47</v>
      </c>
      <c r="G122" s="25">
        <v>2.5226469484619209E-3</v>
      </c>
      <c r="H122" s="33">
        <f>SUM($F$18:F122)</f>
        <v>335548.99000000005</v>
      </c>
      <c r="I122" s="31">
        <f>SUM($G$18:G122)</f>
        <v>0.9746699778725576</v>
      </c>
      <c r="J122" s="26">
        <v>6</v>
      </c>
      <c r="K122" s="25">
        <f t="shared" si="2"/>
        <v>6.0606060606060606E-3</v>
      </c>
      <c r="L122" s="25">
        <f>SUM($K$18:K122)</f>
        <v>0.90000000000000047</v>
      </c>
      <c r="M122" s="30" t="str">
        <f t="shared" si="3"/>
        <v>C</v>
      </c>
    </row>
    <row r="123" spans="1:13" x14ac:dyDescent="0.35">
      <c r="A123" s="14" t="s">
        <v>789</v>
      </c>
      <c r="B123" s="1">
        <v>851.9</v>
      </c>
      <c r="C123" s="2">
        <v>2.4745160286419919E-3</v>
      </c>
      <c r="E123" s="3" t="s">
        <v>789</v>
      </c>
      <c r="F123" s="33">
        <v>851.9</v>
      </c>
      <c r="G123" s="25">
        <v>2.4745160286419919E-3</v>
      </c>
      <c r="H123" s="33">
        <f>SUM($F$18:F123)</f>
        <v>336400.89000000007</v>
      </c>
      <c r="I123" s="31">
        <f>SUM($G$18:G123)</f>
        <v>0.97714449390119962</v>
      </c>
      <c r="J123" s="26">
        <v>8</v>
      </c>
      <c r="K123" s="25">
        <f t="shared" si="2"/>
        <v>8.0808080808080808E-3</v>
      </c>
      <c r="L123" s="25">
        <f>SUM($K$18:K123)</f>
        <v>0.9080808080808086</v>
      </c>
      <c r="M123" s="30" t="str">
        <f t="shared" si="3"/>
        <v>C</v>
      </c>
    </row>
    <row r="124" spans="1:13" x14ac:dyDescent="0.35">
      <c r="A124" s="14" t="s">
        <v>230</v>
      </c>
      <c r="B124" s="1">
        <v>838.80000000000007</v>
      </c>
      <c r="C124" s="2">
        <v>2.4364644263703519E-3</v>
      </c>
      <c r="E124" s="3" t="s">
        <v>230</v>
      </c>
      <c r="F124" s="33">
        <v>838.80000000000007</v>
      </c>
      <c r="G124" s="25">
        <v>2.4364644263703519E-3</v>
      </c>
      <c r="H124" s="33">
        <f>SUM($F$18:F124)</f>
        <v>337239.69000000006</v>
      </c>
      <c r="I124" s="31">
        <f>SUM($G$18:G124)</f>
        <v>0.97958095832756997</v>
      </c>
      <c r="J124" s="26">
        <v>8</v>
      </c>
      <c r="K124" s="25">
        <f t="shared" si="2"/>
        <v>8.0808080808080808E-3</v>
      </c>
      <c r="L124" s="25">
        <f>SUM($K$18:K124)</f>
        <v>0.91616161616161673</v>
      </c>
      <c r="M124" s="30" t="str">
        <f t="shared" si="3"/>
        <v>C</v>
      </c>
    </row>
    <row r="125" spans="1:13" x14ac:dyDescent="0.35">
      <c r="A125" s="14" t="s">
        <v>198</v>
      </c>
      <c r="B125" s="1">
        <v>832</v>
      </c>
      <c r="C125" s="2">
        <v>2.416712449618661E-3</v>
      </c>
      <c r="E125" s="3" t="s">
        <v>198</v>
      </c>
      <c r="F125" s="33">
        <v>832</v>
      </c>
      <c r="G125" s="25">
        <v>2.416712449618661E-3</v>
      </c>
      <c r="H125" s="33">
        <f>SUM($F$18:F125)</f>
        <v>338071.69000000006</v>
      </c>
      <c r="I125" s="31">
        <f>SUM($G$18:G125)</f>
        <v>0.98199767077718858</v>
      </c>
      <c r="J125" s="26">
        <v>7</v>
      </c>
      <c r="K125" s="25">
        <f t="shared" si="2"/>
        <v>7.0707070707070711E-3</v>
      </c>
      <c r="L125" s="25">
        <f>SUM($K$18:K125)</f>
        <v>0.92323232323232385</v>
      </c>
      <c r="M125" s="30" t="str">
        <f t="shared" si="3"/>
        <v>C</v>
      </c>
    </row>
    <row r="126" spans="1:13" x14ac:dyDescent="0.35">
      <c r="A126" s="14" t="s">
        <v>1350</v>
      </c>
      <c r="B126" s="1">
        <v>813.8</v>
      </c>
      <c r="C126" s="2">
        <v>2.363846864783253E-3</v>
      </c>
      <c r="E126" s="3" t="s">
        <v>1350</v>
      </c>
      <c r="F126" s="33">
        <v>813.8</v>
      </c>
      <c r="G126" s="25">
        <v>2.363846864783253E-3</v>
      </c>
      <c r="H126" s="33">
        <f>SUM($F$18:F126)</f>
        <v>338885.49000000005</v>
      </c>
      <c r="I126" s="31">
        <f>SUM($G$18:G126)</f>
        <v>0.98436151764197188</v>
      </c>
      <c r="J126" s="26">
        <v>5</v>
      </c>
      <c r="K126" s="25">
        <f t="shared" si="2"/>
        <v>5.0505050505050509E-3</v>
      </c>
      <c r="L126" s="25">
        <f>SUM($K$18:K126)</f>
        <v>0.92828282828282893</v>
      </c>
      <c r="M126" s="30" t="str">
        <f t="shared" si="3"/>
        <v>C</v>
      </c>
    </row>
    <row r="127" spans="1:13" x14ac:dyDescent="0.35">
      <c r="A127" s="14" t="s">
        <v>531</v>
      </c>
      <c r="B127" s="1">
        <v>811.5</v>
      </c>
      <c r="C127" s="2">
        <v>2.3571660491172393E-3</v>
      </c>
      <c r="E127" s="3" t="s">
        <v>531</v>
      </c>
      <c r="F127" s="33">
        <v>811.5</v>
      </c>
      <c r="G127" s="25">
        <v>2.3571660491172393E-3</v>
      </c>
      <c r="H127" s="33">
        <f>SUM($F$18:F127)</f>
        <v>339696.99000000005</v>
      </c>
      <c r="I127" s="31">
        <f>SUM($G$18:G127)</f>
        <v>0.98671868369108917</v>
      </c>
      <c r="J127" s="26">
        <v>9</v>
      </c>
      <c r="K127" s="25">
        <f t="shared" si="2"/>
        <v>9.0909090909090905E-3</v>
      </c>
      <c r="L127" s="25">
        <f>SUM($K$18:K127)</f>
        <v>0.93737373737373797</v>
      </c>
      <c r="M127" s="30" t="str">
        <f t="shared" si="3"/>
        <v>C</v>
      </c>
    </row>
    <row r="128" spans="1:13" x14ac:dyDescent="0.35">
      <c r="A128" s="14" t="s">
        <v>600</v>
      </c>
      <c r="B128" s="1">
        <v>765.95</v>
      </c>
      <c r="C128" s="2">
        <v>2.2248568519055447E-3</v>
      </c>
      <c r="E128" s="3" t="s">
        <v>600</v>
      </c>
      <c r="F128" s="33">
        <v>765.95</v>
      </c>
      <c r="G128" s="25">
        <v>2.2248568519055447E-3</v>
      </c>
      <c r="H128" s="33">
        <f>SUM($F$18:F128)</f>
        <v>340462.94000000006</v>
      </c>
      <c r="I128" s="31">
        <f>SUM($G$18:G128)</f>
        <v>0.98894354054299471</v>
      </c>
      <c r="J128" s="26">
        <v>7</v>
      </c>
      <c r="K128" s="25">
        <f t="shared" si="2"/>
        <v>7.0707070707070711E-3</v>
      </c>
      <c r="L128" s="25">
        <f>SUM($K$18:K128)</f>
        <v>0.94444444444444509</v>
      </c>
      <c r="M128" s="30" t="str">
        <f t="shared" si="3"/>
        <v>C</v>
      </c>
    </row>
    <row r="129" spans="1:14" x14ac:dyDescent="0.35">
      <c r="A129" s="14" t="s">
        <v>272</v>
      </c>
      <c r="B129" s="1">
        <v>580</v>
      </c>
      <c r="C129" s="2">
        <v>1.6847274288207014E-3</v>
      </c>
      <c r="E129" s="3" t="s">
        <v>272</v>
      </c>
      <c r="F129" s="33">
        <v>580</v>
      </c>
      <c r="G129" s="25">
        <v>1.6847274288207014E-3</v>
      </c>
      <c r="H129" s="33">
        <f>SUM($F$18:F129)</f>
        <v>341042.94000000006</v>
      </c>
      <c r="I129" s="31">
        <f>SUM($G$18:G129)</f>
        <v>0.99062826797181547</v>
      </c>
      <c r="J129" s="26">
        <v>9</v>
      </c>
      <c r="K129" s="25">
        <f t="shared" si="2"/>
        <v>9.0909090909090905E-3</v>
      </c>
      <c r="L129" s="25">
        <f>SUM($K$18:K129)</f>
        <v>0.95353535353535412</v>
      </c>
      <c r="M129" s="30" t="str">
        <f t="shared" si="3"/>
        <v>C</v>
      </c>
    </row>
    <row r="130" spans="1:14" x14ac:dyDescent="0.35">
      <c r="A130" s="14" t="s">
        <v>37</v>
      </c>
      <c r="B130" s="1">
        <v>575.29999999999995</v>
      </c>
      <c r="C130" s="2">
        <v>1.6710753272423263E-3</v>
      </c>
      <c r="E130" s="3" t="s">
        <v>37</v>
      </c>
      <c r="F130" s="33">
        <v>575.29999999999995</v>
      </c>
      <c r="G130" s="25">
        <v>1.6710753272423263E-3</v>
      </c>
      <c r="H130" s="33">
        <f>SUM($F$18:F130)</f>
        <v>341618.24000000005</v>
      </c>
      <c r="I130" s="31">
        <f>SUM($G$18:G130)</f>
        <v>0.99229934329905778</v>
      </c>
      <c r="J130" s="26">
        <v>7</v>
      </c>
      <c r="K130" s="25">
        <f t="shared" si="2"/>
        <v>7.0707070707070711E-3</v>
      </c>
      <c r="L130" s="25">
        <f>SUM($K$18:K130)</f>
        <v>0.96060606060606124</v>
      </c>
      <c r="M130" s="30" t="str">
        <f t="shared" si="3"/>
        <v>C</v>
      </c>
    </row>
    <row r="131" spans="1:14" x14ac:dyDescent="0.35">
      <c r="A131" s="14" t="s">
        <v>526</v>
      </c>
      <c r="B131" s="1">
        <v>478.8</v>
      </c>
      <c r="C131" s="2">
        <v>1.3907715395161239E-3</v>
      </c>
      <c r="E131" s="3" t="s">
        <v>526</v>
      </c>
      <c r="F131" s="33">
        <v>478.8</v>
      </c>
      <c r="G131" s="25">
        <v>1.3907715395161239E-3</v>
      </c>
      <c r="H131" s="33">
        <f>SUM($F$18:F131)</f>
        <v>342097.04000000004</v>
      </c>
      <c r="I131" s="31">
        <f>SUM($G$18:G131)</f>
        <v>0.99369011483857395</v>
      </c>
      <c r="J131" s="26">
        <v>4</v>
      </c>
      <c r="K131" s="25">
        <f t="shared" si="2"/>
        <v>4.0404040404040404E-3</v>
      </c>
      <c r="L131" s="25">
        <f>SUM($K$18:K131)</f>
        <v>0.96464646464646531</v>
      </c>
      <c r="M131" s="30" t="str">
        <f t="shared" si="3"/>
        <v>C</v>
      </c>
    </row>
    <row r="132" spans="1:14" x14ac:dyDescent="0.35">
      <c r="A132" s="14" t="s">
        <v>2626</v>
      </c>
      <c r="B132" s="1">
        <v>420</v>
      </c>
      <c r="C132" s="2">
        <v>1.2199750346632663E-3</v>
      </c>
      <c r="E132" s="3" t="s">
        <v>2626</v>
      </c>
      <c r="F132" s="33">
        <v>420</v>
      </c>
      <c r="G132" s="25">
        <v>1.2199750346632663E-3</v>
      </c>
      <c r="H132" s="33">
        <f>SUM($F$18:F132)</f>
        <v>342517.04000000004</v>
      </c>
      <c r="I132" s="31">
        <f>SUM($G$18:G132)</f>
        <v>0.99491008987323726</v>
      </c>
      <c r="J132" s="26">
        <v>5</v>
      </c>
      <c r="K132" s="25">
        <f t="shared" si="2"/>
        <v>5.0505050505050509E-3</v>
      </c>
      <c r="L132" s="25">
        <f>SUM($K$18:K132)</f>
        <v>0.96969696969697039</v>
      </c>
      <c r="M132" s="30" t="str">
        <f t="shared" si="3"/>
        <v>C</v>
      </c>
    </row>
    <row r="133" spans="1:14" x14ac:dyDescent="0.35">
      <c r="A133" s="14" t="s">
        <v>947</v>
      </c>
      <c r="B133" s="1">
        <v>380.40000000000003</v>
      </c>
      <c r="C133" s="2">
        <v>1.1049488171093011E-3</v>
      </c>
      <c r="E133" s="3" t="s">
        <v>947</v>
      </c>
      <c r="F133" s="33">
        <v>380.40000000000003</v>
      </c>
      <c r="G133" s="25">
        <v>1.1049488171093011E-3</v>
      </c>
      <c r="H133" s="33">
        <f>SUM($F$18:F133)</f>
        <v>342897.44000000006</v>
      </c>
      <c r="I133" s="31">
        <f>SUM($G$18:G133)</f>
        <v>0.99601503869034658</v>
      </c>
      <c r="J133" s="26">
        <v>5</v>
      </c>
      <c r="K133" s="25">
        <f t="shared" si="2"/>
        <v>5.0505050505050509E-3</v>
      </c>
      <c r="L133" s="25">
        <f>SUM($K$18:K133)</f>
        <v>0.97474747474747547</v>
      </c>
      <c r="M133" s="30" t="str">
        <f t="shared" si="3"/>
        <v>C</v>
      </c>
    </row>
    <row r="134" spans="1:14" x14ac:dyDescent="0.35">
      <c r="A134" s="14" t="s">
        <v>368</v>
      </c>
      <c r="B134" s="1">
        <v>346.5</v>
      </c>
      <c r="C134" s="2">
        <v>1.0064794035971947E-3</v>
      </c>
      <c r="E134" s="3" t="s">
        <v>368</v>
      </c>
      <c r="F134" s="33">
        <v>346.5</v>
      </c>
      <c r="G134" s="25">
        <v>1.0064794035971947E-3</v>
      </c>
      <c r="H134" s="33">
        <f>SUM($F$18:F134)</f>
        <v>343243.94000000006</v>
      </c>
      <c r="I134" s="31">
        <f>SUM($G$18:G134)</f>
        <v>0.99702151809394379</v>
      </c>
      <c r="J134" s="26">
        <v>3</v>
      </c>
      <c r="K134" s="25">
        <f t="shared" si="2"/>
        <v>3.0303030303030303E-3</v>
      </c>
      <c r="L134" s="25">
        <f>SUM($K$18:K134)</f>
        <v>0.97777777777777852</v>
      </c>
      <c r="M134" s="30" t="str">
        <f t="shared" si="3"/>
        <v>C</v>
      </c>
    </row>
    <row r="135" spans="1:14" x14ac:dyDescent="0.35">
      <c r="A135" s="14" t="s">
        <v>582</v>
      </c>
      <c r="B135" s="1">
        <v>337.6</v>
      </c>
      <c r="C135" s="2">
        <v>9.8062755167218751E-4</v>
      </c>
      <c r="E135" s="3" t="s">
        <v>582</v>
      </c>
      <c r="F135" s="33">
        <v>337.6</v>
      </c>
      <c r="G135" s="25">
        <v>9.8062755167218751E-4</v>
      </c>
      <c r="H135" s="33">
        <f>SUM($F$18:F135)</f>
        <v>343581.54000000004</v>
      </c>
      <c r="I135" s="31">
        <f>SUM($G$18:G135)</f>
        <v>0.99800214564561596</v>
      </c>
      <c r="J135" s="26">
        <v>6</v>
      </c>
      <c r="K135" s="25">
        <f t="shared" si="2"/>
        <v>6.0606060606060606E-3</v>
      </c>
      <c r="L135" s="25">
        <f>SUM($K$18:K135)</f>
        <v>0.98383838383838462</v>
      </c>
      <c r="M135" s="30" t="str">
        <f t="shared" si="3"/>
        <v>C</v>
      </c>
    </row>
    <row r="136" spans="1:14" x14ac:dyDescent="0.35">
      <c r="A136" s="14" t="s">
        <v>243</v>
      </c>
      <c r="B136" s="1">
        <v>332</v>
      </c>
      <c r="C136" s="2">
        <v>9.6436121787667726E-4</v>
      </c>
      <c r="E136" s="3" t="s">
        <v>243</v>
      </c>
      <c r="F136" s="33">
        <v>332</v>
      </c>
      <c r="G136" s="25">
        <v>9.6436121787667726E-4</v>
      </c>
      <c r="H136" s="33">
        <f>SUM($F$18:F136)</f>
        <v>343913.54000000004</v>
      </c>
      <c r="I136" s="31">
        <f>SUM($G$18:G136)</f>
        <v>0.99896650686349264</v>
      </c>
      <c r="J136" s="26">
        <v>4</v>
      </c>
      <c r="K136" s="25">
        <f t="shared" si="2"/>
        <v>4.0404040404040404E-3</v>
      </c>
      <c r="L136" s="25">
        <f>SUM($K$18:K136)</f>
        <v>0.98787878787878869</v>
      </c>
      <c r="M136" s="30" t="str">
        <f t="shared" si="3"/>
        <v>C</v>
      </c>
    </row>
    <row r="137" spans="1:14" x14ac:dyDescent="0.35">
      <c r="A137" s="14" t="s">
        <v>188</v>
      </c>
      <c r="B137" s="1">
        <v>253.4</v>
      </c>
      <c r="C137" s="2">
        <v>7.3605160424683729E-4</v>
      </c>
      <c r="E137" s="3" t="s">
        <v>188</v>
      </c>
      <c r="F137" s="33">
        <v>253.4</v>
      </c>
      <c r="G137" s="25">
        <v>7.3605160424683729E-4</v>
      </c>
      <c r="H137" s="33">
        <f>SUM($F$18:F137)</f>
        <v>344166.94000000006</v>
      </c>
      <c r="I137" s="31">
        <f>SUM($G$18:G137)</f>
        <v>0.99970255846773948</v>
      </c>
      <c r="J137" s="26">
        <v>5</v>
      </c>
      <c r="K137" s="25">
        <f t="shared" si="2"/>
        <v>5.0505050505050509E-3</v>
      </c>
      <c r="L137" s="25">
        <f>SUM($K$18:K137)</f>
        <v>0.99292929292929377</v>
      </c>
      <c r="M137" s="30" t="str">
        <f t="shared" si="3"/>
        <v>C</v>
      </c>
    </row>
    <row r="138" spans="1:14" x14ac:dyDescent="0.35">
      <c r="A138" s="14" t="s">
        <v>1138</v>
      </c>
      <c r="B138" s="1">
        <v>102.39999999999999</v>
      </c>
      <c r="C138" s="2">
        <v>2.9744153226075827E-4</v>
      </c>
      <c r="E138" s="3" t="s">
        <v>1138</v>
      </c>
      <c r="F138" s="33">
        <v>102.39999999999999</v>
      </c>
      <c r="G138" s="25">
        <v>2.9744153226075827E-4</v>
      </c>
      <c r="H138" s="33">
        <f>SUM($F$18:F138)</f>
        <v>344269.34000000008</v>
      </c>
      <c r="I138" s="31">
        <f>SUM($G$18:G138)</f>
        <v>1.0000000000000002</v>
      </c>
      <c r="J138" s="26">
        <v>7</v>
      </c>
      <c r="K138" s="25">
        <f t="shared" si="2"/>
        <v>7.0707070707070711E-3</v>
      </c>
      <c r="L138" s="25">
        <f>SUM($K$18:K138)</f>
        <v>1.0000000000000009</v>
      </c>
      <c r="M138" s="30" t="str">
        <f t="shared" si="3"/>
        <v>C</v>
      </c>
      <c r="N138" s="35"/>
    </row>
    <row r="139" spans="1:14" x14ac:dyDescent="0.35">
      <c r="A139" s="14" t="s">
        <v>3469</v>
      </c>
      <c r="B139" s="1">
        <v>344269.34</v>
      </c>
      <c r="C139" s="2">
        <v>0.99999999999999989</v>
      </c>
      <c r="F139" s="23"/>
      <c r="G139" s="22"/>
      <c r="H139" s="22"/>
      <c r="I139" s="22"/>
      <c r="J139" s="22"/>
      <c r="K139" s="22"/>
      <c r="L139" s="22"/>
    </row>
    <row r="142" spans="1:14" hidden="1" x14ac:dyDescent="0.35">
      <c r="A142" s="13" t="s">
        <v>3488</v>
      </c>
      <c r="B142" t="s">
        <v>3489</v>
      </c>
    </row>
    <row r="143" spans="1:14" hidden="1" x14ac:dyDescent="0.35">
      <c r="E143" s="27">
        <v>2025</v>
      </c>
    </row>
    <row r="144" spans="1:14" hidden="1" x14ac:dyDescent="0.35">
      <c r="A144" s="13" t="s">
        <v>3468</v>
      </c>
      <c r="B144" t="s">
        <v>3474</v>
      </c>
      <c r="E144" s="28" t="s">
        <v>3476</v>
      </c>
      <c r="F144" s="28" t="s">
        <v>3482</v>
      </c>
      <c r="G144" s="28" t="s">
        <v>3483</v>
      </c>
      <c r="H144" s="28" t="s">
        <v>3485</v>
      </c>
      <c r="I144" s="28" t="s">
        <v>3484</v>
      </c>
      <c r="J144" s="28" t="s">
        <v>3479</v>
      </c>
      <c r="K144" s="28" t="s">
        <v>3480</v>
      </c>
      <c r="L144" s="28" t="s">
        <v>3481</v>
      </c>
      <c r="M144" s="28" t="s">
        <v>3477</v>
      </c>
    </row>
    <row r="145" spans="1:14" hidden="1" x14ac:dyDescent="0.35">
      <c r="A145" s="14" t="s">
        <v>517</v>
      </c>
      <c r="B145" s="1">
        <v>3975</v>
      </c>
      <c r="E145" s="14" t="s">
        <v>517</v>
      </c>
      <c r="F145" s="1">
        <v>3975</v>
      </c>
      <c r="G145" s="2">
        <f>F145/GETPIVOTDATA("ADU",$A$144)</f>
        <v>7.9159928945251201E-2</v>
      </c>
      <c r="H145" s="32">
        <f>SUM($F$145:F145)</f>
        <v>3975</v>
      </c>
      <c r="I145" s="2">
        <f>SUM($G$145:G145)</f>
        <v>7.9159928945251201E-2</v>
      </c>
      <c r="M145" s="19" t="str">
        <f>IF(I145&lt;=80%,"A",IF(AND(I145&gt;80%,I145&lt;=95%),"B",IF(I145&gt;95%,"C","NA")))</f>
        <v>A</v>
      </c>
      <c r="N145" s="34"/>
    </row>
    <row r="146" spans="1:14" hidden="1" x14ac:dyDescent="0.35">
      <c r="A146" s="14" t="s">
        <v>126</v>
      </c>
      <c r="B146" s="1">
        <v>3160</v>
      </c>
      <c r="E146" s="14" t="s">
        <v>126</v>
      </c>
      <c r="F146" s="1">
        <v>3160</v>
      </c>
      <c r="G146" s="2">
        <f t="shared" ref="G146:G209" si="4">F146/GETPIVOTDATA("ADU",$A$144)</f>
        <v>6.2929654205533037E-2</v>
      </c>
      <c r="H146" s="35">
        <f>SUM($F$145:F146)</f>
        <v>7135</v>
      </c>
      <c r="I146" s="2">
        <f>SUM($G$145:G146)</f>
        <v>0.14208958315078424</v>
      </c>
      <c r="M146" s="19" t="str">
        <f t="shared" ref="M146:M209" si="5">IF(I146&lt;=80%,"A",IF(AND(I146&gt;80%,I146&lt;=95%),"B",IF(I146&gt;95%,"C","NA")))</f>
        <v>A</v>
      </c>
    </row>
    <row r="147" spans="1:14" hidden="1" x14ac:dyDescent="0.35">
      <c r="A147" s="14" t="s">
        <v>984</v>
      </c>
      <c r="B147" s="1">
        <v>1660</v>
      </c>
      <c r="E147" s="14" t="s">
        <v>984</v>
      </c>
      <c r="F147" s="1">
        <v>1660</v>
      </c>
      <c r="G147" s="2">
        <f t="shared" si="4"/>
        <v>3.3057982905438238E-2</v>
      </c>
      <c r="H147" s="35">
        <f>SUM($F$145:F147)</f>
        <v>8795</v>
      </c>
      <c r="I147" s="2">
        <f>SUM($G$145:G147)</f>
        <v>0.17514756605622248</v>
      </c>
      <c r="M147" s="19" t="str">
        <f t="shared" si="5"/>
        <v>A</v>
      </c>
    </row>
    <row r="148" spans="1:14" hidden="1" x14ac:dyDescent="0.35">
      <c r="A148" s="14" t="s">
        <v>1081</v>
      </c>
      <c r="B148" s="1">
        <v>1560</v>
      </c>
      <c r="E148" s="14" t="s">
        <v>1081</v>
      </c>
      <c r="F148" s="1">
        <v>1560</v>
      </c>
      <c r="G148" s="2">
        <f t="shared" si="4"/>
        <v>3.1066538152098588E-2</v>
      </c>
      <c r="H148" s="35">
        <f>SUM($F$145:F148)</f>
        <v>10355</v>
      </c>
      <c r="I148" s="2">
        <f>SUM($G$145:G148)</f>
        <v>0.20621410420832106</v>
      </c>
      <c r="M148" s="19" t="str">
        <f t="shared" si="5"/>
        <v>A</v>
      </c>
    </row>
    <row r="149" spans="1:14" hidden="1" x14ac:dyDescent="0.35">
      <c r="A149" s="14" t="s">
        <v>156</v>
      </c>
      <c r="B149" s="1">
        <v>1476</v>
      </c>
      <c r="E149" s="14" t="s">
        <v>156</v>
      </c>
      <c r="F149" s="1">
        <v>1476</v>
      </c>
      <c r="G149" s="2">
        <f t="shared" si="4"/>
        <v>2.9393724559293278E-2</v>
      </c>
      <c r="H149" s="35">
        <f>SUM($F$145:F149)</f>
        <v>11831</v>
      </c>
      <c r="I149" s="2">
        <f>SUM($G$145:G149)</f>
        <v>0.23560782876761435</v>
      </c>
      <c r="M149" s="19" t="str">
        <f t="shared" si="5"/>
        <v>A</v>
      </c>
    </row>
    <row r="150" spans="1:14" hidden="1" x14ac:dyDescent="0.35">
      <c r="A150" s="14" t="s">
        <v>566</v>
      </c>
      <c r="B150" s="1">
        <v>1410</v>
      </c>
      <c r="E150" s="14" t="s">
        <v>566</v>
      </c>
      <c r="F150" s="1">
        <v>1410</v>
      </c>
      <c r="G150" s="2">
        <f t="shared" si="4"/>
        <v>2.8079371022089107E-2</v>
      </c>
      <c r="H150" s="35">
        <f>SUM($F$145:F150)</f>
        <v>13241</v>
      </c>
      <c r="I150" s="2">
        <f>SUM($G$145:G150)</f>
        <v>0.26368719978970345</v>
      </c>
      <c r="M150" s="19" t="str">
        <f t="shared" si="5"/>
        <v>A</v>
      </c>
    </row>
    <row r="151" spans="1:14" hidden="1" x14ac:dyDescent="0.35">
      <c r="A151" s="14" t="s">
        <v>587</v>
      </c>
      <c r="B151" s="1">
        <v>1403</v>
      </c>
      <c r="E151" s="14" t="s">
        <v>587</v>
      </c>
      <c r="F151" s="1">
        <v>1403</v>
      </c>
      <c r="G151" s="2">
        <f t="shared" si="4"/>
        <v>2.7939969889355331E-2</v>
      </c>
      <c r="H151" s="35">
        <f>SUM($F$145:F151)</f>
        <v>14644</v>
      </c>
      <c r="I151" s="2">
        <f>SUM($G$145:G151)</f>
        <v>0.29162716967905877</v>
      </c>
      <c r="M151" s="19" t="str">
        <f t="shared" si="5"/>
        <v>A</v>
      </c>
    </row>
    <row r="152" spans="1:14" hidden="1" x14ac:dyDescent="0.35">
      <c r="A152" s="14" t="s">
        <v>446</v>
      </c>
      <c r="B152" s="1">
        <v>1273</v>
      </c>
      <c r="E152" s="14" t="s">
        <v>446</v>
      </c>
      <c r="F152" s="1">
        <v>1273</v>
      </c>
      <c r="G152" s="2">
        <f t="shared" si="4"/>
        <v>2.5351091710013783E-2</v>
      </c>
      <c r="H152" s="35">
        <f>SUM($F$145:F152)</f>
        <v>15917</v>
      </c>
      <c r="I152" s="2">
        <f>SUM($G$145:G152)</f>
        <v>0.31697826138907254</v>
      </c>
      <c r="M152" s="19" t="str">
        <f t="shared" si="5"/>
        <v>A</v>
      </c>
    </row>
    <row r="153" spans="1:14" hidden="1" x14ac:dyDescent="0.35">
      <c r="A153" s="14" t="s">
        <v>220</v>
      </c>
      <c r="B153" s="1">
        <v>1240</v>
      </c>
      <c r="E153" s="14" t="s">
        <v>220</v>
      </c>
      <c r="F153" s="1">
        <v>1240</v>
      </c>
      <c r="G153" s="2">
        <f t="shared" si="4"/>
        <v>2.4693914941411696E-2</v>
      </c>
      <c r="H153" s="35">
        <f>SUM($F$145:F153)</f>
        <v>17157</v>
      </c>
      <c r="I153" s="2">
        <f>SUM($G$145:G153)</f>
        <v>0.34167217633048425</v>
      </c>
      <c r="M153" s="19" t="str">
        <f t="shared" si="5"/>
        <v>A</v>
      </c>
    </row>
    <row r="154" spans="1:14" hidden="1" x14ac:dyDescent="0.35">
      <c r="A154" s="14" t="s">
        <v>674</v>
      </c>
      <c r="B154" s="1">
        <v>1152</v>
      </c>
      <c r="E154" s="14" t="s">
        <v>674</v>
      </c>
      <c r="F154" s="1">
        <v>1152</v>
      </c>
      <c r="G154" s="2">
        <f t="shared" si="4"/>
        <v>2.2941443558472802E-2</v>
      </c>
      <c r="H154" s="35">
        <f>SUM($F$145:F154)</f>
        <v>18309</v>
      </c>
      <c r="I154" s="2">
        <f>SUM($G$145:G154)</f>
        <v>0.36461361988895702</v>
      </c>
      <c r="M154" s="19" t="str">
        <f t="shared" si="5"/>
        <v>A</v>
      </c>
    </row>
    <row r="155" spans="1:14" hidden="1" x14ac:dyDescent="0.35">
      <c r="A155" s="14" t="s">
        <v>288</v>
      </c>
      <c r="B155" s="1">
        <v>1152</v>
      </c>
      <c r="E155" s="14" t="s">
        <v>288</v>
      </c>
      <c r="F155" s="1">
        <v>1152</v>
      </c>
      <c r="G155" s="2">
        <f t="shared" si="4"/>
        <v>2.2941443558472802E-2</v>
      </c>
      <c r="H155" s="35">
        <f>SUM($F$145:F155)</f>
        <v>19461</v>
      </c>
      <c r="I155" s="2">
        <f>SUM($G$145:G155)</f>
        <v>0.38755506344742985</v>
      </c>
      <c r="M155" s="19" t="str">
        <f t="shared" si="5"/>
        <v>A</v>
      </c>
    </row>
    <row r="156" spans="1:14" hidden="1" x14ac:dyDescent="0.35">
      <c r="A156" s="14" t="s">
        <v>111</v>
      </c>
      <c r="B156" s="1">
        <v>978</v>
      </c>
      <c r="E156" s="14" t="s">
        <v>111</v>
      </c>
      <c r="F156" s="1">
        <v>978</v>
      </c>
      <c r="G156" s="2">
        <f t="shared" si="4"/>
        <v>1.9476329687661807E-2</v>
      </c>
      <c r="H156" s="35">
        <f>SUM($F$145:F156)</f>
        <v>20439</v>
      </c>
      <c r="I156" s="2">
        <f>SUM($G$145:G156)</f>
        <v>0.40703139313509168</v>
      </c>
      <c r="M156" s="19" t="str">
        <f t="shared" si="5"/>
        <v>A</v>
      </c>
    </row>
    <row r="157" spans="1:14" hidden="1" x14ac:dyDescent="0.35">
      <c r="A157" s="14" t="s">
        <v>17</v>
      </c>
      <c r="B157" s="1">
        <v>977.09999999999991</v>
      </c>
      <c r="E157" s="14" t="s">
        <v>17</v>
      </c>
      <c r="F157" s="1">
        <v>977.09999999999991</v>
      </c>
      <c r="G157" s="2">
        <f t="shared" si="4"/>
        <v>1.945840668488175E-2</v>
      </c>
      <c r="H157" s="35">
        <f>SUM($F$145:F157)</f>
        <v>21416.1</v>
      </c>
      <c r="I157" s="2">
        <f>SUM($G$145:G157)</f>
        <v>0.42648979981997343</v>
      </c>
      <c r="M157" s="19" t="str">
        <f t="shared" si="5"/>
        <v>A</v>
      </c>
    </row>
    <row r="158" spans="1:14" hidden="1" x14ac:dyDescent="0.35">
      <c r="A158" s="14" t="s">
        <v>59</v>
      </c>
      <c r="B158" s="1">
        <v>950</v>
      </c>
      <c r="E158" s="14" t="s">
        <v>59</v>
      </c>
      <c r="F158" s="1">
        <v>950</v>
      </c>
      <c r="G158" s="2">
        <f t="shared" si="4"/>
        <v>1.8918725156726705E-2</v>
      </c>
      <c r="H158" s="35">
        <f>SUM($F$145:F158)</f>
        <v>22366.1</v>
      </c>
      <c r="I158" s="2">
        <f>SUM($G$145:G158)</f>
        <v>0.44540852497670014</v>
      </c>
      <c r="M158" s="19" t="str">
        <f t="shared" si="5"/>
        <v>A</v>
      </c>
    </row>
    <row r="159" spans="1:14" hidden="1" x14ac:dyDescent="0.35">
      <c r="A159" s="14" t="s">
        <v>239</v>
      </c>
      <c r="B159" s="1">
        <v>949</v>
      </c>
      <c r="E159" s="14" t="s">
        <v>239</v>
      </c>
      <c r="F159" s="1">
        <v>949</v>
      </c>
      <c r="G159" s="2">
        <f t="shared" si="4"/>
        <v>1.8898810709193307E-2</v>
      </c>
      <c r="H159" s="35">
        <f>SUM($F$145:F159)</f>
        <v>23315.1</v>
      </c>
      <c r="I159" s="2">
        <f>SUM($G$145:G159)</f>
        <v>0.46430733568589344</v>
      </c>
      <c r="M159" s="19" t="str">
        <f t="shared" si="5"/>
        <v>A</v>
      </c>
    </row>
    <row r="160" spans="1:14" hidden="1" x14ac:dyDescent="0.35">
      <c r="A160" s="14" t="s">
        <v>342</v>
      </c>
      <c r="B160" s="1">
        <v>918</v>
      </c>
      <c r="E160" s="14" t="s">
        <v>342</v>
      </c>
      <c r="F160" s="1">
        <v>918</v>
      </c>
      <c r="G160" s="2">
        <f t="shared" si="4"/>
        <v>1.8281462835658013E-2</v>
      </c>
      <c r="H160" s="35">
        <f>SUM($F$145:F160)</f>
        <v>24233.1</v>
      </c>
      <c r="I160" s="2">
        <f>SUM($G$145:G160)</f>
        <v>0.48258879852155145</v>
      </c>
      <c r="M160" s="19" t="str">
        <f t="shared" si="5"/>
        <v>A</v>
      </c>
    </row>
    <row r="161" spans="1:13" hidden="1" x14ac:dyDescent="0.35">
      <c r="A161" s="14" t="s">
        <v>253</v>
      </c>
      <c r="B161" s="1">
        <v>865</v>
      </c>
      <c r="E161" s="14" t="s">
        <v>253</v>
      </c>
      <c r="F161" s="1">
        <v>865</v>
      </c>
      <c r="G161" s="2">
        <f t="shared" si="4"/>
        <v>1.7225997116388E-2</v>
      </c>
      <c r="H161" s="35">
        <f>SUM($F$145:F161)</f>
        <v>25098.1</v>
      </c>
      <c r="I161" s="2">
        <f>SUM($G$145:G161)</f>
        <v>0.49981479563793946</v>
      </c>
      <c r="M161" s="19" t="str">
        <f t="shared" si="5"/>
        <v>A</v>
      </c>
    </row>
    <row r="162" spans="1:13" hidden="1" x14ac:dyDescent="0.35">
      <c r="A162" s="14" t="s">
        <v>225</v>
      </c>
      <c r="B162" s="1">
        <v>845</v>
      </c>
      <c r="E162" s="14" t="s">
        <v>225</v>
      </c>
      <c r="F162" s="1">
        <v>845</v>
      </c>
      <c r="G162" s="2">
        <f t="shared" si="4"/>
        <v>1.6827708165720066E-2</v>
      </c>
      <c r="H162" s="35">
        <f>SUM($F$145:F162)</f>
        <v>25943.1</v>
      </c>
      <c r="I162" s="2">
        <f>SUM($G$145:G162)</f>
        <v>0.5166425038036595</v>
      </c>
      <c r="M162" s="19" t="str">
        <f t="shared" si="5"/>
        <v>A</v>
      </c>
    </row>
    <row r="163" spans="1:13" hidden="1" x14ac:dyDescent="0.35">
      <c r="A163" s="14" t="s">
        <v>490</v>
      </c>
      <c r="B163" s="1">
        <v>840</v>
      </c>
      <c r="E163" s="14" t="s">
        <v>490</v>
      </c>
      <c r="F163" s="1">
        <v>840</v>
      </c>
      <c r="G163" s="2">
        <f t="shared" si="4"/>
        <v>1.6728135928053084E-2</v>
      </c>
      <c r="H163" s="35">
        <f>SUM($F$145:F163)</f>
        <v>26783.1</v>
      </c>
      <c r="I163" s="2">
        <f>SUM($G$145:G163)</f>
        <v>0.53337063973171261</v>
      </c>
      <c r="M163" s="19" t="str">
        <f t="shared" si="5"/>
        <v>A</v>
      </c>
    </row>
    <row r="164" spans="1:13" hidden="1" x14ac:dyDescent="0.35">
      <c r="A164" s="14" t="s">
        <v>65</v>
      </c>
      <c r="B164" s="1">
        <v>792</v>
      </c>
      <c r="E164" s="14" t="s">
        <v>65</v>
      </c>
      <c r="F164" s="1">
        <v>792</v>
      </c>
      <c r="G164" s="2">
        <f t="shared" si="4"/>
        <v>1.5772242446450053E-2</v>
      </c>
      <c r="H164" s="35">
        <f>SUM($F$145:F164)</f>
        <v>27575.1</v>
      </c>
      <c r="I164" s="2">
        <f>SUM($G$145:G164)</f>
        <v>0.54914288217816265</v>
      </c>
      <c r="M164" s="19" t="str">
        <f t="shared" si="5"/>
        <v>A</v>
      </c>
    </row>
    <row r="165" spans="1:13" hidden="1" x14ac:dyDescent="0.35">
      <c r="A165" s="14" t="s">
        <v>1445</v>
      </c>
      <c r="B165" s="1">
        <v>790</v>
      </c>
      <c r="E165" s="14" t="s">
        <v>1445</v>
      </c>
      <c r="F165" s="1">
        <v>790</v>
      </c>
      <c r="G165" s="2">
        <f t="shared" si="4"/>
        <v>1.5732413551383259E-2</v>
      </c>
      <c r="H165" s="35">
        <f>SUM($F$145:F165)</f>
        <v>28365.1</v>
      </c>
      <c r="I165" s="2">
        <f>SUM($G$145:G165)</f>
        <v>0.56487529572954587</v>
      </c>
      <c r="M165" s="19" t="str">
        <f t="shared" si="5"/>
        <v>A</v>
      </c>
    </row>
    <row r="166" spans="1:13" hidden="1" x14ac:dyDescent="0.35">
      <c r="A166" s="14" t="s">
        <v>392</v>
      </c>
      <c r="B166" s="1">
        <v>764.5</v>
      </c>
      <c r="E166" s="14" t="s">
        <v>392</v>
      </c>
      <c r="F166" s="1">
        <v>764.5</v>
      </c>
      <c r="G166" s="2">
        <f t="shared" si="4"/>
        <v>1.5224595139281647E-2</v>
      </c>
      <c r="H166" s="35">
        <f>SUM($F$145:F166)</f>
        <v>29129.599999999999</v>
      </c>
      <c r="I166" s="2">
        <f>SUM($G$145:G166)</f>
        <v>0.58009989086882752</v>
      </c>
      <c r="M166" s="19" t="str">
        <f t="shared" si="5"/>
        <v>A</v>
      </c>
    </row>
    <row r="167" spans="1:13" hidden="1" x14ac:dyDescent="0.35">
      <c r="A167" s="14" t="s">
        <v>1117</v>
      </c>
      <c r="B167" s="1">
        <v>738</v>
      </c>
      <c r="E167" s="14" t="s">
        <v>1117</v>
      </c>
      <c r="F167" s="1">
        <v>738</v>
      </c>
      <c r="G167" s="2">
        <f t="shared" si="4"/>
        <v>1.4696862279646639E-2</v>
      </c>
      <c r="H167" s="35">
        <f>SUM($F$145:F167)</f>
        <v>29867.599999999999</v>
      </c>
      <c r="I167" s="2">
        <f>SUM($G$145:G167)</f>
        <v>0.59479675314847413</v>
      </c>
      <c r="M167" s="19" t="str">
        <f t="shared" si="5"/>
        <v>A</v>
      </c>
    </row>
    <row r="168" spans="1:13" hidden="1" x14ac:dyDescent="0.35">
      <c r="A168" s="14" t="s">
        <v>31</v>
      </c>
      <c r="B168" s="1">
        <v>708</v>
      </c>
      <c r="E168" s="14" t="s">
        <v>31</v>
      </c>
      <c r="F168" s="1">
        <v>708</v>
      </c>
      <c r="G168" s="2">
        <f t="shared" si="4"/>
        <v>1.4099428853644744E-2</v>
      </c>
      <c r="H168" s="35">
        <f>SUM($F$145:F168)</f>
        <v>30575.599999999999</v>
      </c>
      <c r="I168" s="2">
        <f>SUM($G$145:G168)</f>
        <v>0.60889618200211892</v>
      </c>
      <c r="M168" s="19" t="str">
        <f t="shared" si="5"/>
        <v>A</v>
      </c>
    </row>
    <row r="169" spans="1:13" hidden="1" x14ac:dyDescent="0.35">
      <c r="A169" s="14" t="s">
        <v>165</v>
      </c>
      <c r="B169" s="1">
        <v>697.8</v>
      </c>
      <c r="E169" s="14" t="s">
        <v>165</v>
      </c>
      <c r="F169" s="1">
        <v>697.8</v>
      </c>
      <c r="G169" s="2">
        <f t="shared" si="4"/>
        <v>1.3896301488804098E-2</v>
      </c>
      <c r="H169" s="35">
        <f>SUM($F$145:F169)</f>
        <v>31273.399999999998</v>
      </c>
      <c r="I169" s="2">
        <f>SUM($G$145:G169)</f>
        <v>0.62279248349092298</v>
      </c>
      <c r="M169" s="19" t="str">
        <f t="shared" si="5"/>
        <v>A</v>
      </c>
    </row>
    <row r="170" spans="1:13" hidden="1" x14ac:dyDescent="0.35">
      <c r="A170" s="14" t="s">
        <v>276</v>
      </c>
      <c r="B170" s="1">
        <v>697.45</v>
      </c>
      <c r="E170" s="14" t="s">
        <v>276</v>
      </c>
      <c r="F170" s="1">
        <v>697.45</v>
      </c>
      <c r="G170" s="2">
        <f t="shared" si="4"/>
        <v>1.3889331432167411E-2</v>
      </c>
      <c r="H170" s="35">
        <f>SUM($F$145:F170)</f>
        <v>31970.85</v>
      </c>
      <c r="I170" s="2">
        <f>SUM($G$145:G170)</f>
        <v>0.63668181492309039</v>
      </c>
      <c r="M170" s="19" t="str">
        <f t="shared" si="5"/>
        <v>A</v>
      </c>
    </row>
    <row r="171" spans="1:13" hidden="1" x14ac:dyDescent="0.35">
      <c r="A171" s="14" t="s">
        <v>80</v>
      </c>
      <c r="B171" s="1">
        <v>650</v>
      </c>
      <c r="E171" s="14" t="s">
        <v>80</v>
      </c>
      <c r="F171" s="1">
        <v>650</v>
      </c>
      <c r="G171" s="2">
        <f t="shared" si="4"/>
        <v>1.2944390896707745E-2</v>
      </c>
      <c r="H171" s="35">
        <f>SUM($F$145:F171)</f>
        <v>32620.85</v>
      </c>
      <c r="I171" s="2">
        <f>SUM($G$145:G171)</f>
        <v>0.64962620581979813</v>
      </c>
      <c r="M171" s="19" t="str">
        <f t="shared" si="5"/>
        <v>A</v>
      </c>
    </row>
    <row r="172" spans="1:13" hidden="1" x14ac:dyDescent="0.35">
      <c r="A172" s="14" t="s">
        <v>329</v>
      </c>
      <c r="B172" s="1">
        <v>644</v>
      </c>
      <c r="E172" s="14" t="s">
        <v>329</v>
      </c>
      <c r="F172" s="1">
        <v>644</v>
      </c>
      <c r="G172" s="2">
        <f t="shared" si="4"/>
        <v>1.2824904211507365E-2</v>
      </c>
      <c r="H172" s="35">
        <f>SUM($F$145:F172)</f>
        <v>33264.85</v>
      </c>
      <c r="I172" s="2">
        <f>SUM($G$145:G172)</f>
        <v>0.66245111003130552</v>
      </c>
      <c r="M172" s="19" t="str">
        <f t="shared" si="5"/>
        <v>A</v>
      </c>
    </row>
    <row r="173" spans="1:13" hidden="1" x14ac:dyDescent="0.35">
      <c r="A173" s="14" t="s">
        <v>549</v>
      </c>
      <c r="B173" s="1">
        <v>632.5</v>
      </c>
      <c r="E173" s="14" t="s">
        <v>549</v>
      </c>
      <c r="F173" s="1">
        <v>632.5</v>
      </c>
      <c r="G173" s="2">
        <f t="shared" si="4"/>
        <v>1.2595888064873306E-2</v>
      </c>
      <c r="H173" s="35">
        <f>SUM($F$145:F173)</f>
        <v>33897.35</v>
      </c>
      <c r="I173" s="2">
        <f>SUM($G$145:G173)</f>
        <v>0.67504699809617885</v>
      </c>
      <c r="M173" s="19" t="str">
        <f t="shared" si="5"/>
        <v>A</v>
      </c>
    </row>
    <row r="174" spans="1:13" hidden="1" x14ac:dyDescent="0.35">
      <c r="A174" s="14" t="s">
        <v>333</v>
      </c>
      <c r="B174" s="1">
        <v>620</v>
      </c>
      <c r="E174" s="14" t="s">
        <v>333</v>
      </c>
      <c r="F174" s="1">
        <v>620</v>
      </c>
      <c r="G174" s="2">
        <f t="shared" si="4"/>
        <v>1.2346957470705848E-2</v>
      </c>
      <c r="H174" s="35">
        <f>SUM($F$145:F174)</f>
        <v>34517.35</v>
      </c>
      <c r="I174" s="2">
        <f>SUM($G$145:G174)</f>
        <v>0.68739395556688465</v>
      </c>
      <c r="M174" s="19" t="str">
        <f t="shared" si="5"/>
        <v>A</v>
      </c>
    </row>
    <row r="175" spans="1:13" hidden="1" x14ac:dyDescent="0.35">
      <c r="A175" s="14" t="s">
        <v>438</v>
      </c>
      <c r="B175" s="1">
        <v>585</v>
      </c>
      <c r="E175" s="14" t="s">
        <v>438</v>
      </c>
      <c r="F175" s="1">
        <v>585</v>
      </c>
      <c r="G175" s="2">
        <f t="shared" si="4"/>
        <v>1.1649951807036971E-2</v>
      </c>
      <c r="H175" s="35">
        <f>SUM($F$145:F175)</f>
        <v>35102.35</v>
      </c>
      <c r="I175" s="2">
        <f>SUM($G$145:G175)</f>
        <v>0.69904390737392164</v>
      </c>
      <c r="M175" s="19" t="str">
        <f t="shared" si="5"/>
        <v>A</v>
      </c>
    </row>
    <row r="176" spans="1:13" hidden="1" x14ac:dyDescent="0.35">
      <c r="A176" s="14" t="s">
        <v>665</v>
      </c>
      <c r="B176" s="1">
        <v>566.1</v>
      </c>
      <c r="E176" s="14" t="s">
        <v>665</v>
      </c>
      <c r="F176" s="1">
        <v>566.1</v>
      </c>
      <c r="G176" s="2">
        <f t="shared" si="4"/>
        <v>1.1273568748655776E-2</v>
      </c>
      <c r="H176" s="35">
        <f>SUM($F$145:F176)</f>
        <v>35668.449999999997</v>
      </c>
      <c r="I176" s="2">
        <f>SUM($G$145:G176)</f>
        <v>0.71031747612257745</v>
      </c>
      <c r="M176" s="19" t="str">
        <f t="shared" si="5"/>
        <v>A</v>
      </c>
    </row>
    <row r="177" spans="1:13" hidden="1" x14ac:dyDescent="0.35">
      <c r="A177" s="14" t="s">
        <v>495</v>
      </c>
      <c r="B177" s="1">
        <v>564</v>
      </c>
      <c r="E177" s="14" t="s">
        <v>495</v>
      </c>
      <c r="F177" s="1">
        <v>564</v>
      </c>
      <c r="G177" s="2">
        <f t="shared" si="4"/>
        <v>1.1231748408835644E-2</v>
      </c>
      <c r="H177" s="35">
        <f>SUM($F$145:F177)</f>
        <v>36232.449999999997</v>
      </c>
      <c r="I177" s="2">
        <f>SUM($G$145:G177)</f>
        <v>0.72154922453141312</v>
      </c>
      <c r="M177" s="19" t="str">
        <f t="shared" si="5"/>
        <v>A</v>
      </c>
    </row>
    <row r="178" spans="1:13" hidden="1" x14ac:dyDescent="0.35">
      <c r="A178" s="14" t="s">
        <v>258</v>
      </c>
      <c r="B178" s="1">
        <v>560</v>
      </c>
      <c r="E178" s="14" t="s">
        <v>258</v>
      </c>
      <c r="F178" s="1">
        <v>560</v>
      </c>
      <c r="G178" s="2">
        <f t="shared" si="4"/>
        <v>1.1152090618702057E-2</v>
      </c>
      <c r="H178" s="35">
        <f>SUM($F$145:F178)</f>
        <v>36792.449999999997</v>
      </c>
      <c r="I178" s="2">
        <f>SUM($G$145:G178)</f>
        <v>0.73270131515011516</v>
      </c>
      <c r="M178" s="19" t="str">
        <f t="shared" si="5"/>
        <v>A</v>
      </c>
    </row>
    <row r="179" spans="1:13" hidden="1" x14ac:dyDescent="0.35">
      <c r="A179" s="14" t="s">
        <v>1202</v>
      </c>
      <c r="B179" s="1">
        <v>555</v>
      </c>
      <c r="E179" s="14" t="s">
        <v>1202</v>
      </c>
      <c r="F179" s="1">
        <v>555</v>
      </c>
      <c r="G179" s="2">
        <f t="shared" si="4"/>
        <v>1.1052518381035074E-2</v>
      </c>
      <c r="H179" s="35">
        <f>SUM($F$145:F179)</f>
        <v>37347.449999999997</v>
      </c>
      <c r="I179" s="2">
        <f>SUM($G$145:G179)</f>
        <v>0.74375383353115021</v>
      </c>
      <c r="M179" s="19" t="str">
        <f t="shared" si="5"/>
        <v>A</v>
      </c>
    </row>
    <row r="180" spans="1:13" hidden="1" x14ac:dyDescent="0.35">
      <c r="A180" s="14" t="s">
        <v>101</v>
      </c>
      <c r="B180" s="1">
        <v>553.5</v>
      </c>
      <c r="E180" s="14" t="s">
        <v>101</v>
      </c>
      <c r="F180" s="1">
        <v>553.5</v>
      </c>
      <c r="G180" s="2">
        <f t="shared" si="4"/>
        <v>1.102264670973498E-2</v>
      </c>
      <c r="H180" s="35">
        <f>SUM($F$145:F180)</f>
        <v>37900.949999999997</v>
      </c>
      <c r="I180" s="2">
        <f>SUM($G$145:G180)</f>
        <v>0.75477648024088517</v>
      </c>
      <c r="M180" s="19" t="str">
        <f t="shared" si="5"/>
        <v>A</v>
      </c>
    </row>
    <row r="181" spans="1:13" hidden="1" x14ac:dyDescent="0.35">
      <c r="A181" s="14" t="s">
        <v>263</v>
      </c>
      <c r="B181" s="1">
        <v>504</v>
      </c>
      <c r="E181" s="14" t="s">
        <v>263</v>
      </c>
      <c r="F181" s="1">
        <v>504</v>
      </c>
      <c r="G181" s="2">
        <f t="shared" si="4"/>
        <v>1.0036881556831851E-2</v>
      </c>
      <c r="H181" s="35">
        <f>SUM($F$145:F181)</f>
        <v>38404.949999999997</v>
      </c>
      <c r="I181" s="2">
        <f>SUM($G$145:G181)</f>
        <v>0.76481336179771697</v>
      </c>
      <c r="M181" s="19" t="str">
        <f t="shared" si="5"/>
        <v>A</v>
      </c>
    </row>
    <row r="182" spans="1:13" hidden="1" x14ac:dyDescent="0.35">
      <c r="A182" s="14" t="s">
        <v>1369</v>
      </c>
      <c r="B182" s="1">
        <v>461.6</v>
      </c>
      <c r="E182" s="14" t="s">
        <v>1369</v>
      </c>
      <c r="F182" s="1">
        <v>461.6</v>
      </c>
      <c r="G182" s="2">
        <f t="shared" si="4"/>
        <v>9.1925089814158395E-3</v>
      </c>
      <c r="H182" s="35">
        <f>SUM($F$145:F182)</f>
        <v>38866.549999999996</v>
      </c>
      <c r="I182" s="2">
        <f>SUM($G$145:G182)</f>
        <v>0.77400587077913285</v>
      </c>
      <c r="M182" s="19" t="str">
        <f t="shared" si="5"/>
        <v>A</v>
      </c>
    </row>
    <row r="183" spans="1:13" hidden="1" x14ac:dyDescent="0.35">
      <c r="A183" s="14" t="s">
        <v>85</v>
      </c>
      <c r="B183" s="1">
        <v>412.9</v>
      </c>
      <c r="E183" s="14" t="s">
        <v>85</v>
      </c>
      <c r="F183" s="1">
        <v>412.9</v>
      </c>
      <c r="G183" s="2">
        <f t="shared" si="4"/>
        <v>8.2226753865394277E-3</v>
      </c>
      <c r="H183" s="35">
        <f>SUM($F$145:F183)</f>
        <v>39279.449999999997</v>
      </c>
      <c r="I183" s="2">
        <f>SUM($G$145:G183)</f>
        <v>0.78222854616567228</v>
      </c>
      <c r="M183" s="19" t="str">
        <f t="shared" si="5"/>
        <v>A</v>
      </c>
    </row>
    <row r="184" spans="1:13" hidden="1" x14ac:dyDescent="0.35">
      <c r="A184" s="14" t="s">
        <v>416</v>
      </c>
      <c r="B184" s="1">
        <v>411</v>
      </c>
      <c r="E184" s="14" t="s">
        <v>416</v>
      </c>
      <c r="F184" s="1">
        <v>411</v>
      </c>
      <c r="G184" s="2">
        <f t="shared" si="4"/>
        <v>8.1848379362259738E-3</v>
      </c>
      <c r="H184" s="35">
        <f>SUM($F$145:F184)</f>
        <v>39690.449999999997</v>
      </c>
      <c r="I184" s="2">
        <f>SUM($G$145:G184)</f>
        <v>0.79041338410189821</v>
      </c>
      <c r="M184" s="19" t="str">
        <f t="shared" si="5"/>
        <v>A</v>
      </c>
    </row>
    <row r="185" spans="1:13" hidden="1" x14ac:dyDescent="0.35">
      <c r="A185" s="14" t="s">
        <v>1085</v>
      </c>
      <c r="B185" s="1">
        <v>400</v>
      </c>
      <c r="E185" s="14" t="s">
        <v>1085</v>
      </c>
      <c r="F185" s="1">
        <v>400</v>
      </c>
      <c r="G185" s="2">
        <f t="shared" si="4"/>
        <v>7.965779013358612E-3</v>
      </c>
      <c r="H185" s="35">
        <f>SUM($F$145:F185)</f>
        <v>40090.449999999997</v>
      </c>
      <c r="I185" s="2">
        <f>SUM($G$145:G185)</f>
        <v>0.79837916311525681</v>
      </c>
      <c r="M185" s="19" t="str">
        <f t="shared" si="5"/>
        <v>A</v>
      </c>
    </row>
    <row r="186" spans="1:13" hidden="1" x14ac:dyDescent="0.35">
      <c r="A186" s="14" t="s">
        <v>1278</v>
      </c>
      <c r="B186" s="1">
        <v>395.1</v>
      </c>
      <c r="E186" s="14" t="s">
        <v>1278</v>
      </c>
      <c r="F186" s="1">
        <v>395.1</v>
      </c>
      <c r="G186" s="2">
        <f t="shared" si="4"/>
        <v>7.8681982204449694E-3</v>
      </c>
      <c r="H186" s="35">
        <f>SUM($F$145:F186)</f>
        <v>40485.549999999996</v>
      </c>
      <c r="I186" s="2">
        <f>SUM($G$145:G186)</f>
        <v>0.80624736133570174</v>
      </c>
      <c r="M186" s="19" t="str">
        <f t="shared" si="5"/>
        <v>B</v>
      </c>
    </row>
    <row r="187" spans="1:13" hidden="1" x14ac:dyDescent="0.35">
      <c r="A187" s="14" t="s">
        <v>320</v>
      </c>
      <c r="B187" s="1">
        <v>390.85</v>
      </c>
      <c r="E187" s="14" t="s">
        <v>320</v>
      </c>
      <c r="F187" s="1">
        <v>390.85</v>
      </c>
      <c r="G187" s="2">
        <f t="shared" si="4"/>
        <v>7.7835618184280341E-3</v>
      </c>
      <c r="H187" s="35">
        <f>SUM($F$145:F187)</f>
        <v>40876.399999999994</v>
      </c>
      <c r="I187" s="2">
        <f>SUM($G$145:G187)</f>
        <v>0.81403092315412973</v>
      </c>
      <c r="M187" s="19" t="str">
        <f t="shared" si="5"/>
        <v>B</v>
      </c>
    </row>
    <row r="188" spans="1:13" hidden="1" x14ac:dyDescent="0.35">
      <c r="A188" s="14" t="s">
        <v>142</v>
      </c>
      <c r="B188" s="1">
        <v>388</v>
      </c>
      <c r="E188" s="14" t="s">
        <v>142</v>
      </c>
      <c r="F188" s="1">
        <v>388</v>
      </c>
      <c r="G188" s="2">
        <f t="shared" si="4"/>
        <v>7.7268056429578534E-3</v>
      </c>
      <c r="H188" s="35">
        <f>SUM($F$145:F188)</f>
        <v>41264.399999999994</v>
      </c>
      <c r="I188" s="2">
        <f>SUM($G$145:G188)</f>
        <v>0.82175772879708753</v>
      </c>
      <c r="M188" s="19" t="str">
        <f t="shared" si="5"/>
        <v>B</v>
      </c>
    </row>
    <row r="189" spans="1:13" hidden="1" x14ac:dyDescent="0.35">
      <c r="A189" s="14" t="s">
        <v>52</v>
      </c>
      <c r="B189" s="1">
        <v>380</v>
      </c>
      <c r="E189" s="14" t="s">
        <v>52</v>
      </c>
      <c r="F189" s="1">
        <v>380</v>
      </c>
      <c r="G189" s="2">
        <f t="shared" si="4"/>
        <v>7.5674900626906813E-3</v>
      </c>
      <c r="H189" s="35">
        <f>SUM($F$145:F189)</f>
        <v>41644.399999999994</v>
      </c>
      <c r="I189" s="2">
        <f>SUM($G$145:G189)</f>
        <v>0.82932521885977817</v>
      </c>
      <c r="M189" s="19" t="str">
        <f t="shared" si="5"/>
        <v>B</v>
      </c>
    </row>
    <row r="190" spans="1:13" hidden="1" x14ac:dyDescent="0.35">
      <c r="A190" s="14" t="s">
        <v>151</v>
      </c>
      <c r="B190" s="1">
        <v>337.5</v>
      </c>
      <c r="E190" s="14" t="s">
        <v>151</v>
      </c>
      <c r="F190" s="1">
        <v>337.5</v>
      </c>
      <c r="G190" s="2">
        <f t="shared" si="4"/>
        <v>6.7211260425213293E-3</v>
      </c>
      <c r="H190" s="35">
        <f>SUM($F$145:F190)</f>
        <v>41981.899999999994</v>
      </c>
      <c r="I190" s="2">
        <f>SUM($G$145:G190)</f>
        <v>0.83604634490229945</v>
      </c>
      <c r="M190" s="19" t="str">
        <f t="shared" si="5"/>
        <v>B</v>
      </c>
    </row>
    <row r="191" spans="1:13" hidden="1" x14ac:dyDescent="0.35">
      <c r="A191" s="14" t="s">
        <v>170</v>
      </c>
      <c r="B191" s="1">
        <v>328.5</v>
      </c>
      <c r="E191" s="14" t="s">
        <v>170</v>
      </c>
      <c r="F191" s="1">
        <v>328.5</v>
      </c>
      <c r="G191" s="2">
        <f t="shared" si="4"/>
        <v>6.5418960147207604E-3</v>
      </c>
      <c r="H191" s="35">
        <f>SUM($F$145:F191)</f>
        <v>42310.399999999994</v>
      </c>
      <c r="I191" s="2">
        <f>SUM($G$145:G191)</f>
        <v>0.84258824091702023</v>
      </c>
      <c r="M191" s="19" t="str">
        <f t="shared" si="5"/>
        <v>B</v>
      </c>
    </row>
    <row r="192" spans="1:13" hidden="1" x14ac:dyDescent="0.35">
      <c r="A192" s="14" t="s">
        <v>42</v>
      </c>
      <c r="B192" s="1">
        <v>322</v>
      </c>
      <c r="E192" s="14" t="s">
        <v>42</v>
      </c>
      <c r="F192" s="1">
        <v>322</v>
      </c>
      <c r="G192" s="2">
        <f t="shared" si="4"/>
        <v>6.4124521057536826E-3</v>
      </c>
      <c r="H192" s="35">
        <f>SUM($F$145:F192)</f>
        <v>42632.399999999994</v>
      </c>
      <c r="I192" s="2">
        <f>SUM($G$145:G192)</f>
        <v>0.84900069302277392</v>
      </c>
      <c r="M192" s="19" t="str">
        <f t="shared" si="5"/>
        <v>B</v>
      </c>
    </row>
    <row r="193" spans="1:13" hidden="1" x14ac:dyDescent="0.35">
      <c r="A193" s="14" t="s">
        <v>1069</v>
      </c>
      <c r="B193" s="1">
        <v>305</v>
      </c>
      <c r="E193" s="14" t="s">
        <v>1069</v>
      </c>
      <c r="F193" s="1">
        <v>305</v>
      </c>
      <c r="G193" s="2">
        <f t="shared" si="4"/>
        <v>6.0739064976859415E-3</v>
      </c>
      <c r="H193" s="35">
        <f>SUM($F$145:F193)</f>
        <v>42937.399999999994</v>
      </c>
      <c r="I193" s="2">
        <f>SUM($G$145:G193)</f>
        <v>0.85507459952045983</v>
      </c>
      <c r="M193" s="19" t="str">
        <f t="shared" si="5"/>
        <v>B</v>
      </c>
    </row>
    <row r="194" spans="1:13" hidden="1" x14ac:dyDescent="0.35">
      <c r="A194" s="14" t="s">
        <v>812</v>
      </c>
      <c r="B194" s="1">
        <v>290.5</v>
      </c>
      <c r="E194" s="14" t="s">
        <v>812</v>
      </c>
      <c r="F194" s="1">
        <v>290.5</v>
      </c>
      <c r="G194" s="2">
        <f t="shared" si="4"/>
        <v>5.7851470084516916E-3</v>
      </c>
      <c r="H194" s="35">
        <f>SUM($F$145:F194)</f>
        <v>43227.899999999994</v>
      </c>
      <c r="I194" s="2">
        <f>SUM($G$145:G194)</f>
        <v>0.86085974652891151</v>
      </c>
      <c r="M194" s="19" t="str">
        <f t="shared" si="5"/>
        <v>B</v>
      </c>
    </row>
    <row r="195" spans="1:13" hidden="1" x14ac:dyDescent="0.35">
      <c r="A195" s="14" t="s">
        <v>817</v>
      </c>
      <c r="B195" s="1">
        <v>288</v>
      </c>
      <c r="E195" s="14" t="s">
        <v>817</v>
      </c>
      <c r="F195" s="1">
        <v>288</v>
      </c>
      <c r="G195" s="2">
        <f t="shared" si="4"/>
        <v>5.7353608896182004E-3</v>
      </c>
      <c r="H195" s="35">
        <f>SUM($F$145:F195)</f>
        <v>43515.899999999994</v>
      </c>
      <c r="I195" s="2">
        <f>SUM($G$145:G195)</f>
        <v>0.86659510741852974</v>
      </c>
      <c r="M195" s="19" t="str">
        <f t="shared" si="5"/>
        <v>B</v>
      </c>
    </row>
    <row r="196" spans="1:13" hidden="1" x14ac:dyDescent="0.35">
      <c r="A196" s="14" t="s">
        <v>24</v>
      </c>
      <c r="B196" s="1">
        <v>284</v>
      </c>
      <c r="E196" s="14" t="s">
        <v>24</v>
      </c>
      <c r="F196" s="1">
        <v>284</v>
      </c>
      <c r="G196" s="2">
        <f t="shared" si="4"/>
        <v>5.6557030994846148E-3</v>
      </c>
      <c r="H196" s="35">
        <f>SUM($F$145:F196)</f>
        <v>43799.899999999994</v>
      </c>
      <c r="I196" s="2">
        <f>SUM($G$145:G196)</f>
        <v>0.87225081051801434</v>
      </c>
      <c r="M196" s="19" t="str">
        <f t="shared" si="5"/>
        <v>B</v>
      </c>
    </row>
    <row r="197" spans="1:13" hidden="1" x14ac:dyDescent="0.35">
      <c r="A197" s="14" t="s">
        <v>789</v>
      </c>
      <c r="B197" s="1">
        <v>284</v>
      </c>
      <c r="E197" s="14" t="s">
        <v>789</v>
      </c>
      <c r="F197" s="1">
        <v>284</v>
      </c>
      <c r="G197" s="2">
        <f t="shared" si="4"/>
        <v>5.6557030994846148E-3</v>
      </c>
      <c r="H197" s="35">
        <f>SUM($F$145:F197)</f>
        <v>44083.899999999994</v>
      </c>
      <c r="I197" s="2">
        <f>SUM($G$145:G197)</f>
        <v>0.87790651361749894</v>
      </c>
      <c r="M197" s="19" t="str">
        <f t="shared" si="5"/>
        <v>B</v>
      </c>
    </row>
    <row r="198" spans="1:13" hidden="1" x14ac:dyDescent="0.35">
      <c r="A198" s="14" t="s">
        <v>592</v>
      </c>
      <c r="B198" s="1">
        <v>275</v>
      </c>
      <c r="E198" s="14" t="s">
        <v>592</v>
      </c>
      <c r="F198" s="1">
        <v>275</v>
      </c>
      <c r="G198" s="2">
        <f t="shared" si="4"/>
        <v>5.4764730716840458E-3</v>
      </c>
      <c r="H198" s="35">
        <f>SUM($F$145:F198)</f>
        <v>44358.899999999994</v>
      </c>
      <c r="I198" s="2">
        <f>SUM($G$145:G198)</f>
        <v>0.88338298668918303</v>
      </c>
      <c r="M198" s="19" t="str">
        <f t="shared" si="5"/>
        <v>B</v>
      </c>
    </row>
    <row r="199" spans="1:13" hidden="1" x14ac:dyDescent="0.35">
      <c r="A199" s="14" t="s">
        <v>198</v>
      </c>
      <c r="B199" s="1">
        <v>266</v>
      </c>
      <c r="E199" s="14" t="s">
        <v>198</v>
      </c>
      <c r="F199" s="1">
        <v>266</v>
      </c>
      <c r="G199" s="2">
        <f t="shared" si="4"/>
        <v>5.2972430438834768E-3</v>
      </c>
      <c r="H199" s="35">
        <f>SUM($F$145:F199)</f>
        <v>44624.899999999994</v>
      </c>
      <c r="I199" s="2">
        <f>SUM($G$145:G199)</f>
        <v>0.88868022973306648</v>
      </c>
      <c r="M199" s="19" t="str">
        <f t="shared" si="5"/>
        <v>B</v>
      </c>
    </row>
    <row r="200" spans="1:13" hidden="1" x14ac:dyDescent="0.35">
      <c r="A200" s="14" t="s">
        <v>736</v>
      </c>
      <c r="B200" s="1">
        <v>250</v>
      </c>
      <c r="E200" s="14" t="s">
        <v>736</v>
      </c>
      <c r="F200" s="1">
        <v>250</v>
      </c>
      <c r="G200" s="2">
        <f t="shared" si="4"/>
        <v>4.9786118833491325E-3</v>
      </c>
      <c r="H200" s="35">
        <f>SUM($F$145:F200)</f>
        <v>44874.899999999994</v>
      </c>
      <c r="I200" s="2">
        <f>SUM($G$145:G200)</f>
        <v>0.89365884161641562</v>
      </c>
      <c r="M200" s="19" t="str">
        <f t="shared" si="5"/>
        <v>B</v>
      </c>
    </row>
    <row r="201" spans="1:13" hidden="1" x14ac:dyDescent="0.35">
      <c r="A201" s="14" t="s">
        <v>574</v>
      </c>
      <c r="B201" s="1">
        <v>250</v>
      </c>
      <c r="E201" s="14" t="s">
        <v>574</v>
      </c>
      <c r="F201" s="1">
        <v>250</v>
      </c>
      <c r="G201" s="2">
        <f t="shared" si="4"/>
        <v>4.9786118833491325E-3</v>
      </c>
      <c r="H201" s="35">
        <f>SUM($F$145:F201)</f>
        <v>45124.899999999994</v>
      </c>
      <c r="I201" s="2">
        <f>SUM($G$145:G201)</f>
        <v>0.89863745349976476</v>
      </c>
      <c r="M201" s="19" t="str">
        <f t="shared" si="5"/>
        <v>B</v>
      </c>
    </row>
    <row r="202" spans="1:13" hidden="1" x14ac:dyDescent="0.35">
      <c r="A202" s="14" t="s">
        <v>193</v>
      </c>
      <c r="B202" s="1">
        <v>248</v>
      </c>
      <c r="E202" s="14" t="s">
        <v>193</v>
      </c>
      <c r="F202" s="1">
        <v>248</v>
      </c>
      <c r="G202" s="2">
        <f t="shared" si="4"/>
        <v>4.9387829882823397E-3</v>
      </c>
      <c r="H202" s="35">
        <f>SUM($F$145:F202)</f>
        <v>45372.899999999994</v>
      </c>
      <c r="I202" s="2">
        <f>SUM($G$145:G202)</f>
        <v>0.90357623648804708</v>
      </c>
      <c r="M202" s="19" t="str">
        <f t="shared" si="5"/>
        <v>B</v>
      </c>
    </row>
    <row r="203" spans="1:13" hidden="1" x14ac:dyDescent="0.35">
      <c r="A203" s="14" t="s">
        <v>470</v>
      </c>
      <c r="B203" s="1">
        <v>244</v>
      </c>
      <c r="E203" s="14" t="s">
        <v>470</v>
      </c>
      <c r="F203" s="1">
        <v>244</v>
      </c>
      <c r="G203" s="2">
        <f t="shared" si="4"/>
        <v>4.8591251981487532E-3</v>
      </c>
      <c r="H203" s="35">
        <f>SUM($F$145:F203)</f>
        <v>45616.899999999994</v>
      </c>
      <c r="I203" s="2">
        <f>SUM($G$145:G203)</f>
        <v>0.90843536168619587</v>
      </c>
      <c r="M203" s="19" t="str">
        <f t="shared" si="5"/>
        <v>B</v>
      </c>
    </row>
    <row r="204" spans="1:13" hidden="1" x14ac:dyDescent="0.35">
      <c r="A204" s="14" t="s">
        <v>2626</v>
      </c>
      <c r="B204" s="1">
        <v>241.5</v>
      </c>
      <c r="E204" s="14" t="s">
        <v>2626</v>
      </c>
      <c r="F204" s="1">
        <v>241.5</v>
      </c>
      <c r="G204" s="2">
        <f t="shared" si="4"/>
        <v>4.809339079315262E-3</v>
      </c>
      <c r="H204" s="35">
        <f>SUM($F$145:F204)</f>
        <v>45858.399999999994</v>
      </c>
      <c r="I204" s="2">
        <f>SUM($G$145:G204)</f>
        <v>0.91324470076551112</v>
      </c>
      <c r="M204" s="19" t="str">
        <f t="shared" si="5"/>
        <v>B</v>
      </c>
    </row>
    <row r="205" spans="1:13" hidden="1" x14ac:dyDescent="0.35">
      <c r="A205" s="14" t="s">
        <v>90</v>
      </c>
      <c r="B205" s="1">
        <v>228</v>
      </c>
      <c r="E205" s="14" t="s">
        <v>90</v>
      </c>
      <c r="F205" s="1">
        <v>228</v>
      </c>
      <c r="G205" s="2">
        <f t="shared" si="4"/>
        <v>4.5404940376144089E-3</v>
      </c>
      <c r="H205" s="35">
        <f>SUM($F$145:F205)</f>
        <v>46086.399999999994</v>
      </c>
      <c r="I205" s="2">
        <f>SUM($G$145:G205)</f>
        <v>0.91778519480312548</v>
      </c>
      <c r="M205" s="19" t="str">
        <f t="shared" si="5"/>
        <v>B</v>
      </c>
    </row>
    <row r="206" spans="1:13" hidden="1" x14ac:dyDescent="0.35">
      <c r="A206" s="14" t="s">
        <v>627</v>
      </c>
      <c r="B206" s="1">
        <v>228</v>
      </c>
      <c r="E206" s="14" t="s">
        <v>627</v>
      </c>
      <c r="F206" s="1">
        <v>228</v>
      </c>
      <c r="G206" s="2">
        <f t="shared" si="4"/>
        <v>4.5404940376144089E-3</v>
      </c>
      <c r="H206" s="35">
        <f>SUM($F$145:F206)</f>
        <v>46314.399999999994</v>
      </c>
      <c r="I206" s="2">
        <f>SUM($G$145:G206)</f>
        <v>0.92232568884073984</v>
      </c>
      <c r="M206" s="19" t="str">
        <f t="shared" si="5"/>
        <v>B</v>
      </c>
    </row>
    <row r="207" spans="1:13" hidden="1" x14ac:dyDescent="0.35">
      <c r="A207" s="14" t="s">
        <v>544</v>
      </c>
      <c r="B207" s="1">
        <v>227.8</v>
      </c>
      <c r="E207" s="14" t="s">
        <v>544</v>
      </c>
      <c r="F207" s="1">
        <v>227.8</v>
      </c>
      <c r="G207" s="2">
        <f t="shared" si="4"/>
        <v>4.5365111481077301E-3</v>
      </c>
      <c r="H207" s="35">
        <f>SUM($F$145:F207)</f>
        <v>46542.2</v>
      </c>
      <c r="I207" s="2">
        <f>SUM($G$145:G207)</f>
        <v>0.92686219998884756</v>
      </c>
      <c r="M207" s="19" t="str">
        <f t="shared" si="5"/>
        <v>B</v>
      </c>
    </row>
    <row r="208" spans="1:13" hidden="1" x14ac:dyDescent="0.35">
      <c r="A208" s="14" t="s">
        <v>180</v>
      </c>
      <c r="B208" s="1">
        <v>224.35</v>
      </c>
      <c r="E208" s="14" t="s">
        <v>180</v>
      </c>
      <c r="F208" s="1">
        <v>224.35</v>
      </c>
      <c r="G208" s="2">
        <f t="shared" si="4"/>
        <v>4.4678063041175111E-3</v>
      </c>
      <c r="H208" s="35">
        <f>SUM($F$145:F208)</f>
        <v>46766.549999999996</v>
      </c>
      <c r="I208" s="2">
        <f>SUM($G$145:G208)</f>
        <v>0.93133000629296503</v>
      </c>
      <c r="M208" s="19" t="str">
        <f t="shared" si="5"/>
        <v>B</v>
      </c>
    </row>
    <row r="209" spans="1:13" hidden="1" x14ac:dyDescent="0.35">
      <c r="A209" s="14" t="s">
        <v>686</v>
      </c>
      <c r="B209" s="1">
        <v>215</v>
      </c>
      <c r="E209" s="14" t="s">
        <v>686</v>
      </c>
      <c r="F209" s="1">
        <v>215</v>
      </c>
      <c r="G209" s="2">
        <f t="shared" si="4"/>
        <v>4.2816062196802543E-3</v>
      </c>
      <c r="H209" s="35">
        <f>SUM($F$145:F209)</f>
        <v>46981.549999999996</v>
      </c>
      <c r="I209" s="2">
        <f>SUM($G$145:G209)</f>
        <v>0.93561161251264524</v>
      </c>
      <c r="M209" s="19" t="str">
        <f t="shared" si="5"/>
        <v>B</v>
      </c>
    </row>
    <row r="210" spans="1:13" hidden="1" x14ac:dyDescent="0.35">
      <c r="A210" s="14" t="s">
        <v>397</v>
      </c>
      <c r="B210" s="1">
        <v>210</v>
      </c>
      <c r="E210" s="14" t="s">
        <v>397</v>
      </c>
      <c r="F210" s="1">
        <v>210</v>
      </c>
      <c r="G210" s="2">
        <f t="shared" ref="G210:G233" si="6">F210/GETPIVOTDATA("ADU",$A$144)</f>
        <v>4.182033982013271E-3</v>
      </c>
      <c r="H210" s="35">
        <f>SUM($F$145:F210)</f>
        <v>47191.549999999996</v>
      </c>
      <c r="I210" s="2">
        <f>SUM($G$145:G210)</f>
        <v>0.93979364649465846</v>
      </c>
      <c r="M210" s="19" t="str">
        <f t="shared" ref="M210:M233" si="7">IF(I210&lt;=80%,"A",IF(AND(I210&gt;80%,I210&lt;=95%),"B",IF(I210&gt;95%,"C","NA")))</f>
        <v>B</v>
      </c>
    </row>
    <row r="211" spans="1:13" hidden="1" x14ac:dyDescent="0.35">
      <c r="A211" s="14" t="s">
        <v>1350</v>
      </c>
      <c r="B211" s="1">
        <v>198.4</v>
      </c>
      <c r="E211" s="14" t="s">
        <v>1350</v>
      </c>
      <c r="F211" s="1">
        <v>198.4</v>
      </c>
      <c r="G211" s="2">
        <f t="shared" si="6"/>
        <v>3.9510263906258718E-3</v>
      </c>
      <c r="H211" s="35">
        <f>SUM($F$145:F211)</f>
        <v>47389.95</v>
      </c>
      <c r="I211" s="2">
        <f>SUM($G$145:G211)</f>
        <v>0.9437446728852843</v>
      </c>
      <c r="M211" s="19" t="str">
        <f t="shared" si="7"/>
        <v>B</v>
      </c>
    </row>
    <row r="212" spans="1:13" hidden="1" x14ac:dyDescent="0.35">
      <c r="A212" s="14" t="s">
        <v>272</v>
      </c>
      <c r="B212" s="1">
        <v>195</v>
      </c>
      <c r="E212" s="14" t="s">
        <v>272</v>
      </c>
      <c r="F212" s="1">
        <v>195</v>
      </c>
      <c r="G212" s="2">
        <f t="shared" si="6"/>
        <v>3.8833172690123235E-3</v>
      </c>
      <c r="H212" s="35">
        <f>SUM($F$145:F212)</f>
        <v>47584.95</v>
      </c>
      <c r="I212" s="2">
        <f>SUM($G$145:G212)</f>
        <v>0.94762799015429666</v>
      </c>
      <c r="M212" s="19" t="str">
        <f t="shared" si="7"/>
        <v>B</v>
      </c>
    </row>
    <row r="213" spans="1:13" hidden="1" x14ac:dyDescent="0.35">
      <c r="A213" s="14" t="s">
        <v>137</v>
      </c>
      <c r="B213" s="1">
        <v>195</v>
      </c>
      <c r="E213" s="14" t="s">
        <v>137</v>
      </c>
      <c r="F213" s="1">
        <v>195</v>
      </c>
      <c r="G213" s="2">
        <f t="shared" si="6"/>
        <v>3.8833172690123235E-3</v>
      </c>
      <c r="H213" s="35">
        <f>SUM($F$145:F213)</f>
        <v>47779.95</v>
      </c>
      <c r="I213" s="2">
        <f>SUM($G$145:G213)</f>
        <v>0.95151130742330903</v>
      </c>
      <c r="M213" s="19" t="str">
        <f t="shared" si="7"/>
        <v>C</v>
      </c>
    </row>
    <row r="214" spans="1:13" hidden="1" x14ac:dyDescent="0.35">
      <c r="A214" s="14" t="s">
        <v>325</v>
      </c>
      <c r="B214" s="1">
        <v>193.5</v>
      </c>
      <c r="E214" s="14" t="s">
        <v>325</v>
      </c>
      <c r="F214" s="1">
        <v>193.5</v>
      </c>
      <c r="G214" s="2">
        <f t="shared" si="6"/>
        <v>3.8534455977122287E-3</v>
      </c>
      <c r="H214" s="35">
        <f>SUM($F$145:F214)</f>
        <v>47973.45</v>
      </c>
      <c r="I214" s="2">
        <f>SUM($G$145:G214)</f>
        <v>0.95536475302102131</v>
      </c>
      <c r="M214" s="19" t="str">
        <f t="shared" si="7"/>
        <v>C</v>
      </c>
    </row>
    <row r="215" spans="1:13" hidden="1" x14ac:dyDescent="0.35">
      <c r="A215" s="14" t="s">
        <v>531</v>
      </c>
      <c r="B215" s="1">
        <v>187.5</v>
      </c>
      <c r="E215" s="14" t="s">
        <v>531</v>
      </c>
      <c r="F215" s="1">
        <v>187.5</v>
      </c>
      <c r="G215" s="2">
        <f t="shared" si="6"/>
        <v>3.7339589125118494E-3</v>
      </c>
      <c r="H215" s="35">
        <f>SUM($F$145:F215)</f>
        <v>48160.95</v>
      </c>
      <c r="I215" s="2">
        <f>SUM($G$145:G215)</f>
        <v>0.95909871193353313</v>
      </c>
      <c r="M215" s="19" t="str">
        <f t="shared" si="7"/>
        <v>C</v>
      </c>
    </row>
    <row r="216" spans="1:13" hidden="1" x14ac:dyDescent="0.35">
      <c r="A216" s="14" t="s">
        <v>600</v>
      </c>
      <c r="B216" s="1">
        <v>186.20000000000002</v>
      </c>
      <c r="E216" s="14" t="s">
        <v>600</v>
      </c>
      <c r="F216" s="1">
        <v>186.20000000000002</v>
      </c>
      <c r="G216" s="2">
        <f t="shared" si="6"/>
        <v>3.7080701307184343E-3</v>
      </c>
      <c r="H216" s="35">
        <f>SUM($F$145:F216)</f>
        <v>48347.149999999994</v>
      </c>
      <c r="I216" s="2">
        <f>SUM($G$145:G216)</f>
        <v>0.96280678206425152</v>
      </c>
      <c r="M216" s="19" t="str">
        <f t="shared" si="7"/>
        <v>C</v>
      </c>
    </row>
    <row r="217" spans="1:13" hidden="1" x14ac:dyDescent="0.35">
      <c r="A217" s="14" t="s">
        <v>526</v>
      </c>
      <c r="B217" s="1">
        <v>169.20000000000002</v>
      </c>
      <c r="E217" s="14" t="s">
        <v>526</v>
      </c>
      <c r="F217" s="1">
        <v>169.20000000000002</v>
      </c>
      <c r="G217" s="2">
        <f t="shared" si="6"/>
        <v>3.3695245226506932E-3</v>
      </c>
      <c r="H217" s="35">
        <f>SUM($F$145:F217)</f>
        <v>48516.349999999991</v>
      </c>
      <c r="I217" s="2">
        <f>SUM($G$145:G217)</f>
        <v>0.96617630658690223</v>
      </c>
      <c r="M217" s="19" t="str">
        <f t="shared" si="7"/>
        <v>C</v>
      </c>
    </row>
    <row r="218" spans="1:13" hidden="1" x14ac:dyDescent="0.35">
      <c r="A218" s="14" t="s">
        <v>1179</v>
      </c>
      <c r="B218" s="1">
        <v>167.5</v>
      </c>
      <c r="E218" s="14" t="s">
        <v>1179</v>
      </c>
      <c r="F218" s="1">
        <v>167.5</v>
      </c>
      <c r="G218" s="2">
        <f t="shared" si="6"/>
        <v>3.3356699618439186E-3</v>
      </c>
      <c r="H218" s="35">
        <f>SUM($F$145:F218)</f>
        <v>48683.849999999991</v>
      </c>
      <c r="I218" s="2">
        <f>SUM($G$145:G218)</f>
        <v>0.9695119765487461</v>
      </c>
      <c r="M218" s="19" t="str">
        <f t="shared" si="7"/>
        <v>C</v>
      </c>
    </row>
    <row r="219" spans="1:13" hidden="1" x14ac:dyDescent="0.35">
      <c r="A219" s="14" t="s">
        <v>368</v>
      </c>
      <c r="B219" s="1">
        <v>152.25</v>
      </c>
      <c r="E219" s="14" t="s">
        <v>368</v>
      </c>
      <c r="F219" s="1">
        <v>152.25</v>
      </c>
      <c r="G219" s="2">
        <f t="shared" si="6"/>
        <v>3.0319746369596215E-3</v>
      </c>
      <c r="H219" s="35">
        <f>SUM($F$145:F219)</f>
        <v>48836.099999999991</v>
      </c>
      <c r="I219" s="2">
        <f>SUM($G$145:G219)</f>
        <v>0.97254395118570569</v>
      </c>
      <c r="M219" s="19" t="str">
        <f t="shared" si="7"/>
        <v>C</v>
      </c>
    </row>
    <row r="220" spans="1:13" hidden="1" x14ac:dyDescent="0.35">
      <c r="A220" s="14" t="s">
        <v>293</v>
      </c>
      <c r="B220" s="1">
        <v>152</v>
      </c>
      <c r="E220" s="14" t="s">
        <v>293</v>
      </c>
      <c r="F220" s="1">
        <v>152</v>
      </c>
      <c r="G220" s="2">
        <f t="shared" si="6"/>
        <v>3.0269960250762728E-3</v>
      </c>
      <c r="H220" s="35">
        <f>SUM($F$145:F220)</f>
        <v>48988.099999999991</v>
      </c>
      <c r="I220" s="2">
        <f>SUM($G$145:G220)</f>
        <v>0.97557094721078197</v>
      </c>
      <c r="M220" s="19" t="str">
        <f t="shared" si="7"/>
        <v>C</v>
      </c>
    </row>
    <row r="221" spans="1:13" hidden="1" x14ac:dyDescent="0.35">
      <c r="A221" s="14" t="s">
        <v>132</v>
      </c>
      <c r="B221" s="1">
        <v>142</v>
      </c>
      <c r="E221" s="14" t="s">
        <v>132</v>
      </c>
      <c r="F221" s="1">
        <v>142</v>
      </c>
      <c r="G221" s="2">
        <f t="shared" si="6"/>
        <v>2.8278515497423074E-3</v>
      </c>
      <c r="H221" s="35">
        <f>SUM($F$145:F221)</f>
        <v>49130.099999999991</v>
      </c>
      <c r="I221" s="2">
        <f>SUM($G$145:G221)</f>
        <v>0.97839879876052427</v>
      </c>
      <c r="M221" s="19" t="str">
        <f t="shared" si="7"/>
        <v>C</v>
      </c>
    </row>
    <row r="222" spans="1:13" hidden="1" x14ac:dyDescent="0.35">
      <c r="A222" s="14" t="s">
        <v>615</v>
      </c>
      <c r="B222" s="1">
        <v>134.9</v>
      </c>
      <c r="E222" s="14" t="s">
        <v>615</v>
      </c>
      <c r="F222" s="1">
        <v>134.9</v>
      </c>
      <c r="G222" s="2">
        <f t="shared" si="6"/>
        <v>2.6864589722551922E-3</v>
      </c>
      <c r="H222" s="35">
        <f>SUM($F$145:F222)</f>
        <v>49264.999999999993</v>
      </c>
      <c r="I222" s="2">
        <f>SUM($G$145:G222)</f>
        <v>0.98108525773277944</v>
      </c>
      <c r="M222" s="19" t="str">
        <f t="shared" si="7"/>
        <v>C</v>
      </c>
    </row>
    <row r="223" spans="1:13" hidden="1" x14ac:dyDescent="0.35">
      <c r="A223" s="14" t="s">
        <v>947</v>
      </c>
      <c r="B223" s="1">
        <v>115.19999999999999</v>
      </c>
      <c r="E223" s="14" t="s">
        <v>947</v>
      </c>
      <c r="F223" s="1">
        <v>115.19999999999999</v>
      </c>
      <c r="G223" s="2">
        <f t="shared" si="6"/>
        <v>2.2941443558472802E-3</v>
      </c>
      <c r="H223" s="35">
        <f>SUM($F$145:F223)</f>
        <v>49380.19999999999</v>
      </c>
      <c r="I223" s="2">
        <f>SUM($G$145:G223)</f>
        <v>0.98337940208862673</v>
      </c>
      <c r="M223" s="19" t="str">
        <f t="shared" si="7"/>
        <v>C</v>
      </c>
    </row>
    <row r="224" spans="1:13" hidden="1" x14ac:dyDescent="0.35">
      <c r="A224" s="14" t="s">
        <v>554</v>
      </c>
      <c r="B224" s="1">
        <v>112.5</v>
      </c>
      <c r="E224" s="14" t="s">
        <v>554</v>
      </c>
      <c r="F224" s="1">
        <v>112.5</v>
      </c>
      <c r="G224" s="2">
        <f t="shared" si="6"/>
        <v>2.2403753475071096E-3</v>
      </c>
      <c r="H224" s="35">
        <f>SUM($F$145:F224)</f>
        <v>49492.69999999999</v>
      </c>
      <c r="I224" s="2">
        <f>SUM($G$145:G224)</f>
        <v>0.98561977743613383</v>
      </c>
      <c r="M224" s="19" t="str">
        <f t="shared" si="7"/>
        <v>C</v>
      </c>
    </row>
    <row r="225" spans="1:13" hidden="1" x14ac:dyDescent="0.35">
      <c r="A225" s="14" t="s">
        <v>188</v>
      </c>
      <c r="B225" s="1">
        <v>108</v>
      </c>
      <c r="E225" s="14" t="s">
        <v>188</v>
      </c>
      <c r="F225" s="1">
        <v>108</v>
      </c>
      <c r="G225" s="2">
        <f t="shared" si="6"/>
        <v>2.1507603336068251E-3</v>
      </c>
      <c r="H225" s="35">
        <f>SUM($F$145:F225)</f>
        <v>49600.69999999999</v>
      </c>
      <c r="I225" s="2">
        <f>SUM($G$145:G225)</f>
        <v>0.98777053776974066</v>
      </c>
      <c r="M225" s="19" t="str">
        <f t="shared" si="7"/>
        <v>C</v>
      </c>
    </row>
    <row r="226" spans="1:13" hidden="1" x14ac:dyDescent="0.35">
      <c r="A226" s="14" t="s">
        <v>836</v>
      </c>
      <c r="B226" s="1">
        <v>97.5</v>
      </c>
      <c r="E226" s="14" t="s">
        <v>836</v>
      </c>
      <c r="F226" s="1">
        <v>97.5</v>
      </c>
      <c r="G226" s="2">
        <f t="shared" si="6"/>
        <v>1.9416586345061618E-3</v>
      </c>
      <c r="H226" s="35">
        <f>SUM($F$145:F226)</f>
        <v>49698.19999999999</v>
      </c>
      <c r="I226" s="2">
        <f>SUM($G$145:G226)</f>
        <v>0.98971219640424679</v>
      </c>
      <c r="M226" s="19" t="str">
        <f t="shared" si="7"/>
        <v>C</v>
      </c>
    </row>
    <row r="227" spans="1:13" hidden="1" x14ac:dyDescent="0.35">
      <c r="A227" s="14" t="s">
        <v>121</v>
      </c>
      <c r="B227" s="1">
        <v>88</v>
      </c>
      <c r="E227" s="14" t="s">
        <v>121</v>
      </c>
      <c r="F227" s="1">
        <v>88</v>
      </c>
      <c r="G227" s="2">
        <f t="shared" si="6"/>
        <v>1.7524713829388946E-3</v>
      </c>
      <c r="H227" s="35">
        <f>SUM($F$145:F227)</f>
        <v>49786.19999999999</v>
      </c>
      <c r="I227" s="2">
        <f>SUM($G$145:G227)</f>
        <v>0.99146466778718567</v>
      </c>
      <c r="M227" s="19" t="str">
        <f t="shared" si="7"/>
        <v>C</v>
      </c>
    </row>
    <row r="228" spans="1:13" hidden="1" x14ac:dyDescent="0.35">
      <c r="A228" s="14" t="s">
        <v>116</v>
      </c>
      <c r="B228" s="1">
        <v>87</v>
      </c>
      <c r="E228" s="14" t="s">
        <v>116</v>
      </c>
      <c r="F228" s="1">
        <v>87</v>
      </c>
      <c r="G228" s="2">
        <f t="shared" si="6"/>
        <v>1.7325569354054982E-3</v>
      </c>
      <c r="H228" s="35">
        <f>SUM($F$145:F228)</f>
        <v>49873.19999999999</v>
      </c>
      <c r="I228" s="2">
        <f>SUM($G$145:G228)</f>
        <v>0.9931972247225912</v>
      </c>
      <c r="M228" s="19" t="str">
        <f t="shared" si="7"/>
        <v>C</v>
      </c>
    </row>
    <row r="229" spans="1:13" hidden="1" x14ac:dyDescent="0.35">
      <c r="A229" s="14" t="s">
        <v>230</v>
      </c>
      <c r="B229" s="1">
        <v>82.8</v>
      </c>
      <c r="E229" s="14" t="s">
        <v>230</v>
      </c>
      <c r="F229" s="1">
        <v>82.8</v>
      </c>
      <c r="G229" s="2">
        <f t="shared" si="6"/>
        <v>1.6489162557652326E-3</v>
      </c>
      <c r="H229" s="35">
        <f>SUM($F$145:F229)</f>
        <v>49955.999999999993</v>
      </c>
      <c r="I229" s="2">
        <f>SUM($G$145:G229)</f>
        <v>0.99484614097835644</v>
      </c>
      <c r="M229" s="19" t="str">
        <f t="shared" si="7"/>
        <v>C</v>
      </c>
    </row>
    <row r="230" spans="1:13" hidden="1" x14ac:dyDescent="0.35">
      <c r="A230" s="14" t="s">
        <v>175</v>
      </c>
      <c r="B230" s="1">
        <v>79.5</v>
      </c>
      <c r="E230" s="14" t="s">
        <v>175</v>
      </c>
      <c r="F230" s="1">
        <v>79.5</v>
      </c>
      <c r="G230" s="2">
        <f t="shared" si="6"/>
        <v>1.5831985789050242E-3</v>
      </c>
      <c r="H230" s="35">
        <f>SUM($F$145:F230)</f>
        <v>50035.499999999993</v>
      </c>
      <c r="I230" s="2">
        <f>SUM($G$145:G230)</f>
        <v>0.99642933955726143</v>
      </c>
      <c r="M230" s="19" t="str">
        <f t="shared" si="7"/>
        <v>C</v>
      </c>
    </row>
    <row r="231" spans="1:13" hidden="1" x14ac:dyDescent="0.35">
      <c r="A231" s="14" t="s">
        <v>96</v>
      </c>
      <c r="B231" s="1">
        <v>75</v>
      </c>
      <c r="E231" s="14" t="s">
        <v>96</v>
      </c>
      <c r="F231" s="1">
        <v>75</v>
      </c>
      <c r="G231" s="2">
        <f t="shared" si="6"/>
        <v>1.4935835650047398E-3</v>
      </c>
      <c r="H231" s="35">
        <f>SUM($F$145:F231)</f>
        <v>50110.499999999993</v>
      </c>
      <c r="I231" s="2">
        <f>SUM($G$145:G231)</f>
        <v>0.99792292312226616</v>
      </c>
      <c r="M231" s="19" t="str">
        <f t="shared" si="7"/>
        <v>C</v>
      </c>
    </row>
    <row r="232" spans="1:13" hidden="1" x14ac:dyDescent="0.35">
      <c r="A232" s="14" t="s">
        <v>1016</v>
      </c>
      <c r="B232" s="1">
        <v>57.5</v>
      </c>
      <c r="E232" s="14" t="s">
        <v>1016</v>
      </c>
      <c r="F232" s="1">
        <v>57.5</v>
      </c>
      <c r="G232" s="2">
        <f t="shared" si="6"/>
        <v>1.1450807331703004E-3</v>
      </c>
      <c r="H232" s="35">
        <f>SUM($F$145:F232)</f>
        <v>50167.999999999993</v>
      </c>
      <c r="I232" s="2">
        <f>SUM($G$145:G232)</f>
        <v>0.99906800385543648</v>
      </c>
      <c r="M232" s="19" t="str">
        <f t="shared" si="7"/>
        <v>C</v>
      </c>
    </row>
    <row r="233" spans="1:13" hidden="1" x14ac:dyDescent="0.35">
      <c r="A233" s="14" t="s">
        <v>355</v>
      </c>
      <c r="B233" s="1">
        <v>46.800000000000004</v>
      </c>
      <c r="E233" s="14" t="s">
        <v>355</v>
      </c>
      <c r="F233" s="1">
        <v>46.800000000000004</v>
      </c>
      <c r="G233" s="2">
        <f t="shared" si="6"/>
        <v>9.3199614456295767E-4</v>
      </c>
      <c r="H233" s="35">
        <f>SUM($F$145:F233)</f>
        <v>50214.799999999996</v>
      </c>
      <c r="I233" s="2">
        <f>SUM($G$145:G233)</f>
        <v>0.99999999999999944</v>
      </c>
      <c r="M233" s="19" t="str">
        <f t="shared" si="7"/>
        <v>C</v>
      </c>
    </row>
    <row r="234" spans="1:13" hidden="1" x14ac:dyDescent="0.35">
      <c r="A234" s="14" t="s">
        <v>3469</v>
      </c>
      <c r="B234" s="1">
        <v>50214.799999999996</v>
      </c>
      <c r="E234" s="36"/>
      <c r="F234" s="37"/>
      <c r="G234" s="38"/>
      <c r="H234" s="35"/>
      <c r="I234" s="2"/>
    </row>
    <row r="235" spans="1:13" hidden="1" x14ac:dyDescent="0.35"/>
    <row r="236" spans="1:13" hidden="1" x14ac:dyDescent="0.35"/>
    <row r="237" spans="1:13" hidden="1" x14ac:dyDescent="0.35">
      <c r="A237" s="13" t="s">
        <v>3488</v>
      </c>
      <c r="B237" t="s">
        <v>3489</v>
      </c>
    </row>
    <row r="238" spans="1:13" hidden="1" x14ac:dyDescent="0.35">
      <c r="E238" s="27">
        <v>2024</v>
      </c>
    </row>
    <row r="239" spans="1:13" hidden="1" x14ac:dyDescent="0.35">
      <c r="A239" s="13" t="s">
        <v>3468</v>
      </c>
      <c r="B239" t="s">
        <v>3474</v>
      </c>
      <c r="E239" s="28" t="s">
        <v>3476</v>
      </c>
      <c r="F239" s="28" t="s">
        <v>3482</v>
      </c>
      <c r="G239" s="28" t="s">
        <v>3483</v>
      </c>
      <c r="H239" s="28" t="s">
        <v>3485</v>
      </c>
      <c r="I239" s="28" t="s">
        <v>3484</v>
      </c>
      <c r="J239" s="28" t="s">
        <v>3479</v>
      </c>
      <c r="K239" s="28" t="s">
        <v>3480</v>
      </c>
      <c r="L239" s="28" t="s">
        <v>3481</v>
      </c>
      <c r="M239" s="28" t="s">
        <v>3477</v>
      </c>
    </row>
    <row r="240" spans="1:13" hidden="1" x14ac:dyDescent="0.35">
      <c r="A240" s="14" t="s">
        <v>126</v>
      </c>
      <c r="B240" s="1">
        <v>14484</v>
      </c>
      <c r="E240" t="s">
        <v>126</v>
      </c>
      <c r="F240" s="32">
        <v>14484</v>
      </c>
      <c r="G240" s="22">
        <f>F240/GETPIVOTDATA("ADU",$A$239)</f>
        <v>4.9256168600559612E-2</v>
      </c>
      <c r="H240" s="35">
        <f>SUM($F$240:F240)</f>
        <v>14484</v>
      </c>
      <c r="I240" s="22">
        <f>SUM($G$240:G240)</f>
        <v>4.9256168600559612E-2</v>
      </c>
      <c r="M240" s="19" t="str">
        <f t="shared" ref="M240:M303" si="8">IF(I240&lt;=80%,"A",IF(AND(I240&gt;80%,I240&lt;=95%),"B",IF(I240&gt;95%,"C","NA")))</f>
        <v>A</v>
      </c>
    </row>
    <row r="241" spans="1:13" hidden="1" x14ac:dyDescent="0.35">
      <c r="A241" s="14" t="s">
        <v>517</v>
      </c>
      <c r="B241" s="1">
        <v>11990.65</v>
      </c>
      <c r="E241" t="s">
        <v>517</v>
      </c>
      <c r="F241" s="32">
        <v>11990.65</v>
      </c>
      <c r="G241" s="22">
        <f t="shared" ref="G241:G304" si="9">F241/GETPIVOTDATA("ADU",$A$239)</f>
        <v>4.0776959267488269E-2</v>
      </c>
      <c r="H241" s="35">
        <f>SUM($F$240:F241)</f>
        <v>26474.65</v>
      </c>
      <c r="I241" s="22">
        <f>SUM($G$240:G241)</f>
        <v>9.0033127868047874E-2</v>
      </c>
      <c r="M241" s="19" t="str">
        <f t="shared" si="8"/>
        <v>A</v>
      </c>
    </row>
    <row r="242" spans="1:13" hidden="1" x14ac:dyDescent="0.35">
      <c r="A242" s="14" t="s">
        <v>976</v>
      </c>
      <c r="B242" s="1">
        <v>10700</v>
      </c>
      <c r="E242" t="s">
        <v>976</v>
      </c>
      <c r="F242" s="32">
        <v>10700</v>
      </c>
      <c r="G242" s="22">
        <f t="shared" si="9"/>
        <v>3.6387807513531337E-2</v>
      </c>
      <c r="H242" s="35">
        <f>SUM($F$240:F242)</f>
        <v>37174.65</v>
      </c>
      <c r="I242" s="22">
        <f>SUM($G$240:G242)</f>
        <v>0.12642093538157922</v>
      </c>
      <c r="M242" s="19" t="str">
        <f t="shared" si="8"/>
        <v>A</v>
      </c>
    </row>
    <row r="243" spans="1:13" hidden="1" x14ac:dyDescent="0.35">
      <c r="A243" s="14" t="s">
        <v>433</v>
      </c>
      <c r="B243" s="1">
        <v>10117.68</v>
      </c>
      <c r="E243" t="s">
        <v>433</v>
      </c>
      <c r="F243" s="32">
        <v>10117.68</v>
      </c>
      <c r="G243" s="22">
        <f t="shared" si="9"/>
        <v>3.4407494609673434E-2</v>
      </c>
      <c r="H243" s="35">
        <f>SUM($F$240:F243)</f>
        <v>47292.33</v>
      </c>
      <c r="I243" s="22">
        <f>SUM($G$240:G243)</f>
        <v>0.16082842999125266</v>
      </c>
      <c r="M243" s="19" t="str">
        <f t="shared" si="8"/>
        <v>A</v>
      </c>
    </row>
    <row r="244" spans="1:13" hidden="1" x14ac:dyDescent="0.35">
      <c r="A244" s="14" t="s">
        <v>587</v>
      </c>
      <c r="B244" s="1">
        <v>8710</v>
      </c>
      <c r="E244" t="s">
        <v>587</v>
      </c>
      <c r="F244" s="32">
        <v>8710</v>
      </c>
      <c r="G244" s="22">
        <f t="shared" si="9"/>
        <v>2.9620355461949341E-2</v>
      </c>
      <c r="H244" s="35">
        <f>SUM($F$240:F244)</f>
        <v>56002.33</v>
      </c>
      <c r="I244" s="22">
        <f>SUM($G$240:G244)</f>
        <v>0.19044878545320199</v>
      </c>
      <c r="M244" s="19" t="str">
        <f t="shared" si="8"/>
        <v>A</v>
      </c>
    </row>
    <row r="245" spans="1:13" hidden="1" x14ac:dyDescent="0.35">
      <c r="A245" s="14" t="s">
        <v>566</v>
      </c>
      <c r="B245" s="1">
        <v>8568</v>
      </c>
      <c r="E245" t="s">
        <v>566</v>
      </c>
      <c r="F245" s="32">
        <v>8568</v>
      </c>
      <c r="G245" s="22">
        <f t="shared" si="9"/>
        <v>2.9137451848218362E-2</v>
      </c>
      <c r="H245" s="35">
        <f>SUM($F$240:F245)</f>
        <v>64570.33</v>
      </c>
      <c r="I245" s="22">
        <f>SUM($G$240:G245)</f>
        <v>0.21958623730142035</v>
      </c>
      <c r="M245" s="19" t="str">
        <f t="shared" si="8"/>
        <v>A</v>
      </c>
    </row>
    <row r="246" spans="1:13" hidden="1" x14ac:dyDescent="0.35">
      <c r="A246" s="14" t="s">
        <v>465</v>
      </c>
      <c r="B246" s="1">
        <v>7495.4800000000005</v>
      </c>
      <c r="E246" t="s">
        <v>465</v>
      </c>
      <c r="F246" s="32">
        <v>7495.4800000000005</v>
      </c>
      <c r="G246" s="22">
        <f t="shared" si="9"/>
        <v>2.5490101258086345E-2</v>
      </c>
      <c r="H246" s="35">
        <f>SUM($F$240:F246)</f>
        <v>72065.81</v>
      </c>
      <c r="I246" s="22">
        <f>SUM($G$240:G246)</f>
        <v>0.2450763385595067</v>
      </c>
      <c r="M246" s="19" t="str">
        <f t="shared" si="8"/>
        <v>A</v>
      </c>
    </row>
    <row r="247" spans="1:13" hidden="1" x14ac:dyDescent="0.35">
      <c r="A247" s="14" t="s">
        <v>980</v>
      </c>
      <c r="B247" s="1">
        <v>7425</v>
      </c>
      <c r="E247" t="s">
        <v>980</v>
      </c>
      <c r="F247" s="32">
        <v>7425</v>
      </c>
      <c r="G247" s="22">
        <f t="shared" si="9"/>
        <v>2.5250417830651416E-2</v>
      </c>
      <c r="H247" s="35">
        <f>SUM($F$240:F247)</f>
        <v>79490.81</v>
      </c>
      <c r="I247" s="22">
        <f>SUM($G$240:G247)</f>
        <v>0.27032675639015813</v>
      </c>
      <c r="M247" s="19" t="str">
        <f t="shared" si="8"/>
        <v>A</v>
      </c>
    </row>
    <row r="248" spans="1:13" hidden="1" x14ac:dyDescent="0.35">
      <c r="A248" s="14" t="s">
        <v>420</v>
      </c>
      <c r="B248" s="1">
        <v>7416</v>
      </c>
      <c r="E248" t="s">
        <v>420</v>
      </c>
      <c r="F248" s="32">
        <v>7416</v>
      </c>
      <c r="G248" s="22">
        <f t="shared" si="9"/>
        <v>2.5219811263583962E-2</v>
      </c>
      <c r="H248" s="35">
        <f>SUM($F$240:F248)</f>
        <v>86906.81</v>
      </c>
      <c r="I248" s="22">
        <f>SUM($G$240:G248)</f>
        <v>0.2955465676537421</v>
      </c>
      <c r="M248" s="19" t="str">
        <f t="shared" si="8"/>
        <v>A</v>
      </c>
    </row>
    <row r="249" spans="1:13" hidden="1" x14ac:dyDescent="0.35">
      <c r="A249" s="14" t="s">
        <v>674</v>
      </c>
      <c r="B249" s="1">
        <v>6876</v>
      </c>
      <c r="E249" t="s">
        <v>674</v>
      </c>
      <c r="F249" s="32">
        <v>6876</v>
      </c>
      <c r="G249" s="22">
        <f t="shared" si="9"/>
        <v>2.3383417239536585E-2</v>
      </c>
      <c r="H249" s="35">
        <f>SUM($F$240:F249)</f>
        <v>93782.81</v>
      </c>
      <c r="I249" s="22">
        <f>SUM($G$240:G249)</f>
        <v>0.31892998489327867</v>
      </c>
      <c r="M249" s="19" t="str">
        <f t="shared" si="8"/>
        <v>A</v>
      </c>
    </row>
    <row r="250" spans="1:13" hidden="1" x14ac:dyDescent="0.35">
      <c r="A250" s="14" t="s">
        <v>288</v>
      </c>
      <c r="B250" s="1">
        <v>6257.1</v>
      </c>
      <c r="E250" t="s">
        <v>288</v>
      </c>
      <c r="F250" s="32">
        <v>6257.1</v>
      </c>
      <c r="G250" s="22">
        <f t="shared" si="9"/>
        <v>2.1278705644197843E-2</v>
      </c>
      <c r="H250" s="35">
        <f>SUM($F$240:F250)</f>
        <v>100039.91</v>
      </c>
      <c r="I250" s="22">
        <f>SUM($G$240:G250)</f>
        <v>0.34020869053747649</v>
      </c>
      <c r="M250" s="19" t="str">
        <f t="shared" si="8"/>
        <v>A</v>
      </c>
    </row>
    <row r="251" spans="1:13" hidden="1" x14ac:dyDescent="0.35">
      <c r="A251" s="14" t="s">
        <v>75</v>
      </c>
      <c r="B251" s="1">
        <v>6061.4000000000005</v>
      </c>
      <c r="E251" t="s">
        <v>75</v>
      </c>
      <c r="F251" s="32">
        <v>6061.4000000000005</v>
      </c>
      <c r="G251" s="22">
        <f t="shared" si="9"/>
        <v>2.0613182846964378E-2</v>
      </c>
      <c r="H251" s="35">
        <f>SUM($F$240:F251)</f>
        <v>106101.31</v>
      </c>
      <c r="I251" s="22">
        <f>SUM($G$240:G251)</f>
        <v>0.36082187338444088</v>
      </c>
      <c r="M251" s="19" t="str">
        <f t="shared" si="8"/>
        <v>A</v>
      </c>
    </row>
    <row r="252" spans="1:13" hidden="1" x14ac:dyDescent="0.35">
      <c r="A252" s="14" t="s">
        <v>59</v>
      </c>
      <c r="B252" s="1">
        <v>5730</v>
      </c>
      <c r="E252" t="s">
        <v>59</v>
      </c>
      <c r="F252" s="32">
        <v>5730</v>
      </c>
      <c r="G252" s="22">
        <f t="shared" si="9"/>
        <v>1.9486181032947154E-2</v>
      </c>
      <c r="H252" s="35">
        <f>SUM($F$240:F252)</f>
        <v>111831.31</v>
      </c>
      <c r="I252" s="22">
        <f>SUM($G$240:G252)</f>
        <v>0.38030805441738802</v>
      </c>
      <c r="M252" s="19" t="str">
        <f t="shared" si="8"/>
        <v>A</v>
      </c>
    </row>
    <row r="253" spans="1:13" hidden="1" x14ac:dyDescent="0.35">
      <c r="A253" s="14" t="s">
        <v>31</v>
      </c>
      <c r="B253" s="1">
        <v>5476.7000000000007</v>
      </c>
      <c r="E253" t="s">
        <v>31</v>
      </c>
      <c r="F253" s="32">
        <v>5476.7000000000007</v>
      </c>
      <c r="G253" s="22">
        <f t="shared" si="9"/>
        <v>1.8624776206481973E-2</v>
      </c>
      <c r="H253" s="35">
        <f>SUM($F$240:F253)</f>
        <v>117308.01</v>
      </c>
      <c r="I253" s="22">
        <f>SUM($G$240:G253)</f>
        <v>0.39893283062386997</v>
      </c>
      <c r="M253" s="19" t="str">
        <f t="shared" si="8"/>
        <v>A</v>
      </c>
    </row>
    <row r="254" spans="1:13" hidden="1" x14ac:dyDescent="0.35">
      <c r="A254" s="14" t="s">
        <v>342</v>
      </c>
      <c r="B254" s="1">
        <v>4914</v>
      </c>
      <c r="E254" t="s">
        <v>342</v>
      </c>
      <c r="F254" s="32">
        <v>4914</v>
      </c>
      <c r="G254" s="22">
        <f t="shared" si="9"/>
        <v>1.6711185618831122E-2</v>
      </c>
      <c r="H254" s="35">
        <f>SUM($F$240:F254)</f>
        <v>122222.01</v>
      </c>
      <c r="I254" s="22">
        <f>SUM($G$240:G254)</f>
        <v>0.41564401624270109</v>
      </c>
      <c r="M254" s="19" t="str">
        <f t="shared" si="8"/>
        <v>A</v>
      </c>
    </row>
    <row r="255" spans="1:13" hidden="1" x14ac:dyDescent="0.35">
      <c r="A255" s="14" t="s">
        <v>1085</v>
      </c>
      <c r="B255" s="1">
        <v>4717.3999999999996</v>
      </c>
      <c r="E255" t="s">
        <v>1085</v>
      </c>
      <c r="F255" s="32">
        <v>4717.3999999999996</v>
      </c>
      <c r="G255" s="22">
        <f t="shared" si="9"/>
        <v>1.6042602164890906E-2</v>
      </c>
      <c r="H255" s="35">
        <f>SUM($F$240:F255)</f>
        <v>126939.40999999999</v>
      </c>
      <c r="I255" s="22">
        <f>SUM($G$240:G255)</f>
        <v>0.43168661840759198</v>
      </c>
      <c r="M255" s="19" t="str">
        <f t="shared" si="8"/>
        <v>A</v>
      </c>
    </row>
    <row r="256" spans="1:13" hidden="1" x14ac:dyDescent="0.35">
      <c r="A256" s="14" t="s">
        <v>156</v>
      </c>
      <c r="B256" s="1">
        <v>4420</v>
      </c>
      <c r="E256" t="s">
        <v>156</v>
      </c>
      <c r="F256" s="32">
        <v>4420</v>
      </c>
      <c r="G256" s="22">
        <f t="shared" si="9"/>
        <v>1.5031225159795188E-2</v>
      </c>
      <c r="H256" s="35">
        <f>SUM($F$240:F256)</f>
        <v>131359.40999999997</v>
      </c>
      <c r="I256" s="22">
        <f>SUM($G$240:G256)</f>
        <v>0.4467178435673872</v>
      </c>
      <c r="M256" s="19" t="str">
        <f t="shared" si="8"/>
        <v>A</v>
      </c>
    </row>
    <row r="257" spans="1:13" hidden="1" x14ac:dyDescent="0.35">
      <c r="A257" s="14" t="s">
        <v>333</v>
      </c>
      <c r="B257" s="1">
        <v>4184</v>
      </c>
      <c r="E257" t="s">
        <v>333</v>
      </c>
      <c r="F257" s="32">
        <v>4184</v>
      </c>
      <c r="G257" s="22">
        <f t="shared" si="9"/>
        <v>1.4228652956693E-2</v>
      </c>
      <c r="H257" s="35">
        <f>SUM($F$240:F257)</f>
        <v>135543.40999999997</v>
      </c>
      <c r="I257" s="22">
        <f>SUM($G$240:G257)</f>
        <v>0.46094649652408021</v>
      </c>
      <c r="M257" s="19" t="str">
        <f t="shared" si="8"/>
        <v>A</v>
      </c>
    </row>
    <row r="258" spans="1:13" hidden="1" x14ac:dyDescent="0.35">
      <c r="A258" s="14" t="s">
        <v>1081</v>
      </c>
      <c r="B258" s="1">
        <v>4034.1</v>
      </c>
      <c r="E258" t="s">
        <v>1081</v>
      </c>
      <c r="F258" s="32">
        <v>4034.1</v>
      </c>
      <c r="G258" s="22">
        <f t="shared" si="9"/>
        <v>1.3718883578536145E-2</v>
      </c>
      <c r="H258" s="35">
        <f>SUM($F$240:F258)</f>
        <v>139577.50999999998</v>
      </c>
      <c r="I258" s="22">
        <f>SUM($G$240:G258)</f>
        <v>0.47466538010261633</v>
      </c>
      <c r="M258" s="19" t="str">
        <f t="shared" si="8"/>
        <v>A</v>
      </c>
    </row>
    <row r="259" spans="1:13" hidden="1" x14ac:dyDescent="0.35">
      <c r="A259" s="14" t="s">
        <v>632</v>
      </c>
      <c r="B259" s="1">
        <v>3928</v>
      </c>
      <c r="E259" t="s">
        <v>632</v>
      </c>
      <c r="F259" s="32">
        <v>3928</v>
      </c>
      <c r="G259" s="22">
        <f t="shared" si="9"/>
        <v>1.3358066160107578E-2</v>
      </c>
      <c r="H259" s="35">
        <f>SUM($F$240:F259)</f>
        <v>143505.50999999998</v>
      </c>
      <c r="I259" s="22">
        <f>SUM($G$240:G259)</f>
        <v>0.48802344626272393</v>
      </c>
      <c r="M259" s="19" t="str">
        <f t="shared" si="8"/>
        <v>A</v>
      </c>
    </row>
    <row r="260" spans="1:13" hidden="1" x14ac:dyDescent="0.35">
      <c r="A260" s="14" t="s">
        <v>329</v>
      </c>
      <c r="B260" s="1">
        <v>3927.85</v>
      </c>
      <c r="E260" t="s">
        <v>329</v>
      </c>
      <c r="F260" s="32">
        <v>3927.85</v>
      </c>
      <c r="G260" s="22">
        <f t="shared" si="9"/>
        <v>1.3357556050656454E-2</v>
      </c>
      <c r="H260" s="35">
        <f>SUM($F$240:F260)</f>
        <v>147433.35999999999</v>
      </c>
      <c r="I260" s="22">
        <f>SUM($G$240:G260)</f>
        <v>0.50138100231338034</v>
      </c>
      <c r="M260" s="19" t="str">
        <f t="shared" si="8"/>
        <v>A</v>
      </c>
    </row>
    <row r="261" spans="1:13" hidden="1" x14ac:dyDescent="0.35">
      <c r="A261" s="14" t="s">
        <v>146</v>
      </c>
      <c r="B261" s="1">
        <v>3771.5</v>
      </c>
      <c r="E261" t="s">
        <v>146</v>
      </c>
      <c r="F261" s="32">
        <v>3771.5</v>
      </c>
      <c r="G261" s="22">
        <f t="shared" si="9"/>
        <v>1.2825851966101256E-2</v>
      </c>
      <c r="H261" s="35">
        <f>SUM($F$240:F261)</f>
        <v>151204.85999999999</v>
      </c>
      <c r="I261" s="22">
        <f>SUM($G$240:G261)</f>
        <v>0.51420685427948165</v>
      </c>
      <c r="M261" s="19" t="str">
        <f t="shared" si="8"/>
        <v>A</v>
      </c>
    </row>
    <row r="262" spans="1:13" hidden="1" x14ac:dyDescent="0.35">
      <c r="A262" s="14" t="s">
        <v>165</v>
      </c>
      <c r="B262" s="1">
        <v>3690.2</v>
      </c>
      <c r="E262" t="s">
        <v>165</v>
      </c>
      <c r="F262" s="32">
        <v>3690.2</v>
      </c>
      <c r="G262" s="22">
        <f t="shared" si="9"/>
        <v>1.25493726435919E-2</v>
      </c>
      <c r="H262" s="35">
        <f>SUM($F$240:F262)</f>
        <v>154895.06</v>
      </c>
      <c r="I262" s="22">
        <f>SUM($G$240:G262)</f>
        <v>0.52675622692307356</v>
      </c>
      <c r="M262" s="19" t="str">
        <f t="shared" si="8"/>
        <v>A</v>
      </c>
    </row>
    <row r="263" spans="1:13" hidden="1" x14ac:dyDescent="0.35">
      <c r="A263" s="14" t="s">
        <v>392</v>
      </c>
      <c r="B263" s="1">
        <v>3399</v>
      </c>
      <c r="E263" t="s">
        <v>392</v>
      </c>
      <c r="F263" s="32">
        <v>3399</v>
      </c>
      <c r="G263" s="22">
        <f t="shared" si="9"/>
        <v>1.1559080162475982E-2</v>
      </c>
      <c r="H263" s="35">
        <f>SUM($F$240:F263)</f>
        <v>158294.06</v>
      </c>
      <c r="I263" s="22">
        <f>SUM($G$240:G263)</f>
        <v>0.53831530708554953</v>
      </c>
      <c r="M263" s="19" t="str">
        <f t="shared" si="8"/>
        <v>A</v>
      </c>
    </row>
    <row r="264" spans="1:13" hidden="1" x14ac:dyDescent="0.35">
      <c r="A264" s="14" t="s">
        <v>1445</v>
      </c>
      <c r="B264" s="1">
        <v>3350</v>
      </c>
      <c r="E264" t="s">
        <v>1445</v>
      </c>
      <c r="F264" s="32">
        <v>3350</v>
      </c>
      <c r="G264" s="22">
        <f t="shared" si="9"/>
        <v>1.1392444408442054E-2</v>
      </c>
      <c r="H264" s="35">
        <f>SUM($F$240:F264)</f>
        <v>161644.06</v>
      </c>
      <c r="I264" s="22">
        <f>SUM($G$240:G264)</f>
        <v>0.54970775149399154</v>
      </c>
      <c r="M264" s="19" t="str">
        <f t="shared" si="8"/>
        <v>A</v>
      </c>
    </row>
    <row r="265" spans="1:13" hidden="1" x14ac:dyDescent="0.35">
      <c r="A265" s="14" t="s">
        <v>239</v>
      </c>
      <c r="B265" s="1">
        <v>3224</v>
      </c>
      <c r="E265" t="s">
        <v>239</v>
      </c>
      <c r="F265" s="32">
        <v>3224</v>
      </c>
      <c r="G265" s="22">
        <f t="shared" si="9"/>
        <v>1.0963952469497665E-2</v>
      </c>
      <c r="H265" s="35">
        <f>SUM($F$240:F265)</f>
        <v>164868.06</v>
      </c>
      <c r="I265" s="22">
        <f>SUM($G$240:G265)</f>
        <v>0.5606717039634892</v>
      </c>
      <c r="M265" s="19" t="str">
        <f t="shared" si="8"/>
        <v>A</v>
      </c>
    </row>
    <row r="266" spans="1:13" hidden="1" x14ac:dyDescent="0.35">
      <c r="A266" s="14" t="s">
        <v>1624</v>
      </c>
      <c r="B266" s="1">
        <v>3015</v>
      </c>
      <c r="E266" t="s">
        <v>1624</v>
      </c>
      <c r="F266" s="32">
        <v>3015</v>
      </c>
      <c r="G266" s="22">
        <f t="shared" si="9"/>
        <v>1.0253199967597848E-2</v>
      </c>
      <c r="H266" s="35">
        <f>SUM($F$240:F266)</f>
        <v>167883.06</v>
      </c>
      <c r="I266" s="22">
        <f>SUM($G$240:G266)</f>
        <v>0.57092490393108708</v>
      </c>
      <c r="M266" s="19" t="str">
        <f t="shared" si="8"/>
        <v>A</v>
      </c>
    </row>
    <row r="267" spans="1:13" hidden="1" x14ac:dyDescent="0.35">
      <c r="A267" s="14" t="s">
        <v>495</v>
      </c>
      <c r="B267" s="1">
        <v>2998.7999999999997</v>
      </c>
      <c r="E267" t="s">
        <v>495</v>
      </c>
      <c r="F267" s="32">
        <v>2998.7999999999997</v>
      </c>
      <c r="G267" s="22">
        <f t="shared" si="9"/>
        <v>1.0198108146876427E-2</v>
      </c>
      <c r="H267" s="35">
        <f>SUM($F$240:F267)</f>
        <v>170881.86</v>
      </c>
      <c r="I267" s="22">
        <f>SUM($G$240:G267)</f>
        <v>0.58112301207796346</v>
      </c>
      <c r="M267" s="19" t="str">
        <f t="shared" si="8"/>
        <v>A</v>
      </c>
    </row>
    <row r="268" spans="1:13" hidden="1" x14ac:dyDescent="0.35">
      <c r="A268" s="14" t="s">
        <v>220</v>
      </c>
      <c r="B268" s="1">
        <v>2944</v>
      </c>
      <c r="E268" t="s">
        <v>220</v>
      </c>
      <c r="F268" s="32">
        <v>2944</v>
      </c>
      <c r="G268" s="22">
        <f t="shared" si="9"/>
        <v>1.0011748160732361E-2</v>
      </c>
      <c r="H268" s="35">
        <f>SUM($F$240:F268)</f>
        <v>173825.86</v>
      </c>
      <c r="I268" s="22">
        <f>SUM($G$240:G268)</f>
        <v>0.59113476023869582</v>
      </c>
      <c r="M268" s="19" t="str">
        <f t="shared" si="8"/>
        <v>A</v>
      </c>
    </row>
    <row r="269" spans="1:13" hidden="1" x14ac:dyDescent="0.35">
      <c r="A269" s="14" t="s">
        <v>65</v>
      </c>
      <c r="B269" s="1">
        <v>2927.6</v>
      </c>
      <c r="E269" t="s">
        <v>65</v>
      </c>
      <c r="F269" s="32">
        <v>2927.6</v>
      </c>
      <c r="G269" s="22">
        <f t="shared" si="9"/>
        <v>9.9559761940761059E-3</v>
      </c>
      <c r="H269" s="35">
        <f>SUM($F$240:F269)</f>
        <v>176753.46</v>
      </c>
      <c r="I269" s="22">
        <f>SUM($G$240:G269)</f>
        <v>0.60109073643277189</v>
      </c>
      <c r="M269" s="19" t="str">
        <f t="shared" si="8"/>
        <v>A</v>
      </c>
    </row>
    <row r="270" spans="1:13" hidden="1" x14ac:dyDescent="0.35">
      <c r="A270" s="14" t="s">
        <v>80</v>
      </c>
      <c r="B270" s="1">
        <v>2880</v>
      </c>
      <c r="E270" t="s">
        <v>80</v>
      </c>
      <c r="F270" s="32">
        <v>2880</v>
      </c>
      <c r="G270" s="22">
        <f t="shared" si="9"/>
        <v>9.794101461586005E-3</v>
      </c>
      <c r="H270" s="35">
        <f>SUM($F$240:F270)</f>
        <v>179633.46</v>
      </c>
      <c r="I270" s="22">
        <f>SUM($G$240:G270)</f>
        <v>0.61088483789435788</v>
      </c>
      <c r="M270" s="19" t="str">
        <f t="shared" si="8"/>
        <v>A</v>
      </c>
    </row>
    <row r="271" spans="1:13" hidden="1" x14ac:dyDescent="0.35">
      <c r="A271" s="14" t="s">
        <v>691</v>
      </c>
      <c r="B271" s="1">
        <v>2877</v>
      </c>
      <c r="E271" t="s">
        <v>691</v>
      </c>
      <c r="F271" s="32">
        <v>2877</v>
      </c>
      <c r="G271" s="22">
        <f t="shared" si="9"/>
        <v>9.783899272563519E-3</v>
      </c>
      <c r="H271" s="35">
        <f>SUM($F$240:F271)</f>
        <v>182510.46</v>
      </c>
      <c r="I271" s="22">
        <f>SUM($G$240:G271)</f>
        <v>0.62066873716692139</v>
      </c>
      <c r="M271" s="19" t="str">
        <f t="shared" si="8"/>
        <v>A</v>
      </c>
    </row>
    <row r="272" spans="1:13" hidden="1" x14ac:dyDescent="0.35">
      <c r="A272" s="14" t="s">
        <v>1516</v>
      </c>
      <c r="B272" s="1">
        <v>2865.5</v>
      </c>
      <c r="E272" t="s">
        <v>1516</v>
      </c>
      <c r="F272" s="32">
        <v>2865.5</v>
      </c>
      <c r="G272" s="22">
        <f t="shared" si="9"/>
        <v>9.7447908813106578E-3</v>
      </c>
      <c r="H272" s="35">
        <f>SUM($F$240:F272)</f>
        <v>185375.96</v>
      </c>
      <c r="I272" s="22">
        <f>SUM($G$240:G272)</f>
        <v>0.63041352804823203</v>
      </c>
      <c r="M272" s="19" t="str">
        <f t="shared" si="8"/>
        <v>A</v>
      </c>
    </row>
    <row r="273" spans="1:13" hidden="1" x14ac:dyDescent="0.35">
      <c r="A273" s="14" t="s">
        <v>355</v>
      </c>
      <c r="B273" s="1">
        <v>2705.9999999999995</v>
      </c>
      <c r="E273" t="s">
        <v>355</v>
      </c>
      <c r="F273" s="32">
        <v>2705.9999999999995</v>
      </c>
      <c r="G273" s="22">
        <f t="shared" si="9"/>
        <v>9.2023744982818491E-3</v>
      </c>
      <c r="H273" s="35">
        <f>SUM($F$240:F273)</f>
        <v>188081.96</v>
      </c>
      <c r="I273" s="22">
        <f>SUM($G$240:G273)</f>
        <v>0.6396159025465139</v>
      </c>
      <c r="M273" s="19" t="str">
        <f t="shared" si="8"/>
        <v>A</v>
      </c>
    </row>
    <row r="274" spans="1:13" hidden="1" x14ac:dyDescent="0.35">
      <c r="A274" s="14" t="s">
        <v>446</v>
      </c>
      <c r="B274" s="1">
        <v>2574.5</v>
      </c>
      <c r="E274" t="s">
        <v>446</v>
      </c>
      <c r="F274" s="32">
        <v>2574.5</v>
      </c>
      <c r="G274" s="22">
        <f t="shared" si="9"/>
        <v>8.7551785461295727E-3</v>
      </c>
      <c r="H274" s="35">
        <f>SUM($F$240:F274)</f>
        <v>190656.46</v>
      </c>
      <c r="I274" s="22">
        <f>SUM($G$240:G274)</f>
        <v>0.64837108109264352</v>
      </c>
      <c r="M274" s="19" t="str">
        <f t="shared" si="8"/>
        <v>A</v>
      </c>
    </row>
    <row r="275" spans="1:13" hidden="1" x14ac:dyDescent="0.35">
      <c r="A275" s="14" t="s">
        <v>90</v>
      </c>
      <c r="B275" s="1">
        <v>2556</v>
      </c>
      <c r="E275" t="s">
        <v>90</v>
      </c>
      <c r="F275" s="32">
        <v>2556</v>
      </c>
      <c r="G275" s="22">
        <f t="shared" si="9"/>
        <v>8.6922650471575793E-3</v>
      </c>
      <c r="H275" s="35">
        <f>SUM($F$240:F275)</f>
        <v>193212.46</v>
      </c>
      <c r="I275" s="22">
        <f>SUM($G$240:G275)</f>
        <v>0.65706334613980111</v>
      </c>
      <c r="M275" s="19" t="str">
        <f t="shared" si="8"/>
        <v>A</v>
      </c>
    </row>
    <row r="276" spans="1:13" hidden="1" x14ac:dyDescent="0.35">
      <c r="A276" s="14" t="s">
        <v>303</v>
      </c>
      <c r="B276" s="1">
        <v>2550</v>
      </c>
      <c r="E276" t="s">
        <v>303</v>
      </c>
      <c r="F276" s="32">
        <v>2550</v>
      </c>
      <c r="G276" s="22">
        <f t="shared" si="9"/>
        <v>8.6718606691126073E-3</v>
      </c>
      <c r="H276" s="35">
        <f>SUM($F$240:F276)</f>
        <v>195762.46</v>
      </c>
      <c r="I276" s="22">
        <f>SUM($G$240:G276)</f>
        <v>0.66573520680891374</v>
      </c>
      <c r="M276" s="19" t="str">
        <f t="shared" si="8"/>
        <v>A</v>
      </c>
    </row>
    <row r="277" spans="1:13" hidden="1" x14ac:dyDescent="0.35">
      <c r="A277" s="14" t="s">
        <v>137</v>
      </c>
      <c r="B277" s="1">
        <v>2518.6999999999998</v>
      </c>
      <c r="E277" t="s">
        <v>137</v>
      </c>
      <c r="F277" s="32">
        <v>2518.6999999999998</v>
      </c>
      <c r="G277" s="22">
        <f t="shared" si="9"/>
        <v>8.5654178303113428E-3</v>
      </c>
      <c r="H277" s="35">
        <f>SUM($F$240:F277)</f>
        <v>198281.16</v>
      </c>
      <c r="I277" s="22">
        <f>SUM($G$240:G277)</f>
        <v>0.67430062463922513</v>
      </c>
      <c r="M277" s="19" t="str">
        <f t="shared" si="8"/>
        <v>A</v>
      </c>
    </row>
    <row r="278" spans="1:13" hidden="1" x14ac:dyDescent="0.35">
      <c r="A278" s="14" t="s">
        <v>248</v>
      </c>
      <c r="B278" s="1">
        <v>2268</v>
      </c>
      <c r="E278" t="s">
        <v>248</v>
      </c>
      <c r="F278" s="32">
        <v>2268</v>
      </c>
      <c r="G278" s="22">
        <f t="shared" si="9"/>
        <v>7.7128549009989784E-3</v>
      </c>
      <c r="H278" s="35">
        <f>SUM($F$240:F278)</f>
        <v>200549.16</v>
      </c>
      <c r="I278" s="22">
        <f>SUM($G$240:G278)</f>
        <v>0.68201347954022407</v>
      </c>
      <c r="M278" s="19" t="str">
        <f t="shared" si="8"/>
        <v>A</v>
      </c>
    </row>
    <row r="279" spans="1:13" hidden="1" x14ac:dyDescent="0.35">
      <c r="A279" s="14" t="s">
        <v>96</v>
      </c>
      <c r="B279" s="1">
        <v>2214.46</v>
      </c>
      <c r="E279" t="s">
        <v>96</v>
      </c>
      <c r="F279" s="32">
        <v>2214.46</v>
      </c>
      <c r="G279" s="22">
        <f t="shared" si="9"/>
        <v>7.5307798342443555E-3</v>
      </c>
      <c r="H279" s="35">
        <f>SUM($F$240:F279)</f>
        <v>202763.62</v>
      </c>
      <c r="I279" s="22">
        <f>SUM($G$240:G279)</f>
        <v>0.68954425937446839</v>
      </c>
      <c r="M279" s="19" t="str">
        <f t="shared" si="8"/>
        <v>A</v>
      </c>
    </row>
    <row r="280" spans="1:13" hidden="1" x14ac:dyDescent="0.35">
      <c r="A280" s="14" t="s">
        <v>17</v>
      </c>
      <c r="B280" s="1">
        <v>2207.5</v>
      </c>
      <c r="E280" t="s">
        <v>17</v>
      </c>
      <c r="F280" s="32">
        <v>2207.5</v>
      </c>
      <c r="G280" s="22">
        <f t="shared" si="9"/>
        <v>7.507110755712189E-3</v>
      </c>
      <c r="H280" s="35">
        <f>SUM($F$240:F280)</f>
        <v>204971.12</v>
      </c>
      <c r="I280" s="22">
        <f>SUM($G$240:G280)</f>
        <v>0.69705137013018059</v>
      </c>
      <c r="M280" s="19" t="str">
        <f t="shared" si="8"/>
        <v>A</v>
      </c>
    </row>
    <row r="281" spans="1:13" hidden="1" x14ac:dyDescent="0.35">
      <c r="A281" s="14" t="s">
        <v>151</v>
      </c>
      <c r="B281" s="1">
        <v>2191.4</v>
      </c>
      <c r="E281" t="s">
        <v>151</v>
      </c>
      <c r="F281" s="32">
        <v>2191.4</v>
      </c>
      <c r="G281" s="22">
        <f t="shared" si="9"/>
        <v>7.452359007958184E-3</v>
      </c>
      <c r="H281" s="35">
        <f>SUM($F$240:F281)</f>
        <v>207162.52</v>
      </c>
      <c r="I281" s="22">
        <f>SUM($G$240:G281)</f>
        <v>0.70450372913813875</v>
      </c>
      <c r="M281" s="19" t="str">
        <f t="shared" si="8"/>
        <v>A</v>
      </c>
    </row>
    <row r="282" spans="1:13" hidden="1" x14ac:dyDescent="0.35">
      <c r="A282" s="14" t="s">
        <v>470</v>
      </c>
      <c r="B282" s="1">
        <v>2172</v>
      </c>
      <c r="E282" t="s">
        <v>470</v>
      </c>
      <c r="F282" s="32">
        <v>2172</v>
      </c>
      <c r="G282" s="22">
        <f t="shared" si="9"/>
        <v>7.3863848522794451E-3</v>
      </c>
      <c r="H282" s="35">
        <f>SUM($F$240:F282)</f>
        <v>209334.52</v>
      </c>
      <c r="I282" s="22">
        <f>SUM($G$240:G282)</f>
        <v>0.71189011399041824</v>
      </c>
      <c r="M282" s="19" t="str">
        <f t="shared" si="8"/>
        <v>A</v>
      </c>
    </row>
    <row r="283" spans="1:13" hidden="1" x14ac:dyDescent="0.35">
      <c r="A283" s="14" t="s">
        <v>225</v>
      </c>
      <c r="B283" s="1">
        <v>2145</v>
      </c>
      <c r="E283" t="s">
        <v>225</v>
      </c>
      <c r="F283" s="32">
        <v>2145</v>
      </c>
      <c r="G283" s="22">
        <f t="shared" si="9"/>
        <v>7.2945651510770764E-3</v>
      </c>
      <c r="H283" s="35">
        <f>SUM($F$240:F283)</f>
        <v>211479.52</v>
      </c>
      <c r="I283" s="22">
        <f>SUM($G$240:G283)</f>
        <v>0.71918467914149531</v>
      </c>
      <c r="M283" s="19" t="str">
        <f t="shared" si="8"/>
        <v>A</v>
      </c>
    </row>
    <row r="284" spans="1:13" hidden="1" x14ac:dyDescent="0.35">
      <c r="A284" s="14" t="s">
        <v>508</v>
      </c>
      <c r="B284" s="1">
        <v>2142.8000000000002</v>
      </c>
      <c r="E284" t="s">
        <v>508</v>
      </c>
      <c r="F284" s="32">
        <v>2142.8000000000002</v>
      </c>
      <c r="G284" s="22">
        <f t="shared" si="9"/>
        <v>7.2870835457939211E-3</v>
      </c>
      <c r="H284" s="35">
        <f>SUM($F$240:F284)</f>
        <v>213622.31999999998</v>
      </c>
      <c r="I284" s="22">
        <f>SUM($G$240:G284)</f>
        <v>0.72647176268728919</v>
      </c>
      <c r="M284" s="19" t="str">
        <f t="shared" si="8"/>
        <v>A</v>
      </c>
    </row>
    <row r="285" spans="1:13" hidden="1" x14ac:dyDescent="0.35">
      <c r="A285" s="14" t="s">
        <v>111</v>
      </c>
      <c r="B285" s="1">
        <v>2139</v>
      </c>
      <c r="E285" t="s">
        <v>111</v>
      </c>
      <c r="F285" s="32">
        <v>2139</v>
      </c>
      <c r="G285" s="22">
        <f t="shared" si="9"/>
        <v>7.2741607730321053E-3</v>
      </c>
      <c r="H285" s="35">
        <f>SUM($F$240:F285)</f>
        <v>215761.31999999998</v>
      </c>
      <c r="I285" s="22">
        <f>SUM($G$240:G285)</f>
        <v>0.7337459234603213</v>
      </c>
      <c r="M285" s="19" t="str">
        <f t="shared" si="8"/>
        <v>A</v>
      </c>
    </row>
    <row r="286" spans="1:13" hidden="1" x14ac:dyDescent="0.35">
      <c r="A286" s="14" t="s">
        <v>320</v>
      </c>
      <c r="B286" s="1">
        <v>2025.3</v>
      </c>
      <c r="E286" t="s">
        <v>320</v>
      </c>
      <c r="F286" s="32">
        <v>2025.3</v>
      </c>
      <c r="G286" s="22">
        <f t="shared" si="9"/>
        <v>6.8874978090799075E-3</v>
      </c>
      <c r="H286" s="35">
        <f>SUM($F$240:F286)</f>
        <v>217786.61999999997</v>
      </c>
      <c r="I286" s="22">
        <f>SUM($G$240:G286)</f>
        <v>0.74063342126940124</v>
      </c>
      <c r="M286" s="19" t="str">
        <f t="shared" si="8"/>
        <v>A</v>
      </c>
    </row>
    <row r="287" spans="1:13" hidden="1" x14ac:dyDescent="0.35">
      <c r="A287" s="14" t="s">
        <v>325</v>
      </c>
      <c r="B287" s="1">
        <v>1925.4000000000003</v>
      </c>
      <c r="E287" t="s">
        <v>325</v>
      </c>
      <c r="F287" s="32">
        <v>1925.4000000000003</v>
      </c>
      <c r="G287" s="22">
        <f t="shared" si="9"/>
        <v>6.5477649146311444E-3</v>
      </c>
      <c r="H287" s="35">
        <f>SUM($F$240:F287)</f>
        <v>219712.01999999996</v>
      </c>
      <c r="I287" s="22">
        <f>SUM($G$240:G287)</f>
        <v>0.7471811861840324</v>
      </c>
      <c r="M287" s="19" t="str">
        <f t="shared" si="8"/>
        <v>A</v>
      </c>
    </row>
    <row r="288" spans="1:13" hidden="1" x14ac:dyDescent="0.35">
      <c r="A288" s="14" t="s">
        <v>263</v>
      </c>
      <c r="B288" s="1">
        <v>1806</v>
      </c>
      <c r="E288" t="s">
        <v>263</v>
      </c>
      <c r="F288" s="32">
        <v>1806</v>
      </c>
      <c r="G288" s="22">
        <f t="shared" si="9"/>
        <v>6.1417177915362234E-3</v>
      </c>
      <c r="H288" s="35">
        <f>SUM($F$240:F288)</f>
        <v>221518.01999999996</v>
      </c>
      <c r="I288" s="22">
        <f>SUM($G$240:G288)</f>
        <v>0.75332290397556867</v>
      </c>
      <c r="M288" s="19" t="str">
        <f t="shared" si="8"/>
        <v>A</v>
      </c>
    </row>
    <row r="289" spans="1:13" hidden="1" x14ac:dyDescent="0.35">
      <c r="A289" s="14" t="s">
        <v>85</v>
      </c>
      <c r="B289" s="1">
        <v>1778.7</v>
      </c>
      <c r="E289" t="s">
        <v>85</v>
      </c>
      <c r="F289" s="32">
        <v>1778.7</v>
      </c>
      <c r="G289" s="22">
        <f t="shared" si="9"/>
        <v>6.0488778714316068E-3</v>
      </c>
      <c r="H289" s="35">
        <f>SUM($F$240:F289)</f>
        <v>223296.71999999997</v>
      </c>
      <c r="I289" s="22">
        <f>SUM($G$240:G289)</f>
        <v>0.75937178184700027</v>
      </c>
      <c r="M289" s="19" t="str">
        <f t="shared" si="8"/>
        <v>A</v>
      </c>
    </row>
    <row r="290" spans="1:13" hidden="1" x14ac:dyDescent="0.35">
      <c r="A290" s="14" t="s">
        <v>1069</v>
      </c>
      <c r="B290" s="1">
        <v>1760.2</v>
      </c>
      <c r="E290" t="s">
        <v>1069</v>
      </c>
      <c r="F290" s="32">
        <v>1760.2</v>
      </c>
      <c r="G290" s="22">
        <f t="shared" si="9"/>
        <v>5.9859643724596134E-3</v>
      </c>
      <c r="H290" s="35">
        <f>SUM($F$240:F290)</f>
        <v>225056.91999999998</v>
      </c>
      <c r="I290" s="22">
        <f>SUM($G$240:G290)</f>
        <v>0.76535774621945984</v>
      </c>
      <c r="M290" s="19" t="str">
        <f t="shared" si="8"/>
        <v>A</v>
      </c>
    </row>
    <row r="291" spans="1:13" hidden="1" x14ac:dyDescent="0.35">
      <c r="A291" s="14" t="s">
        <v>258</v>
      </c>
      <c r="B291" s="1">
        <v>1676</v>
      </c>
      <c r="E291" t="s">
        <v>258</v>
      </c>
      <c r="F291" s="32">
        <v>1676</v>
      </c>
      <c r="G291" s="22">
        <f t="shared" si="9"/>
        <v>5.6996229338951883E-3</v>
      </c>
      <c r="H291" s="35">
        <f>SUM($F$240:F291)</f>
        <v>226732.91999999998</v>
      </c>
      <c r="I291" s="22">
        <f>SUM($G$240:G291)</f>
        <v>0.77105736915335499</v>
      </c>
      <c r="M291" s="19" t="str">
        <f t="shared" si="8"/>
        <v>A</v>
      </c>
    </row>
    <row r="292" spans="1:13" hidden="1" x14ac:dyDescent="0.35">
      <c r="A292" s="14" t="s">
        <v>380</v>
      </c>
      <c r="B292" s="1">
        <v>1672.9</v>
      </c>
      <c r="E292" t="s">
        <v>380</v>
      </c>
      <c r="F292" s="32">
        <v>1672.9</v>
      </c>
      <c r="G292" s="22">
        <f t="shared" si="9"/>
        <v>5.6890806719052875E-3</v>
      </c>
      <c r="H292" s="35">
        <f>SUM($F$240:F292)</f>
        <v>228405.81999999998</v>
      </c>
      <c r="I292" s="22">
        <f>SUM($G$240:G292)</f>
        <v>0.77674644982526031</v>
      </c>
      <c r="M292" s="19" t="str">
        <f t="shared" si="8"/>
        <v>A</v>
      </c>
    </row>
    <row r="293" spans="1:13" hidden="1" x14ac:dyDescent="0.35">
      <c r="A293" s="14" t="s">
        <v>42</v>
      </c>
      <c r="B293" s="1">
        <v>1666</v>
      </c>
      <c r="E293" t="s">
        <v>42</v>
      </c>
      <c r="F293" s="32">
        <v>1666</v>
      </c>
      <c r="G293" s="22">
        <f t="shared" si="9"/>
        <v>5.6656156371535709E-3</v>
      </c>
      <c r="H293" s="35">
        <f>SUM($F$240:F293)</f>
        <v>230071.81999999998</v>
      </c>
      <c r="I293" s="22">
        <f>SUM($G$240:G293)</f>
        <v>0.78241206546241393</v>
      </c>
      <c r="M293" s="19" t="str">
        <f t="shared" si="8"/>
        <v>A</v>
      </c>
    </row>
    <row r="294" spans="1:13" hidden="1" x14ac:dyDescent="0.35">
      <c r="A294" s="14" t="s">
        <v>106</v>
      </c>
      <c r="B294" s="1">
        <v>1545.1999999999998</v>
      </c>
      <c r="E294" t="s">
        <v>106</v>
      </c>
      <c r="F294" s="32">
        <v>1545.1999999999998</v>
      </c>
      <c r="G294" s="22">
        <f t="shared" si="9"/>
        <v>5.2548074925148234E-3</v>
      </c>
      <c r="H294" s="35">
        <f>SUM($F$240:F294)</f>
        <v>231617.02</v>
      </c>
      <c r="I294" s="22">
        <f>SUM($G$240:G294)</f>
        <v>0.78766687295492877</v>
      </c>
      <c r="M294" s="19" t="str">
        <f t="shared" si="8"/>
        <v>A</v>
      </c>
    </row>
    <row r="295" spans="1:13" hidden="1" x14ac:dyDescent="0.35">
      <c r="A295" s="14" t="s">
        <v>1369</v>
      </c>
      <c r="B295" s="1">
        <v>1503.9</v>
      </c>
      <c r="E295" t="s">
        <v>1369</v>
      </c>
      <c r="F295" s="32">
        <v>1503.9</v>
      </c>
      <c r="G295" s="22">
        <f t="shared" si="9"/>
        <v>5.1143573569719424E-3</v>
      </c>
      <c r="H295" s="35">
        <f>SUM($F$240:F295)</f>
        <v>233120.91999999998</v>
      </c>
      <c r="I295" s="22">
        <f>SUM($G$240:G295)</f>
        <v>0.79278123031190073</v>
      </c>
      <c r="M295" s="19" t="str">
        <f t="shared" si="8"/>
        <v>A</v>
      </c>
    </row>
    <row r="296" spans="1:13" hidden="1" x14ac:dyDescent="0.35">
      <c r="A296" s="14" t="s">
        <v>1092</v>
      </c>
      <c r="B296" s="1">
        <v>1496</v>
      </c>
      <c r="E296" t="s">
        <v>1092</v>
      </c>
      <c r="F296" s="32">
        <v>1496</v>
      </c>
      <c r="G296" s="22">
        <f t="shared" si="9"/>
        <v>5.0874915925460638E-3</v>
      </c>
      <c r="H296" s="35">
        <f>SUM($F$240:F296)</f>
        <v>234616.91999999998</v>
      </c>
      <c r="I296" s="22">
        <f>SUM($G$240:G296)</f>
        <v>0.7978687219044468</v>
      </c>
      <c r="M296" s="19" t="str">
        <f t="shared" si="8"/>
        <v>A</v>
      </c>
    </row>
    <row r="297" spans="1:13" hidden="1" x14ac:dyDescent="0.35">
      <c r="A297" s="14" t="s">
        <v>101</v>
      </c>
      <c r="B297" s="1">
        <v>1484.9</v>
      </c>
      <c r="E297" t="s">
        <v>101</v>
      </c>
      <c r="F297" s="32">
        <v>1484.9</v>
      </c>
      <c r="G297" s="22">
        <f t="shared" si="9"/>
        <v>5.0497434931628679E-3</v>
      </c>
      <c r="H297" s="35">
        <f>SUM($F$240:F297)</f>
        <v>236101.81999999998</v>
      </c>
      <c r="I297" s="22">
        <f>SUM($G$240:G297)</f>
        <v>0.80291846539760969</v>
      </c>
      <c r="M297" s="19" t="str">
        <f t="shared" si="8"/>
        <v>B</v>
      </c>
    </row>
    <row r="298" spans="1:13" hidden="1" x14ac:dyDescent="0.35">
      <c r="A298" s="14" t="s">
        <v>175</v>
      </c>
      <c r="B298" s="1">
        <v>1423.5</v>
      </c>
      <c r="E298" t="s">
        <v>175</v>
      </c>
      <c r="F298" s="32">
        <v>1423.5</v>
      </c>
      <c r="G298" s="22">
        <f t="shared" si="9"/>
        <v>4.8409386911693322E-3</v>
      </c>
      <c r="H298" s="35">
        <f>SUM($F$240:F298)</f>
        <v>237525.31999999998</v>
      </c>
      <c r="I298" s="22">
        <f>SUM($G$240:G298)</f>
        <v>0.807759404088779</v>
      </c>
      <c r="M298" s="19" t="str">
        <f t="shared" si="8"/>
        <v>B</v>
      </c>
    </row>
    <row r="299" spans="1:13" hidden="1" x14ac:dyDescent="0.35">
      <c r="A299" s="14" t="s">
        <v>717</v>
      </c>
      <c r="B299" s="1">
        <v>1419.25</v>
      </c>
      <c r="E299" t="s">
        <v>717</v>
      </c>
      <c r="F299" s="32">
        <v>1419.25</v>
      </c>
      <c r="G299" s="22">
        <f t="shared" si="9"/>
        <v>4.8264855900541446E-3</v>
      </c>
      <c r="H299" s="35">
        <f>SUM($F$240:F299)</f>
        <v>238944.56999999998</v>
      </c>
      <c r="I299" s="22">
        <f>SUM($G$240:G299)</f>
        <v>0.81258588967883316</v>
      </c>
      <c r="M299" s="19" t="str">
        <f t="shared" si="8"/>
        <v>B</v>
      </c>
    </row>
    <row r="300" spans="1:13" hidden="1" x14ac:dyDescent="0.35">
      <c r="A300" s="14" t="s">
        <v>828</v>
      </c>
      <c r="B300" s="1">
        <v>1417</v>
      </c>
      <c r="E300" t="s">
        <v>828</v>
      </c>
      <c r="F300" s="32">
        <v>1417</v>
      </c>
      <c r="G300" s="22">
        <f t="shared" si="9"/>
        <v>4.818833948287281E-3</v>
      </c>
      <c r="H300" s="35">
        <f>SUM($F$240:F300)</f>
        <v>240361.56999999998</v>
      </c>
      <c r="I300" s="22">
        <f>SUM($G$240:G300)</f>
        <v>0.81740472362712047</v>
      </c>
      <c r="M300" s="19" t="str">
        <f t="shared" si="8"/>
        <v>B</v>
      </c>
    </row>
    <row r="301" spans="1:13" hidden="1" x14ac:dyDescent="0.35">
      <c r="A301" s="14" t="s">
        <v>276</v>
      </c>
      <c r="B301" s="1">
        <v>1411.4</v>
      </c>
      <c r="E301" t="s">
        <v>276</v>
      </c>
      <c r="F301" s="32">
        <v>1411.4</v>
      </c>
      <c r="G301" s="22">
        <f t="shared" si="9"/>
        <v>4.7997898621119752E-3</v>
      </c>
      <c r="H301" s="35">
        <f>SUM($F$240:F301)</f>
        <v>241772.96999999997</v>
      </c>
      <c r="I301" s="22">
        <f>SUM($G$240:G301)</f>
        <v>0.8222045134892324</v>
      </c>
      <c r="M301" s="19" t="str">
        <f t="shared" si="8"/>
        <v>B</v>
      </c>
    </row>
    <row r="302" spans="1:13" hidden="1" x14ac:dyDescent="0.35">
      <c r="A302" s="14" t="s">
        <v>490</v>
      </c>
      <c r="B302" s="1">
        <v>1405.7</v>
      </c>
      <c r="E302" t="s">
        <v>490</v>
      </c>
      <c r="F302" s="32">
        <v>1405.7</v>
      </c>
      <c r="G302" s="22">
        <f t="shared" si="9"/>
        <v>4.780405702969252E-3</v>
      </c>
      <c r="H302" s="35">
        <f>SUM($F$240:F302)</f>
        <v>243178.66999999998</v>
      </c>
      <c r="I302" s="22">
        <f>SUM($G$240:G302)</f>
        <v>0.82698491919220163</v>
      </c>
      <c r="M302" s="19" t="str">
        <f t="shared" si="8"/>
        <v>B</v>
      </c>
    </row>
    <row r="303" spans="1:13" hidden="1" x14ac:dyDescent="0.35">
      <c r="A303" s="14" t="s">
        <v>1179</v>
      </c>
      <c r="B303" s="1">
        <v>1397.5</v>
      </c>
      <c r="E303" t="s">
        <v>1179</v>
      </c>
      <c r="F303" s="32">
        <v>1397.5</v>
      </c>
      <c r="G303" s="22">
        <f t="shared" si="9"/>
        <v>4.7525197196411255E-3</v>
      </c>
      <c r="H303" s="35">
        <f>SUM($F$240:F303)</f>
        <v>244576.16999999998</v>
      </c>
      <c r="I303" s="22">
        <f>SUM($G$240:G303)</f>
        <v>0.83173743891184271</v>
      </c>
      <c r="M303" s="19" t="str">
        <f t="shared" si="8"/>
        <v>B</v>
      </c>
    </row>
    <row r="304" spans="1:13" hidden="1" x14ac:dyDescent="0.35">
      <c r="A304" s="14" t="s">
        <v>707</v>
      </c>
      <c r="B304" s="1">
        <v>1361.6</v>
      </c>
      <c r="E304" t="s">
        <v>707</v>
      </c>
      <c r="F304" s="32">
        <v>1361.6</v>
      </c>
      <c r="G304" s="22">
        <f t="shared" si="9"/>
        <v>4.6304335243387163E-3</v>
      </c>
      <c r="H304" s="35">
        <f>SUM($F$240:F304)</f>
        <v>245937.77</v>
      </c>
      <c r="I304" s="22">
        <f>SUM($G$240:G304)</f>
        <v>0.83636787243618138</v>
      </c>
      <c r="M304" s="19" t="str">
        <f t="shared" ref="M304:M360" si="10">IF(I304&lt;=80%,"A",IF(AND(I304&gt;80%,I304&lt;=95%),"B",IF(I304&gt;95%,"C","NA")))</f>
        <v>B</v>
      </c>
    </row>
    <row r="305" spans="1:13" hidden="1" x14ac:dyDescent="0.35">
      <c r="A305" s="14" t="s">
        <v>1202</v>
      </c>
      <c r="B305" s="1">
        <v>1344</v>
      </c>
      <c r="E305" t="s">
        <v>1202</v>
      </c>
      <c r="F305" s="32">
        <v>1344</v>
      </c>
      <c r="G305" s="22">
        <f t="shared" ref="G305:G360" si="11">F305/GETPIVOTDATA("ADU",$A$239)</f>
        <v>4.5705806820734683E-3</v>
      </c>
      <c r="H305" s="35">
        <f>SUM($F$240:F305)</f>
        <v>247281.77</v>
      </c>
      <c r="I305" s="22">
        <f>SUM($G$240:G305)</f>
        <v>0.84093845311825488</v>
      </c>
      <c r="M305" s="19" t="str">
        <f t="shared" si="10"/>
        <v>B</v>
      </c>
    </row>
    <row r="306" spans="1:13" hidden="1" x14ac:dyDescent="0.35">
      <c r="A306" s="14" t="s">
        <v>1278</v>
      </c>
      <c r="B306" s="1">
        <v>1295.9000000000001</v>
      </c>
      <c r="E306" t="s">
        <v>1278</v>
      </c>
      <c r="F306" s="32">
        <v>1295.9000000000001</v>
      </c>
      <c r="G306" s="22">
        <f t="shared" si="11"/>
        <v>4.4070055847462864E-3</v>
      </c>
      <c r="H306" s="35">
        <f>SUM($F$240:F306)</f>
        <v>248577.66999999998</v>
      </c>
      <c r="I306" s="22">
        <f>SUM($G$240:G306)</f>
        <v>0.84534545870300115</v>
      </c>
      <c r="M306" s="19" t="str">
        <f t="shared" si="10"/>
        <v>B</v>
      </c>
    </row>
    <row r="307" spans="1:13" hidden="1" x14ac:dyDescent="0.35">
      <c r="A307" s="14" t="s">
        <v>549</v>
      </c>
      <c r="B307" s="1">
        <v>1281.2</v>
      </c>
      <c r="E307" t="s">
        <v>549</v>
      </c>
      <c r="F307" s="32">
        <v>1281.2</v>
      </c>
      <c r="G307" s="22">
        <f t="shared" si="11"/>
        <v>4.357014858536107E-3</v>
      </c>
      <c r="H307" s="35">
        <f>SUM($F$240:F307)</f>
        <v>249858.87</v>
      </c>
      <c r="I307" s="22">
        <f>SUM($G$240:G307)</f>
        <v>0.84970247356153727</v>
      </c>
      <c r="M307" s="19" t="str">
        <f t="shared" si="10"/>
        <v>B</v>
      </c>
    </row>
    <row r="308" spans="1:13" hidden="1" x14ac:dyDescent="0.35">
      <c r="A308" s="14" t="s">
        <v>116</v>
      </c>
      <c r="B308" s="1">
        <v>1275</v>
      </c>
      <c r="E308" t="s">
        <v>116</v>
      </c>
      <c r="F308" s="32">
        <v>1275</v>
      </c>
      <c r="G308" s="22">
        <f t="shared" si="11"/>
        <v>4.3359303345563037E-3</v>
      </c>
      <c r="H308" s="35">
        <f>SUM($F$240:F308)</f>
        <v>251133.87</v>
      </c>
      <c r="I308" s="22">
        <f>SUM($G$240:G308)</f>
        <v>0.85403840389609353</v>
      </c>
      <c r="M308" s="19" t="str">
        <f t="shared" si="10"/>
        <v>B</v>
      </c>
    </row>
    <row r="309" spans="1:13" hidden="1" x14ac:dyDescent="0.35">
      <c r="A309" s="14" t="s">
        <v>736</v>
      </c>
      <c r="B309" s="1">
        <v>1260</v>
      </c>
      <c r="E309" t="s">
        <v>736</v>
      </c>
      <c r="F309" s="32">
        <v>1260</v>
      </c>
      <c r="G309" s="22">
        <f t="shared" si="11"/>
        <v>4.2849193894438772E-3</v>
      </c>
      <c r="H309" s="35">
        <f>SUM($F$240:F309)</f>
        <v>252393.87</v>
      </c>
      <c r="I309" s="22">
        <f>SUM($G$240:G309)</f>
        <v>0.8583233232855374</v>
      </c>
      <c r="M309" s="19" t="str">
        <f t="shared" si="10"/>
        <v>B</v>
      </c>
    </row>
    <row r="310" spans="1:13" hidden="1" x14ac:dyDescent="0.35">
      <c r="A310" s="14" t="s">
        <v>984</v>
      </c>
      <c r="B310" s="1">
        <v>1244</v>
      </c>
      <c r="E310" t="s">
        <v>984</v>
      </c>
      <c r="F310" s="32">
        <v>1244</v>
      </c>
      <c r="G310" s="22">
        <f t="shared" si="11"/>
        <v>4.2305077146572879E-3</v>
      </c>
      <c r="H310" s="35">
        <f>SUM($F$240:F310)</f>
        <v>253637.87</v>
      </c>
      <c r="I310" s="22">
        <f>SUM($G$240:G310)</f>
        <v>0.86255383100019467</v>
      </c>
      <c r="M310" s="19" t="str">
        <f t="shared" si="10"/>
        <v>B</v>
      </c>
    </row>
    <row r="311" spans="1:13" hidden="1" x14ac:dyDescent="0.35">
      <c r="A311" s="14" t="s">
        <v>836</v>
      </c>
      <c r="B311" s="1">
        <v>1242.5</v>
      </c>
      <c r="E311" t="s">
        <v>836</v>
      </c>
      <c r="F311" s="32">
        <v>1242.5</v>
      </c>
      <c r="G311" s="22">
        <f t="shared" si="11"/>
        <v>4.2254066201460449E-3</v>
      </c>
      <c r="H311" s="35">
        <f>SUM($F$240:F311)</f>
        <v>254880.37</v>
      </c>
      <c r="I311" s="22">
        <f>SUM($G$240:G311)</f>
        <v>0.8667792376203407</v>
      </c>
      <c r="M311" s="19" t="str">
        <f t="shared" si="10"/>
        <v>B</v>
      </c>
    </row>
    <row r="312" spans="1:13" hidden="1" x14ac:dyDescent="0.35">
      <c r="A312" s="14" t="s">
        <v>665</v>
      </c>
      <c r="B312" s="1">
        <v>1238</v>
      </c>
      <c r="E312" t="s">
        <v>665</v>
      </c>
      <c r="F312" s="32">
        <v>1238</v>
      </c>
      <c r="G312" s="22">
        <f t="shared" si="11"/>
        <v>4.2101033366123168E-3</v>
      </c>
      <c r="H312" s="35">
        <f>SUM($F$240:F312)</f>
        <v>256118.37</v>
      </c>
      <c r="I312" s="22">
        <f>SUM($G$240:G312)</f>
        <v>0.87098934095695302</v>
      </c>
      <c r="M312" s="19" t="str">
        <f t="shared" si="10"/>
        <v>B</v>
      </c>
    </row>
    <row r="313" spans="1:13" hidden="1" x14ac:dyDescent="0.35">
      <c r="A313" s="14" t="s">
        <v>211</v>
      </c>
      <c r="B313" s="1">
        <v>1212.5</v>
      </c>
      <c r="E313" t="s">
        <v>211</v>
      </c>
      <c r="F313" s="32">
        <v>1212.5</v>
      </c>
      <c r="G313" s="22">
        <f t="shared" si="11"/>
        <v>4.1233847299211911E-3</v>
      </c>
      <c r="H313" s="35">
        <f>SUM($F$240:F313)</f>
        <v>257330.87</v>
      </c>
      <c r="I313" s="22">
        <f>SUM($G$240:G313)</f>
        <v>0.87511272568687426</v>
      </c>
      <c r="M313" s="19" t="str">
        <f t="shared" si="10"/>
        <v>B</v>
      </c>
    </row>
    <row r="314" spans="1:13" hidden="1" x14ac:dyDescent="0.35">
      <c r="A314" s="14" t="s">
        <v>1257</v>
      </c>
      <c r="B314" s="1">
        <v>1210</v>
      </c>
      <c r="E314" t="s">
        <v>1257</v>
      </c>
      <c r="F314" s="32">
        <v>1210</v>
      </c>
      <c r="G314" s="22">
        <f t="shared" si="11"/>
        <v>4.114882905735787E-3</v>
      </c>
      <c r="H314" s="35">
        <f>SUM($F$240:F314)</f>
        <v>258540.87</v>
      </c>
      <c r="I314" s="22">
        <f>SUM($G$240:G314)</f>
        <v>0.87922760859261007</v>
      </c>
      <c r="M314" s="19" t="str">
        <f t="shared" si="10"/>
        <v>B</v>
      </c>
    </row>
    <row r="315" spans="1:13" hidden="1" x14ac:dyDescent="0.35">
      <c r="A315" s="14" t="s">
        <v>1109</v>
      </c>
      <c r="B315" s="1">
        <v>1192.5</v>
      </c>
      <c r="E315" t="s">
        <v>1109</v>
      </c>
      <c r="F315" s="32">
        <v>1192.5</v>
      </c>
      <c r="G315" s="22">
        <f t="shared" si="11"/>
        <v>4.0553701364379547E-3</v>
      </c>
      <c r="H315" s="35">
        <f>SUM($F$240:F315)</f>
        <v>259733.37</v>
      </c>
      <c r="I315" s="22">
        <f>SUM($G$240:G315)</f>
        <v>0.88328297872904804</v>
      </c>
      <c r="M315" s="19" t="str">
        <f t="shared" si="10"/>
        <v>B</v>
      </c>
    </row>
    <row r="316" spans="1:13" hidden="1" x14ac:dyDescent="0.35">
      <c r="A316" s="14" t="s">
        <v>544</v>
      </c>
      <c r="B316" s="1">
        <v>1188.5999999999999</v>
      </c>
      <c r="E316" t="s">
        <v>544</v>
      </c>
      <c r="F316" s="32">
        <v>1188.5999999999999</v>
      </c>
      <c r="G316" s="22">
        <f t="shared" si="11"/>
        <v>4.0421072907087232E-3</v>
      </c>
      <c r="H316" s="35">
        <f>SUM($F$240:F316)</f>
        <v>260921.97</v>
      </c>
      <c r="I316" s="22">
        <f>SUM($G$240:G316)</f>
        <v>0.88732508601975679</v>
      </c>
      <c r="M316" s="19" t="str">
        <f t="shared" si="10"/>
        <v>B</v>
      </c>
    </row>
    <row r="317" spans="1:13" hidden="1" x14ac:dyDescent="0.35">
      <c r="A317" s="14" t="s">
        <v>52</v>
      </c>
      <c r="B317" s="1">
        <v>1165</v>
      </c>
      <c r="E317" t="s">
        <v>52</v>
      </c>
      <c r="F317" s="32">
        <v>1165</v>
      </c>
      <c r="G317" s="22">
        <f t="shared" si="11"/>
        <v>3.961850070398505E-3</v>
      </c>
      <c r="H317" s="35">
        <f>SUM($F$240:F317)</f>
        <v>262086.97</v>
      </c>
      <c r="I317" s="22">
        <f>SUM($G$240:G317)</f>
        <v>0.8912869360901553</v>
      </c>
      <c r="M317" s="19" t="str">
        <f t="shared" si="10"/>
        <v>B</v>
      </c>
    </row>
    <row r="318" spans="1:13" hidden="1" x14ac:dyDescent="0.35">
      <c r="A318" s="14" t="s">
        <v>216</v>
      </c>
      <c r="B318" s="1">
        <v>1162</v>
      </c>
      <c r="E318" t="s">
        <v>216</v>
      </c>
      <c r="F318" s="32">
        <v>1162</v>
      </c>
      <c r="G318" s="22">
        <f t="shared" si="11"/>
        <v>3.9516478813760199E-3</v>
      </c>
      <c r="H318" s="35">
        <f>SUM($F$240:F318)</f>
        <v>263248.96999999997</v>
      </c>
      <c r="I318" s="22">
        <f>SUM($G$240:G318)</f>
        <v>0.89523858397153133</v>
      </c>
      <c r="M318" s="19" t="str">
        <f t="shared" si="10"/>
        <v>B</v>
      </c>
    </row>
    <row r="319" spans="1:13" hidden="1" x14ac:dyDescent="0.35">
      <c r="A319" s="14" t="s">
        <v>47</v>
      </c>
      <c r="B319" s="1">
        <v>1152.75</v>
      </c>
      <c r="E319" t="s">
        <v>47</v>
      </c>
      <c r="F319" s="32">
        <v>1152.75</v>
      </c>
      <c r="G319" s="22">
        <f t="shared" si="11"/>
        <v>3.9201911318900232E-3</v>
      </c>
      <c r="H319" s="35">
        <f>SUM($F$240:F319)</f>
        <v>264401.71999999997</v>
      </c>
      <c r="I319" s="22">
        <f>SUM($G$240:G319)</f>
        <v>0.89915877510342135</v>
      </c>
      <c r="M319" s="19" t="str">
        <f t="shared" si="10"/>
        <v>B</v>
      </c>
    </row>
    <row r="320" spans="1:13" hidden="1" x14ac:dyDescent="0.35">
      <c r="A320" s="14" t="s">
        <v>1016</v>
      </c>
      <c r="B320" s="1">
        <v>1110</v>
      </c>
      <c r="E320" t="s">
        <v>1016</v>
      </c>
      <c r="F320" s="32">
        <v>1110</v>
      </c>
      <c r="G320" s="22">
        <f t="shared" si="11"/>
        <v>3.7748099383196057E-3</v>
      </c>
      <c r="H320" s="35">
        <f>SUM($F$240:F320)</f>
        <v>265511.71999999997</v>
      </c>
      <c r="I320" s="22">
        <f>SUM($G$240:G320)</f>
        <v>0.90293358504174093</v>
      </c>
      <c r="M320" s="19" t="str">
        <f t="shared" si="10"/>
        <v>B</v>
      </c>
    </row>
    <row r="321" spans="1:13" hidden="1" x14ac:dyDescent="0.35">
      <c r="A321" s="14" t="s">
        <v>1117</v>
      </c>
      <c r="B321" s="1">
        <v>1110</v>
      </c>
      <c r="E321" t="s">
        <v>1117</v>
      </c>
      <c r="F321" s="32">
        <v>1110</v>
      </c>
      <c r="G321" s="22">
        <f t="shared" si="11"/>
        <v>3.7748099383196057E-3</v>
      </c>
      <c r="H321" s="35">
        <f>SUM($F$240:F321)</f>
        <v>266621.71999999997</v>
      </c>
      <c r="I321" s="22">
        <f>SUM($G$240:G321)</f>
        <v>0.90670839498006051</v>
      </c>
      <c r="M321" s="19" t="str">
        <f t="shared" si="10"/>
        <v>B</v>
      </c>
    </row>
    <row r="322" spans="1:13" hidden="1" x14ac:dyDescent="0.35">
      <c r="A322" s="14" t="s">
        <v>438</v>
      </c>
      <c r="B322" s="1">
        <v>1100</v>
      </c>
      <c r="E322" t="s">
        <v>438</v>
      </c>
      <c r="F322" s="32">
        <v>1100</v>
      </c>
      <c r="G322" s="22">
        <f t="shared" si="11"/>
        <v>3.7408026415779879E-3</v>
      </c>
      <c r="H322" s="35">
        <f>SUM($F$240:F322)</f>
        <v>267721.71999999997</v>
      </c>
      <c r="I322" s="22">
        <f>SUM($G$240:G322)</f>
        <v>0.91044919762163845</v>
      </c>
      <c r="M322" s="19" t="str">
        <f t="shared" si="10"/>
        <v>B</v>
      </c>
    </row>
    <row r="323" spans="1:13" hidden="1" x14ac:dyDescent="0.35">
      <c r="A323" s="14" t="s">
        <v>253</v>
      </c>
      <c r="B323" s="1">
        <v>1075</v>
      </c>
      <c r="E323" t="s">
        <v>253</v>
      </c>
      <c r="F323" s="32">
        <v>1075</v>
      </c>
      <c r="G323" s="22">
        <f t="shared" si="11"/>
        <v>3.6557843997239428E-3</v>
      </c>
      <c r="H323" s="35">
        <f>SUM($F$240:F323)</f>
        <v>268796.71999999997</v>
      </c>
      <c r="I323" s="22">
        <f>SUM($G$240:G323)</f>
        <v>0.91410498202136237</v>
      </c>
      <c r="M323" s="19" t="str">
        <f t="shared" si="10"/>
        <v>B</v>
      </c>
    </row>
    <row r="324" spans="1:13" hidden="1" x14ac:dyDescent="0.35">
      <c r="A324" s="14" t="s">
        <v>627</v>
      </c>
      <c r="B324" s="1">
        <v>1074.5</v>
      </c>
      <c r="E324" t="s">
        <v>627</v>
      </c>
      <c r="F324" s="32">
        <v>1074.5</v>
      </c>
      <c r="G324" s="22">
        <f t="shared" si="11"/>
        <v>3.6540840348868618E-3</v>
      </c>
      <c r="H324" s="35">
        <f>SUM($F$240:F324)</f>
        <v>269871.21999999997</v>
      </c>
      <c r="I324" s="22">
        <f>SUM($G$240:G324)</f>
        <v>0.91775906605624924</v>
      </c>
      <c r="M324" s="19" t="str">
        <f t="shared" si="10"/>
        <v>B</v>
      </c>
    </row>
    <row r="325" spans="1:13" hidden="1" x14ac:dyDescent="0.35">
      <c r="A325" s="14" t="s">
        <v>170</v>
      </c>
      <c r="B325" s="1">
        <v>1057.5</v>
      </c>
      <c r="E325" t="s">
        <v>170</v>
      </c>
      <c r="F325" s="32">
        <v>1057.5</v>
      </c>
      <c r="G325" s="22">
        <f t="shared" si="11"/>
        <v>3.5962716304261109E-3</v>
      </c>
      <c r="H325" s="35">
        <f>SUM($F$240:F325)</f>
        <v>270928.71999999997</v>
      </c>
      <c r="I325" s="22">
        <f>SUM($G$240:G325)</f>
        <v>0.92135533768667532</v>
      </c>
      <c r="M325" s="19" t="str">
        <f t="shared" si="10"/>
        <v>B</v>
      </c>
    </row>
    <row r="326" spans="1:13" hidden="1" x14ac:dyDescent="0.35">
      <c r="A326" s="14" t="s">
        <v>554</v>
      </c>
      <c r="B326" s="1">
        <v>1052.5</v>
      </c>
      <c r="E326" t="s">
        <v>554</v>
      </c>
      <c r="F326" s="32">
        <v>1052.5</v>
      </c>
      <c r="G326" s="22">
        <f t="shared" si="11"/>
        <v>3.5792679820553018E-3</v>
      </c>
      <c r="H326" s="35">
        <f>SUM($F$240:F326)</f>
        <v>271981.21999999997</v>
      </c>
      <c r="I326" s="22">
        <f>SUM($G$240:G326)</f>
        <v>0.92493460566873065</v>
      </c>
      <c r="M326" s="19" t="str">
        <f t="shared" si="10"/>
        <v>B</v>
      </c>
    </row>
    <row r="327" spans="1:13" hidden="1" x14ac:dyDescent="0.35">
      <c r="A327" s="14" t="s">
        <v>293</v>
      </c>
      <c r="B327" s="1">
        <v>1042</v>
      </c>
      <c r="E327" t="s">
        <v>293</v>
      </c>
      <c r="F327" s="32">
        <v>1042</v>
      </c>
      <c r="G327" s="22">
        <f t="shared" si="11"/>
        <v>3.543560320476603E-3</v>
      </c>
      <c r="H327" s="35">
        <f>SUM($F$240:F327)</f>
        <v>273023.21999999997</v>
      </c>
      <c r="I327" s="22">
        <f>SUM($G$240:G327)</f>
        <v>0.92847816598920729</v>
      </c>
      <c r="M327" s="19" t="str">
        <f t="shared" si="10"/>
        <v>B</v>
      </c>
    </row>
    <row r="328" spans="1:13" hidden="1" x14ac:dyDescent="0.35">
      <c r="A328" s="14" t="s">
        <v>812</v>
      </c>
      <c r="B328" s="1">
        <v>1018.5</v>
      </c>
      <c r="E328" t="s">
        <v>812</v>
      </c>
      <c r="F328" s="32">
        <v>1018.5</v>
      </c>
      <c r="G328" s="22">
        <f t="shared" si="11"/>
        <v>3.4636431731338005E-3</v>
      </c>
      <c r="H328" s="35">
        <f>SUM($F$240:F328)</f>
        <v>274041.71999999997</v>
      </c>
      <c r="I328" s="22">
        <f>SUM($G$240:G328)</f>
        <v>0.93194180916234104</v>
      </c>
      <c r="M328" s="19" t="str">
        <f t="shared" si="10"/>
        <v>B</v>
      </c>
    </row>
    <row r="329" spans="1:13" hidden="1" x14ac:dyDescent="0.35">
      <c r="A329" s="14" t="s">
        <v>397</v>
      </c>
      <c r="B329" s="1">
        <v>970</v>
      </c>
      <c r="E329" t="s">
        <v>397</v>
      </c>
      <c r="F329" s="32">
        <v>970</v>
      </c>
      <c r="G329" s="22">
        <f t="shared" si="11"/>
        <v>3.2987077839369528E-3</v>
      </c>
      <c r="H329" s="35">
        <f>SUM($F$240:F329)</f>
        <v>275011.71999999997</v>
      </c>
      <c r="I329" s="22">
        <f>SUM($G$240:G329)</f>
        <v>0.93524051694627797</v>
      </c>
      <c r="M329" s="19" t="str">
        <f t="shared" si="10"/>
        <v>B</v>
      </c>
    </row>
    <row r="330" spans="1:13" hidden="1" x14ac:dyDescent="0.35">
      <c r="A330" s="14" t="s">
        <v>298</v>
      </c>
      <c r="B330" s="1">
        <v>957.15</v>
      </c>
      <c r="E330" t="s">
        <v>298</v>
      </c>
      <c r="F330" s="32">
        <v>957.15</v>
      </c>
      <c r="G330" s="22">
        <f t="shared" si="11"/>
        <v>3.2550084076239734E-3</v>
      </c>
      <c r="H330" s="35">
        <f>SUM($F$240:F330)</f>
        <v>275968.87</v>
      </c>
      <c r="I330" s="22">
        <f>SUM($G$240:G330)</f>
        <v>0.9384955253539019</v>
      </c>
      <c r="M330" s="19" t="str">
        <f t="shared" si="10"/>
        <v>B</v>
      </c>
    </row>
    <row r="331" spans="1:13" hidden="1" x14ac:dyDescent="0.35">
      <c r="A331" s="14" t="s">
        <v>817</v>
      </c>
      <c r="B331" s="1">
        <v>945</v>
      </c>
      <c r="E331" t="s">
        <v>817</v>
      </c>
      <c r="F331" s="32">
        <v>945</v>
      </c>
      <c r="G331" s="22">
        <f t="shared" si="11"/>
        <v>3.2136895420829077E-3</v>
      </c>
      <c r="H331" s="35">
        <f>SUM($F$240:F331)</f>
        <v>276913.87</v>
      </c>
      <c r="I331" s="22">
        <f>SUM($G$240:G331)</f>
        <v>0.9417092148959848</v>
      </c>
      <c r="M331" s="19" t="str">
        <f t="shared" si="10"/>
        <v>B</v>
      </c>
    </row>
    <row r="332" spans="1:13" hidden="1" x14ac:dyDescent="0.35">
      <c r="A332" s="14" t="s">
        <v>121</v>
      </c>
      <c r="B332" s="1">
        <v>914.55</v>
      </c>
      <c r="E332" t="s">
        <v>121</v>
      </c>
      <c r="F332" s="32">
        <v>914.55</v>
      </c>
      <c r="G332" s="22">
        <f t="shared" si="11"/>
        <v>3.1101373235046807E-3</v>
      </c>
      <c r="H332" s="35">
        <f>SUM($F$240:F332)</f>
        <v>277828.42</v>
      </c>
      <c r="I332" s="22">
        <f>SUM($G$240:G332)</f>
        <v>0.94481935221948954</v>
      </c>
      <c r="M332" s="19" t="str">
        <f t="shared" si="10"/>
        <v>B</v>
      </c>
    </row>
    <row r="333" spans="1:13" hidden="1" x14ac:dyDescent="0.35">
      <c r="A333" s="14" t="s">
        <v>574</v>
      </c>
      <c r="B333" s="1">
        <v>900</v>
      </c>
      <c r="E333" t="s">
        <v>574</v>
      </c>
      <c r="F333" s="32">
        <v>900</v>
      </c>
      <c r="G333" s="22">
        <f t="shared" si="11"/>
        <v>3.0606567067456266E-3</v>
      </c>
      <c r="H333" s="35">
        <f>SUM($F$240:F333)</f>
        <v>278728.42</v>
      </c>
      <c r="I333" s="22">
        <f>SUM($G$240:G333)</f>
        <v>0.94788000892623514</v>
      </c>
      <c r="M333" s="19" t="str">
        <f t="shared" si="10"/>
        <v>B</v>
      </c>
    </row>
    <row r="334" spans="1:13" hidden="1" x14ac:dyDescent="0.35">
      <c r="A334" s="14" t="s">
        <v>592</v>
      </c>
      <c r="B334" s="1">
        <v>900</v>
      </c>
      <c r="E334" t="s">
        <v>592</v>
      </c>
      <c r="F334" s="32">
        <v>900</v>
      </c>
      <c r="G334" s="22">
        <f t="shared" si="11"/>
        <v>3.0606567067456266E-3</v>
      </c>
      <c r="H334" s="35">
        <f>SUM($F$240:F334)</f>
        <v>279628.42</v>
      </c>
      <c r="I334" s="22">
        <f>SUM($G$240:G334)</f>
        <v>0.95094066563298074</v>
      </c>
      <c r="M334" s="19" t="str">
        <f t="shared" si="10"/>
        <v>C</v>
      </c>
    </row>
    <row r="335" spans="1:13" hidden="1" x14ac:dyDescent="0.35">
      <c r="A335" s="14" t="s">
        <v>70</v>
      </c>
      <c r="B335" s="1">
        <v>898.84999999999991</v>
      </c>
      <c r="E335" t="s">
        <v>70</v>
      </c>
      <c r="F335" s="32">
        <v>898.84999999999991</v>
      </c>
      <c r="G335" s="22">
        <f t="shared" si="11"/>
        <v>3.0567458676203402E-3</v>
      </c>
      <c r="H335" s="35">
        <f>SUM($F$240:F335)</f>
        <v>280527.26999999996</v>
      </c>
      <c r="I335" s="22">
        <f>SUM($G$240:G335)</f>
        <v>0.95399741150060113</v>
      </c>
      <c r="M335" s="19" t="str">
        <f t="shared" si="10"/>
        <v>C</v>
      </c>
    </row>
    <row r="336" spans="1:13" hidden="1" x14ac:dyDescent="0.35">
      <c r="A336" s="14" t="s">
        <v>180</v>
      </c>
      <c r="B336" s="1">
        <v>890.80000000000007</v>
      </c>
      <c r="E336" t="s">
        <v>180</v>
      </c>
      <c r="F336" s="32">
        <v>890.80000000000007</v>
      </c>
      <c r="G336" s="22">
        <f t="shared" si="11"/>
        <v>3.0293699937433381E-3</v>
      </c>
      <c r="H336" s="35">
        <f>SUM($F$240:F336)</f>
        <v>281418.06999999995</v>
      </c>
      <c r="I336" s="22">
        <f>SUM($G$240:G336)</f>
        <v>0.9570267814943445</v>
      </c>
      <c r="M336" s="19" t="str">
        <f t="shared" si="10"/>
        <v>C</v>
      </c>
    </row>
    <row r="337" spans="1:13" hidden="1" x14ac:dyDescent="0.35">
      <c r="A337" s="14" t="s">
        <v>132</v>
      </c>
      <c r="B337" s="1">
        <v>886</v>
      </c>
      <c r="E337" t="s">
        <v>132</v>
      </c>
      <c r="F337" s="32">
        <v>886</v>
      </c>
      <c r="G337" s="22">
        <f t="shared" si="11"/>
        <v>3.0130464913073612E-3</v>
      </c>
      <c r="H337" s="35">
        <f>SUM($F$240:F337)</f>
        <v>282304.06999999995</v>
      </c>
      <c r="I337" s="22">
        <f>SUM($G$240:G337)</f>
        <v>0.96003982798565191</v>
      </c>
      <c r="M337" s="19" t="str">
        <f t="shared" si="10"/>
        <v>C</v>
      </c>
    </row>
    <row r="338" spans="1:13" hidden="1" x14ac:dyDescent="0.35">
      <c r="A338" s="14" t="s">
        <v>700</v>
      </c>
      <c r="B338" s="1">
        <v>868.47</v>
      </c>
      <c r="E338" t="s">
        <v>700</v>
      </c>
      <c r="F338" s="32">
        <v>868.47</v>
      </c>
      <c r="G338" s="22">
        <f t="shared" si="11"/>
        <v>2.9534317001193048E-3</v>
      </c>
      <c r="H338" s="35">
        <f>SUM($F$240:F338)</f>
        <v>283172.53999999992</v>
      </c>
      <c r="I338" s="22">
        <f>SUM($G$240:G338)</f>
        <v>0.96299325968577121</v>
      </c>
      <c r="M338" s="19" t="str">
        <f t="shared" si="10"/>
        <v>C</v>
      </c>
    </row>
    <row r="339" spans="1:13" hidden="1" x14ac:dyDescent="0.35">
      <c r="A339" s="14" t="s">
        <v>686</v>
      </c>
      <c r="B339" s="1">
        <v>847.5</v>
      </c>
      <c r="E339" t="s">
        <v>686</v>
      </c>
      <c r="F339" s="32">
        <v>847.5</v>
      </c>
      <c r="G339" s="22">
        <f t="shared" si="11"/>
        <v>2.8821183988521314E-3</v>
      </c>
      <c r="H339" s="35">
        <f>SUM($F$240:F339)</f>
        <v>284020.03999999992</v>
      </c>
      <c r="I339" s="22">
        <f>SUM($G$240:G339)</f>
        <v>0.96587537808462332</v>
      </c>
      <c r="M339" s="19" t="str">
        <f t="shared" si="10"/>
        <v>C</v>
      </c>
    </row>
    <row r="340" spans="1:13" hidden="1" x14ac:dyDescent="0.35">
      <c r="A340" s="14" t="s">
        <v>416</v>
      </c>
      <c r="B340" s="1">
        <v>843</v>
      </c>
      <c r="E340" t="s">
        <v>416</v>
      </c>
      <c r="F340" s="32">
        <v>843</v>
      </c>
      <c r="G340" s="22">
        <f t="shared" si="11"/>
        <v>2.8668151153184033E-3</v>
      </c>
      <c r="H340" s="35">
        <f>SUM($F$240:F340)</f>
        <v>284863.03999999992</v>
      </c>
      <c r="I340" s="22">
        <f>SUM($G$240:G340)</f>
        <v>0.9687421931999417</v>
      </c>
      <c r="M340" s="19" t="str">
        <f t="shared" si="10"/>
        <v>C</v>
      </c>
    </row>
    <row r="341" spans="1:13" hidden="1" x14ac:dyDescent="0.35">
      <c r="A341" s="14" t="s">
        <v>615</v>
      </c>
      <c r="B341" s="1">
        <v>819.5</v>
      </c>
      <c r="E341" t="s">
        <v>615</v>
      </c>
      <c r="F341" s="32">
        <v>819.5</v>
      </c>
      <c r="G341" s="22">
        <f t="shared" si="11"/>
        <v>2.7868979679756007E-3</v>
      </c>
      <c r="H341" s="35">
        <f>SUM($F$240:F341)</f>
        <v>285682.53999999992</v>
      </c>
      <c r="I341" s="22">
        <f>SUM($G$240:G341)</f>
        <v>0.9715290911679173</v>
      </c>
      <c r="M341" s="19" t="str">
        <f t="shared" si="10"/>
        <v>C</v>
      </c>
    </row>
    <row r="342" spans="1:13" hidden="1" x14ac:dyDescent="0.35">
      <c r="A342" s="14" t="s">
        <v>230</v>
      </c>
      <c r="B342" s="1">
        <v>756</v>
      </c>
      <c r="E342" t="s">
        <v>230</v>
      </c>
      <c r="F342" s="32">
        <v>756</v>
      </c>
      <c r="G342" s="22">
        <f t="shared" si="11"/>
        <v>2.5709516336663261E-3</v>
      </c>
      <c r="H342" s="35">
        <f>SUM($F$240:F342)</f>
        <v>286438.53999999992</v>
      </c>
      <c r="I342" s="22">
        <f>SUM($G$240:G342)</f>
        <v>0.97410004280158358</v>
      </c>
      <c r="M342" s="19" t="str">
        <f t="shared" si="10"/>
        <v>C</v>
      </c>
    </row>
    <row r="343" spans="1:13" hidden="1" x14ac:dyDescent="0.35">
      <c r="A343" s="14" t="s">
        <v>193</v>
      </c>
      <c r="B343" s="1">
        <v>635.70000000000005</v>
      </c>
      <c r="E343" t="s">
        <v>193</v>
      </c>
      <c r="F343" s="32">
        <v>635.70000000000005</v>
      </c>
      <c r="G343" s="22">
        <f t="shared" si="11"/>
        <v>2.1618438538646609E-3</v>
      </c>
      <c r="H343" s="35">
        <f>SUM($F$240:F343)</f>
        <v>287074.23999999993</v>
      </c>
      <c r="I343" s="22">
        <f>SUM($G$240:G343)</f>
        <v>0.97626188665544822</v>
      </c>
      <c r="M343" s="19" t="str">
        <f t="shared" si="10"/>
        <v>C</v>
      </c>
    </row>
    <row r="344" spans="1:13" hidden="1" x14ac:dyDescent="0.35">
      <c r="A344" s="14" t="s">
        <v>531</v>
      </c>
      <c r="B344" s="1">
        <v>624</v>
      </c>
      <c r="E344" t="s">
        <v>531</v>
      </c>
      <c r="F344" s="32">
        <v>624</v>
      </c>
      <c r="G344" s="22">
        <f t="shared" si="11"/>
        <v>2.1220553166769675E-3</v>
      </c>
      <c r="H344" s="35">
        <f>SUM($F$240:F344)</f>
        <v>287698.23999999993</v>
      </c>
      <c r="I344" s="22">
        <f>SUM($G$240:G344)</f>
        <v>0.97838394197212519</v>
      </c>
      <c r="M344" s="19" t="str">
        <f t="shared" si="10"/>
        <v>C</v>
      </c>
    </row>
    <row r="345" spans="1:13" hidden="1" x14ac:dyDescent="0.35">
      <c r="A345" s="14" t="s">
        <v>142</v>
      </c>
      <c r="B345" s="1">
        <v>616</v>
      </c>
      <c r="E345" t="s">
        <v>142</v>
      </c>
      <c r="F345" s="32">
        <v>616</v>
      </c>
      <c r="G345" s="22">
        <f t="shared" si="11"/>
        <v>2.0948494792836733E-3</v>
      </c>
      <c r="H345" s="35">
        <f>SUM($F$240:F345)</f>
        <v>288314.23999999993</v>
      </c>
      <c r="I345" s="22">
        <f>SUM($G$240:G345)</f>
        <v>0.98047879145140882</v>
      </c>
      <c r="M345" s="19" t="str">
        <f t="shared" si="10"/>
        <v>C</v>
      </c>
    </row>
    <row r="346" spans="1:13" hidden="1" x14ac:dyDescent="0.35">
      <c r="A346" s="14" t="s">
        <v>1350</v>
      </c>
      <c r="B346" s="1">
        <v>615.4</v>
      </c>
      <c r="E346" t="s">
        <v>1350</v>
      </c>
      <c r="F346" s="32">
        <v>615.4</v>
      </c>
      <c r="G346" s="22">
        <f t="shared" si="11"/>
        <v>2.0928090414791762E-3</v>
      </c>
      <c r="H346" s="35">
        <f>SUM($F$240:F346)</f>
        <v>288929.63999999996</v>
      </c>
      <c r="I346" s="22">
        <f>SUM($G$240:G346)</f>
        <v>0.98257160049288794</v>
      </c>
      <c r="M346" s="19" t="str">
        <f t="shared" si="10"/>
        <v>C</v>
      </c>
    </row>
    <row r="347" spans="1:13" hidden="1" x14ac:dyDescent="0.35">
      <c r="A347" s="14" t="s">
        <v>24</v>
      </c>
      <c r="B347" s="1">
        <v>586</v>
      </c>
      <c r="E347" t="s">
        <v>24</v>
      </c>
      <c r="F347" s="32">
        <v>586</v>
      </c>
      <c r="G347" s="22">
        <f t="shared" si="11"/>
        <v>1.9928275890588191E-3</v>
      </c>
      <c r="H347" s="35">
        <f>SUM($F$240:F347)</f>
        <v>289515.63999999996</v>
      </c>
      <c r="I347" s="22">
        <f>SUM($G$240:G347)</f>
        <v>0.98456442808194677</v>
      </c>
      <c r="M347" s="19" t="str">
        <f t="shared" si="10"/>
        <v>C</v>
      </c>
    </row>
    <row r="348" spans="1:13" hidden="1" x14ac:dyDescent="0.35">
      <c r="A348" s="14" t="s">
        <v>600</v>
      </c>
      <c r="B348" s="1">
        <v>579.75</v>
      </c>
      <c r="E348" t="s">
        <v>600</v>
      </c>
      <c r="F348" s="32">
        <v>579.75</v>
      </c>
      <c r="G348" s="22">
        <f t="shared" si="11"/>
        <v>1.9715730285953074E-3</v>
      </c>
      <c r="H348" s="35">
        <f>SUM($F$240:F348)</f>
        <v>290095.38999999996</v>
      </c>
      <c r="I348" s="22">
        <f>SUM($G$240:G348)</f>
        <v>0.98653600111054207</v>
      </c>
      <c r="M348" s="19" t="str">
        <f t="shared" si="10"/>
        <v>C</v>
      </c>
    </row>
    <row r="349" spans="1:13" hidden="1" x14ac:dyDescent="0.35">
      <c r="A349" s="14" t="s">
        <v>37</v>
      </c>
      <c r="B349" s="1">
        <v>575.29999999999995</v>
      </c>
      <c r="E349" t="s">
        <v>37</v>
      </c>
      <c r="F349" s="32">
        <v>575.29999999999995</v>
      </c>
      <c r="G349" s="22">
        <f t="shared" si="11"/>
        <v>1.9564397815452876E-3</v>
      </c>
      <c r="H349" s="35">
        <f>SUM($F$240:F349)</f>
        <v>290670.68999999994</v>
      </c>
      <c r="I349" s="22">
        <f>SUM($G$240:G349)</f>
        <v>0.98849244089208732</v>
      </c>
      <c r="M349" s="19" t="str">
        <f t="shared" si="10"/>
        <v>C</v>
      </c>
    </row>
    <row r="350" spans="1:13" hidden="1" x14ac:dyDescent="0.35">
      <c r="A350" s="14" t="s">
        <v>789</v>
      </c>
      <c r="B350" s="1">
        <v>567.9</v>
      </c>
      <c r="E350" t="s">
        <v>789</v>
      </c>
      <c r="F350" s="32">
        <v>567.9</v>
      </c>
      <c r="G350" s="22">
        <f t="shared" si="11"/>
        <v>1.9312743819564903E-3</v>
      </c>
      <c r="H350" s="35">
        <f>SUM($F$240:F350)</f>
        <v>291238.58999999997</v>
      </c>
      <c r="I350" s="22">
        <f>SUM($G$240:G350)</f>
        <v>0.99042371527404383</v>
      </c>
      <c r="M350" s="19" t="str">
        <f t="shared" si="10"/>
        <v>C</v>
      </c>
    </row>
    <row r="351" spans="1:13" hidden="1" x14ac:dyDescent="0.35">
      <c r="A351" s="14" t="s">
        <v>198</v>
      </c>
      <c r="B351" s="1">
        <v>566</v>
      </c>
      <c r="E351" t="s">
        <v>198</v>
      </c>
      <c r="F351" s="32">
        <v>566</v>
      </c>
      <c r="G351" s="22">
        <f t="shared" si="11"/>
        <v>1.9248129955755828E-3</v>
      </c>
      <c r="H351" s="35">
        <f>SUM($F$240:F351)</f>
        <v>291804.58999999997</v>
      </c>
      <c r="I351" s="22">
        <f>SUM($G$240:G351)</f>
        <v>0.99234852826961939</v>
      </c>
      <c r="M351" s="19" t="str">
        <f t="shared" si="10"/>
        <v>C</v>
      </c>
    </row>
    <row r="352" spans="1:13" hidden="1" x14ac:dyDescent="0.35">
      <c r="A352" s="14" t="s">
        <v>272</v>
      </c>
      <c r="B352" s="1">
        <v>385</v>
      </c>
      <c r="E352" t="s">
        <v>272</v>
      </c>
      <c r="F352" s="32">
        <v>385</v>
      </c>
      <c r="G352" s="22">
        <f t="shared" si="11"/>
        <v>1.3092809245522957E-3</v>
      </c>
      <c r="H352" s="35">
        <f>SUM($F$240:F352)</f>
        <v>292189.58999999997</v>
      </c>
      <c r="I352" s="22">
        <f>SUM($G$240:G352)</f>
        <v>0.99365780919417168</v>
      </c>
      <c r="M352" s="19" t="str">
        <f t="shared" si="10"/>
        <v>C</v>
      </c>
    </row>
    <row r="353" spans="1:13" hidden="1" x14ac:dyDescent="0.35">
      <c r="A353" s="14" t="s">
        <v>582</v>
      </c>
      <c r="B353" s="1">
        <v>337.6</v>
      </c>
      <c r="E353" t="s">
        <v>582</v>
      </c>
      <c r="F353" s="32">
        <v>337.6</v>
      </c>
      <c r="G353" s="22">
        <f t="shared" si="11"/>
        <v>1.1480863379970262E-3</v>
      </c>
      <c r="H353" s="35">
        <f>SUM($F$240:F353)</f>
        <v>292527.18999999994</v>
      </c>
      <c r="I353" s="22">
        <f>SUM($G$240:G353)</f>
        <v>0.99480589553216869</v>
      </c>
      <c r="M353" s="19" t="str">
        <f t="shared" si="10"/>
        <v>C</v>
      </c>
    </row>
    <row r="354" spans="1:13" hidden="1" x14ac:dyDescent="0.35">
      <c r="A354" s="14" t="s">
        <v>243</v>
      </c>
      <c r="B354" s="1">
        <v>332</v>
      </c>
      <c r="E354" t="s">
        <v>243</v>
      </c>
      <c r="F354" s="32">
        <v>332</v>
      </c>
      <c r="G354" s="22">
        <f t="shared" si="11"/>
        <v>1.12904225182172E-3</v>
      </c>
      <c r="H354" s="35">
        <f>SUM($F$240:F354)</f>
        <v>292859.18999999994</v>
      </c>
      <c r="I354" s="22">
        <f>SUM($G$240:G354)</f>
        <v>0.99593493778399045</v>
      </c>
      <c r="M354" s="19" t="str">
        <f t="shared" si="10"/>
        <v>C</v>
      </c>
    </row>
    <row r="355" spans="1:13" hidden="1" x14ac:dyDescent="0.35">
      <c r="A355" s="14" t="s">
        <v>526</v>
      </c>
      <c r="B355" s="1">
        <v>309.60000000000002</v>
      </c>
      <c r="E355" t="s">
        <v>526</v>
      </c>
      <c r="F355" s="32">
        <v>309.60000000000002</v>
      </c>
      <c r="G355" s="22">
        <f t="shared" si="11"/>
        <v>1.0528659071204955E-3</v>
      </c>
      <c r="H355" s="35">
        <f>SUM($F$240:F355)</f>
        <v>293168.78999999992</v>
      </c>
      <c r="I355" s="22">
        <f>SUM($G$240:G355)</f>
        <v>0.99698780369111095</v>
      </c>
      <c r="M355" s="19" t="str">
        <f t="shared" si="10"/>
        <v>C</v>
      </c>
    </row>
    <row r="356" spans="1:13" hidden="1" x14ac:dyDescent="0.35">
      <c r="A356" s="14" t="s">
        <v>947</v>
      </c>
      <c r="B356" s="1">
        <v>265.2</v>
      </c>
      <c r="E356" t="s">
        <v>947</v>
      </c>
      <c r="F356" s="32">
        <v>265.2</v>
      </c>
      <c r="G356" s="22">
        <f t="shared" si="11"/>
        <v>9.018735095877112E-4</v>
      </c>
      <c r="H356" s="35">
        <f>SUM($F$240:F356)</f>
        <v>293433.98999999993</v>
      </c>
      <c r="I356" s="22">
        <f>SUM($G$240:G356)</f>
        <v>0.99788967720069865</v>
      </c>
      <c r="M356" s="19" t="str">
        <f t="shared" si="10"/>
        <v>C</v>
      </c>
    </row>
    <row r="357" spans="1:13" hidden="1" x14ac:dyDescent="0.35">
      <c r="A357" s="14" t="s">
        <v>368</v>
      </c>
      <c r="B357" s="1">
        <v>194.25</v>
      </c>
      <c r="E357" t="s">
        <v>368</v>
      </c>
      <c r="F357" s="32">
        <v>194.25</v>
      </c>
      <c r="G357" s="22">
        <f t="shared" si="11"/>
        <v>6.6059173920593104E-4</v>
      </c>
      <c r="H357" s="35">
        <f>SUM($F$240:F357)</f>
        <v>293628.23999999993</v>
      </c>
      <c r="I357" s="22">
        <f>SUM($G$240:G357)</f>
        <v>0.99855026893990462</v>
      </c>
      <c r="M357" s="19" t="str">
        <f t="shared" si="10"/>
        <v>C</v>
      </c>
    </row>
    <row r="358" spans="1:13" hidden="1" x14ac:dyDescent="0.35">
      <c r="A358" s="14" t="s">
        <v>2626</v>
      </c>
      <c r="B358" s="1">
        <v>178.5</v>
      </c>
      <c r="E358" t="s">
        <v>2626</v>
      </c>
      <c r="F358" s="32">
        <v>178.5</v>
      </c>
      <c r="G358" s="22">
        <f t="shared" si="11"/>
        <v>6.0703024683788254E-4</v>
      </c>
      <c r="H358" s="35">
        <f>SUM($F$240:F358)</f>
        <v>293806.73999999993</v>
      </c>
      <c r="I358" s="22">
        <f>SUM($G$240:G358)</f>
        <v>0.99915729918674245</v>
      </c>
      <c r="M358" s="19" t="str">
        <f t="shared" si="10"/>
        <v>C</v>
      </c>
    </row>
    <row r="359" spans="1:13" hidden="1" x14ac:dyDescent="0.35">
      <c r="A359" s="14" t="s">
        <v>188</v>
      </c>
      <c r="B359" s="1">
        <v>145.4</v>
      </c>
      <c r="E359" t="s">
        <v>188</v>
      </c>
      <c r="F359" s="32">
        <v>145.4</v>
      </c>
      <c r="G359" s="22">
        <f t="shared" si="11"/>
        <v>4.9446609462312676E-4</v>
      </c>
      <c r="H359" s="35">
        <f>SUM($F$240:F359)</f>
        <v>293952.13999999996</v>
      </c>
      <c r="I359" s="22">
        <f>SUM($G$240:G359)</f>
        <v>0.99965176528136557</v>
      </c>
      <c r="M359" s="19" t="str">
        <f t="shared" si="10"/>
        <v>C</v>
      </c>
    </row>
    <row r="360" spans="1:13" hidden="1" x14ac:dyDescent="0.35">
      <c r="A360" s="14" t="s">
        <v>1138</v>
      </c>
      <c r="B360" s="1">
        <v>102.4</v>
      </c>
      <c r="E360" t="s">
        <v>1138</v>
      </c>
      <c r="F360" s="32">
        <v>102.4</v>
      </c>
      <c r="G360" s="22">
        <f t="shared" si="11"/>
        <v>3.4823471863416905E-4</v>
      </c>
      <c r="H360" s="35">
        <f>SUM($F$240:F360)</f>
        <v>294054.53999999998</v>
      </c>
      <c r="I360" s="22">
        <f>SUM($G$240:G360)</f>
        <v>0.99999999999999978</v>
      </c>
      <c r="M360" s="19" t="str">
        <f t="shared" si="10"/>
        <v>C</v>
      </c>
    </row>
    <row r="361" spans="1:13" hidden="1" x14ac:dyDescent="0.35">
      <c r="A361" s="14" t="s">
        <v>3469</v>
      </c>
      <c r="B361" s="1">
        <v>294054.53999999998</v>
      </c>
      <c r="F361" s="32"/>
      <c r="G361" s="22"/>
      <c r="H361" s="35"/>
    </row>
  </sheetData>
  <mergeCells count="2">
    <mergeCell ref="A2:M2"/>
    <mergeCell ref="A3:M3"/>
  </mergeCells>
  <conditionalFormatting sqref="M17:M138">
    <cfRule type="cellIs" dxfId="57" priority="40" operator="equal">
      <formula>"A"</formula>
    </cfRule>
    <cfRule type="cellIs" dxfId="56" priority="39" operator="equal">
      <formula>"B"</formula>
    </cfRule>
    <cfRule type="cellIs" dxfId="55" priority="51" operator="equal">
      <formula>"""A"""</formula>
    </cfRule>
    <cfRule type="cellIs" dxfId="54" priority="50" operator="equal">
      <formula>$M$18</formula>
    </cfRule>
    <cfRule type="cellIs" dxfId="53" priority="49" operator="equal">
      <formula>$M$76</formula>
    </cfRule>
    <cfRule type="cellIs" dxfId="52" priority="48" operator="equal">
      <formula>$M$113</formula>
    </cfRule>
    <cfRule type="cellIs" dxfId="51" priority="47" operator="equal">
      <formula>$M$18</formula>
    </cfRule>
    <cfRule type="cellIs" dxfId="50" priority="46" operator="equal">
      <formula>"A"</formula>
    </cfRule>
    <cfRule type="cellIs" dxfId="49" priority="45" operator="equal">
      <formula>"B"</formula>
    </cfRule>
    <cfRule type="cellIs" dxfId="48" priority="44" operator="equal">
      <formula>"C"</formula>
    </cfRule>
    <cfRule type="cellIs" dxfId="47" priority="43" operator="equal">
      <formula>"C"</formula>
    </cfRule>
    <cfRule type="cellIs" dxfId="46" priority="42" operator="equal">
      <formula>"C"</formula>
    </cfRule>
    <cfRule type="cellIs" dxfId="45" priority="41" operator="equal">
      <formula>"C"</formula>
    </cfRule>
  </conditionalFormatting>
  <conditionalFormatting sqref="M18:M13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4">
    <cfRule type="cellIs" dxfId="44" priority="37" operator="equal">
      <formula>$M$18</formula>
    </cfRule>
    <cfRule type="cellIs" dxfId="43" priority="38" operator="equal">
      <formula>"""A"""</formula>
    </cfRule>
    <cfRule type="cellIs" dxfId="42" priority="29" operator="equal">
      <formula>"C"</formula>
    </cfRule>
    <cfRule type="cellIs" dxfId="41" priority="30" operator="equal">
      <formula>"C"</formula>
    </cfRule>
    <cfRule type="cellIs" dxfId="40" priority="31" operator="equal">
      <formula>"C"</formula>
    </cfRule>
    <cfRule type="cellIs" dxfId="39" priority="32" operator="equal">
      <formula>"B"</formula>
    </cfRule>
    <cfRule type="cellIs" dxfId="38" priority="33" operator="equal">
      <formula>"A"</formula>
    </cfRule>
    <cfRule type="cellIs" dxfId="37" priority="34" operator="equal">
      <formula>$M$18</formula>
    </cfRule>
    <cfRule type="cellIs" dxfId="36" priority="35" operator="equal">
      <formula>$M$113</formula>
    </cfRule>
    <cfRule type="cellIs" dxfId="35" priority="36" operator="equal">
      <formula>$M$76</formula>
    </cfRule>
  </conditionalFormatting>
  <conditionalFormatting sqref="M144:M233">
    <cfRule type="cellIs" dxfId="34" priority="25" operator="equal">
      <formula>"A"</formula>
    </cfRule>
    <cfRule type="cellIs" dxfId="33" priority="24" operator="equal">
      <formula>"B"</formula>
    </cfRule>
    <cfRule type="cellIs" dxfId="32" priority="23" operator="equal">
      <formula>"C"</formula>
    </cfRule>
  </conditionalFormatting>
  <conditionalFormatting sqref="M239">
    <cfRule type="cellIs" dxfId="31" priority="22" operator="equal">
      <formula>"""A"""</formula>
    </cfRule>
    <cfRule type="cellIs" dxfId="30" priority="21" operator="equal">
      <formula>$M$18</formula>
    </cfRule>
    <cfRule type="cellIs" dxfId="29" priority="20" operator="equal">
      <formula>$M$76</formula>
    </cfRule>
    <cfRule type="cellIs" dxfId="28" priority="19" operator="equal">
      <formula>$M$113</formula>
    </cfRule>
    <cfRule type="cellIs" dxfId="27" priority="18" operator="equal">
      <formula>$M$18</formula>
    </cfRule>
    <cfRule type="cellIs" dxfId="26" priority="17" operator="equal">
      <formula>"A"</formula>
    </cfRule>
    <cfRule type="cellIs" dxfId="25" priority="16" operator="equal">
      <formula>"B"</formula>
    </cfRule>
    <cfRule type="cellIs" dxfId="24" priority="15" operator="equal">
      <formula>"C"</formula>
    </cfRule>
    <cfRule type="cellIs" dxfId="23" priority="14" operator="equal">
      <formula>"C"</formula>
    </cfRule>
    <cfRule type="cellIs" dxfId="22" priority="13" operator="equal">
      <formula>"C"</formula>
    </cfRule>
  </conditionalFormatting>
  <conditionalFormatting sqref="M239:M360">
    <cfRule type="cellIs" dxfId="21" priority="2" operator="equal">
      <formula>"B"</formula>
    </cfRule>
    <cfRule type="cellIs" dxfId="20" priority="3" operator="equal">
      <formula>"A"</formula>
    </cfRule>
    <cfRule type="cellIs" dxfId="19" priority="1" operator="equal">
      <formula>"C"</formula>
    </cfRule>
  </conditionalFormatting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FA10-6CC6-4F92-BE9F-CF54F1898F39}">
  <sheetPr filterMode="1"/>
  <dimension ref="A1:U128"/>
  <sheetViews>
    <sheetView tabSelected="1" topLeftCell="H1" zoomScale="76" zoomScaleNormal="100" workbookViewId="0">
      <selection activeCell="A2" sqref="A2:U3"/>
    </sheetView>
  </sheetViews>
  <sheetFormatPr defaultRowHeight="14.5" x14ac:dyDescent="0.35"/>
  <cols>
    <col min="1" max="1" width="17.81640625" bestFit="1" customWidth="1"/>
    <col min="2" max="2" width="18.90625" bestFit="1" customWidth="1"/>
    <col min="3" max="3" width="18.1796875" bestFit="1" customWidth="1"/>
    <col min="4" max="4" width="25.6328125" bestFit="1" customWidth="1"/>
    <col min="5" max="5" width="22" bestFit="1" customWidth="1"/>
    <col min="6" max="6" width="18.81640625" customWidth="1"/>
    <col min="7" max="7" width="13.81640625" customWidth="1"/>
    <col min="8" max="8" width="14.81640625" customWidth="1"/>
    <col min="9" max="9" width="13.36328125" customWidth="1"/>
    <col min="10" max="10" width="13.453125" customWidth="1"/>
    <col min="11" max="11" width="13.7265625" customWidth="1"/>
    <col min="12" max="12" width="13.7265625" hidden="1" customWidth="1"/>
    <col min="13" max="13" width="13.7265625" customWidth="1"/>
    <col min="16" max="17" width="15.81640625" customWidth="1"/>
    <col min="18" max="18" width="16.08984375" customWidth="1"/>
    <col min="19" max="19" width="13.453125" customWidth="1"/>
    <col min="20" max="20" width="8.7265625" style="19"/>
  </cols>
  <sheetData>
    <row r="1" spans="1:21" ht="15" thickBot="1" x14ac:dyDescent="0.4"/>
    <row r="2" spans="1:21" x14ac:dyDescent="0.35">
      <c r="A2" s="114" t="s">
        <v>3493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5"/>
      <c r="M2" s="114"/>
      <c r="N2" s="114"/>
      <c r="O2" s="114"/>
      <c r="P2" s="114"/>
      <c r="Q2" s="114"/>
      <c r="R2" s="114"/>
      <c r="S2" s="114"/>
      <c r="T2" s="114"/>
      <c r="U2" s="114"/>
    </row>
    <row r="3" spans="1:21" ht="23" customHeight="1" thickBot="1" x14ac:dyDescent="0.4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5"/>
      <c r="M3" s="116"/>
      <c r="N3" s="116"/>
      <c r="O3" s="116"/>
      <c r="P3" s="116"/>
      <c r="Q3" s="116"/>
      <c r="R3" s="116"/>
      <c r="S3" s="116"/>
      <c r="T3" s="116"/>
      <c r="U3" s="116"/>
    </row>
    <row r="4" spans="1:21" x14ac:dyDescent="0.35">
      <c r="R4" s="67"/>
      <c r="S4" s="67"/>
    </row>
    <row r="5" spans="1:21" x14ac:dyDescent="0.35">
      <c r="G5" s="27">
        <f>SUBTOTAL(3,G7:G127)</f>
        <v>58</v>
      </c>
      <c r="M5" s="89" t="s">
        <v>3562</v>
      </c>
      <c r="N5" s="113" t="s">
        <v>3499</v>
      </c>
      <c r="O5" s="113"/>
      <c r="P5" s="117" t="s">
        <v>3536</v>
      </c>
      <c r="Q5" s="117"/>
      <c r="R5" s="117"/>
      <c r="S5" s="117"/>
      <c r="T5" s="117"/>
      <c r="U5" s="117"/>
    </row>
    <row r="6" spans="1:21" ht="29" x14ac:dyDescent="0.35">
      <c r="A6" s="101" t="s">
        <v>3468</v>
      </c>
      <c r="B6" s="102" t="s">
        <v>3470</v>
      </c>
      <c r="C6" s="102" t="s">
        <v>3478</v>
      </c>
      <c r="D6" s="102" t="s">
        <v>3543</v>
      </c>
      <c r="E6" s="102" t="s">
        <v>3539</v>
      </c>
      <c r="G6" s="103" t="s">
        <v>3496</v>
      </c>
      <c r="H6" s="103" t="s">
        <v>3497</v>
      </c>
      <c r="I6" s="103" t="s">
        <v>3494</v>
      </c>
      <c r="J6" s="103" t="s">
        <v>3492</v>
      </c>
      <c r="K6" s="103" t="s">
        <v>3495</v>
      </c>
      <c r="L6" s="42" t="s">
        <v>3542</v>
      </c>
      <c r="M6" s="103" t="s">
        <v>3490</v>
      </c>
      <c r="N6" s="103" t="s">
        <v>3487</v>
      </c>
      <c r="O6" s="103" t="s">
        <v>3498</v>
      </c>
      <c r="P6" s="103" t="s">
        <v>3541</v>
      </c>
      <c r="Q6" s="103" t="s">
        <v>3537</v>
      </c>
      <c r="R6" s="103" t="s">
        <v>3544</v>
      </c>
      <c r="S6" s="103" t="s">
        <v>3538</v>
      </c>
      <c r="T6" s="103" t="s">
        <v>3477</v>
      </c>
      <c r="U6" s="103" t="s">
        <v>3545</v>
      </c>
    </row>
    <row r="7" spans="1:21" hidden="1" x14ac:dyDescent="0.35">
      <c r="A7" s="14" t="s">
        <v>368</v>
      </c>
      <c r="B7">
        <v>198</v>
      </c>
      <c r="C7">
        <v>3</v>
      </c>
      <c r="D7" s="57">
        <v>34</v>
      </c>
      <c r="E7" s="1">
        <v>1.4000000000000001</v>
      </c>
      <c r="F7" s="1"/>
      <c r="G7" s="14" t="s">
        <v>368</v>
      </c>
      <c r="H7">
        <v>198</v>
      </c>
      <c r="I7" s="34">
        <v>0.25</v>
      </c>
      <c r="J7" s="32">
        <v>1.4000000000000001</v>
      </c>
      <c r="K7" s="35">
        <f t="shared" ref="K7:K38" si="0">I7*J7</f>
        <v>0.35000000000000003</v>
      </c>
      <c r="L7">
        <f t="shared" ref="L7:L38" si="1">VLOOKUP(G7,$A$7:$C$127,3,0)</f>
        <v>3</v>
      </c>
      <c r="M7" s="56">
        <f>ROUND(VLOOKUP(G7,$A$7:$D$127,4,0),0)</f>
        <v>34</v>
      </c>
      <c r="N7" s="41">
        <f t="shared" ref="N7:N38" si="2">SQRT((2*H7*J7)/K7)</f>
        <v>39.799497484264798</v>
      </c>
      <c r="O7" s="41">
        <f t="shared" ref="O7:O38" si="3">H7/N7</f>
        <v>4.9749371855330997</v>
      </c>
      <c r="P7" s="35">
        <f>(H7/M7)*J7+(M7/2)*K7</f>
        <v>14.102941176470591</v>
      </c>
      <c r="Q7" s="35">
        <f t="shared" ref="Q7:Q38" si="4">(H7/N7)*J7+(N7/2)*K7</f>
        <v>13.929824119492681</v>
      </c>
      <c r="R7" s="35">
        <f>Q7-P7</f>
        <v>-0.17311705697790991</v>
      </c>
      <c r="S7" s="66">
        <f t="shared" ref="S7:S38" si="5">(Q7-P7)/P7*100</f>
        <v>-1.2275244916056174</v>
      </c>
      <c r="T7" s="19" t="str">
        <f>IFERROR(VLOOKUP(G7,'ABC Analysis'!$E$18:$M$138,9,0),0)</f>
        <v>C</v>
      </c>
      <c r="U7" s="22">
        <f>IFERROR(VLOOKUP(G7,'ABC Analysis'!$E$18:$G$138,3,0),0)</f>
        <v>1.0064794035971947E-3</v>
      </c>
    </row>
    <row r="8" spans="1:21" x14ac:dyDescent="0.35">
      <c r="A8" s="14" t="s">
        <v>446</v>
      </c>
      <c r="B8">
        <v>405</v>
      </c>
      <c r="C8">
        <v>10</v>
      </c>
      <c r="D8" s="57">
        <v>56.7</v>
      </c>
      <c r="E8" s="1">
        <v>7.6</v>
      </c>
      <c r="F8" s="1"/>
      <c r="G8" s="14" t="s">
        <v>126</v>
      </c>
      <c r="H8">
        <v>874</v>
      </c>
      <c r="I8" s="34">
        <v>0.25</v>
      </c>
      <c r="J8" s="32">
        <v>16.175000000000004</v>
      </c>
      <c r="K8" s="35">
        <f t="shared" si="0"/>
        <v>4.0437500000000011</v>
      </c>
      <c r="L8">
        <f t="shared" si="1"/>
        <v>16</v>
      </c>
      <c r="M8" s="56">
        <f t="shared" ref="M8:M71" si="6">ROUND(VLOOKUP(G8,$A$7:$D$127,4,0),0)</f>
        <v>47</v>
      </c>
      <c r="N8" s="41">
        <f t="shared" si="2"/>
        <v>83.618179841467494</v>
      </c>
      <c r="O8" s="41">
        <f t="shared" si="3"/>
        <v>10.452272480183435</v>
      </c>
      <c r="P8" s="35">
        <f t="shared" ref="P8:P71" si="7">(H8/M8)*J8+(M8/2)*K8</f>
        <v>395.81429521276607</v>
      </c>
      <c r="Q8" s="35">
        <f t="shared" si="4"/>
        <v>338.13101473393419</v>
      </c>
      <c r="R8" s="35">
        <f t="shared" ref="R8:R71" si="8">Q8-P8</f>
        <v>-57.683280478831875</v>
      </c>
      <c r="S8" s="66">
        <f t="shared" si="5"/>
        <v>-14.573319149027904</v>
      </c>
      <c r="T8" s="19" t="str">
        <f>IFERROR(VLOOKUP(G8,'ABC Analysis'!$E$18:$M$138,9,0),0)</f>
        <v>A</v>
      </c>
      <c r="U8" s="22">
        <f>IFERROR(VLOOKUP(G8,'ABC Analysis'!$E$18:$G$138,3,0),0)</f>
        <v>5.1250570265711101E-2</v>
      </c>
    </row>
    <row r="9" spans="1:21" x14ac:dyDescent="0.35">
      <c r="A9" s="14" t="s">
        <v>59</v>
      </c>
      <c r="B9">
        <v>668</v>
      </c>
      <c r="C9">
        <v>11</v>
      </c>
      <c r="D9" s="57">
        <v>59.454545454545453</v>
      </c>
      <c r="E9" s="1">
        <v>8</v>
      </c>
      <c r="F9" s="1"/>
      <c r="G9" s="14" t="s">
        <v>517</v>
      </c>
      <c r="H9">
        <v>637</v>
      </c>
      <c r="I9" s="34">
        <v>0.25</v>
      </c>
      <c r="J9" s="32">
        <v>20.084000000000003</v>
      </c>
      <c r="K9" s="35">
        <f t="shared" si="0"/>
        <v>5.0210000000000008</v>
      </c>
      <c r="L9">
        <f t="shared" si="1"/>
        <v>10</v>
      </c>
      <c r="M9" s="56">
        <f t="shared" si="6"/>
        <v>49</v>
      </c>
      <c r="N9" s="41">
        <f t="shared" si="2"/>
        <v>71.386273190298994</v>
      </c>
      <c r="O9" s="41">
        <f t="shared" si="3"/>
        <v>8.9232841487873724</v>
      </c>
      <c r="P9" s="35">
        <f t="shared" si="7"/>
        <v>384.1065000000001</v>
      </c>
      <c r="Q9" s="35">
        <f t="shared" si="4"/>
        <v>358.43047768849124</v>
      </c>
      <c r="R9" s="35">
        <f t="shared" si="8"/>
        <v>-25.676022311508859</v>
      </c>
      <c r="S9" s="66">
        <f t="shared" si="5"/>
        <v>-6.6846102087595121</v>
      </c>
      <c r="T9" s="19" t="str">
        <f>IFERROR(VLOOKUP(G9,'ABC Analysis'!$E$18:$M$138,9,0),0)</f>
        <v>A</v>
      </c>
      <c r="U9" s="22">
        <f>IFERROR(VLOOKUP(G9,'ABC Analysis'!$E$18:$G$138,3,0),0)</f>
        <v>4.6375462886122799E-2</v>
      </c>
    </row>
    <row r="10" spans="1:21" hidden="1" x14ac:dyDescent="0.35">
      <c r="A10" s="14" t="s">
        <v>812</v>
      </c>
      <c r="B10">
        <v>374</v>
      </c>
      <c r="C10">
        <v>7</v>
      </c>
      <c r="D10" s="57">
        <v>55.857142857142854</v>
      </c>
      <c r="E10" s="1">
        <v>2.8000000000000003</v>
      </c>
      <c r="F10" s="1"/>
      <c r="G10" s="14" t="s">
        <v>812</v>
      </c>
      <c r="H10">
        <v>374</v>
      </c>
      <c r="I10" s="34">
        <v>0.25</v>
      </c>
      <c r="J10" s="32">
        <v>2.8000000000000003</v>
      </c>
      <c r="K10" s="35">
        <f t="shared" si="0"/>
        <v>0.70000000000000007</v>
      </c>
      <c r="L10">
        <f t="shared" si="1"/>
        <v>7</v>
      </c>
      <c r="M10" s="56">
        <f t="shared" si="6"/>
        <v>56</v>
      </c>
      <c r="N10" s="41">
        <f t="shared" si="2"/>
        <v>54.699177324709375</v>
      </c>
      <c r="O10" s="41">
        <f t="shared" si="3"/>
        <v>6.8373971655886709</v>
      </c>
      <c r="P10" s="35">
        <f t="shared" si="7"/>
        <v>38.300000000000004</v>
      </c>
      <c r="Q10" s="35">
        <f t="shared" si="4"/>
        <v>38.289424127296563</v>
      </c>
      <c r="R10" s="35">
        <f t="shared" si="8"/>
        <v>-1.0575872703441291E-2</v>
      </c>
      <c r="S10" s="66">
        <f t="shared" si="5"/>
        <v>-2.7613244656504672E-2</v>
      </c>
      <c r="T10" s="19" t="str">
        <f>IFERROR(VLOOKUP(G10,'ABC Analysis'!$E$18:$M$138,9,0),0)</f>
        <v>B</v>
      </c>
      <c r="U10" s="22">
        <f>IFERROR(VLOOKUP(G10,'ABC Analysis'!$E$18:$G$138,3,0),0)</f>
        <v>3.802255524700514E-3</v>
      </c>
    </row>
    <row r="11" spans="1:21" hidden="1" x14ac:dyDescent="0.35">
      <c r="A11" s="14" t="s">
        <v>253</v>
      </c>
      <c r="B11">
        <v>388</v>
      </c>
      <c r="C11">
        <v>7</v>
      </c>
      <c r="D11" s="57">
        <v>51.428571428571431</v>
      </c>
      <c r="E11" s="1">
        <v>4</v>
      </c>
      <c r="F11" s="1"/>
      <c r="G11" s="14" t="s">
        <v>253</v>
      </c>
      <c r="H11">
        <v>388</v>
      </c>
      <c r="I11" s="34">
        <v>0.25</v>
      </c>
      <c r="J11" s="32">
        <v>4</v>
      </c>
      <c r="K11" s="35">
        <f t="shared" si="0"/>
        <v>1</v>
      </c>
      <c r="L11">
        <f t="shared" si="1"/>
        <v>7</v>
      </c>
      <c r="M11" s="56">
        <f t="shared" si="6"/>
        <v>51</v>
      </c>
      <c r="N11" s="41">
        <f t="shared" si="2"/>
        <v>55.713553108736477</v>
      </c>
      <c r="O11" s="41">
        <f t="shared" si="3"/>
        <v>6.9641941385920596</v>
      </c>
      <c r="P11" s="35">
        <f t="shared" si="7"/>
        <v>55.931372549019606</v>
      </c>
      <c r="Q11" s="35">
        <f t="shared" si="4"/>
        <v>55.713553108736477</v>
      </c>
      <c r="R11" s="35">
        <f t="shared" si="8"/>
        <v>-0.2178194402831295</v>
      </c>
      <c r="S11" s="66">
        <f t="shared" si="5"/>
        <v>-0.38944054178578807</v>
      </c>
      <c r="T11" s="19" t="str">
        <f>IFERROR(VLOOKUP(G11,'ABC Analysis'!$E$18:$M$138,9,0),0)</f>
        <v>B</v>
      </c>
      <c r="U11" s="22">
        <f>IFERROR(VLOOKUP(G11,'ABC Analysis'!$E$18:$G$138,3,0),0)</f>
        <v>5.6351227791588956E-3</v>
      </c>
    </row>
    <row r="12" spans="1:21" x14ac:dyDescent="0.35">
      <c r="A12" s="14" t="s">
        <v>126</v>
      </c>
      <c r="B12">
        <v>874</v>
      </c>
      <c r="C12">
        <v>16</v>
      </c>
      <c r="D12" s="57">
        <v>46.625</v>
      </c>
      <c r="E12" s="1">
        <v>16.175000000000004</v>
      </c>
      <c r="F12" s="1"/>
      <c r="G12" s="14" t="s">
        <v>976</v>
      </c>
      <c r="H12">
        <v>535</v>
      </c>
      <c r="I12" s="34">
        <v>0.25</v>
      </c>
      <c r="J12" s="32">
        <v>16</v>
      </c>
      <c r="K12" s="35">
        <f t="shared" si="0"/>
        <v>4</v>
      </c>
      <c r="L12">
        <f t="shared" si="1"/>
        <v>8</v>
      </c>
      <c r="M12" s="56">
        <f t="shared" si="6"/>
        <v>70</v>
      </c>
      <c r="N12" s="41">
        <f t="shared" si="2"/>
        <v>65.421708935184498</v>
      </c>
      <c r="O12" s="41">
        <f t="shared" si="3"/>
        <v>8.177713616898064</v>
      </c>
      <c r="P12" s="35">
        <f t="shared" si="7"/>
        <v>262.28571428571428</v>
      </c>
      <c r="Q12" s="35">
        <f t="shared" si="4"/>
        <v>261.68683574073805</v>
      </c>
      <c r="R12" s="35">
        <f t="shared" si="8"/>
        <v>-0.59887854497623039</v>
      </c>
      <c r="S12" s="66">
        <f t="shared" si="5"/>
        <v>-0.22833059993647128</v>
      </c>
      <c r="T12" s="19" t="str">
        <f>IFERROR(VLOOKUP(G12,'ABC Analysis'!$E$18:$M$138,9,0),0)</f>
        <v>A</v>
      </c>
      <c r="U12" s="22">
        <f>IFERROR(VLOOKUP(G12,'ABC Analysis'!$E$18:$G$138,3,0),0)</f>
        <v>3.1080316359278454E-2</v>
      </c>
    </row>
    <row r="13" spans="1:21" hidden="1" x14ac:dyDescent="0.35">
      <c r="A13" s="14" t="s">
        <v>170</v>
      </c>
      <c r="B13">
        <v>308</v>
      </c>
      <c r="C13">
        <v>6</v>
      </c>
      <c r="D13" s="57">
        <v>60.333333333333336</v>
      </c>
      <c r="E13" s="1">
        <v>3.6</v>
      </c>
      <c r="F13" s="1"/>
      <c r="G13" s="14" t="s">
        <v>170</v>
      </c>
      <c r="H13">
        <v>308</v>
      </c>
      <c r="I13" s="34">
        <v>0.25</v>
      </c>
      <c r="J13" s="32">
        <v>3.6</v>
      </c>
      <c r="K13" s="35">
        <f t="shared" si="0"/>
        <v>0.9</v>
      </c>
      <c r="L13">
        <f t="shared" si="1"/>
        <v>6</v>
      </c>
      <c r="M13" s="56">
        <f t="shared" si="6"/>
        <v>60</v>
      </c>
      <c r="N13" s="41">
        <f t="shared" si="2"/>
        <v>49.638694583963428</v>
      </c>
      <c r="O13" s="41">
        <f t="shared" si="3"/>
        <v>6.2048368229954285</v>
      </c>
      <c r="P13" s="35">
        <f t="shared" si="7"/>
        <v>45.480000000000004</v>
      </c>
      <c r="Q13" s="35">
        <f t="shared" si="4"/>
        <v>44.674825125567089</v>
      </c>
      <c r="R13" s="35">
        <f t="shared" si="8"/>
        <v>-0.80517487443291458</v>
      </c>
      <c r="S13" s="66">
        <f t="shared" si="5"/>
        <v>-1.7703933035024506</v>
      </c>
      <c r="T13" s="19" t="str">
        <f>IFERROR(VLOOKUP(G13,'ABC Analysis'!$E$18:$M$138,9,0),0)</f>
        <v>B</v>
      </c>
      <c r="U13" s="22">
        <f>IFERROR(VLOOKUP(G13,'ABC Analysis'!$E$18:$G$138,3,0),0)</f>
        <v>4.025917614388779E-3</v>
      </c>
    </row>
    <row r="14" spans="1:21" x14ac:dyDescent="0.35">
      <c r="A14" s="14" t="s">
        <v>490</v>
      </c>
      <c r="B14">
        <v>453</v>
      </c>
      <c r="C14">
        <v>8</v>
      </c>
      <c r="D14" s="57">
        <v>45.875</v>
      </c>
      <c r="E14" s="1">
        <v>3.95</v>
      </c>
      <c r="F14" s="1"/>
      <c r="G14" s="14" t="s">
        <v>433</v>
      </c>
      <c r="H14">
        <v>257</v>
      </c>
      <c r="I14" s="34">
        <v>0.25</v>
      </c>
      <c r="J14" s="32">
        <v>36.31</v>
      </c>
      <c r="K14" s="35">
        <f t="shared" si="0"/>
        <v>9.0775000000000006</v>
      </c>
      <c r="L14">
        <f t="shared" si="1"/>
        <v>4</v>
      </c>
      <c r="M14" s="56">
        <f t="shared" si="6"/>
        <v>58</v>
      </c>
      <c r="N14" s="41">
        <f t="shared" si="2"/>
        <v>45.343136195018538</v>
      </c>
      <c r="O14" s="41">
        <f t="shared" si="3"/>
        <v>5.6678920243773163</v>
      </c>
      <c r="P14" s="35">
        <f t="shared" si="7"/>
        <v>424.13836206896553</v>
      </c>
      <c r="Q14" s="35">
        <f t="shared" si="4"/>
        <v>411.60231881028074</v>
      </c>
      <c r="R14" s="35">
        <f t="shared" si="8"/>
        <v>-12.536043258684799</v>
      </c>
      <c r="S14" s="66">
        <f t="shared" si="5"/>
        <v>-2.9556494719160584</v>
      </c>
      <c r="T14" s="19" t="str">
        <f>IFERROR(VLOOKUP(G14,'ABC Analysis'!$E$18:$M$138,9,0),0)</f>
        <v>A</v>
      </c>
      <c r="U14" s="22">
        <f>IFERROR(VLOOKUP(G14,'ABC Analysis'!$E$18:$G$138,3,0),0)</f>
        <v>2.9388850020742464E-2</v>
      </c>
    </row>
    <row r="15" spans="1:21" x14ac:dyDescent="0.35">
      <c r="A15" s="14" t="s">
        <v>80</v>
      </c>
      <c r="B15">
        <v>353</v>
      </c>
      <c r="C15">
        <v>7</v>
      </c>
      <c r="D15" s="57">
        <v>47.428571428571431</v>
      </c>
      <c r="E15" s="1">
        <v>8</v>
      </c>
      <c r="F15" s="1"/>
      <c r="G15" s="14" t="s">
        <v>587</v>
      </c>
      <c r="H15">
        <v>334</v>
      </c>
      <c r="I15" s="34">
        <v>0.25</v>
      </c>
      <c r="J15" s="32">
        <v>24.2</v>
      </c>
      <c r="K15" s="35">
        <f t="shared" si="0"/>
        <v>6.05</v>
      </c>
      <c r="L15">
        <f t="shared" si="1"/>
        <v>6</v>
      </c>
      <c r="M15" s="56">
        <f t="shared" si="6"/>
        <v>45</v>
      </c>
      <c r="N15" s="41">
        <f t="shared" si="2"/>
        <v>51.691391933280343</v>
      </c>
      <c r="O15" s="41">
        <f t="shared" si="3"/>
        <v>6.4614239916600429</v>
      </c>
      <c r="P15" s="35">
        <f t="shared" si="7"/>
        <v>315.74277777777775</v>
      </c>
      <c r="Q15" s="35">
        <f t="shared" si="4"/>
        <v>312.73292119634607</v>
      </c>
      <c r="R15" s="35">
        <f t="shared" si="8"/>
        <v>-3.0098565814316771</v>
      </c>
      <c r="S15" s="66">
        <f t="shared" si="5"/>
        <v>-0.95326221002275391</v>
      </c>
      <c r="T15" s="19" t="str">
        <f>IFERROR(VLOOKUP(G15,'ABC Analysis'!$E$18:$M$138,9,0),0)</f>
        <v>A</v>
      </c>
      <c r="U15" s="22">
        <f>IFERROR(VLOOKUP(G15,'ABC Analysis'!$E$18:$G$138,3,0),0)</f>
        <v>2.9375256013213363E-2</v>
      </c>
    </row>
    <row r="16" spans="1:21" x14ac:dyDescent="0.35">
      <c r="A16" s="14" t="s">
        <v>433</v>
      </c>
      <c r="B16">
        <v>257</v>
      </c>
      <c r="C16">
        <v>4</v>
      </c>
      <c r="D16" s="57">
        <v>57.5</v>
      </c>
      <c r="E16" s="1">
        <v>36.31</v>
      </c>
      <c r="F16" s="1"/>
      <c r="G16" s="14" t="s">
        <v>566</v>
      </c>
      <c r="H16">
        <v>662</v>
      </c>
      <c r="I16" s="34">
        <v>0.25</v>
      </c>
      <c r="J16" s="32">
        <v>12.072000000000001</v>
      </c>
      <c r="K16" s="35">
        <f t="shared" si="0"/>
        <v>3.0180000000000002</v>
      </c>
      <c r="L16">
        <f t="shared" si="1"/>
        <v>10</v>
      </c>
      <c r="M16" s="56">
        <f t="shared" si="6"/>
        <v>46</v>
      </c>
      <c r="N16" s="41">
        <f t="shared" si="2"/>
        <v>72.773621594641014</v>
      </c>
      <c r="O16" s="41">
        <f t="shared" si="3"/>
        <v>9.096702699330125</v>
      </c>
      <c r="P16" s="35">
        <f t="shared" si="7"/>
        <v>243.14582608695656</v>
      </c>
      <c r="Q16" s="35">
        <f t="shared" si="4"/>
        <v>219.63078997262659</v>
      </c>
      <c r="R16" s="35">
        <f t="shared" si="8"/>
        <v>-23.515036114329973</v>
      </c>
      <c r="S16" s="66">
        <f t="shared" si="5"/>
        <v>-9.671165856624766</v>
      </c>
      <c r="T16" s="19" t="str">
        <f>IFERROR(VLOOKUP(G16,'ABC Analysis'!$E$18:$M$138,9,0),0)</f>
        <v>A</v>
      </c>
      <c r="U16" s="22">
        <f>IFERROR(VLOOKUP(G16,'ABC Analysis'!$E$18:$G$138,3,0),0)</f>
        <v>2.8983121180643029E-2</v>
      </c>
    </row>
    <row r="17" spans="1:21" hidden="1" x14ac:dyDescent="0.35">
      <c r="A17" s="14" t="s">
        <v>717</v>
      </c>
      <c r="B17">
        <v>317</v>
      </c>
      <c r="C17">
        <v>6</v>
      </c>
      <c r="D17" s="57">
        <v>60</v>
      </c>
      <c r="E17" s="1">
        <v>3.5800000000000005</v>
      </c>
      <c r="F17" s="1"/>
      <c r="G17" s="14" t="s">
        <v>717</v>
      </c>
      <c r="H17">
        <v>317</v>
      </c>
      <c r="I17" s="34">
        <v>0.25</v>
      </c>
      <c r="J17" s="32">
        <v>3.5800000000000005</v>
      </c>
      <c r="K17" s="35">
        <f t="shared" si="0"/>
        <v>0.89500000000000013</v>
      </c>
      <c r="L17">
        <f t="shared" si="1"/>
        <v>6</v>
      </c>
      <c r="M17" s="56">
        <f t="shared" si="6"/>
        <v>60</v>
      </c>
      <c r="N17" s="41">
        <f t="shared" si="2"/>
        <v>50.358713248056688</v>
      </c>
      <c r="O17" s="41">
        <f t="shared" si="3"/>
        <v>6.294839156007086</v>
      </c>
      <c r="P17" s="35">
        <f t="shared" si="7"/>
        <v>45.76433333333334</v>
      </c>
      <c r="Q17" s="35">
        <f t="shared" si="4"/>
        <v>45.071048357010746</v>
      </c>
      <c r="R17" s="35">
        <f t="shared" si="8"/>
        <v>-0.69328497632259456</v>
      </c>
      <c r="S17" s="66">
        <f t="shared" si="5"/>
        <v>-1.5149023832007338</v>
      </c>
      <c r="T17" s="19" t="str">
        <f>IFERROR(VLOOKUP(G17,'ABC Analysis'!$E$18:$M$138,9,0),0)</f>
        <v>B</v>
      </c>
      <c r="U17" s="22">
        <f>IFERROR(VLOOKUP(G17,'ABC Analysis'!$E$18:$G$138,3,0),0)</f>
        <v>4.1224989712996211E-3</v>
      </c>
    </row>
    <row r="18" spans="1:21" x14ac:dyDescent="0.35">
      <c r="A18" s="14" t="s">
        <v>17</v>
      </c>
      <c r="B18">
        <v>708</v>
      </c>
      <c r="C18">
        <v>12</v>
      </c>
      <c r="D18" s="57">
        <v>46.75</v>
      </c>
      <c r="E18" s="1">
        <v>3.5966666666666676</v>
      </c>
      <c r="F18" s="1"/>
      <c r="G18" s="14" t="s">
        <v>674</v>
      </c>
      <c r="H18">
        <v>892</v>
      </c>
      <c r="I18" s="34">
        <v>0.25</v>
      </c>
      <c r="J18" s="32">
        <v>7.200000000000002</v>
      </c>
      <c r="K18" s="35">
        <f t="shared" si="0"/>
        <v>1.8000000000000005</v>
      </c>
      <c r="L18">
        <f t="shared" si="1"/>
        <v>14</v>
      </c>
      <c r="M18" s="56">
        <f t="shared" si="6"/>
        <v>59</v>
      </c>
      <c r="N18" s="41">
        <f t="shared" si="2"/>
        <v>84.474848327771497</v>
      </c>
      <c r="O18" s="41">
        <f t="shared" si="3"/>
        <v>10.559356040971439</v>
      </c>
      <c r="P18" s="35">
        <f t="shared" si="7"/>
        <v>161.95423728813563</v>
      </c>
      <c r="Q18" s="35">
        <f t="shared" si="4"/>
        <v>152.05472698998875</v>
      </c>
      <c r="R18" s="35">
        <f t="shared" si="8"/>
        <v>-9.899510298146879</v>
      </c>
      <c r="S18" s="66">
        <f t="shared" si="5"/>
        <v>-6.1125355309688416</v>
      </c>
      <c r="T18" s="19" t="str">
        <f>IFERROR(VLOOKUP(G18,'ABC Analysis'!$E$18:$M$138,9,0),0)</f>
        <v>A</v>
      </c>
      <c r="U18" s="22">
        <f>IFERROR(VLOOKUP(G18,'ABC Analysis'!$E$18:$G$138,3,0),0)</f>
        <v>2.3318951376849292E-2</v>
      </c>
    </row>
    <row r="19" spans="1:21" x14ac:dyDescent="0.35">
      <c r="A19" s="14" t="s">
        <v>566</v>
      </c>
      <c r="B19">
        <v>662</v>
      </c>
      <c r="C19">
        <v>10</v>
      </c>
      <c r="D19" s="57">
        <v>45.9</v>
      </c>
      <c r="E19" s="1">
        <v>12.072000000000001</v>
      </c>
      <c r="F19" s="1"/>
      <c r="G19" s="14" t="s">
        <v>465</v>
      </c>
      <c r="H19">
        <v>388</v>
      </c>
      <c r="I19" s="34">
        <v>0.25</v>
      </c>
      <c r="J19" s="32">
        <v>12.428571428571431</v>
      </c>
      <c r="K19" s="35">
        <f t="shared" si="0"/>
        <v>3.1071428571428577</v>
      </c>
      <c r="L19">
        <f t="shared" si="1"/>
        <v>7</v>
      </c>
      <c r="M19" s="56">
        <f t="shared" si="6"/>
        <v>47</v>
      </c>
      <c r="N19" s="41">
        <f t="shared" si="2"/>
        <v>55.713553108736477</v>
      </c>
      <c r="O19" s="41">
        <f t="shared" si="3"/>
        <v>6.9641941385920596</v>
      </c>
      <c r="P19" s="35">
        <f t="shared" si="7"/>
        <v>175.61968085106386</v>
      </c>
      <c r="Q19" s="35">
        <f t="shared" si="4"/>
        <v>173.10996858785978</v>
      </c>
      <c r="R19" s="35">
        <f t="shared" si="8"/>
        <v>-2.5097122632040794</v>
      </c>
      <c r="S19" s="66">
        <f t="shared" si="5"/>
        <v>-1.4290609406883432</v>
      </c>
      <c r="T19" s="19" t="str">
        <f>IFERROR(VLOOKUP(G19,'ABC Analysis'!$E$18:$M$138,9,0),0)</f>
        <v>A</v>
      </c>
      <c r="U19" s="22">
        <f>IFERROR(VLOOKUP(G19,'ABC Analysis'!$E$18:$G$138,3,0),0)</f>
        <v>2.1772139220994809E-2</v>
      </c>
    </row>
    <row r="20" spans="1:21" x14ac:dyDescent="0.35">
      <c r="A20" s="14" t="s">
        <v>329</v>
      </c>
      <c r="B20">
        <v>737</v>
      </c>
      <c r="C20">
        <v>12</v>
      </c>
      <c r="D20" s="57">
        <v>66.166666666666671</v>
      </c>
      <c r="E20" s="1">
        <v>4.9400000000000004</v>
      </c>
      <c r="F20" s="1"/>
      <c r="G20" s="14" t="s">
        <v>980</v>
      </c>
      <c r="H20">
        <v>495</v>
      </c>
      <c r="I20" s="34">
        <v>0.25</v>
      </c>
      <c r="J20" s="32">
        <v>12</v>
      </c>
      <c r="K20" s="35">
        <f t="shared" si="0"/>
        <v>3</v>
      </c>
      <c r="L20">
        <f t="shared" si="1"/>
        <v>8</v>
      </c>
      <c r="M20" s="56">
        <f t="shared" si="6"/>
        <v>39</v>
      </c>
      <c r="N20" s="41">
        <f t="shared" si="2"/>
        <v>62.928530890209096</v>
      </c>
      <c r="O20" s="41">
        <f t="shared" si="3"/>
        <v>7.8660663612761361</v>
      </c>
      <c r="P20" s="35">
        <f t="shared" si="7"/>
        <v>210.80769230769229</v>
      </c>
      <c r="Q20" s="35">
        <f t="shared" si="4"/>
        <v>188.7855926706273</v>
      </c>
      <c r="R20" s="35">
        <f t="shared" si="8"/>
        <v>-22.022099637064997</v>
      </c>
      <c r="S20" s="66">
        <f t="shared" si="5"/>
        <v>-10.446535131612661</v>
      </c>
      <c r="T20" s="19" t="str">
        <f>IFERROR(VLOOKUP(G20,'ABC Analysis'!$E$18:$M$138,9,0),0)</f>
        <v>A</v>
      </c>
      <c r="U20" s="22">
        <f>IFERROR(VLOOKUP(G20,'ABC Analysis'!$E$18:$G$138,3,0),0)</f>
        <v>2.156741579136846E-2</v>
      </c>
    </row>
    <row r="21" spans="1:21" x14ac:dyDescent="0.35">
      <c r="A21" s="14" t="s">
        <v>508</v>
      </c>
      <c r="B21">
        <v>427</v>
      </c>
      <c r="C21">
        <v>7</v>
      </c>
      <c r="D21" s="57">
        <v>70.285714285714292</v>
      </c>
      <c r="E21" s="1">
        <v>4</v>
      </c>
      <c r="F21" s="1"/>
      <c r="G21" s="14" t="s">
        <v>420</v>
      </c>
      <c r="H21">
        <v>412</v>
      </c>
      <c r="I21" s="34">
        <v>0.25</v>
      </c>
      <c r="J21" s="32">
        <v>14.400000000000002</v>
      </c>
      <c r="K21" s="35">
        <f t="shared" si="0"/>
        <v>3.6000000000000005</v>
      </c>
      <c r="L21">
        <f t="shared" si="1"/>
        <v>10</v>
      </c>
      <c r="M21" s="56">
        <f t="shared" si="6"/>
        <v>68</v>
      </c>
      <c r="N21" s="41">
        <f t="shared" si="2"/>
        <v>57.410800377629293</v>
      </c>
      <c r="O21" s="41">
        <f t="shared" si="3"/>
        <v>7.1763500472036617</v>
      </c>
      <c r="P21" s="35">
        <f t="shared" si="7"/>
        <v>209.64705882352945</v>
      </c>
      <c r="Q21" s="35">
        <f t="shared" si="4"/>
        <v>206.67888135946549</v>
      </c>
      <c r="R21" s="35">
        <f t="shared" si="8"/>
        <v>-2.968177464063956</v>
      </c>
      <c r="S21" s="66">
        <f t="shared" si="5"/>
        <v>-1.4157973313436374</v>
      </c>
      <c r="T21" s="19" t="str">
        <f>IFERROR(VLOOKUP(G21,'ABC Analysis'!$E$18:$M$138,9,0),0)</f>
        <v>A</v>
      </c>
      <c r="U21" s="22">
        <f>IFERROR(VLOOKUP(G21,'ABC Analysis'!$E$18:$G$138,3,0),0)</f>
        <v>2.1541273469197104E-2</v>
      </c>
    </row>
    <row r="22" spans="1:21" x14ac:dyDescent="0.35">
      <c r="A22" s="14" t="s">
        <v>1445</v>
      </c>
      <c r="B22">
        <v>414</v>
      </c>
      <c r="C22">
        <v>8</v>
      </c>
      <c r="D22" s="57">
        <v>51</v>
      </c>
      <c r="E22" s="1">
        <v>8</v>
      </c>
      <c r="F22" s="1"/>
      <c r="G22" s="14" t="s">
        <v>288</v>
      </c>
      <c r="H22">
        <v>627</v>
      </c>
      <c r="I22" s="34">
        <v>0.25</v>
      </c>
      <c r="J22" s="32">
        <v>9.4600000000000009</v>
      </c>
      <c r="K22" s="35">
        <f t="shared" si="0"/>
        <v>2.3650000000000002</v>
      </c>
      <c r="L22">
        <f t="shared" si="1"/>
        <v>8</v>
      </c>
      <c r="M22" s="56">
        <f t="shared" si="6"/>
        <v>74</v>
      </c>
      <c r="N22" s="41">
        <f t="shared" si="2"/>
        <v>70.823724838503097</v>
      </c>
      <c r="O22" s="41">
        <f t="shared" si="3"/>
        <v>8.8529656048128871</v>
      </c>
      <c r="P22" s="35">
        <f t="shared" si="7"/>
        <v>167.65932432432436</v>
      </c>
      <c r="Q22" s="35">
        <f t="shared" si="4"/>
        <v>167.49810924305984</v>
      </c>
      <c r="R22" s="35">
        <f t="shared" si="8"/>
        <v>-0.16121508126451545</v>
      </c>
      <c r="S22" s="66">
        <f t="shared" si="5"/>
        <v>-9.615634675507638E-2</v>
      </c>
      <c r="T22" s="19" t="str">
        <f>IFERROR(VLOOKUP(G22,'ABC Analysis'!$E$18:$M$138,9,0),0)</f>
        <v>A</v>
      </c>
      <c r="U22" s="22">
        <f>IFERROR(VLOOKUP(G22,'ABC Analysis'!$E$18:$G$138,3,0),0)</f>
        <v>2.1521231022199064E-2</v>
      </c>
    </row>
    <row r="23" spans="1:21" hidden="1" x14ac:dyDescent="0.35">
      <c r="A23" s="14" t="s">
        <v>175</v>
      </c>
      <c r="B23">
        <v>1002</v>
      </c>
      <c r="C23">
        <v>19</v>
      </c>
      <c r="D23" s="57">
        <v>52.89473684210526</v>
      </c>
      <c r="E23" s="1">
        <v>1.1999999999999997</v>
      </c>
      <c r="F23" s="1"/>
      <c r="G23" s="14" t="s">
        <v>175</v>
      </c>
      <c r="H23">
        <v>1002</v>
      </c>
      <c r="I23" s="34">
        <v>0.25</v>
      </c>
      <c r="J23" s="32">
        <v>1.1999999999999997</v>
      </c>
      <c r="K23" s="35">
        <f t="shared" si="0"/>
        <v>0.29999999999999993</v>
      </c>
      <c r="L23">
        <f t="shared" si="1"/>
        <v>19</v>
      </c>
      <c r="M23" s="56">
        <f t="shared" si="6"/>
        <v>53</v>
      </c>
      <c r="N23" s="41">
        <f t="shared" si="2"/>
        <v>89.532117142397567</v>
      </c>
      <c r="O23" s="41">
        <f t="shared" si="3"/>
        <v>11.191514642799696</v>
      </c>
      <c r="P23" s="35">
        <f t="shared" si="7"/>
        <v>30.636792452830182</v>
      </c>
      <c r="Q23" s="35">
        <f t="shared" si="4"/>
        <v>26.859635142719263</v>
      </c>
      <c r="R23" s="35">
        <f t="shared" si="8"/>
        <v>-3.777157310110919</v>
      </c>
      <c r="S23" s="66">
        <f t="shared" si="5"/>
        <v>-12.328827555712317</v>
      </c>
      <c r="T23" s="19" t="str">
        <f>IFERROR(VLOOKUP(G23,'ABC Analysis'!$E$18:$M$138,9,0),0)</f>
        <v>B</v>
      </c>
      <c r="U23" s="22">
        <f>IFERROR(VLOOKUP(G23,'ABC Analysis'!$E$18:$G$138,3,0),0)</f>
        <v>4.3657678026164035E-3</v>
      </c>
    </row>
    <row r="24" spans="1:21" x14ac:dyDescent="0.35">
      <c r="A24" s="14" t="s">
        <v>984</v>
      </c>
      <c r="B24">
        <v>726</v>
      </c>
      <c r="C24">
        <v>10</v>
      </c>
      <c r="D24" s="57">
        <v>55</v>
      </c>
      <c r="E24" s="1">
        <v>3.1999999999999997</v>
      </c>
      <c r="F24" s="1"/>
      <c r="G24" s="14" t="s">
        <v>59</v>
      </c>
      <c r="H24">
        <v>668</v>
      </c>
      <c r="I24" s="34">
        <v>0.25</v>
      </c>
      <c r="J24" s="32">
        <v>8</v>
      </c>
      <c r="K24" s="35">
        <f t="shared" si="0"/>
        <v>2</v>
      </c>
      <c r="L24">
        <f t="shared" si="1"/>
        <v>11</v>
      </c>
      <c r="M24" s="56">
        <f t="shared" si="6"/>
        <v>59</v>
      </c>
      <c r="N24" s="41">
        <f t="shared" si="2"/>
        <v>73.102667529988267</v>
      </c>
      <c r="O24" s="41">
        <f t="shared" si="3"/>
        <v>9.1378334412485316</v>
      </c>
      <c r="P24" s="35">
        <f t="shared" si="7"/>
        <v>149.57627118644069</v>
      </c>
      <c r="Q24" s="35">
        <f t="shared" si="4"/>
        <v>146.20533505997651</v>
      </c>
      <c r="R24" s="35">
        <f t="shared" si="8"/>
        <v>-3.3709361264641871</v>
      </c>
      <c r="S24" s="66">
        <f t="shared" si="5"/>
        <v>-2.2536570137267651</v>
      </c>
      <c r="T24" s="19" t="str">
        <f>IFERROR(VLOOKUP(G24,'ABC Analysis'!$E$18:$M$138,9,0),0)</f>
        <v>A</v>
      </c>
      <c r="U24" s="22">
        <f>IFERROR(VLOOKUP(G24,'ABC Analysis'!$E$18:$G$138,3,0),0)</f>
        <v>1.9403412456072903E-2</v>
      </c>
    </row>
    <row r="25" spans="1:21" hidden="1" x14ac:dyDescent="0.35">
      <c r="A25" s="14" t="s">
        <v>554</v>
      </c>
      <c r="B25">
        <v>466</v>
      </c>
      <c r="C25">
        <v>9</v>
      </c>
      <c r="D25" s="57">
        <v>43.888888888888886</v>
      </c>
      <c r="E25" s="1">
        <v>2</v>
      </c>
      <c r="F25" s="1"/>
      <c r="G25" s="14" t="s">
        <v>554</v>
      </c>
      <c r="H25">
        <v>466</v>
      </c>
      <c r="I25" s="34">
        <v>0.25</v>
      </c>
      <c r="J25" s="32">
        <v>2</v>
      </c>
      <c r="K25" s="35">
        <f t="shared" si="0"/>
        <v>0.5</v>
      </c>
      <c r="L25">
        <f t="shared" si="1"/>
        <v>9</v>
      </c>
      <c r="M25" s="56">
        <f t="shared" si="6"/>
        <v>44</v>
      </c>
      <c r="N25" s="41">
        <f t="shared" si="2"/>
        <v>61.057350089894989</v>
      </c>
      <c r="O25" s="41">
        <f t="shared" si="3"/>
        <v>7.6321687612368745</v>
      </c>
      <c r="P25" s="35">
        <f t="shared" si="7"/>
        <v>32.181818181818187</v>
      </c>
      <c r="Q25" s="35">
        <f t="shared" si="4"/>
        <v>30.528675044947498</v>
      </c>
      <c r="R25" s="35">
        <f t="shared" si="8"/>
        <v>-1.653143136870689</v>
      </c>
      <c r="S25" s="66">
        <f t="shared" si="5"/>
        <v>-5.1368854535529875</v>
      </c>
      <c r="T25" s="19" t="str">
        <f>IFERROR(VLOOKUP(G25,'ABC Analysis'!$E$18:$M$138,9,0),0)</f>
        <v>B</v>
      </c>
      <c r="U25" s="22">
        <f>IFERROR(VLOOKUP(G25,'ABC Analysis'!$E$18:$G$138,3,0),0)</f>
        <v>3.3839783699588224E-3</v>
      </c>
    </row>
    <row r="26" spans="1:21" hidden="1" x14ac:dyDescent="0.35">
      <c r="A26" s="14" t="s">
        <v>1350</v>
      </c>
      <c r="B26">
        <v>270</v>
      </c>
      <c r="C26">
        <v>5</v>
      </c>
      <c r="D26" s="57">
        <v>55.8</v>
      </c>
      <c r="E26" s="1">
        <v>2.4000000000000004</v>
      </c>
      <c r="F26" s="1"/>
      <c r="G26" s="14" t="s">
        <v>1350</v>
      </c>
      <c r="H26">
        <v>270</v>
      </c>
      <c r="I26" s="34">
        <v>0.25</v>
      </c>
      <c r="J26" s="32">
        <v>2.4000000000000004</v>
      </c>
      <c r="K26" s="35">
        <f t="shared" si="0"/>
        <v>0.60000000000000009</v>
      </c>
      <c r="L26">
        <f t="shared" si="1"/>
        <v>5</v>
      </c>
      <c r="M26" s="56">
        <f t="shared" si="6"/>
        <v>56</v>
      </c>
      <c r="N26" s="41">
        <f t="shared" si="2"/>
        <v>46.475800154489001</v>
      </c>
      <c r="O26" s="41">
        <f t="shared" si="3"/>
        <v>5.809475019311126</v>
      </c>
      <c r="P26" s="35">
        <f t="shared" si="7"/>
        <v>28.371428571428577</v>
      </c>
      <c r="Q26" s="35">
        <f t="shared" si="4"/>
        <v>27.885480092693406</v>
      </c>
      <c r="R26" s="35">
        <f t="shared" si="8"/>
        <v>-0.48594847873517111</v>
      </c>
      <c r="S26" s="66">
        <f t="shared" si="5"/>
        <v>-1.7128093409598173</v>
      </c>
      <c r="T26" s="19" t="str">
        <f>IFERROR(VLOOKUP(G26,'ABC Analysis'!$E$18:$M$138,9,0),0)</f>
        <v>C</v>
      </c>
      <c r="U26" s="22">
        <f>IFERROR(VLOOKUP(G26,'ABC Analysis'!$E$18:$G$138,3,0),0)</f>
        <v>2.363846864783253E-3</v>
      </c>
    </row>
    <row r="27" spans="1:21" hidden="1" x14ac:dyDescent="0.35">
      <c r="A27" s="14" t="s">
        <v>1117</v>
      </c>
      <c r="B27">
        <v>308</v>
      </c>
      <c r="C27">
        <v>6</v>
      </c>
      <c r="D27" s="57">
        <v>52.333333333333336</v>
      </c>
      <c r="E27" s="1">
        <v>4.8000000000000007</v>
      </c>
      <c r="F27" s="1"/>
      <c r="G27" s="14" t="s">
        <v>1117</v>
      </c>
      <c r="H27">
        <v>308</v>
      </c>
      <c r="I27" s="34">
        <v>0.25</v>
      </c>
      <c r="J27" s="32">
        <v>4.8000000000000007</v>
      </c>
      <c r="K27" s="35">
        <f t="shared" si="0"/>
        <v>1.2000000000000002</v>
      </c>
      <c r="L27">
        <f t="shared" si="1"/>
        <v>6</v>
      </c>
      <c r="M27" s="56">
        <f t="shared" si="6"/>
        <v>52</v>
      </c>
      <c r="N27" s="41">
        <f t="shared" si="2"/>
        <v>49.638694583963428</v>
      </c>
      <c r="O27" s="41">
        <f t="shared" si="3"/>
        <v>6.2048368229954285</v>
      </c>
      <c r="P27" s="35">
        <f t="shared" si="7"/>
        <v>59.630769230769239</v>
      </c>
      <c r="Q27" s="35">
        <f t="shared" si="4"/>
        <v>59.566433500756119</v>
      </c>
      <c r="R27" s="35">
        <f t="shared" si="8"/>
        <v>-6.4335730013119985E-2</v>
      </c>
      <c r="S27" s="66">
        <f t="shared" si="5"/>
        <v>-0.10789015611075332</v>
      </c>
      <c r="T27" s="19" t="str">
        <f>IFERROR(VLOOKUP(G27,'ABC Analysis'!$E$18:$M$138,9,0),0)</f>
        <v>B</v>
      </c>
      <c r="U27" s="22">
        <f>IFERROR(VLOOKUP(G27,'ABC Analysis'!$E$18:$G$138,3,0),0)</f>
        <v>5.3678901525183714E-3</v>
      </c>
    </row>
    <row r="28" spans="1:21" hidden="1" x14ac:dyDescent="0.35">
      <c r="A28" s="14" t="s">
        <v>600</v>
      </c>
      <c r="B28">
        <v>309</v>
      </c>
      <c r="C28">
        <v>7</v>
      </c>
      <c r="D28" s="57">
        <v>67.571428571428569</v>
      </c>
      <c r="E28" s="1">
        <v>1.9828571428571427</v>
      </c>
      <c r="F28" s="1"/>
      <c r="G28" s="14" t="s">
        <v>600</v>
      </c>
      <c r="H28">
        <v>309</v>
      </c>
      <c r="I28" s="34">
        <v>0.25</v>
      </c>
      <c r="J28" s="32">
        <v>1.9828571428571427</v>
      </c>
      <c r="K28" s="35">
        <f t="shared" si="0"/>
        <v>0.49571428571428566</v>
      </c>
      <c r="L28">
        <f t="shared" si="1"/>
        <v>7</v>
      </c>
      <c r="M28" s="56">
        <f t="shared" si="6"/>
        <v>68</v>
      </c>
      <c r="N28" s="41">
        <f t="shared" si="2"/>
        <v>49.719211578624211</v>
      </c>
      <c r="O28" s="41">
        <f t="shared" si="3"/>
        <v>6.2149014473280264</v>
      </c>
      <c r="P28" s="35">
        <f t="shared" si="7"/>
        <v>25.864621848739493</v>
      </c>
      <c r="Q28" s="35">
        <f t="shared" si="4"/>
        <v>24.646523453975142</v>
      </c>
      <c r="R28" s="35">
        <f t="shared" si="8"/>
        <v>-1.2180983947643504</v>
      </c>
      <c r="S28" s="66">
        <f t="shared" si="5"/>
        <v>-4.7095155764812162</v>
      </c>
      <c r="T28" s="19" t="str">
        <f>IFERROR(VLOOKUP(G28,'ABC Analysis'!$E$18:$M$138,9,0),0)</f>
        <v>C</v>
      </c>
      <c r="U28" s="22">
        <f>IFERROR(VLOOKUP(G28,'ABC Analysis'!$E$18:$G$138,3,0),0)</f>
        <v>2.2248568519055447E-3</v>
      </c>
    </row>
    <row r="29" spans="1:21" x14ac:dyDescent="0.35">
      <c r="A29" s="14" t="s">
        <v>355</v>
      </c>
      <c r="B29">
        <v>408</v>
      </c>
      <c r="C29">
        <v>8</v>
      </c>
      <c r="D29" s="57">
        <v>42.5</v>
      </c>
      <c r="E29" s="1">
        <v>7.3349999999999991</v>
      </c>
      <c r="F29" s="1"/>
      <c r="G29" s="14" t="s">
        <v>31</v>
      </c>
      <c r="H29">
        <v>517</v>
      </c>
      <c r="I29" s="34">
        <v>0.25</v>
      </c>
      <c r="J29" s="32">
        <v>9.5733333333333324</v>
      </c>
      <c r="K29" s="35">
        <f t="shared" si="0"/>
        <v>2.3933333333333331</v>
      </c>
      <c r="L29">
        <f t="shared" si="1"/>
        <v>9</v>
      </c>
      <c r="M29" s="56">
        <f t="shared" si="6"/>
        <v>61</v>
      </c>
      <c r="N29" s="41">
        <f t="shared" si="2"/>
        <v>64.311740763254107</v>
      </c>
      <c r="O29" s="41">
        <f t="shared" si="3"/>
        <v>8.0389675954067634</v>
      </c>
      <c r="P29" s="35">
        <f t="shared" si="7"/>
        <v>154.1345901639344</v>
      </c>
      <c r="Q29" s="35">
        <f t="shared" si="4"/>
        <v>153.91943289338815</v>
      </c>
      <c r="R29" s="35">
        <f t="shared" si="8"/>
        <v>-0.215157270546257</v>
      </c>
      <c r="S29" s="66">
        <f t="shared" si="5"/>
        <v>-0.13959051652028279</v>
      </c>
      <c r="T29" s="19" t="str">
        <f>IFERROR(VLOOKUP(G29,'ABC Analysis'!$E$18:$M$138,9,0),0)</f>
        <v>A</v>
      </c>
      <c r="U29" s="22">
        <f>IFERROR(VLOOKUP(G29,'ABC Analysis'!$E$18:$G$138,3,0),0)</f>
        <v>1.7964713325909293E-2</v>
      </c>
    </row>
    <row r="30" spans="1:21" hidden="1" x14ac:dyDescent="0.35">
      <c r="A30" s="14" t="s">
        <v>707</v>
      </c>
      <c r="B30">
        <v>592</v>
      </c>
      <c r="C30">
        <v>9</v>
      </c>
      <c r="D30" s="57">
        <v>61.222222222222221</v>
      </c>
      <c r="E30" s="1">
        <v>1.8399999999999999</v>
      </c>
      <c r="F30" s="1"/>
      <c r="G30" s="14" t="s">
        <v>707</v>
      </c>
      <c r="H30">
        <v>592</v>
      </c>
      <c r="I30" s="34">
        <v>0.25</v>
      </c>
      <c r="J30" s="32">
        <v>1.8399999999999999</v>
      </c>
      <c r="K30" s="35">
        <f t="shared" si="0"/>
        <v>0.45999999999999996</v>
      </c>
      <c r="L30">
        <f t="shared" si="1"/>
        <v>9</v>
      </c>
      <c r="M30" s="56">
        <f t="shared" si="6"/>
        <v>61</v>
      </c>
      <c r="N30" s="41">
        <f t="shared" si="2"/>
        <v>68.818602136341013</v>
      </c>
      <c r="O30" s="41">
        <f t="shared" si="3"/>
        <v>8.6023252670426267</v>
      </c>
      <c r="P30" s="35">
        <f t="shared" si="7"/>
        <v>31.887049180327864</v>
      </c>
      <c r="Q30" s="35">
        <f t="shared" si="4"/>
        <v>31.656556982716864</v>
      </c>
      <c r="R30" s="35">
        <f t="shared" si="8"/>
        <v>-0.23049219761099948</v>
      </c>
      <c r="S30" s="66">
        <f t="shared" si="5"/>
        <v>-0.72283953371639498</v>
      </c>
      <c r="T30" s="19" t="str">
        <f>IFERROR(VLOOKUP(G30,'ABC Analysis'!$E$18:$M$138,9,0),0)</f>
        <v>B</v>
      </c>
      <c r="U30" s="22">
        <f>IFERROR(VLOOKUP(G30,'ABC Analysis'!$E$18:$G$138,3,0),0)</f>
        <v>3.9550428742797699E-3</v>
      </c>
    </row>
    <row r="31" spans="1:21" hidden="1" x14ac:dyDescent="0.35">
      <c r="A31" s="14" t="s">
        <v>37</v>
      </c>
      <c r="B31">
        <v>383</v>
      </c>
      <c r="C31">
        <v>7</v>
      </c>
      <c r="D31" s="57">
        <v>66.714285714285708</v>
      </c>
      <c r="E31" s="1">
        <v>1.205714285714286</v>
      </c>
      <c r="F31" s="1"/>
      <c r="G31" s="14" t="s">
        <v>37</v>
      </c>
      <c r="H31">
        <v>383</v>
      </c>
      <c r="I31" s="34">
        <v>0.25</v>
      </c>
      <c r="J31" s="32">
        <v>1.205714285714286</v>
      </c>
      <c r="K31" s="35">
        <f t="shared" si="0"/>
        <v>0.30142857142857149</v>
      </c>
      <c r="L31">
        <f t="shared" si="1"/>
        <v>7</v>
      </c>
      <c r="M31" s="56">
        <f t="shared" si="6"/>
        <v>67</v>
      </c>
      <c r="N31" s="41">
        <f t="shared" si="2"/>
        <v>55.353410012392189</v>
      </c>
      <c r="O31" s="41">
        <f t="shared" si="3"/>
        <v>6.9191762515490236</v>
      </c>
      <c r="P31" s="35">
        <f t="shared" si="7"/>
        <v>16.990223880597018</v>
      </c>
      <c r="Q31" s="35">
        <f t="shared" si="4"/>
        <v>16.685099303735363</v>
      </c>
      <c r="R31" s="35">
        <f t="shared" si="8"/>
        <v>-0.30512457686165462</v>
      </c>
      <c r="S31" s="66">
        <f t="shared" si="5"/>
        <v>-1.7958832032231753</v>
      </c>
      <c r="T31" s="19" t="str">
        <f>IFERROR(VLOOKUP(G31,'ABC Analysis'!$E$18:$M$138,9,0),0)</f>
        <v>C</v>
      </c>
      <c r="U31" s="22">
        <f>IFERROR(VLOOKUP(G31,'ABC Analysis'!$E$18:$G$138,3,0),0)</f>
        <v>1.6710753272423263E-3</v>
      </c>
    </row>
    <row r="32" spans="1:21" x14ac:dyDescent="0.35">
      <c r="A32" s="14" t="s">
        <v>96</v>
      </c>
      <c r="B32">
        <v>911</v>
      </c>
      <c r="C32">
        <v>15</v>
      </c>
      <c r="D32" s="57">
        <v>50.6</v>
      </c>
      <c r="E32" s="1">
        <v>2.0362666666666671</v>
      </c>
      <c r="F32" s="1"/>
      <c r="G32" s="14" t="s">
        <v>75</v>
      </c>
      <c r="H32">
        <v>675</v>
      </c>
      <c r="I32" s="34">
        <v>0.25</v>
      </c>
      <c r="J32" s="32">
        <v>7.1840000000000019</v>
      </c>
      <c r="K32" s="35">
        <f t="shared" si="0"/>
        <v>1.7960000000000005</v>
      </c>
      <c r="L32">
        <f t="shared" si="1"/>
        <v>10</v>
      </c>
      <c r="M32" s="56">
        <f t="shared" si="6"/>
        <v>53</v>
      </c>
      <c r="N32" s="41">
        <f t="shared" si="2"/>
        <v>73.484692283495349</v>
      </c>
      <c r="O32" s="41">
        <f t="shared" si="3"/>
        <v>9.1855865354369168</v>
      </c>
      <c r="P32" s="35">
        <f t="shared" si="7"/>
        <v>139.08833962264154</v>
      </c>
      <c r="Q32" s="35">
        <f t="shared" si="4"/>
        <v>131.97850734115769</v>
      </c>
      <c r="R32" s="35">
        <f t="shared" si="8"/>
        <v>-7.1098322814838468</v>
      </c>
      <c r="S32" s="66">
        <f t="shared" si="5"/>
        <v>-5.1117385546289684</v>
      </c>
      <c r="T32" s="19" t="str">
        <f>IFERROR(VLOOKUP(G32,'ABC Analysis'!$E$18:$M$138,9,0),0)</f>
        <v>A</v>
      </c>
      <c r="U32" s="22">
        <f>IFERROR(VLOOKUP(G32,'ABC Analysis'!$E$18:$G$138,3,0),0)</f>
        <v>1.7606563512161718E-2</v>
      </c>
    </row>
    <row r="33" spans="1:21" x14ac:dyDescent="0.35">
      <c r="A33" s="14" t="s">
        <v>75</v>
      </c>
      <c r="B33">
        <v>675</v>
      </c>
      <c r="C33">
        <v>10</v>
      </c>
      <c r="D33" s="57">
        <v>53</v>
      </c>
      <c r="E33" s="1">
        <v>7.1840000000000019</v>
      </c>
      <c r="F33" s="1"/>
      <c r="G33" s="14" t="s">
        <v>156</v>
      </c>
      <c r="H33">
        <v>486</v>
      </c>
      <c r="I33" s="34">
        <v>0.25</v>
      </c>
      <c r="J33" s="32">
        <v>9.7000000000000011</v>
      </c>
      <c r="K33" s="35">
        <f t="shared" si="0"/>
        <v>2.4250000000000003</v>
      </c>
      <c r="L33">
        <f t="shared" si="1"/>
        <v>8</v>
      </c>
      <c r="M33" s="56">
        <f t="shared" si="6"/>
        <v>56</v>
      </c>
      <c r="N33" s="41">
        <f t="shared" si="2"/>
        <v>62.353829072479584</v>
      </c>
      <c r="O33" s="41">
        <f t="shared" si="3"/>
        <v>7.794228634059948</v>
      </c>
      <c r="P33" s="35">
        <f t="shared" si="7"/>
        <v>152.08214285714286</v>
      </c>
      <c r="Q33" s="35">
        <f t="shared" si="4"/>
        <v>151.208035500763</v>
      </c>
      <c r="R33" s="35">
        <f t="shared" si="8"/>
        <v>-0.87410735637985226</v>
      </c>
      <c r="S33" s="66">
        <f t="shared" si="5"/>
        <v>-0.57476002110316005</v>
      </c>
      <c r="T33" s="19" t="str">
        <f>IFERROR(VLOOKUP(G33,'ABC Analysis'!$E$18:$M$138,9,0),0)</f>
        <v>A</v>
      </c>
      <c r="U33" s="22">
        <f>IFERROR(VLOOKUP(G33,'ABC Analysis'!$E$18:$G$138,3,0),0)</f>
        <v>1.7126125724701471E-2</v>
      </c>
    </row>
    <row r="34" spans="1:21" x14ac:dyDescent="0.35">
      <c r="A34" s="14" t="s">
        <v>65</v>
      </c>
      <c r="B34">
        <v>408</v>
      </c>
      <c r="C34">
        <v>7</v>
      </c>
      <c r="D34" s="57">
        <v>36.714285714285715</v>
      </c>
      <c r="E34" s="1">
        <v>7.3028571428571434</v>
      </c>
      <c r="F34" s="1"/>
      <c r="G34" s="14" t="s">
        <v>342</v>
      </c>
      <c r="H34">
        <v>972</v>
      </c>
      <c r="I34" s="34">
        <v>0.25</v>
      </c>
      <c r="J34" s="32">
        <v>4.7999999999999989</v>
      </c>
      <c r="K34" s="35">
        <f t="shared" si="0"/>
        <v>1.1999999999999997</v>
      </c>
      <c r="L34">
        <f t="shared" si="1"/>
        <v>15</v>
      </c>
      <c r="M34" s="56">
        <f t="shared" si="6"/>
        <v>37</v>
      </c>
      <c r="N34" s="41">
        <f t="shared" si="2"/>
        <v>88.181630740194407</v>
      </c>
      <c r="O34" s="41">
        <f t="shared" si="3"/>
        <v>11.022703842524303</v>
      </c>
      <c r="P34" s="35">
        <f t="shared" si="7"/>
        <v>148.29729729729726</v>
      </c>
      <c r="Q34" s="35">
        <f t="shared" si="4"/>
        <v>105.81795688823328</v>
      </c>
      <c r="R34" s="35">
        <f t="shared" si="8"/>
        <v>-42.47934040906398</v>
      </c>
      <c r="S34" s="66">
        <f t="shared" si="5"/>
        <v>-28.644716514222118</v>
      </c>
      <c r="T34" s="19" t="str">
        <f>IFERROR(VLOOKUP(G34,'ABC Analysis'!$E$18:$M$138,9,0),0)</f>
        <v>A</v>
      </c>
      <c r="U34" s="22">
        <f>IFERROR(VLOOKUP(G34,'ABC Analysis'!$E$18:$G$138,3,0),0)</f>
        <v>1.6940224767038499E-2</v>
      </c>
    </row>
    <row r="35" spans="1:21" hidden="1" x14ac:dyDescent="0.35">
      <c r="A35" s="14" t="s">
        <v>1092</v>
      </c>
      <c r="B35">
        <v>187</v>
      </c>
      <c r="C35">
        <v>4</v>
      </c>
      <c r="D35" s="57">
        <v>47.75</v>
      </c>
      <c r="E35" s="1">
        <v>6.4</v>
      </c>
      <c r="F35" s="1"/>
      <c r="G35" s="14" t="s">
        <v>1092</v>
      </c>
      <c r="H35">
        <v>187</v>
      </c>
      <c r="I35" s="34">
        <v>0.25</v>
      </c>
      <c r="J35" s="32">
        <v>6.4</v>
      </c>
      <c r="K35" s="35">
        <f t="shared" si="0"/>
        <v>1.6</v>
      </c>
      <c r="L35">
        <f t="shared" si="1"/>
        <v>4</v>
      </c>
      <c r="M35" s="56">
        <f t="shared" si="6"/>
        <v>48</v>
      </c>
      <c r="N35" s="41">
        <f t="shared" si="2"/>
        <v>38.678159211627431</v>
      </c>
      <c r="O35" s="41">
        <f t="shared" si="3"/>
        <v>4.8347699014534289</v>
      </c>
      <c r="P35" s="35">
        <f t="shared" si="7"/>
        <v>63.333333333333343</v>
      </c>
      <c r="Q35" s="35">
        <f t="shared" si="4"/>
        <v>61.885054738603891</v>
      </c>
      <c r="R35" s="35">
        <f t="shared" si="8"/>
        <v>-1.4482785947294516</v>
      </c>
      <c r="S35" s="66">
        <f t="shared" si="5"/>
        <v>-2.2867556758886076</v>
      </c>
      <c r="T35" s="19" t="str">
        <f>IFERROR(VLOOKUP(G35,'ABC Analysis'!$E$18:$M$138,9,0),0)</f>
        <v>B</v>
      </c>
      <c r="U35" s="22">
        <f>IFERROR(VLOOKUP(G35,'ABC Analysis'!$E$18:$G$138,3,0),0)</f>
        <v>4.3454348853720149E-3</v>
      </c>
    </row>
    <row r="36" spans="1:21" x14ac:dyDescent="0.35">
      <c r="A36" s="14" t="s">
        <v>225</v>
      </c>
      <c r="B36">
        <v>598</v>
      </c>
      <c r="C36">
        <v>9</v>
      </c>
      <c r="D36" s="57">
        <v>68.444444444444443</v>
      </c>
      <c r="E36" s="1">
        <v>4</v>
      </c>
      <c r="F36" s="1"/>
      <c r="G36" s="14" t="s">
        <v>1081</v>
      </c>
      <c r="H36">
        <v>699</v>
      </c>
      <c r="I36" s="34">
        <v>0.25</v>
      </c>
      <c r="J36" s="32">
        <v>6.4079999999999995</v>
      </c>
      <c r="K36" s="35">
        <f t="shared" si="0"/>
        <v>1.6019999999999999</v>
      </c>
      <c r="L36">
        <f t="shared" si="1"/>
        <v>10</v>
      </c>
      <c r="M36" s="56">
        <f t="shared" si="6"/>
        <v>60</v>
      </c>
      <c r="N36" s="41">
        <f t="shared" si="2"/>
        <v>74.779676383359671</v>
      </c>
      <c r="O36" s="41">
        <f t="shared" si="3"/>
        <v>9.3474595479199589</v>
      </c>
      <c r="P36" s="35">
        <f t="shared" si="7"/>
        <v>122.7132</v>
      </c>
      <c r="Q36" s="35">
        <f t="shared" si="4"/>
        <v>119.79704156614218</v>
      </c>
      <c r="R36" s="35">
        <f t="shared" si="8"/>
        <v>-2.9161584338578166</v>
      </c>
      <c r="S36" s="66">
        <f t="shared" si="5"/>
        <v>-2.3764015883033096</v>
      </c>
      <c r="T36" s="19" t="str">
        <f>IFERROR(VLOOKUP(G36,'ABC Analysis'!$E$18:$M$138,9,0),0)</f>
        <v>A</v>
      </c>
      <c r="U36" s="22">
        <f>IFERROR(VLOOKUP(G36,'ABC Analysis'!$E$18:$G$138,3,0),0)</f>
        <v>1.6249196050975662E-2</v>
      </c>
    </row>
    <row r="37" spans="1:21" hidden="1" x14ac:dyDescent="0.35">
      <c r="A37" s="14" t="s">
        <v>438</v>
      </c>
      <c r="B37">
        <v>337</v>
      </c>
      <c r="C37">
        <v>7</v>
      </c>
      <c r="D37" s="57">
        <v>30.142857142857142</v>
      </c>
      <c r="E37" s="1">
        <v>4</v>
      </c>
      <c r="F37" s="1"/>
      <c r="G37" s="14" t="s">
        <v>438</v>
      </c>
      <c r="H37">
        <v>337</v>
      </c>
      <c r="I37" s="34">
        <v>0.25</v>
      </c>
      <c r="J37" s="32">
        <v>4</v>
      </c>
      <c r="K37" s="35">
        <f t="shared" si="0"/>
        <v>1</v>
      </c>
      <c r="L37">
        <f t="shared" si="1"/>
        <v>7</v>
      </c>
      <c r="M37" s="56">
        <f t="shared" si="6"/>
        <v>30</v>
      </c>
      <c r="N37" s="41">
        <f t="shared" si="2"/>
        <v>51.923019942988681</v>
      </c>
      <c r="O37" s="41">
        <f t="shared" si="3"/>
        <v>6.4903774928735842</v>
      </c>
      <c r="P37" s="35">
        <f t="shared" si="7"/>
        <v>59.93333333333333</v>
      </c>
      <c r="Q37" s="35">
        <f t="shared" si="4"/>
        <v>51.923019942988674</v>
      </c>
      <c r="R37" s="35">
        <f t="shared" si="8"/>
        <v>-8.0103133903446562</v>
      </c>
      <c r="S37" s="66">
        <f t="shared" si="5"/>
        <v>-13.36537273138708</v>
      </c>
      <c r="T37" s="19" t="str">
        <f>IFERROR(VLOOKUP(G37,'ABC Analysis'!$E$18:$M$138,9,0),0)</f>
        <v>B</v>
      </c>
      <c r="U37" s="22">
        <f>IFERROR(VLOOKUP(G37,'ABC Analysis'!$E$18:$G$138,3,0),0)</f>
        <v>4.8944236509704852E-3</v>
      </c>
    </row>
    <row r="38" spans="1:21" hidden="1" x14ac:dyDescent="0.35">
      <c r="A38" s="14" t="s">
        <v>592</v>
      </c>
      <c r="B38">
        <v>235</v>
      </c>
      <c r="C38">
        <v>4</v>
      </c>
      <c r="D38" s="57">
        <v>55</v>
      </c>
      <c r="E38" s="1">
        <v>4</v>
      </c>
      <c r="F38" s="1"/>
      <c r="G38" s="14" t="s">
        <v>592</v>
      </c>
      <c r="H38">
        <v>235</v>
      </c>
      <c r="I38" s="34">
        <v>0.25</v>
      </c>
      <c r="J38" s="32">
        <v>4</v>
      </c>
      <c r="K38" s="35">
        <f t="shared" si="0"/>
        <v>1</v>
      </c>
      <c r="L38">
        <f t="shared" si="1"/>
        <v>4</v>
      </c>
      <c r="M38" s="56">
        <f t="shared" si="6"/>
        <v>55</v>
      </c>
      <c r="N38" s="41">
        <f t="shared" si="2"/>
        <v>43.358966777357601</v>
      </c>
      <c r="O38" s="41">
        <f t="shared" si="3"/>
        <v>5.4198708471696992</v>
      </c>
      <c r="P38" s="35">
        <f t="shared" si="7"/>
        <v>44.590909090909093</v>
      </c>
      <c r="Q38" s="35">
        <f t="shared" si="4"/>
        <v>43.358966777357594</v>
      </c>
      <c r="R38" s="35">
        <f t="shared" si="8"/>
        <v>-1.2319423135514995</v>
      </c>
      <c r="S38" s="66">
        <f t="shared" si="5"/>
        <v>-2.7627656369146778</v>
      </c>
      <c r="T38" s="19" t="str">
        <f>IFERROR(VLOOKUP(G38,'ABC Analysis'!$E$18:$M$138,9,0),0)</f>
        <v>B</v>
      </c>
      <c r="U38" s="22">
        <f>IFERROR(VLOOKUP(G38,'ABC Analysis'!$E$18:$G$138,3,0),0)</f>
        <v>3.4130253945936617E-3</v>
      </c>
    </row>
    <row r="39" spans="1:21" hidden="1" x14ac:dyDescent="0.35">
      <c r="A39" s="14" t="s">
        <v>52</v>
      </c>
      <c r="B39">
        <v>309</v>
      </c>
      <c r="C39">
        <v>5</v>
      </c>
      <c r="D39" s="57">
        <v>58.4</v>
      </c>
      <c r="E39" s="1">
        <v>4</v>
      </c>
      <c r="F39" s="1"/>
      <c r="G39" s="14" t="s">
        <v>52</v>
      </c>
      <c r="H39">
        <v>309</v>
      </c>
      <c r="I39" s="34">
        <v>0.25</v>
      </c>
      <c r="J39" s="32">
        <v>4</v>
      </c>
      <c r="K39" s="35">
        <f t="shared" ref="K39:K70" si="9">I39*J39</f>
        <v>1</v>
      </c>
      <c r="L39">
        <f t="shared" ref="L39:L70" si="10">VLOOKUP(G39,$A$7:$C$127,3,0)</f>
        <v>5</v>
      </c>
      <c r="M39" s="56">
        <f t="shared" si="6"/>
        <v>58</v>
      </c>
      <c r="N39" s="41">
        <f t="shared" ref="N39:N70" si="11">SQRT((2*H39*J39)/K39)</f>
        <v>49.719211578624211</v>
      </c>
      <c r="O39" s="41">
        <f t="shared" ref="O39:O70" si="12">H39/N39</f>
        <v>6.2149014473280264</v>
      </c>
      <c r="P39" s="35">
        <f t="shared" si="7"/>
        <v>50.310344827586206</v>
      </c>
      <c r="Q39" s="35">
        <f t="shared" ref="Q39:Q70" si="13">(H39/N39)*J39+(N39/2)*K39</f>
        <v>49.719211578624211</v>
      </c>
      <c r="R39" s="35">
        <f t="shared" si="8"/>
        <v>-0.59113324896199515</v>
      </c>
      <c r="S39" s="66">
        <f t="shared" ref="S39:S70" si="14">(Q39-P39)/P39*100</f>
        <v>-1.1749735585947814</v>
      </c>
      <c r="T39" s="19" t="str">
        <f>IFERROR(VLOOKUP(G39,'ABC Analysis'!$E$18:$M$138,9,0),0)</f>
        <v>B</v>
      </c>
      <c r="U39" s="22">
        <f>IFERROR(VLOOKUP(G39,'ABC Analysis'!$E$18:$G$138,3,0),0)</f>
        <v>4.4877653060827298E-3</v>
      </c>
    </row>
    <row r="40" spans="1:21" x14ac:dyDescent="0.35">
      <c r="A40" s="14" t="s">
        <v>632</v>
      </c>
      <c r="B40">
        <v>491</v>
      </c>
      <c r="C40">
        <v>7</v>
      </c>
      <c r="D40" s="57">
        <v>43</v>
      </c>
      <c r="E40" s="1">
        <v>6.3999999999999995</v>
      </c>
      <c r="F40" s="1"/>
      <c r="G40" s="14" t="s">
        <v>1085</v>
      </c>
      <c r="H40">
        <v>639</v>
      </c>
      <c r="I40" s="34">
        <v>0.25</v>
      </c>
      <c r="J40" s="32">
        <v>6.4079999999999995</v>
      </c>
      <c r="K40" s="35">
        <f t="shared" si="9"/>
        <v>1.6019999999999999</v>
      </c>
      <c r="L40">
        <f t="shared" si="10"/>
        <v>10</v>
      </c>
      <c r="M40" s="56">
        <f t="shared" si="6"/>
        <v>48</v>
      </c>
      <c r="N40" s="41">
        <f t="shared" si="11"/>
        <v>71.498251726877911</v>
      </c>
      <c r="O40" s="41">
        <f t="shared" si="12"/>
        <v>8.9372814658597388</v>
      </c>
      <c r="P40" s="35">
        <f t="shared" si="7"/>
        <v>123.75449999999999</v>
      </c>
      <c r="Q40" s="35">
        <f t="shared" si="13"/>
        <v>114.5401992664584</v>
      </c>
      <c r="R40" s="35">
        <f t="shared" si="8"/>
        <v>-9.2143007335415916</v>
      </c>
      <c r="S40" s="66">
        <f t="shared" si="14"/>
        <v>-7.4456288325205078</v>
      </c>
      <c r="T40" s="19" t="str">
        <f>IFERROR(VLOOKUP(G40,'ABC Analysis'!$E$18:$M$138,9,0),0)</f>
        <v>A</v>
      </c>
      <c r="U40" s="22">
        <f>IFERROR(VLOOKUP(G40,'ABC Analysis'!$E$18:$G$138,3,0),0)</f>
        <v>1.4864524386632855E-2</v>
      </c>
    </row>
    <row r="41" spans="1:21" hidden="1" x14ac:dyDescent="0.35">
      <c r="A41" s="14" t="s">
        <v>1016</v>
      </c>
      <c r="B41">
        <v>467</v>
      </c>
      <c r="C41">
        <v>9</v>
      </c>
      <c r="D41" s="57">
        <v>43.555555555555557</v>
      </c>
      <c r="E41" s="1">
        <v>2</v>
      </c>
      <c r="F41" s="1"/>
      <c r="G41" s="14" t="s">
        <v>1016</v>
      </c>
      <c r="H41">
        <v>467</v>
      </c>
      <c r="I41" s="34">
        <v>0.25</v>
      </c>
      <c r="J41" s="32">
        <v>2</v>
      </c>
      <c r="K41" s="35">
        <f t="shared" si="9"/>
        <v>0.5</v>
      </c>
      <c r="L41">
        <f t="shared" si="10"/>
        <v>9</v>
      </c>
      <c r="M41" s="56">
        <f t="shared" si="6"/>
        <v>44</v>
      </c>
      <c r="N41" s="41">
        <f t="shared" si="11"/>
        <v>61.122827159744503</v>
      </c>
      <c r="O41" s="41">
        <f t="shared" si="12"/>
        <v>7.640353394968062</v>
      </c>
      <c r="P41" s="35">
        <f t="shared" si="7"/>
        <v>32.227272727272727</v>
      </c>
      <c r="Q41" s="35">
        <f t="shared" si="13"/>
        <v>30.561413579872251</v>
      </c>
      <c r="R41" s="35">
        <f t="shared" si="8"/>
        <v>-1.6658591474004751</v>
      </c>
      <c r="S41" s="66">
        <f t="shared" si="14"/>
        <v>-5.1690974954598667</v>
      </c>
      <c r="T41" s="19" t="str">
        <f>IFERROR(VLOOKUP(G41,'ABC Analysis'!$E$18:$M$138,9,0),0)</f>
        <v>B</v>
      </c>
      <c r="U41" s="22">
        <f>IFERROR(VLOOKUP(G41,'ABC Analysis'!$E$18:$G$138,3,0),0)</f>
        <v>3.391240126117532E-3</v>
      </c>
    </row>
    <row r="42" spans="1:21" hidden="1" x14ac:dyDescent="0.35">
      <c r="A42" s="14" t="s">
        <v>828</v>
      </c>
      <c r="B42">
        <v>287</v>
      </c>
      <c r="C42">
        <v>4</v>
      </c>
      <c r="D42" s="57">
        <v>56.75</v>
      </c>
      <c r="E42" s="1">
        <v>3.96</v>
      </c>
      <c r="F42" s="1"/>
      <c r="G42" s="14" t="s">
        <v>828</v>
      </c>
      <c r="H42">
        <v>287</v>
      </c>
      <c r="I42" s="34">
        <v>0.25</v>
      </c>
      <c r="J42" s="32">
        <v>3.96</v>
      </c>
      <c r="K42" s="35">
        <f t="shared" si="9"/>
        <v>0.99</v>
      </c>
      <c r="L42">
        <f t="shared" si="10"/>
        <v>4</v>
      </c>
      <c r="M42" s="56">
        <f t="shared" si="6"/>
        <v>57</v>
      </c>
      <c r="N42" s="41">
        <f t="shared" si="11"/>
        <v>47.916594202843754</v>
      </c>
      <c r="O42" s="41">
        <f t="shared" si="12"/>
        <v>5.9895742753554702</v>
      </c>
      <c r="P42" s="35">
        <f t="shared" si="7"/>
        <v>48.153947368421058</v>
      </c>
      <c r="Q42" s="35">
        <f t="shared" si="13"/>
        <v>47.437428260815324</v>
      </c>
      <c r="R42" s="35">
        <f t="shared" si="8"/>
        <v>-0.71651910760573401</v>
      </c>
      <c r="S42" s="66">
        <f t="shared" si="14"/>
        <v>-1.4879758498793829</v>
      </c>
      <c r="T42" s="19" t="str">
        <f>IFERROR(VLOOKUP(G42,'ABC Analysis'!$E$18:$M$138,9,0),0)</f>
        <v>B</v>
      </c>
      <c r="U42" s="22">
        <f>IFERROR(VLOOKUP(G42,'ABC Analysis'!$E$18:$G$138,3,0),0)</f>
        <v>4.1159633907567814E-3</v>
      </c>
    </row>
    <row r="43" spans="1:21" hidden="1" x14ac:dyDescent="0.35">
      <c r="A43" s="14" t="s">
        <v>298</v>
      </c>
      <c r="B43">
        <v>390</v>
      </c>
      <c r="C43">
        <v>6</v>
      </c>
      <c r="D43" s="57">
        <v>46.833333333333336</v>
      </c>
      <c r="E43" s="1">
        <v>1.9666666666666668</v>
      </c>
      <c r="F43" s="1"/>
      <c r="G43" s="14" t="s">
        <v>298</v>
      </c>
      <c r="H43">
        <v>390</v>
      </c>
      <c r="I43" s="34">
        <v>0.25</v>
      </c>
      <c r="J43" s="32">
        <v>1.9666666666666668</v>
      </c>
      <c r="K43" s="35">
        <f t="shared" si="9"/>
        <v>0.4916666666666667</v>
      </c>
      <c r="L43">
        <f t="shared" si="10"/>
        <v>6</v>
      </c>
      <c r="M43" s="56">
        <f t="shared" si="6"/>
        <v>47</v>
      </c>
      <c r="N43" s="41">
        <f t="shared" si="11"/>
        <v>55.856960175075763</v>
      </c>
      <c r="O43" s="41">
        <f t="shared" si="12"/>
        <v>6.9821200218844712</v>
      </c>
      <c r="P43" s="35">
        <f t="shared" si="7"/>
        <v>27.873315602836879</v>
      </c>
      <c r="Q43" s="35">
        <f t="shared" si="13"/>
        <v>27.463005419412255</v>
      </c>
      <c r="R43" s="35">
        <f t="shared" si="8"/>
        <v>-0.41031018342462389</v>
      </c>
      <c r="S43" s="66">
        <f t="shared" si="14"/>
        <v>-1.472053735088708</v>
      </c>
      <c r="T43" s="19" t="str">
        <f>IFERROR(VLOOKUP(G43,'ABC Analysis'!$E$18:$M$138,9,0),0)</f>
        <v>C</v>
      </c>
      <c r="U43" s="22">
        <f>IFERROR(VLOOKUP(G43,'ABC Analysis'!$E$18:$G$138,3,0),0)</f>
        <v>2.7802359629236794E-3</v>
      </c>
    </row>
    <row r="44" spans="1:21" hidden="1" x14ac:dyDescent="0.35">
      <c r="A44" s="14" t="s">
        <v>180</v>
      </c>
      <c r="B44">
        <v>623</v>
      </c>
      <c r="C44">
        <v>11</v>
      </c>
      <c r="D44" s="57">
        <v>55</v>
      </c>
      <c r="E44" s="1">
        <v>1.429090909090909</v>
      </c>
      <c r="F44" s="1"/>
      <c r="G44" s="14" t="s">
        <v>180</v>
      </c>
      <c r="H44">
        <v>623</v>
      </c>
      <c r="I44" s="34">
        <v>0.25</v>
      </c>
      <c r="J44" s="32">
        <v>1.429090909090909</v>
      </c>
      <c r="K44" s="35">
        <f t="shared" si="9"/>
        <v>0.35727272727272724</v>
      </c>
      <c r="L44">
        <f t="shared" si="10"/>
        <v>11</v>
      </c>
      <c r="M44" s="56">
        <f t="shared" si="6"/>
        <v>55</v>
      </c>
      <c r="N44" s="41">
        <f t="shared" si="11"/>
        <v>70.597450378891168</v>
      </c>
      <c r="O44" s="41">
        <f t="shared" si="12"/>
        <v>8.8246812973613942</v>
      </c>
      <c r="P44" s="35">
        <f t="shared" si="7"/>
        <v>26.012702479338841</v>
      </c>
      <c r="Q44" s="35">
        <f t="shared" si="13"/>
        <v>25.222543635367476</v>
      </c>
      <c r="R44" s="35">
        <f t="shared" si="8"/>
        <v>-0.7901588439713656</v>
      </c>
      <c r="S44" s="66">
        <f t="shared" si="14"/>
        <v>-3.0375884420273769</v>
      </c>
      <c r="T44" s="19" t="str">
        <f>IFERROR(VLOOKUP(G44,'ABC Analysis'!$E$18:$M$138,9,0),0)</f>
        <v>B</v>
      </c>
      <c r="U44" s="22">
        <f>IFERROR(VLOOKUP(G44,'ABC Analysis'!$E$18:$G$138,3,0),0)</f>
        <v>3.239178952154146E-3</v>
      </c>
    </row>
    <row r="45" spans="1:21" x14ac:dyDescent="0.35">
      <c r="A45" s="14" t="s">
        <v>90</v>
      </c>
      <c r="B45">
        <v>696</v>
      </c>
      <c r="C45">
        <v>10</v>
      </c>
      <c r="D45" s="57">
        <v>54</v>
      </c>
      <c r="E45" s="1">
        <v>3.1999999999999997</v>
      </c>
      <c r="F45" s="1"/>
      <c r="G45" s="14" t="s">
        <v>333</v>
      </c>
      <c r="H45">
        <v>484</v>
      </c>
      <c r="I45" s="34">
        <v>0.25</v>
      </c>
      <c r="J45" s="32">
        <v>7.95</v>
      </c>
      <c r="K45" s="35">
        <f t="shared" si="9"/>
        <v>1.9875</v>
      </c>
      <c r="L45">
        <f t="shared" si="10"/>
        <v>8</v>
      </c>
      <c r="M45" s="56">
        <f t="shared" si="6"/>
        <v>48</v>
      </c>
      <c r="N45" s="41">
        <f t="shared" si="11"/>
        <v>62.22539674441618</v>
      </c>
      <c r="O45" s="41">
        <f t="shared" si="12"/>
        <v>7.7781745930520234</v>
      </c>
      <c r="P45" s="35">
        <f t="shared" si="7"/>
        <v>127.86250000000001</v>
      </c>
      <c r="Q45" s="35">
        <f t="shared" si="13"/>
        <v>123.67297602952718</v>
      </c>
      <c r="R45" s="35">
        <f t="shared" si="8"/>
        <v>-4.189523970472834</v>
      </c>
      <c r="S45" s="66">
        <f t="shared" si="14"/>
        <v>-3.2765853713738067</v>
      </c>
      <c r="T45" s="19" t="str">
        <f>IFERROR(VLOOKUP(G45,'ABC Analysis'!$E$18:$M$138,9,0),0)</f>
        <v>A</v>
      </c>
      <c r="U45" s="22">
        <f>IFERROR(VLOOKUP(G45,'ABC Analysis'!$E$18:$G$138,3,0),0)</f>
        <v>1.395419063457698E-2</v>
      </c>
    </row>
    <row r="46" spans="1:21" hidden="1" x14ac:dyDescent="0.35">
      <c r="A46" s="14" t="s">
        <v>1138</v>
      </c>
      <c r="B46">
        <v>512</v>
      </c>
      <c r="C46">
        <v>7</v>
      </c>
      <c r="D46" s="57">
        <v>29.285714285714285</v>
      </c>
      <c r="E46" s="1">
        <v>0.16</v>
      </c>
      <c r="F46" s="1"/>
      <c r="G46" s="14" t="s">
        <v>1138</v>
      </c>
      <c r="H46">
        <v>512</v>
      </c>
      <c r="I46" s="34">
        <v>0.25</v>
      </c>
      <c r="J46" s="32">
        <v>0.16</v>
      </c>
      <c r="K46" s="35">
        <f t="shared" si="9"/>
        <v>0.04</v>
      </c>
      <c r="L46">
        <f t="shared" si="10"/>
        <v>7</v>
      </c>
      <c r="M46" s="56">
        <f t="shared" si="6"/>
        <v>29</v>
      </c>
      <c r="N46" s="41">
        <f t="shared" si="11"/>
        <v>64</v>
      </c>
      <c r="O46" s="41">
        <f t="shared" si="12"/>
        <v>8</v>
      </c>
      <c r="P46" s="35">
        <f t="shared" si="7"/>
        <v>3.4048275862068969</v>
      </c>
      <c r="Q46" s="35">
        <f t="shared" si="13"/>
        <v>2.56</v>
      </c>
      <c r="R46" s="35">
        <f t="shared" si="8"/>
        <v>-0.8448275862068968</v>
      </c>
      <c r="S46" s="66">
        <f t="shared" si="14"/>
        <v>-24.812639254608065</v>
      </c>
      <c r="T46" s="19" t="str">
        <f>IFERROR(VLOOKUP(G46,'ABC Analysis'!$E$18:$M$138,9,0),0)</f>
        <v>C</v>
      </c>
      <c r="U46" s="22">
        <f>IFERROR(VLOOKUP(G46,'ABC Analysis'!$E$18:$G$138,3,0),0)</f>
        <v>2.9744153226075827E-4</v>
      </c>
    </row>
    <row r="47" spans="1:21" hidden="1" x14ac:dyDescent="0.35">
      <c r="A47" s="14" t="s">
        <v>272</v>
      </c>
      <c r="B47">
        <v>580</v>
      </c>
      <c r="C47">
        <v>9</v>
      </c>
      <c r="D47" s="57">
        <v>50.222222222222221</v>
      </c>
      <c r="E47" s="1">
        <v>0.79999999999999993</v>
      </c>
      <c r="F47" s="1"/>
      <c r="G47" s="14" t="s">
        <v>272</v>
      </c>
      <c r="H47">
        <v>580</v>
      </c>
      <c r="I47" s="34">
        <v>0.25</v>
      </c>
      <c r="J47" s="32">
        <v>0.79999999999999993</v>
      </c>
      <c r="K47" s="35">
        <f t="shared" si="9"/>
        <v>0.19999999999999998</v>
      </c>
      <c r="L47">
        <f t="shared" si="10"/>
        <v>9</v>
      </c>
      <c r="M47" s="56">
        <f t="shared" si="6"/>
        <v>50</v>
      </c>
      <c r="N47" s="41">
        <f t="shared" si="11"/>
        <v>68.117545463705611</v>
      </c>
      <c r="O47" s="41">
        <f t="shared" si="12"/>
        <v>8.5146931829631995</v>
      </c>
      <c r="P47" s="35">
        <f t="shared" si="7"/>
        <v>14.28</v>
      </c>
      <c r="Q47" s="35">
        <f t="shared" si="13"/>
        <v>13.62350909274112</v>
      </c>
      <c r="R47" s="35">
        <f t="shared" si="8"/>
        <v>-0.65649090725887937</v>
      </c>
      <c r="S47" s="66">
        <f t="shared" si="14"/>
        <v>-4.5972752609165219</v>
      </c>
      <c r="T47" s="19" t="str">
        <f>IFERROR(VLOOKUP(G47,'ABC Analysis'!$E$18:$M$138,9,0),0)</f>
        <v>C</v>
      </c>
      <c r="U47" s="22">
        <f>IFERROR(VLOOKUP(G47,'ABC Analysis'!$E$18:$G$138,3,0),0)</f>
        <v>1.6847274288207014E-3</v>
      </c>
    </row>
    <row r="48" spans="1:21" hidden="1" x14ac:dyDescent="0.35">
      <c r="A48" s="14" t="s">
        <v>549</v>
      </c>
      <c r="B48">
        <v>770</v>
      </c>
      <c r="C48">
        <v>13</v>
      </c>
      <c r="D48" s="57">
        <v>43.769230769230766</v>
      </c>
      <c r="E48" s="1">
        <v>1.9876923076923079</v>
      </c>
      <c r="F48" s="1"/>
      <c r="G48" s="14" t="s">
        <v>549</v>
      </c>
      <c r="H48">
        <v>770</v>
      </c>
      <c r="I48" s="34">
        <v>0.25</v>
      </c>
      <c r="J48" s="32">
        <v>1.9876923076923079</v>
      </c>
      <c r="K48" s="35">
        <f t="shared" si="9"/>
        <v>0.49692307692307697</v>
      </c>
      <c r="L48">
        <f t="shared" si="10"/>
        <v>13</v>
      </c>
      <c r="M48" s="56">
        <f t="shared" si="6"/>
        <v>44</v>
      </c>
      <c r="N48" s="41">
        <f t="shared" si="11"/>
        <v>78.48566748139433</v>
      </c>
      <c r="O48" s="41">
        <f t="shared" si="12"/>
        <v>9.810708435174293</v>
      </c>
      <c r="P48" s="35">
        <f t="shared" si="7"/>
        <v>45.716923076923081</v>
      </c>
      <c r="Q48" s="35">
        <f t="shared" si="13"/>
        <v>39.001339379215963</v>
      </c>
      <c r="R48" s="35">
        <f t="shared" si="8"/>
        <v>-6.7155836977071175</v>
      </c>
      <c r="S48" s="66">
        <f t="shared" si="14"/>
        <v>-14.689491868049624</v>
      </c>
      <c r="T48" s="19" t="str">
        <f>IFERROR(VLOOKUP(G48,'ABC Analysis'!$E$18:$M$138,9,0),0)</f>
        <v>B</v>
      </c>
      <c r="U48" s="22">
        <f>IFERROR(VLOOKUP(G48,'ABC Analysis'!$E$18:$G$138,3,0),0)</f>
        <v>5.5587291043692694E-3</v>
      </c>
    </row>
    <row r="49" spans="1:21" hidden="1" x14ac:dyDescent="0.35">
      <c r="A49" s="14" t="s">
        <v>582</v>
      </c>
      <c r="B49">
        <v>422</v>
      </c>
      <c r="C49">
        <v>6</v>
      </c>
      <c r="D49" s="57">
        <v>65.5</v>
      </c>
      <c r="E49" s="1">
        <v>0.64000000000000012</v>
      </c>
      <c r="F49" s="1"/>
      <c r="G49" s="14" t="s">
        <v>582</v>
      </c>
      <c r="H49">
        <v>422</v>
      </c>
      <c r="I49" s="34">
        <v>0.25</v>
      </c>
      <c r="J49" s="32">
        <v>0.64000000000000012</v>
      </c>
      <c r="K49" s="35">
        <f t="shared" si="9"/>
        <v>0.16000000000000003</v>
      </c>
      <c r="L49">
        <f t="shared" si="10"/>
        <v>6</v>
      </c>
      <c r="M49" s="56">
        <f t="shared" si="6"/>
        <v>66</v>
      </c>
      <c r="N49" s="41">
        <f t="shared" si="11"/>
        <v>58.103356185335798</v>
      </c>
      <c r="O49" s="41">
        <f t="shared" si="12"/>
        <v>7.2629195231669756</v>
      </c>
      <c r="P49" s="35">
        <f t="shared" si="7"/>
        <v>9.3721212121212147</v>
      </c>
      <c r="Q49" s="35">
        <f t="shared" si="13"/>
        <v>9.2965369896537311</v>
      </c>
      <c r="R49" s="35">
        <f t="shared" si="8"/>
        <v>-7.5584222467483642E-2</v>
      </c>
      <c r="S49" s="66">
        <f t="shared" si="14"/>
        <v>-0.80647935250483682</v>
      </c>
      <c r="T49" s="19" t="str">
        <f>IFERROR(VLOOKUP(G49,'ABC Analysis'!$E$18:$M$138,9,0),0)</f>
        <v>C</v>
      </c>
      <c r="U49" s="22">
        <f>IFERROR(VLOOKUP(G49,'ABC Analysis'!$E$18:$G$138,3,0),0)</f>
        <v>9.8062755167218751E-4</v>
      </c>
    </row>
    <row r="50" spans="1:21" hidden="1" x14ac:dyDescent="0.35">
      <c r="A50" s="14" t="s">
        <v>106</v>
      </c>
      <c r="B50">
        <v>626</v>
      </c>
      <c r="C50">
        <v>10</v>
      </c>
      <c r="D50" s="57">
        <v>52.9</v>
      </c>
      <c r="E50" s="1">
        <v>1.9799999999999998</v>
      </c>
      <c r="F50" s="1"/>
      <c r="G50" s="14" t="s">
        <v>106</v>
      </c>
      <c r="H50">
        <v>626</v>
      </c>
      <c r="I50" s="34">
        <v>0.25</v>
      </c>
      <c r="J50" s="32">
        <v>1.9799999999999998</v>
      </c>
      <c r="K50" s="35">
        <f t="shared" si="9"/>
        <v>0.49499999999999994</v>
      </c>
      <c r="L50">
        <f t="shared" si="10"/>
        <v>10</v>
      </c>
      <c r="M50" s="56">
        <f t="shared" si="6"/>
        <v>53</v>
      </c>
      <c r="N50" s="41">
        <f t="shared" si="11"/>
        <v>70.767224051816527</v>
      </c>
      <c r="O50" s="41">
        <f t="shared" si="12"/>
        <v>8.8459030064770658</v>
      </c>
      <c r="P50" s="35">
        <f t="shared" si="7"/>
        <v>36.503915094339618</v>
      </c>
      <c r="Q50" s="35">
        <f t="shared" si="13"/>
        <v>35.029775905649174</v>
      </c>
      <c r="R50" s="35">
        <f t="shared" si="8"/>
        <v>-1.4741391886904438</v>
      </c>
      <c r="S50" s="66">
        <f t="shared" si="14"/>
        <v>-4.0383043431936629</v>
      </c>
      <c r="T50" s="19" t="str">
        <f>IFERROR(VLOOKUP(G50,'ABC Analysis'!$E$18:$M$138,9,0),0)</f>
        <v>B</v>
      </c>
      <c r="U50" s="22">
        <f>IFERROR(VLOOKUP(G50,'ABC Analysis'!$E$18:$G$138,3,0),0)</f>
        <v>4.4883462465754266E-3</v>
      </c>
    </row>
    <row r="51" spans="1:21" hidden="1" x14ac:dyDescent="0.35">
      <c r="A51" s="14" t="s">
        <v>116</v>
      </c>
      <c r="B51">
        <v>454</v>
      </c>
      <c r="C51">
        <v>10</v>
      </c>
      <c r="D51" s="57">
        <v>45.6</v>
      </c>
      <c r="E51" s="1">
        <v>2.4</v>
      </c>
      <c r="F51" s="1"/>
      <c r="G51" s="14" t="s">
        <v>116</v>
      </c>
      <c r="H51">
        <v>454</v>
      </c>
      <c r="I51" s="34">
        <v>0.25</v>
      </c>
      <c r="J51" s="32">
        <v>2.4</v>
      </c>
      <c r="K51" s="35">
        <f t="shared" si="9"/>
        <v>0.6</v>
      </c>
      <c r="L51">
        <f t="shared" si="10"/>
        <v>10</v>
      </c>
      <c r="M51" s="56">
        <f t="shared" si="6"/>
        <v>46</v>
      </c>
      <c r="N51" s="41">
        <f t="shared" si="11"/>
        <v>60.266076693277455</v>
      </c>
      <c r="O51" s="41">
        <f t="shared" si="12"/>
        <v>7.5332595866596819</v>
      </c>
      <c r="P51" s="35">
        <f t="shared" si="7"/>
        <v>37.486956521739131</v>
      </c>
      <c r="Q51" s="35">
        <f t="shared" si="13"/>
        <v>36.159646015966473</v>
      </c>
      <c r="R51" s="35">
        <f t="shared" si="8"/>
        <v>-1.3273105057726582</v>
      </c>
      <c r="S51" s="66">
        <f t="shared" si="14"/>
        <v>-3.540726239013122</v>
      </c>
      <c r="T51" s="19" t="str">
        <f>IFERROR(VLOOKUP(G51,'ABC Analysis'!$E$18:$M$138,9,0),0)</f>
        <v>B</v>
      </c>
      <c r="U51" s="22">
        <f>IFERROR(VLOOKUP(G51,'ABC Analysis'!$E$18:$G$138,3,0),0)</f>
        <v>3.9562047552651634E-3</v>
      </c>
    </row>
    <row r="52" spans="1:21" hidden="1" x14ac:dyDescent="0.35">
      <c r="A52" s="14" t="s">
        <v>615</v>
      </c>
      <c r="B52">
        <v>485</v>
      </c>
      <c r="C52">
        <v>8</v>
      </c>
      <c r="D52" s="57">
        <v>66</v>
      </c>
      <c r="E52" s="1">
        <v>1.5799999999999998</v>
      </c>
      <c r="F52" s="1"/>
      <c r="G52" s="14" t="s">
        <v>615</v>
      </c>
      <c r="H52">
        <v>485</v>
      </c>
      <c r="I52" s="34">
        <v>0.25</v>
      </c>
      <c r="J52" s="32">
        <v>1.5799999999999998</v>
      </c>
      <c r="K52" s="35">
        <f t="shared" si="9"/>
        <v>0.39499999999999996</v>
      </c>
      <c r="L52">
        <f t="shared" si="10"/>
        <v>8</v>
      </c>
      <c r="M52" s="56">
        <f t="shared" si="6"/>
        <v>66</v>
      </c>
      <c r="N52" s="41">
        <f t="shared" si="11"/>
        <v>62.289646009589745</v>
      </c>
      <c r="O52" s="41">
        <f t="shared" si="12"/>
        <v>7.786205751198719</v>
      </c>
      <c r="P52" s="35">
        <f t="shared" si="7"/>
        <v>24.645606060606056</v>
      </c>
      <c r="Q52" s="35">
        <f t="shared" si="13"/>
        <v>24.604410173787947</v>
      </c>
      <c r="R52" s="35">
        <f t="shared" si="8"/>
        <v>-4.1195886818108818E-2</v>
      </c>
      <c r="S52" s="66">
        <f t="shared" si="14"/>
        <v>-0.16715306865168555</v>
      </c>
      <c r="T52" s="19" t="str">
        <f>IFERROR(VLOOKUP(G52,'ABC Analysis'!$E$18:$M$138,9,0),0)</f>
        <v>C</v>
      </c>
      <c r="U52" s="22">
        <f>IFERROR(VLOOKUP(G52,'ABC Analysis'!$E$18:$G$138,3,0),0)</f>
        <v>2.7722480311490987E-3</v>
      </c>
    </row>
    <row r="53" spans="1:21" x14ac:dyDescent="0.35">
      <c r="A53" s="14" t="s">
        <v>248</v>
      </c>
      <c r="B53">
        <v>324</v>
      </c>
      <c r="C53">
        <v>6</v>
      </c>
      <c r="D53" s="57">
        <v>42.5</v>
      </c>
      <c r="E53" s="1">
        <v>5.6000000000000005</v>
      </c>
      <c r="F53" s="1"/>
      <c r="G53" s="14" t="s">
        <v>329</v>
      </c>
      <c r="H53">
        <v>737</v>
      </c>
      <c r="I53" s="34">
        <v>0.25</v>
      </c>
      <c r="J53" s="32">
        <v>4.9400000000000004</v>
      </c>
      <c r="K53" s="35">
        <f t="shared" si="9"/>
        <v>1.2350000000000001</v>
      </c>
      <c r="L53">
        <f t="shared" si="10"/>
        <v>12</v>
      </c>
      <c r="M53" s="56">
        <f t="shared" si="6"/>
        <v>66</v>
      </c>
      <c r="N53" s="41">
        <f t="shared" si="11"/>
        <v>76.785415281809861</v>
      </c>
      <c r="O53" s="41">
        <f t="shared" si="12"/>
        <v>9.5981769102262344</v>
      </c>
      <c r="P53" s="35">
        <f t="shared" si="7"/>
        <v>95.918333333333337</v>
      </c>
      <c r="Q53" s="35">
        <f t="shared" si="13"/>
        <v>94.829987873035194</v>
      </c>
      <c r="R53" s="35">
        <f t="shared" si="8"/>
        <v>-1.0883454602981431</v>
      </c>
      <c r="S53" s="66">
        <f t="shared" si="14"/>
        <v>-1.1346584354379348</v>
      </c>
      <c r="T53" s="19" t="str">
        <f>IFERROR(VLOOKUP(G53,'ABC Analysis'!$E$18:$M$138,9,0),0)</f>
        <v>A</v>
      </c>
      <c r="U53" s="22">
        <f>IFERROR(VLOOKUP(G53,'ABC Analysis'!$E$18:$G$138,3,0),0)</f>
        <v>1.3279863957679178E-2</v>
      </c>
    </row>
    <row r="54" spans="1:21" x14ac:dyDescent="0.35">
      <c r="A54" s="14" t="s">
        <v>42</v>
      </c>
      <c r="B54">
        <v>284</v>
      </c>
      <c r="C54">
        <v>4</v>
      </c>
      <c r="D54" s="57">
        <v>42.5</v>
      </c>
      <c r="E54" s="1">
        <v>5.6000000000000005</v>
      </c>
      <c r="F54" s="1"/>
      <c r="G54" s="14" t="s">
        <v>165</v>
      </c>
      <c r="H54">
        <v>631</v>
      </c>
      <c r="I54" s="34">
        <v>0.25</v>
      </c>
      <c r="J54" s="32">
        <v>5.5600000000000005</v>
      </c>
      <c r="K54" s="35">
        <f t="shared" si="9"/>
        <v>1.3900000000000001</v>
      </c>
      <c r="L54">
        <f t="shared" si="10"/>
        <v>10</v>
      </c>
      <c r="M54" s="56">
        <f t="shared" si="6"/>
        <v>46</v>
      </c>
      <c r="N54" s="41">
        <f t="shared" si="11"/>
        <v>71.049278673326441</v>
      </c>
      <c r="O54" s="41">
        <f t="shared" si="12"/>
        <v>8.8811598341658069</v>
      </c>
      <c r="P54" s="35">
        <f t="shared" si="7"/>
        <v>108.23869565217392</v>
      </c>
      <c r="Q54" s="35">
        <f t="shared" si="13"/>
        <v>98.758497355923765</v>
      </c>
      <c r="R54" s="35">
        <f t="shared" si="8"/>
        <v>-9.4801982962501512</v>
      </c>
      <c r="S54" s="66">
        <f t="shared" si="14"/>
        <v>-8.7586036020933378</v>
      </c>
      <c r="T54" s="19" t="str">
        <f>IFERROR(VLOOKUP(G54,'ABC Analysis'!$E$18:$M$138,9,0),0)</f>
        <v>A</v>
      </c>
      <c r="U54" s="22">
        <f>IFERROR(VLOOKUP(G54,'ABC Analysis'!$E$18:$G$138,3,0),0)</f>
        <v>1.274583440976765E-2</v>
      </c>
    </row>
    <row r="55" spans="1:21" x14ac:dyDescent="0.35">
      <c r="A55" s="14" t="s">
        <v>691</v>
      </c>
      <c r="B55">
        <v>411</v>
      </c>
      <c r="C55">
        <v>7</v>
      </c>
      <c r="D55" s="57">
        <v>50.571428571428569</v>
      </c>
      <c r="E55" s="1">
        <v>5.6000000000000005</v>
      </c>
      <c r="F55" s="1"/>
      <c r="G55" s="14" t="s">
        <v>220</v>
      </c>
      <c r="H55">
        <v>414</v>
      </c>
      <c r="I55" s="34">
        <v>0.25</v>
      </c>
      <c r="J55" s="32">
        <v>8.08</v>
      </c>
      <c r="K55" s="35">
        <f t="shared" si="9"/>
        <v>2.02</v>
      </c>
      <c r="L55">
        <f t="shared" si="10"/>
        <v>8</v>
      </c>
      <c r="M55" s="56">
        <f t="shared" si="6"/>
        <v>48</v>
      </c>
      <c r="N55" s="41">
        <f t="shared" si="11"/>
        <v>57.549978279752636</v>
      </c>
      <c r="O55" s="41">
        <f t="shared" si="12"/>
        <v>7.1937472849690787</v>
      </c>
      <c r="P55" s="35">
        <f t="shared" si="7"/>
        <v>118.17</v>
      </c>
      <c r="Q55" s="35">
        <f t="shared" si="13"/>
        <v>116.25095612510032</v>
      </c>
      <c r="R55" s="35">
        <f t="shared" si="8"/>
        <v>-1.9190438748996854</v>
      </c>
      <c r="S55" s="66">
        <f t="shared" si="14"/>
        <v>-1.6239687525596052</v>
      </c>
      <c r="T55" s="19" t="str">
        <f>IFERROR(VLOOKUP(G55,'ABC Analysis'!$E$18:$M$138,9,0),0)</f>
        <v>A</v>
      </c>
      <c r="U55" s="22">
        <f>IFERROR(VLOOKUP(G55,'ABC Analysis'!$E$18:$G$138,3,0),0)</f>
        <v>1.2153275107216919E-2</v>
      </c>
    </row>
    <row r="56" spans="1:21" x14ac:dyDescent="0.35">
      <c r="A56" s="14" t="s">
        <v>392</v>
      </c>
      <c r="B56">
        <v>757</v>
      </c>
      <c r="C56">
        <v>14</v>
      </c>
      <c r="D56" s="57">
        <v>61</v>
      </c>
      <c r="E56" s="1">
        <v>4.3999999999999995</v>
      </c>
      <c r="F56" s="1"/>
      <c r="G56" s="14" t="s">
        <v>239</v>
      </c>
      <c r="H56">
        <v>642</v>
      </c>
      <c r="I56" s="34">
        <v>0.25</v>
      </c>
      <c r="J56" s="32">
        <v>5.2000000000000011</v>
      </c>
      <c r="K56" s="35">
        <f t="shared" si="9"/>
        <v>1.3000000000000003</v>
      </c>
      <c r="L56">
        <f t="shared" si="10"/>
        <v>12</v>
      </c>
      <c r="M56" s="56">
        <f t="shared" si="6"/>
        <v>52</v>
      </c>
      <c r="N56" s="41">
        <f t="shared" si="11"/>
        <v>71.665891468675667</v>
      </c>
      <c r="O56" s="41">
        <f t="shared" si="12"/>
        <v>8.9582364335844584</v>
      </c>
      <c r="P56" s="35">
        <f t="shared" si="7"/>
        <v>98.000000000000028</v>
      </c>
      <c r="Q56" s="35">
        <f t="shared" si="13"/>
        <v>93.165658909278392</v>
      </c>
      <c r="R56" s="35">
        <f t="shared" si="8"/>
        <v>-4.8343410907216366</v>
      </c>
      <c r="S56" s="66">
        <f t="shared" si="14"/>
        <v>-4.9330011129812608</v>
      </c>
      <c r="T56" s="19" t="str">
        <f>IFERROR(VLOOKUP(G56,'ABC Analysis'!$E$18:$M$138,9,0),0)</f>
        <v>A</v>
      </c>
      <c r="U56" s="22">
        <f>IFERROR(VLOOKUP(G56,'ABC Analysis'!$E$18:$G$138,3,0),0)</f>
        <v>1.2121323380118598E-2</v>
      </c>
    </row>
    <row r="57" spans="1:21" x14ac:dyDescent="0.35">
      <c r="A57" s="14" t="s">
        <v>465</v>
      </c>
      <c r="B57">
        <v>388</v>
      </c>
      <c r="C57">
        <v>7</v>
      </c>
      <c r="D57" s="57">
        <v>46.571428571428569</v>
      </c>
      <c r="E57" s="1">
        <v>12.428571428571431</v>
      </c>
      <c r="F57" s="1"/>
      <c r="G57" s="14" t="s">
        <v>392</v>
      </c>
      <c r="H57">
        <v>757</v>
      </c>
      <c r="I57" s="34">
        <v>0.25</v>
      </c>
      <c r="J57" s="32">
        <v>4.3999999999999995</v>
      </c>
      <c r="K57" s="35">
        <f t="shared" si="9"/>
        <v>1.0999999999999999</v>
      </c>
      <c r="L57">
        <f t="shared" si="10"/>
        <v>14</v>
      </c>
      <c r="M57" s="56">
        <f t="shared" si="6"/>
        <v>61</v>
      </c>
      <c r="N57" s="41">
        <f t="shared" si="11"/>
        <v>77.820305833374874</v>
      </c>
      <c r="O57" s="41">
        <f t="shared" si="12"/>
        <v>9.7275382291718593</v>
      </c>
      <c r="P57" s="35">
        <f t="shared" si="7"/>
        <v>88.15327868852458</v>
      </c>
      <c r="Q57" s="35">
        <f t="shared" si="13"/>
        <v>85.602336416712347</v>
      </c>
      <c r="R57" s="35">
        <f t="shared" si="8"/>
        <v>-2.5509422718122323</v>
      </c>
      <c r="S57" s="66">
        <f t="shared" si="14"/>
        <v>-2.8937576795363178</v>
      </c>
      <c r="T57" s="19" t="str">
        <f>IFERROR(VLOOKUP(G57,'ABC Analysis'!$E$18:$M$138,9,0),0)</f>
        <v>A</v>
      </c>
      <c r="U57" s="22">
        <f>IFERROR(VLOOKUP(G57,'ABC Analysis'!$E$18:$G$138,3,0),0)</f>
        <v>1.2093728706715498E-2</v>
      </c>
    </row>
    <row r="58" spans="1:21" hidden="1" x14ac:dyDescent="0.35">
      <c r="A58" s="14" t="s">
        <v>789</v>
      </c>
      <c r="B58">
        <v>416</v>
      </c>
      <c r="C58">
        <v>8</v>
      </c>
      <c r="D58" s="57">
        <v>35.625</v>
      </c>
      <c r="E58" s="1">
        <v>1.63</v>
      </c>
      <c r="F58" s="1"/>
      <c r="G58" s="14" t="s">
        <v>789</v>
      </c>
      <c r="H58">
        <v>416</v>
      </c>
      <c r="I58" s="34">
        <v>0.25</v>
      </c>
      <c r="J58" s="32">
        <v>1.63</v>
      </c>
      <c r="K58" s="35">
        <f t="shared" si="9"/>
        <v>0.40749999999999997</v>
      </c>
      <c r="L58">
        <f t="shared" si="10"/>
        <v>8</v>
      </c>
      <c r="M58" s="56">
        <f t="shared" si="6"/>
        <v>36</v>
      </c>
      <c r="N58" s="41">
        <f t="shared" si="11"/>
        <v>57.688820407423826</v>
      </c>
      <c r="O58" s="41">
        <f t="shared" si="12"/>
        <v>7.2111025509279791</v>
      </c>
      <c r="P58" s="35">
        <f t="shared" si="7"/>
        <v>26.170555555555552</v>
      </c>
      <c r="Q58" s="35">
        <f t="shared" si="13"/>
        <v>23.508194316025211</v>
      </c>
      <c r="R58" s="35">
        <f t="shared" si="8"/>
        <v>-2.6623612395303411</v>
      </c>
      <c r="S58" s="66">
        <f t="shared" si="14"/>
        <v>-10.173117012661843</v>
      </c>
      <c r="T58" s="19" t="str">
        <f>IFERROR(VLOOKUP(G58,'ABC Analysis'!$E$18:$M$138,9,0),0)</f>
        <v>C</v>
      </c>
      <c r="U58" s="22">
        <f>IFERROR(VLOOKUP(G58,'ABC Analysis'!$E$18:$G$138,3,0),0)</f>
        <v>2.4745160286419919E-3</v>
      </c>
    </row>
    <row r="59" spans="1:21" x14ac:dyDescent="0.35">
      <c r="A59" s="14" t="s">
        <v>156</v>
      </c>
      <c r="B59">
        <v>486</v>
      </c>
      <c r="C59">
        <v>8</v>
      </c>
      <c r="D59" s="57">
        <v>56.125</v>
      </c>
      <c r="E59" s="1">
        <v>9.7000000000000011</v>
      </c>
      <c r="F59" s="1"/>
      <c r="G59" s="14" t="s">
        <v>1445</v>
      </c>
      <c r="H59">
        <v>414</v>
      </c>
      <c r="I59" s="34">
        <v>0.25</v>
      </c>
      <c r="J59" s="32">
        <v>8</v>
      </c>
      <c r="K59" s="35">
        <f t="shared" si="9"/>
        <v>2</v>
      </c>
      <c r="L59">
        <f t="shared" si="10"/>
        <v>8</v>
      </c>
      <c r="M59" s="56">
        <f t="shared" si="6"/>
        <v>51</v>
      </c>
      <c r="N59" s="41">
        <f t="shared" si="11"/>
        <v>57.549978279752636</v>
      </c>
      <c r="O59" s="41">
        <f t="shared" si="12"/>
        <v>7.1937472849690787</v>
      </c>
      <c r="P59" s="35">
        <f t="shared" si="7"/>
        <v>115.94117647058823</v>
      </c>
      <c r="Q59" s="35">
        <f t="shared" si="13"/>
        <v>115.09995655950527</v>
      </c>
      <c r="R59" s="35">
        <f t="shared" si="8"/>
        <v>-0.84121991108295902</v>
      </c>
      <c r="S59" s="66">
        <f t="shared" si="14"/>
        <v>-0.72555750829073085</v>
      </c>
      <c r="T59" s="19" t="str">
        <f>IFERROR(VLOOKUP(G59,'ABC Analysis'!$E$18:$M$138,9,0),0)</f>
        <v>A</v>
      </c>
      <c r="U59" s="22">
        <f>IFERROR(VLOOKUP(G59,'ABC Analysis'!$E$18:$G$138,3,0),0)</f>
        <v>1.2025468198823625E-2</v>
      </c>
    </row>
    <row r="60" spans="1:21" x14ac:dyDescent="0.35">
      <c r="A60" s="14" t="s">
        <v>1081</v>
      </c>
      <c r="B60">
        <v>699</v>
      </c>
      <c r="C60">
        <v>10</v>
      </c>
      <c r="D60" s="57">
        <v>59.7</v>
      </c>
      <c r="E60" s="1">
        <v>6.4079999999999995</v>
      </c>
      <c r="F60" s="1"/>
      <c r="G60" s="14" t="s">
        <v>632</v>
      </c>
      <c r="H60">
        <v>491</v>
      </c>
      <c r="I60" s="34">
        <v>0.25</v>
      </c>
      <c r="J60" s="32">
        <v>6.3999999999999995</v>
      </c>
      <c r="K60" s="35">
        <f t="shared" si="9"/>
        <v>1.5999999999999999</v>
      </c>
      <c r="L60">
        <f t="shared" si="10"/>
        <v>7</v>
      </c>
      <c r="M60" s="56">
        <f t="shared" si="6"/>
        <v>43</v>
      </c>
      <c r="N60" s="41">
        <f t="shared" si="11"/>
        <v>62.673758463969591</v>
      </c>
      <c r="O60" s="41">
        <f t="shared" si="12"/>
        <v>7.8342198079961989</v>
      </c>
      <c r="P60" s="35">
        <f t="shared" si="7"/>
        <v>107.47906976744187</v>
      </c>
      <c r="Q60" s="35">
        <f t="shared" si="13"/>
        <v>100.27801354235133</v>
      </c>
      <c r="R60" s="35">
        <f t="shared" si="8"/>
        <v>-7.2010562250905394</v>
      </c>
      <c r="S60" s="66">
        <f t="shared" si="14"/>
        <v>-6.6999614349769159</v>
      </c>
      <c r="T60" s="19" t="str">
        <f>IFERROR(VLOOKUP(G60,'ABC Analysis'!$E$18:$M$138,9,0),0)</f>
        <v>A</v>
      </c>
      <c r="U60" s="22">
        <f>IFERROR(VLOOKUP(G60,'ABC Analysis'!$E$18:$G$138,3,0),0)</f>
        <v>1.1409671276565026E-2</v>
      </c>
    </row>
    <row r="61" spans="1:21" x14ac:dyDescent="0.35">
      <c r="A61" s="14" t="s">
        <v>674</v>
      </c>
      <c r="B61">
        <v>892</v>
      </c>
      <c r="C61">
        <v>14</v>
      </c>
      <c r="D61" s="57">
        <v>58.785714285714285</v>
      </c>
      <c r="E61" s="1">
        <v>7.200000000000002</v>
      </c>
      <c r="F61" s="1"/>
      <c r="G61" s="14" t="s">
        <v>446</v>
      </c>
      <c r="H61">
        <v>405</v>
      </c>
      <c r="I61" s="34">
        <v>0.25</v>
      </c>
      <c r="J61" s="32">
        <v>7.6</v>
      </c>
      <c r="K61" s="35">
        <f t="shared" si="9"/>
        <v>1.9</v>
      </c>
      <c r="L61">
        <f t="shared" si="10"/>
        <v>10</v>
      </c>
      <c r="M61" s="56">
        <f t="shared" si="6"/>
        <v>57</v>
      </c>
      <c r="N61" s="41">
        <f t="shared" si="11"/>
        <v>56.920997883030829</v>
      </c>
      <c r="O61" s="41">
        <f t="shared" si="12"/>
        <v>7.1151247353788536</v>
      </c>
      <c r="P61" s="35">
        <f t="shared" si="7"/>
        <v>108.15</v>
      </c>
      <c r="Q61" s="35">
        <f t="shared" si="13"/>
        <v>108.14989597775858</v>
      </c>
      <c r="R61" s="35">
        <f t="shared" si="8"/>
        <v>-1.040222414303571E-4</v>
      </c>
      <c r="S61" s="66">
        <f t="shared" si="14"/>
        <v>-9.6183302293441605E-5</v>
      </c>
      <c r="T61" s="19" t="str">
        <f>IFERROR(VLOOKUP(G61,'ABC Analysis'!$E$18:$M$138,9,0),0)</f>
        <v>A</v>
      </c>
      <c r="U61" s="22">
        <f>IFERROR(VLOOKUP(G61,'ABC Analysis'!$E$18:$G$138,3,0),0)</f>
        <v>1.1175842728254566E-2</v>
      </c>
    </row>
    <row r="62" spans="1:21" x14ac:dyDescent="0.35">
      <c r="A62" s="14" t="s">
        <v>976</v>
      </c>
      <c r="B62">
        <v>535</v>
      </c>
      <c r="C62">
        <v>8</v>
      </c>
      <c r="D62" s="57">
        <v>69.875</v>
      </c>
      <c r="E62" s="1">
        <v>16</v>
      </c>
      <c r="F62" s="1"/>
      <c r="G62" s="14" t="s">
        <v>146</v>
      </c>
      <c r="H62">
        <v>794</v>
      </c>
      <c r="I62" s="34">
        <v>0.25</v>
      </c>
      <c r="J62" s="32">
        <v>3.7999999999999994</v>
      </c>
      <c r="K62" s="35">
        <f t="shared" si="9"/>
        <v>0.94999999999999984</v>
      </c>
      <c r="L62">
        <f t="shared" si="10"/>
        <v>13</v>
      </c>
      <c r="M62" s="56">
        <f t="shared" si="6"/>
        <v>60</v>
      </c>
      <c r="N62" s="41">
        <f t="shared" si="11"/>
        <v>79.699435380685102</v>
      </c>
      <c r="O62" s="41">
        <f t="shared" si="12"/>
        <v>9.9624294225856378</v>
      </c>
      <c r="P62" s="35">
        <f t="shared" si="7"/>
        <v>78.786666666666648</v>
      </c>
      <c r="Q62" s="35">
        <f t="shared" si="13"/>
        <v>75.714463611650828</v>
      </c>
      <c r="R62" s="35">
        <f t="shared" si="8"/>
        <v>-3.0722030550158195</v>
      </c>
      <c r="S62" s="66">
        <f t="shared" si="14"/>
        <v>-3.8993946374375787</v>
      </c>
      <c r="T62" s="19" t="str">
        <f>IFERROR(VLOOKUP(G62,'ABC Analysis'!$E$18:$M$138,9,0),0)</f>
        <v>A</v>
      </c>
      <c r="U62" s="22">
        <f>IFERROR(VLOOKUP(G62,'ABC Analysis'!$E$18:$G$138,3,0),0)</f>
        <v>1.0955085341029782E-2</v>
      </c>
    </row>
    <row r="63" spans="1:21" x14ac:dyDescent="0.35">
      <c r="A63" s="14" t="s">
        <v>1369</v>
      </c>
      <c r="B63">
        <v>485</v>
      </c>
      <c r="C63">
        <v>9</v>
      </c>
      <c r="D63" s="57">
        <v>56.222222222222221</v>
      </c>
      <c r="E63" s="1">
        <v>3.2444444444444445</v>
      </c>
      <c r="F63" s="1"/>
      <c r="G63" s="14" t="s">
        <v>65</v>
      </c>
      <c r="H63">
        <v>408</v>
      </c>
      <c r="I63" s="34">
        <v>0.25</v>
      </c>
      <c r="J63" s="32">
        <v>7.3028571428571434</v>
      </c>
      <c r="K63" s="35">
        <f t="shared" si="9"/>
        <v>1.8257142857142858</v>
      </c>
      <c r="L63">
        <f t="shared" si="10"/>
        <v>7</v>
      </c>
      <c r="M63" s="56">
        <f t="shared" si="6"/>
        <v>37</v>
      </c>
      <c r="N63" s="41">
        <f t="shared" si="11"/>
        <v>57.131427428342803</v>
      </c>
      <c r="O63" s="41">
        <f t="shared" si="12"/>
        <v>7.1414284285428495</v>
      </c>
      <c r="P63" s="35">
        <f t="shared" si="7"/>
        <v>114.30451737451737</v>
      </c>
      <c r="Q63" s="35">
        <f t="shared" si="13"/>
        <v>104.30566321917442</v>
      </c>
      <c r="R63" s="35">
        <f t="shared" si="8"/>
        <v>-9.9988541553429542</v>
      </c>
      <c r="S63" s="66">
        <f t="shared" si="14"/>
        <v>-8.7475581761846115</v>
      </c>
      <c r="T63" s="19" t="str">
        <f>IFERROR(VLOOKUP(G63,'ABC Analysis'!$E$18:$M$138,9,0),0)</f>
        <v>A</v>
      </c>
      <c r="U63" s="22">
        <f>IFERROR(VLOOKUP(G63,'ABC Analysis'!$E$18:$G$138,3,0),0)</f>
        <v>1.0804331283174966E-2</v>
      </c>
    </row>
    <row r="64" spans="1:21" x14ac:dyDescent="0.35">
      <c r="A64" s="14" t="s">
        <v>587</v>
      </c>
      <c r="B64">
        <v>334</v>
      </c>
      <c r="C64">
        <v>6</v>
      </c>
      <c r="D64" s="57">
        <v>45</v>
      </c>
      <c r="E64" s="1">
        <v>24.2</v>
      </c>
      <c r="F64" s="1"/>
      <c r="G64" s="14" t="s">
        <v>495</v>
      </c>
      <c r="H64">
        <v>578</v>
      </c>
      <c r="I64" s="34">
        <v>0.25</v>
      </c>
      <c r="J64" s="32">
        <v>4.9250000000000007</v>
      </c>
      <c r="K64" s="35">
        <f t="shared" si="9"/>
        <v>1.2312500000000002</v>
      </c>
      <c r="L64">
        <f t="shared" si="10"/>
        <v>8</v>
      </c>
      <c r="M64" s="56">
        <f t="shared" si="6"/>
        <v>46</v>
      </c>
      <c r="N64" s="41">
        <f t="shared" si="11"/>
        <v>68</v>
      </c>
      <c r="O64" s="41">
        <f t="shared" si="12"/>
        <v>8.5</v>
      </c>
      <c r="P64" s="35">
        <f t="shared" si="7"/>
        <v>90.202445652173921</v>
      </c>
      <c r="Q64" s="35">
        <f t="shared" si="13"/>
        <v>83.725000000000009</v>
      </c>
      <c r="R64" s="35">
        <f t="shared" si="8"/>
        <v>-6.4774456521739125</v>
      </c>
      <c r="S64" s="66">
        <f t="shared" si="14"/>
        <v>-7.1810089020771501</v>
      </c>
      <c r="T64" s="19" t="str">
        <f>IFERROR(VLOOKUP(G64,'ABC Analysis'!$E$18:$M$138,9,0),0)</f>
        <v>A</v>
      </c>
      <c r="U64" s="22">
        <f>IFERROR(VLOOKUP(G64,'ABC Analysis'!$E$18:$G$138,3,0),0)</f>
        <v>1.034887393690068E-2</v>
      </c>
    </row>
    <row r="65" spans="1:21" x14ac:dyDescent="0.35">
      <c r="A65" s="14" t="s">
        <v>146</v>
      </c>
      <c r="B65">
        <v>794</v>
      </c>
      <c r="C65">
        <v>13</v>
      </c>
      <c r="D65" s="57">
        <v>59.615384615384613</v>
      </c>
      <c r="E65" s="1">
        <v>3.7999999999999994</v>
      </c>
      <c r="F65" s="1"/>
      <c r="G65" s="14" t="s">
        <v>80</v>
      </c>
      <c r="H65">
        <v>353</v>
      </c>
      <c r="I65" s="34">
        <v>0.25</v>
      </c>
      <c r="J65" s="32">
        <v>8</v>
      </c>
      <c r="K65" s="35">
        <f t="shared" si="9"/>
        <v>2</v>
      </c>
      <c r="L65">
        <f t="shared" si="10"/>
        <v>7</v>
      </c>
      <c r="M65" s="56">
        <f t="shared" si="6"/>
        <v>47</v>
      </c>
      <c r="N65" s="41">
        <f t="shared" si="11"/>
        <v>53.141321022345693</v>
      </c>
      <c r="O65" s="41">
        <f t="shared" si="12"/>
        <v>6.6426651277932107</v>
      </c>
      <c r="P65" s="35">
        <f t="shared" si="7"/>
        <v>107.08510638297872</v>
      </c>
      <c r="Q65" s="35">
        <f t="shared" si="13"/>
        <v>106.28264204469139</v>
      </c>
      <c r="R65" s="35">
        <f t="shared" si="8"/>
        <v>-0.80246433828733643</v>
      </c>
      <c r="S65" s="66">
        <f t="shared" si="14"/>
        <v>-0.74937063182008379</v>
      </c>
      <c r="T65" s="19" t="str">
        <f>IFERROR(VLOOKUP(G65,'ABC Analysis'!$E$18:$M$138,9,0),0)</f>
        <v>A</v>
      </c>
      <c r="U65" s="22">
        <f>IFERROR(VLOOKUP(G65,'ABC Analysis'!$E$18:$G$138,3,0),0)</f>
        <v>1.0253599696098403E-2</v>
      </c>
    </row>
    <row r="66" spans="1:21" hidden="1" x14ac:dyDescent="0.35">
      <c r="A66" s="14" t="s">
        <v>142</v>
      </c>
      <c r="B66">
        <v>251</v>
      </c>
      <c r="C66">
        <v>5</v>
      </c>
      <c r="D66" s="57">
        <v>73.400000000000006</v>
      </c>
      <c r="E66" s="1">
        <v>3.2</v>
      </c>
      <c r="F66" s="1"/>
      <c r="G66" s="14" t="s">
        <v>142</v>
      </c>
      <c r="H66">
        <v>251</v>
      </c>
      <c r="I66" s="34">
        <v>0.25</v>
      </c>
      <c r="J66" s="32">
        <v>3.2</v>
      </c>
      <c r="K66" s="35">
        <f t="shared" si="9"/>
        <v>0.8</v>
      </c>
      <c r="L66">
        <f t="shared" si="10"/>
        <v>5</v>
      </c>
      <c r="M66" s="56">
        <f t="shared" si="6"/>
        <v>73</v>
      </c>
      <c r="N66" s="41">
        <f t="shared" si="11"/>
        <v>44.810713004816158</v>
      </c>
      <c r="O66" s="41">
        <f t="shared" si="12"/>
        <v>5.6013391256020197</v>
      </c>
      <c r="P66" s="35">
        <f t="shared" si="7"/>
        <v>40.202739726027403</v>
      </c>
      <c r="Q66" s="35">
        <f t="shared" si="13"/>
        <v>35.848570403852925</v>
      </c>
      <c r="R66" s="35">
        <f t="shared" si="8"/>
        <v>-4.3541693221744779</v>
      </c>
      <c r="S66" s="66">
        <f t="shared" si="14"/>
        <v>-10.830528844171216</v>
      </c>
      <c r="T66" s="19" t="str">
        <f>IFERROR(VLOOKUP(G66,'ABC Analysis'!$E$18:$M$138,9,0),0)</f>
        <v>C</v>
      </c>
      <c r="U66" s="22">
        <f>IFERROR(VLOOKUP(G66,'ABC Analysis'!$E$18:$G$138,3,0),0)</f>
        <v>2.9163212733379035E-3</v>
      </c>
    </row>
    <row r="67" spans="1:21" hidden="1" x14ac:dyDescent="0.35">
      <c r="A67" s="14" t="s">
        <v>665</v>
      </c>
      <c r="B67">
        <v>304</v>
      </c>
      <c r="C67">
        <v>6</v>
      </c>
      <c r="D67" s="57">
        <v>48.5</v>
      </c>
      <c r="E67" s="1">
        <v>4.7333333333333334</v>
      </c>
      <c r="F67" s="1"/>
      <c r="G67" s="14" t="s">
        <v>665</v>
      </c>
      <c r="H67">
        <v>304</v>
      </c>
      <c r="I67" s="34">
        <v>0.25</v>
      </c>
      <c r="J67" s="32">
        <v>4.7333333333333334</v>
      </c>
      <c r="K67" s="35">
        <f t="shared" si="9"/>
        <v>1.1833333333333333</v>
      </c>
      <c r="L67">
        <f t="shared" si="10"/>
        <v>6</v>
      </c>
      <c r="M67" s="56">
        <f t="shared" si="6"/>
        <v>49</v>
      </c>
      <c r="N67" s="41">
        <f t="shared" si="11"/>
        <v>49.315312023751808</v>
      </c>
      <c r="O67" s="41">
        <f t="shared" si="12"/>
        <v>6.1644140029689769</v>
      </c>
      <c r="P67" s="35">
        <f t="shared" si="7"/>
        <v>58.357653061224489</v>
      </c>
      <c r="Q67" s="35">
        <f t="shared" si="13"/>
        <v>58.356452561439639</v>
      </c>
      <c r="R67" s="35">
        <f t="shared" si="8"/>
        <v>-1.200499784850706E-3</v>
      </c>
      <c r="S67" s="66">
        <f t="shared" si="14"/>
        <v>-2.0571419888857274E-3</v>
      </c>
      <c r="T67" s="19" t="str">
        <f>IFERROR(VLOOKUP(G67,'ABC Analysis'!$E$18:$M$138,9,0),0)</f>
        <v>B</v>
      </c>
      <c r="U67" s="22">
        <f>IFERROR(VLOOKUP(G67,'ABC Analysis'!$E$18:$G$138,3,0),0)</f>
        <v>5.2403737143714253E-3</v>
      </c>
    </row>
    <row r="68" spans="1:21" hidden="1" x14ac:dyDescent="0.35">
      <c r="A68" s="14" t="s">
        <v>47</v>
      </c>
      <c r="B68">
        <v>469</v>
      </c>
      <c r="C68">
        <v>9</v>
      </c>
      <c r="D68" s="57">
        <v>61.777777777777779</v>
      </c>
      <c r="E68" s="1">
        <v>1.9644444444444444</v>
      </c>
      <c r="F68" s="1"/>
      <c r="G68" s="14" t="s">
        <v>47</v>
      </c>
      <c r="H68">
        <v>469</v>
      </c>
      <c r="I68" s="34">
        <v>0.25</v>
      </c>
      <c r="J68" s="32">
        <v>1.9644444444444444</v>
      </c>
      <c r="K68" s="35">
        <f t="shared" si="9"/>
        <v>0.49111111111111111</v>
      </c>
      <c r="L68">
        <f t="shared" si="10"/>
        <v>9</v>
      </c>
      <c r="M68" s="56">
        <f t="shared" si="6"/>
        <v>62</v>
      </c>
      <c r="N68" s="41">
        <f t="shared" si="11"/>
        <v>61.253571324454221</v>
      </c>
      <c r="O68" s="41">
        <f t="shared" si="12"/>
        <v>7.6566964155567767</v>
      </c>
      <c r="P68" s="35">
        <f t="shared" si="7"/>
        <v>30.084516129032259</v>
      </c>
      <c r="Q68" s="35">
        <f t="shared" si="13"/>
        <v>30.082309472676407</v>
      </c>
      <c r="R68" s="35">
        <f t="shared" si="8"/>
        <v>-2.2066563558524876E-3</v>
      </c>
      <c r="S68" s="66">
        <f t="shared" si="14"/>
        <v>-7.3348573943757501E-3</v>
      </c>
      <c r="T68" s="19" t="str">
        <f>IFERROR(VLOOKUP(G68,'ABC Analysis'!$E$18:$M$138,9,0),0)</f>
        <v>B</v>
      </c>
      <c r="U68" s="22">
        <f>IFERROR(VLOOKUP(G68,'ABC Analysis'!$E$18:$G$138,3,0),0)</f>
        <v>3.3483957647811435E-3</v>
      </c>
    </row>
    <row r="69" spans="1:21" hidden="1" x14ac:dyDescent="0.35">
      <c r="A69" s="14" t="s">
        <v>243</v>
      </c>
      <c r="B69">
        <v>166</v>
      </c>
      <c r="C69">
        <v>4</v>
      </c>
      <c r="D69" s="57">
        <v>38</v>
      </c>
      <c r="E69" s="1">
        <v>1.6</v>
      </c>
      <c r="F69" s="1"/>
      <c r="G69" s="14" t="s">
        <v>243</v>
      </c>
      <c r="H69">
        <v>166</v>
      </c>
      <c r="I69" s="34">
        <v>0.25</v>
      </c>
      <c r="J69" s="32">
        <v>1.6</v>
      </c>
      <c r="K69" s="35">
        <f t="shared" si="9"/>
        <v>0.4</v>
      </c>
      <c r="L69">
        <f t="shared" si="10"/>
        <v>4</v>
      </c>
      <c r="M69" s="56">
        <f t="shared" si="6"/>
        <v>38</v>
      </c>
      <c r="N69" s="41">
        <f t="shared" si="11"/>
        <v>36.441734316577197</v>
      </c>
      <c r="O69" s="41">
        <f t="shared" si="12"/>
        <v>4.5552167895721496</v>
      </c>
      <c r="P69" s="35">
        <f t="shared" si="7"/>
        <v>14.589473684210528</v>
      </c>
      <c r="Q69" s="35">
        <f t="shared" si="13"/>
        <v>14.576693726630879</v>
      </c>
      <c r="R69" s="35">
        <f t="shared" si="8"/>
        <v>-1.2779957579649448E-2</v>
      </c>
      <c r="S69" s="66">
        <f t="shared" si="14"/>
        <v>-8.7597111837424052E-2</v>
      </c>
      <c r="T69" s="19" t="str">
        <f>IFERROR(VLOOKUP(G69,'ABC Analysis'!$E$18:$M$138,9,0),0)</f>
        <v>C</v>
      </c>
      <c r="U69" s="22">
        <f>IFERROR(VLOOKUP(G69,'ABC Analysis'!$E$18:$G$138,3,0),0)</f>
        <v>9.6436121787667726E-4</v>
      </c>
    </row>
    <row r="70" spans="1:21" hidden="1" x14ac:dyDescent="0.35">
      <c r="A70" s="14" t="s">
        <v>193</v>
      </c>
      <c r="B70">
        <v>450</v>
      </c>
      <c r="C70">
        <v>7</v>
      </c>
      <c r="D70" s="57">
        <v>49.571428571428569</v>
      </c>
      <c r="E70" s="1">
        <v>1.577142857142857</v>
      </c>
      <c r="F70" s="1"/>
      <c r="G70" s="14" t="s">
        <v>193</v>
      </c>
      <c r="H70">
        <v>450</v>
      </c>
      <c r="I70" s="34">
        <v>0.25</v>
      </c>
      <c r="J70" s="32">
        <v>1.577142857142857</v>
      </c>
      <c r="K70" s="35">
        <f t="shared" si="9"/>
        <v>0.39428571428571424</v>
      </c>
      <c r="L70">
        <f t="shared" si="10"/>
        <v>7</v>
      </c>
      <c r="M70" s="56">
        <f t="shared" si="6"/>
        <v>50</v>
      </c>
      <c r="N70" s="41">
        <f t="shared" si="11"/>
        <v>60</v>
      </c>
      <c r="O70" s="41">
        <f t="shared" si="12"/>
        <v>7.5</v>
      </c>
      <c r="P70" s="35">
        <f t="shared" si="7"/>
        <v>24.051428571428566</v>
      </c>
      <c r="Q70" s="35">
        <f t="shared" si="13"/>
        <v>23.657142857142855</v>
      </c>
      <c r="R70" s="35">
        <f t="shared" si="8"/>
        <v>-0.39428571428571146</v>
      </c>
      <c r="S70" s="66">
        <f t="shared" si="14"/>
        <v>-1.6393442622950707</v>
      </c>
      <c r="T70" s="19" t="str">
        <f>IFERROR(VLOOKUP(G70,'ABC Analysis'!$E$18:$M$138,9,0),0)</f>
        <v>C</v>
      </c>
      <c r="U70" s="22">
        <f>IFERROR(VLOOKUP(G70,'ABC Analysis'!$E$18:$G$138,3,0),0)</f>
        <v>2.5668855669807819E-3</v>
      </c>
    </row>
    <row r="71" spans="1:21" hidden="1" x14ac:dyDescent="0.35">
      <c r="A71" s="14" t="s">
        <v>531</v>
      </c>
      <c r="B71">
        <v>535</v>
      </c>
      <c r="C71">
        <v>9</v>
      </c>
      <c r="D71" s="57">
        <v>61.666666666666664</v>
      </c>
      <c r="E71" s="1">
        <v>1.2044444444444444</v>
      </c>
      <c r="F71" s="1"/>
      <c r="G71" s="14" t="s">
        <v>531</v>
      </c>
      <c r="H71">
        <v>535</v>
      </c>
      <c r="I71" s="34">
        <v>0.25</v>
      </c>
      <c r="J71" s="32">
        <v>1.2044444444444444</v>
      </c>
      <c r="K71" s="35">
        <f t="shared" ref="K71:K102" si="15">I71*J71</f>
        <v>0.30111111111111111</v>
      </c>
      <c r="L71">
        <f t="shared" ref="L71:L102" si="16">VLOOKUP(G71,$A$7:$C$127,3,0)</f>
        <v>9</v>
      </c>
      <c r="M71" s="56">
        <f t="shared" si="6"/>
        <v>62</v>
      </c>
      <c r="N71" s="41">
        <f t="shared" ref="N71:N102" si="17">SQRT((2*H71*J71)/K71)</f>
        <v>65.421708935184498</v>
      </c>
      <c r="O71" s="41">
        <f t="shared" ref="O71:O102" si="18">H71/N71</f>
        <v>8.177713616898064</v>
      </c>
      <c r="P71" s="35">
        <f t="shared" si="7"/>
        <v>19.72763440860215</v>
      </c>
      <c r="Q71" s="35">
        <f t="shared" ref="Q71:Q102" si="19">(H71/N71)*J71+(N71/2)*K71</f>
        <v>19.699203468261111</v>
      </c>
      <c r="R71" s="35">
        <f t="shared" si="8"/>
        <v>-2.843094034103899E-2</v>
      </c>
      <c r="S71" s="66">
        <f t="shared" ref="S71:S102" si="20">(Q71-P71)/P71*100</f>
        <v>-0.14411733182079753</v>
      </c>
      <c r="T71" s="19" t="str">
        <f>IFERROR(VLOOKUP(G71,'ABC Analysis'!$E$18:$M$138,9,0),0)</f>
        <v>C</v>
      </c>
      <c r="U71" s="22">
        <f>IFERROR(VLOOKUP(G71,'ABC Analysis'!$E$18:$G$138,3,0),0)</f>
        <v>2.3571660491172393E-3</v>
      </c>
    </row>
    <row r="72" spans="1:21" x14ac:dyDescent="0.35">
      <c r="A72" s="14" t="s">
        <v>1624</v>
      </c>
      <c r="B72">
        <v>402</v>
      </c>
      <c r="C72">
        <v>7</v>
      </c>
      <c r="D72" s="57">
        <v>51.857142857142854</v>
      </c>
      <c r="E72" s="1">
        <v>6</v>
      </c>
      <c r="F72" s="1"/>
      <c r="G72" s="14" t="s">
        <v>17</v>
      </c>
      <c r="H72">
        <v>708</v>
      </c>
      <c r="I72" s="34">
        <v>0.25</v>
      </c>
      <c r="J72" s="32">
        <v>3.5966666666666676</v>
      </c>
      <c r="K72" s="35">
        <f t="shared" si="15"/>
        <v>0.89916666666666689</v>
      </c>
      <c r="L72">
        <f t="shared" si="16"/>
        <v>12</v>
      </c>
      <c r="M72" s="56">
        <f t="shared" ref="M72:M127" si="21">ROUND(VLOOKUP(G72,$A$7:$D$127,4,0),0)</f>
        <v>47</v>
      </c>
      <c r="N72" s="41">
        <f t="shared" si="17"/>
        <v>75.259550888907114</v>
      </c>
      <c r="O72" s="41">
        <f t="shared" si="18"/>
        <v>9.4074438611133893</v>
      </c>
      <c r="P72" s="35">
        <f t="shared" ref="P72:P127" si="22">(H72/M72)*J72+(M72/2)*K72</f>
        <v>75.309991134751797</v>
      </c>
      <c r="Q72" s="35">
        <f t="shared" si="19"/>
        <v>67.670879507609001</v>
      </c>
      <c r="R72" s="35">
        <f t="shared" ref="R72:R127" si="23">Q72-P72</f>
        <v>-7.6391116271427961</v>
      </c>
      <c r="S72" s="66">
        <f t="shared" si="20"/>
        <v>-10.143556667632811</v>
      </c>
      <c r="T72" s="19" t="str">
        <f>IFERROR(VLOOKUP(G72,'ABC Analysis'!$E$18:$M$138,9,0),0)</f>
        <v>A</v>
      </c>
      <c r="U72" s="22">
        <f>IFERROR(VLOOKUP(G72,'ABC Analysis'!$E$18:$G$138,3,0),0)</f>
        <v>9.2503154652110436E-3</v>
      </c>
    </row>
    <row r="73" spans="1:21" x14ac:dyDescent="0.35">
      <c r="A73" s="14" t="s">
        <v>137</v>
      </c>
      <c r="B73">
        <v>551</v>
      </c>
      <c r="C73">
        <v>11</v>
      </c>
      <c r="D73" s="57">
        <v>36.81818181818182</v>
      </c>
      <c r="E73" s="1">
        <v>3.9345454545454555</v>
      </c>
      <c r="F73" s="1"/>
      <c r="G73" s="14" t="s">
        <v>111</v>
      </c>
      <c r="H73">
        <v>515</v>
      </c>
      <c r="I73" s="34">
        <v>0.25</v>
      </c>
      <c r="J73" s="32">
        <v>4.8266666666666662</v>
      </c>
      <c r="K73" s="35">
        <f t="shared" si="15"/>
        <v>1.2066666666666666</v>
      </c>
      <c r="L73">
        <f t="shared" si="16"/>
        <v>9</v>
      </c>
      <c r="M73" s="56">
        <f t="shared" si="21"/>
        <v>54</v>
      </c>
      <c r="N73" s="41">
        <f t="shared" si="17"/>
        <v>64.187226143524853</v>
      </c>
      <c r="O73" s="41">
        <f t="shared" si="18"/>
        <v>8.0234032679406067</v>
      </c>
      <c r="P73" s="35">
        <f t="shared" si="22"/>
        <v>78.61209876543208</v>
      </c>
      <c r="Q73" s="35">
        <f t="shared" si="19"/>
        <v>77.452586213186649</v>
      </c>
      <c r="R73" s="35">
        <f t="shared" si="23"/>
        <v>-1.159512552245431</v>
      </c>
      <c r="S73" s="66">
        <f t="shared" si="20"/>
        <v>-1.4749797683245431</v>
      </c>
      <c r="T73" s="19" t="str">
        <f>IFERROR(VLOOKUP(G73,'ABC Analysis'!$E$18:$M$138,9,0),0)</f>
        <v>A</v>
      </c>
      <c r="U73" s="22">
        <f>IFERROR(VLOOKUP(G73,'ABC Analysis'!$E$18:$G$138,3,0),0)</f>
        <v>9.0539575786795258E-3</v>
      </c>
    </row>
    <row r="74" spans="1:21" hidden="1" x14ac:dyDescent="0.35">
      <c r="A74" s="14" t="s">
        <v>188</v>
      </c>
      <c r="B74">
        <v>258</v>
      </c>
      <c r="C74">
        <v>5</v>
      </c>
      <c r="D74" s="57">
        <v>58.2</v>
      </c>
      <c r="E74" s="1">
        <v>0.78400000000000003</v>
      </c>
      <c r="F74" s="1"/>
      <c r="G74" s="14" t="s">
        <v>188</v>
      </c>
      <c r="H74">
        <v>258</v>
      </c>
      <c r="I74" s="34">
        <v>0.25</v>
      </c>
      <c r="J74" s="32">
        <v>0.78400000000000003</v>
      </c>
      <c r="K74" s="35">
        <f t="shared" si="15"/>
        <v>0.19600000000000001</v>
      </c>
      <c r="L74">
        <f t="shared" si="16"/>
        <v>5</v>
      </c>
      <c r="M74" s="56">
        <f t="shared" si="21"/>
        <v>58</v>
      </c>
      <c r="N74" s="41">
        <f t="shared" si="17"/>
        <v>45.431266766402189</v>
      </c>
      <c r="O74" s="41">
        <f t="shared" si="18"/>
        <v>5.6789083458002736</v>
      </c>
      <c r="P74" s="35">
        <f t="shared" si="22"/>
        <v>9.171448275862069</v>
      </c>
      <c r="Q74" s="35">
        <f t="shared" si="19"/>
        <v>8.9045282862148287</v>
      </c>
      <c r="R74" s="35">
        <f t="shared" si="23"/>
        <v>-0.26691998964724029</v>
      </c>
      <c r="S74" s="66">
        <f t="shared" si="20"/>
        <v>-2.9103363135104328</v>
      </c>
      <c r="T74" s="19" t="str">
        <f>IFERROR(VLOOKUP(G74,'ABC Analysis'!$E$18:$M$138,9,0),0)</f>
        <v>C</v>
      </c>
      <c r="U74" s="22">
        <f>IFERROR(VLOOKUP(G74,'ABC Analysis'!$E$18:$G$138,3,0),0)</f>
        <v>7.3605160424683729E-4</v>
      </c>
    </row>
    <row r="75" spans="1:21" x14ac:dyDescent="0.35">
      <c r="A75" s="14" t="s">
        <v>1516</v>
      </c>
      <c r="B75">
        <v>406</v>
      </c>
      <c r="C75">
        <v>7</v>
      </c>
      <c r="D75" s="57">
        <v>41</v>
      </c>
      <c r="E75" s="1">
        <v>5.6571428571428575</v>
      </c>
      <c r="F75" s="1"/>
      <c r="G75" s="14" t="s">
        <v>1624</v>
      </c>
      <c r="H75">
        <v>402</v>
      </c>
      <c r="I75" s="34">
        <v>0.25</v>
      </c>
      <c r="J75" s="32">
        <v>6</v>
      </c>
      <c r="K75" s="35">
        <f t="shared" si="15"/>
        <v>1.5</v>
      </c>
      <c r="L75">
        <f t="shared" si="16"/>
        <v>7</v>
      </c>
      <c r="M75" s="56">
        <f t="shared" si="21"/>
        <v>52</v>
      </c>
      <c r="N75" s="41">
        <f t="shared" si="17"/>
        <v>56.709787515031302</v>
      </c>
      <c r="O75" s="41">
        <f t="shared" si="18"/>
        <v>7.0887234393789127</v>
      </c>
      <c r="P75" s="35">
        <f t="shared" si="22"/>
        <v>85.384615384615387</v>
      </c>
      <c r="Q75" s="35">
        <f t="shared" si="19"/>
        <v>85.064681272546949</v>
      </c>
      <c r="R75" s="35">
        <f t="shared" si="23"/>
        <v>-0.31993411206843803</v>
      </c>
      <c r="S75" s="66">
        <f t="shared" si="20"/>
        <v>-0.37469760872880126</v>
      </c>
      <c r="T75" s="19" t="str">
        <f>IFERROR(VLOOKUP(G75,'ABC Analysis'!$E$18:$M$138,9,0),0)</f>
        <v>A</v>
      </c>
      <c r="U75" s="22">
        <f>IFERROR(VLOOKUP(G75,'ABC Analysis'!$E$18:$G$138,3,0),0)</f>
        <v>8.7576779274041623E-3</v>
      </c>
    </row>
    <row r="76" spans="1:21" hidden="1" x14ac:dyDescent="0.35">
      <c r="A76" s="14" t="s">
        <v>836</v>
      </c>
      <c r="B76">
        <v>401</v>
      </c>
      <c r="C76">
        <v>8</v>
      </c>
      <c r="D76" s="57">
        <v>46.25</v>
      </c>
      <c r="E76" s="1">
        <v>2.6900000000000004</v>
      </c>
      <c r="F76" s="1"/>
      <c r="G76" s="14" t="s">
        <v>836</v>
      </c>
      <c r="H76">
        <v>401</v>
      </c>
      <c r="I76" s="34">
        <v>0.25</v>
      </c>
      <c r="J76" s="32">
        <v>2.6900000000000004</v>
      </c>
      <c r="K76" s="35">
        <f t="shared" si="15"/>
        <v>0.6725000000000001</v>
      </c>
      <c r="L76">
        <f t="shared" si="16"/>
        <v>8</v>
      </c>
      <c r="M76" s="56">
        <f t="shared" si="21"/>
        <v>46</v>
      </c>
      <c r="N76" s="41">
        <f t="shared" si="17"/>
        <v>56.639209034025178</v>
      </c>
      <c r="O76" s="41">
        <f t="shared" si="18"/>
        <v>7.0799011292531491</v>
      </c>
      <c r="P76" s="35">
        <f t="shared" si="22"/>
        <v>38.917282608695658</v>
      </c>
      <c r="Q76" s="35">
        <f t="shared" si="19"/>
        <v>38.089868075381943</v>
      </c>
      <c r="R76" s="35">
        <f t="shared" si="23"/>
        <v>-0.82741453331371417</v>
      </c>
      <c r="S76" s="66">
        <f t="shared" si="20"/>
        <v>-2.1260850651706011</v>
      </c>
      <c r="T76" s="19" t="str">
        <f>IFERROR(VLOOKUP(G76,'ABC Analysis'!$E$18:$M$138,9,0),0)</f>
        <v>B</v>
      </c>
      <c r="U76" s="22">
        <f>IFERROR(VLOOKUP(G76,'ABC Analysis'!$E$18:$G$138,3,0),0)</f>
        <v>3.8923013010685164E-3</v>
      </c>
    </row>
    <row r="77" spans="1:21" x14ac:dyDescent="0.35">
      <c r="A77" s="14" t="s">
        <v>495</v>
      </c>
      <c r="B77">
        <v>578</v>
      </c>
      <c r="C77">
        <v>8</v>
      </c>
      <c r="D77" s="57">
        <v>45.625</v>
      </c>
      <c r="E77" s="1">
        <v>4.9250000000000007</v>
      </c>
      <c r="F77" s="1"/>
      <c r="G77" s="14" t="s">
        <v>225</v>
      </c>
      <c r="H77">
        <v>598</v>
      </c>
      <c r="I77" s="34">
        <v>0.25</v>
      </c>
      <c r="J77" s="32">
        <v>4</v>
      </c>
      <c r="K77" s="35">
        <f t="shared" si="15"/>
        <v>1</v>
      </c>
      <c r="L77">
        <f t="shared" si="16"/>
        <v>9</v>
      </c>
      <c r="M77" s="56">
        <f t="shared" si="21"/>
        <v>68</v>
      </c>
      <c r="N77" s="41">
        <f t="shared" si="17"/>
        <v>69.16646586316233</v>
      </c>
      <c r="O77" s="41">
        <f t="shared" si="18"/>
        <v>8.6458082328952912</v>
      </c>
      <c r="P77" s="35">
        <f t="shared" si="22"/>
        <v>69.176470588235304</v>
      </c>
      <c r="Q77" s="35">
        <f t="shared" si="19"/>
        <v>69.16646586316233</v>
      </c>
      <c r="R77" s="35">
        <f t="shared" si="23"/>
        <v>-1.0004725072974452E-2</v>
      </c>
      <c r="S77" s="66">
        <f t="shared" si="20"/>
        <v>-1.4462612775558305E-2</v>
      </c>
      <c r="T77" s="19" t="str">
        <f>IFERROR(VLOOKUP(G77,'ABC Analysis'!$E$18:$M$138,9,0),0)</f>
        <v>A</v>
      </c>
      <c r="U77" s="22">
        <f>IFERROR(VLOOKUP(G77,'ABC Analysis'!$E$18:$G$138,3,0),0)</f>
        <v>8.6850603658170621E-3</v>
      </c>
    </row>
    <row r="78" spans="1:21" hidden="1" x14ac:dyDescent="0.35">
      <c r="A78" s="14" t="s">
        <v>736</v>
      </c>
      <c r="B78">
        <v>302</v>
      </c>
      <c r="C78">
        <v>6</v>
      </c>
      <c r="D78" s="57">
        <v>46.333333333333336</v>
      </c>
      <c r="E78" s="1">
        <v>4</v>
      </c>
      <c r="F78" s="1"/>
      <c r="G78" s="14" t="s">
        <v>736</v>
      </c>
      <c r="H78">
        <v>302</v>
      </c>
      <c r="I78" s="34">
        <v>0.25</v>
      </c>
      <c r="J78" s="32">
        <v>4</v>
      </c>
      <c r="K78" s="35">
        <f t="shared" si="15"/>
        <v>1</v>
      </c>
      <c r="L78">
        <f t="shared" si="16"/>
        <v>6</v>
      </c>
      <c r="M78" s="56">
        <f t="shared" si="21"/>
        <v>46</v>
      </c>
      <c r="N78" s="41">
        <f t="shared" si="17"/>
        <v>49.152822909778031</v>
      </c>
      <c r="O78" s="41">
        <f t="shared" si="18"/>
        <v>6.1441028637222539</v>
      </c>
      <c r="P78" s="35">
        <f t="shared" si="22"/>
        <v>49.260869565217391</v>
      </c>
      <c r="Q78" s="35">
        <f t="shared" si="19"/>
        <v>49.152822909778031</v>
      </c>
      <c r="R78" s="35">
        <f t="shared" si="23"/>
        <v>-0.10804665543935954</v>
      </c>
      <c r="S78" s="66">
        <f t="shared" si="20"/>
        <v>-0.21933566417522238</v>
      </c>
      <c r="T78" s="19" t="str">
        <f>IFERROR(VLOOKUP(G78,'ABC Analysis'!$E$18:$M$138,9,0),0)</f>
        <v>B</v>
      </c>
      <c r="U78" s="22">
        <f>IFERROR(VLOOKUP(G78,'ABC Analysis'!$E$18:$G$138,3,0),0)</f>
        <v>4.3861007198607912E-3</v>
      </c>
    </row>
    <row r="79" spans="1:21" x14ac:dyDescent="0.35">
      <c r="A79" s="14" t="s">
        <v>263</v>
      </c>
      <c r="B79">
        <v>385</v>
      </c>
      <c r="C79">
        <v>6</v>
      </c>
      <c r="D79" s="57">
        <v>44.666666666666664</v>
      </c>
      <c r="E79" s="1">
        <v>4.8000000000000007</v>
      </c>
      <c r="F79" s="1"/>
      <c r="G79" s="14" t="s">
        <v>984</v>
      </c>
      <c r="H79">
        <v>726</v>
      </c>
      <c r="I79" s="34">
        <v>0.25</v>
      </c>
      <c r="J79" s="32">
        <v>3.1999999999999997</v>
      </c>
      <c r="K79" s="35">
        <f t="shared" si="15"/>
        <v>0.79999999999999993</v>
      </c>
      <c r="L79">
        <f t="shared" si="16"/>
        <v>10</v>
      </c>
      <c r="M79" s="56">
        <f t="shared" si="21"/>
        <v>55</v>
      </c>
      <c r="N79" s="41">
        <f t="shared" si="17"/>
        <v>76.210235533030598</v>
      </c>
      <c r="O79" s="41">
        <f t="shared" si="18"/>
        <v>9.5262794416288248</v>
      </c>
      <c r="P79" s="35">
        <f t="shared" si="22"/>
        <v>64.239999999999995</v>
      </c>
      <c r="Q79" s="35">
        <f t="shared" si="19"/>
        <v>60.968188426424476</v>
      </c>
      <c r="R79" s="35">
        <f t="shared" si="23"/>
        <v>-3.2718115735755191</v>
      </c>
      <c r="S79" s="66">
        <f t="shared" si="20"/>
        <v>-5.093106434582066</v>
      </c>
      <c r="T79" s="19" t="str">
        <f>IFERROR(VLOOKUP(G79,'ABC Analysis'!$E$18:$M$138,9,0),0)</f>
        <v>A</v>
      </c>
      <c r="U79" s="22">
        <f>IFERROR(VLOOKUP(G79,'ABC Analysis'!$E$18:$G$138,3,0),0)</f>
        <v>8.4352559539574417E-3</v>
      </c>
    </row>
    <row r="80" spans="1:21" hidden="1" x14ac:dyDescent="0.35">
      <c r="A80" s="14" t="s">
        <v>293</v>
      </c>
      <c r="B80">
        <v>597</v>
      </c>
      <c r="C80">
        <v>12</v>
      </c>
      <c r="D80" s="57">
        <v>61</v>
      </c>
      <c r="E80" s="1">
        <v>1.5999999999999999</v>
      </c>
      <c r="F80" s="1"/>
      <c r="G80" s="14" t="s">
        <v>293</v>
      </c>
      <c r="H80">
        <v>597</v>
      </c>
      <c r="I80" s="34">
        <v>0.25</v>
      </c>
      <c r="J80" s="32">
        <v>1.5999999999999999</v>
      </c>
      <c r="K80" s="35">
        <f t="shared" si="15"/>
        <v>0.39999999999999997</v>
      </c>
      <c r="L80">
        <f t="shared" si="16"/>
        <v>12</v>
      </c>
      <c r="M80" s="56">
        <f t="shared" si="21"/>
        <v>61</v>
      </c>
      <c r="N80" s="41">
        <f t="shared" si="17"/>
        <v>69.108610172683981</v>
      </c>
      <c r="O80" s="41">
        <f t="shared" si="18"/>
        <v>8.6385762715854977</v>
      </c>
      <c r="P80" s="35">
        <f t="shared" si="22"/>
        <v>27.859016393442623</v>
      </c>
      <c r="Q80" s="35">
        <f t="shared" si="19"/>
        <v>27.643444069073592</v>
      </c>
      <c r="R80" s="35">
        <f t="shared" si="23"/>
        <v>-0.21557232436903107</v>
      </c>
      <c r="S80" s="66">
        <f t="shared" si="20"/>
        <v>-0.77379732767511444</v>
      </c>
      <c r="T80" s="19" t="str">
        <f>IFERROR(VLOOKUP(G80,'ABC Analysis'!$E$18:$M$138,9,0),0)</f>
        <v>B</v>
      </c>
      <c r="U80" s="22">
        <f>IFERROR(VLOOKUP(G80,'ABC Analysis'!$E$18:$G$138,3,0),0)</f>
        <v>3.4682147413998567E-3</v>
      </c>
    </row>
    <row r="81" spans="1:21" x14ac:dyDescent="0.35">
      <c r="A81" s="14" t="s">
        <v>85</v>
      </c>
      <c r="B81">
        <v>735</v>
      </c>
      <c r="C81">
        <v>11</v>
      </c>
      <c r="D81" s="57">
        <v>53.18181818181818</v>
      </c>
      <c r="E81" s="1">
        <v>2.378181818181818</v>
      </c>
      <c r="F81" s="1"/>
      <c r="G81" s="14" t="s">
        <v>691</v>
      </c>
      <c r="H81">
        <v>411</v>
      </c>
      <c r="I81" s="34">
        <v>0.25</v>
      </c>
      <c r="J81" s="32">
        <v>5.6000000000000005</v>
      </c>
      <c r="K81" s="35">
        <f t="shared" si="15"/>
        <v>1.4000000000000001</v>
      </c>
      <c r="L81">
        <f t="shared" si="16"/>
        <v>7</v>
      </c>
      <c r="M81" s="56">
        <f t="shared" si="21"/>
        <v>51</v>
      </c>
      <c r="N81" s="41">
        <f t="shared" si="17"/>
        <v>57.341084747325802</v>
      </c>
      <c r="O81" s="41">
        <f t="shared" si="18"/>
        <v>7.1676355934157261</v>
      </c>
      <c r="P81" s="35">
        <f t="shared" si="22"/>
        <v>80.829411764705895</v>
      </c>
      <c r="Q81" s="35">
        <f t="shared" si="19"/>
        <v>80.277518646256141</v>
      </c>
      <c r="R81" s="35">
        <f t="shared" si="23"/>
        <v>-0.55189311844975464</v>
      </c>
      <c r="S81" s="66">
        <f t="shared" si="20"/>
        <v>-0.68278749826401486</v>
      </c>
      <c r="T81" s="19" t="str">
        <f>IFERROR(VLOOKUP(G81,'ABC Analysis'!$E$18:$M$138,9,0),0)</f>
        <v>A</v>
      </c>
      <c r="U81" s="22">
        <f>IFERROR(VLOOKUP(G81,'ABC Analysis'!$E$18:$G$138,3,0),0)</f>
        <v>8.3568289874433738E-3</v>
      </c>
    </row>
    <row r="82" spans="1:21" hidden="1" x14ac:dyDescent="0.35">
      <c r="A82" s="14" t="s">
        <v>230</v>
      </c>
      <c r="B82">
        <v>466</v>
      </c>
      <c r="C82">
        <v>8</v>
      </c>
      <c r="D82" s="57">
        <v>62.25</v>
      </c>
      <c r="E82" s="1">
        <v>1.44</v>
      </c>
      <c r="F82" s="1"/>
      <c r="G82" s="14" t="s">
        <v>230</v>
      </c>
      <c r="H82">
        <v>466</v>
      </c>
      <c r="I82" s="34">
        <v>0.25</v>
      </c>
      <c r="J82" s="32">
        <v>1.44</v>
      </c>
      <c r="K82" s="35">
        <f t="shared" si="15"/>
        <v>0.36</v>
      </c>
      <c r="L82">
        <f t="shared" si="16"/>
        <v>8</v>
      </c>
      <c r="M82" s="56">
        <f t="shared" si="21"/>
        <v>62</v>
      </c>
      <c r="N82" s="41">
        <f t="shared" si="17"/>
        <v>61.057350089894989</v>
      </c>
      <c r="O82" s="41">
        <f t="shared" si="18"/>
        <v>7.6321687612368745</v>
      </c>
      <c r="P82" s="35">
        <f t="shared" si="22"/>
        <v>21.983225806451614</v>
      </c>
      <c r="Q82" s="35">
        <f t="shared" si="19"/>
        <v>21.980646032362195</v>
      </c>
      <c r="R82" s="35">
        <f t="shared" si="23"/>
        <v>-2.5797740894191179E-3</v>
      </c>
      <c r="S82" s="66">
        <f t="shared" si="20"/>
        <v>-1.173519351587613E-2</v>
      </c>
      <c r="T82" s="19" t="str">
        <f>IFERROR(VLOOKUP(G82,'ABC Analysis'!$E$18:$M$138,9,0),0)</f>
        <v>C</v>
      </c>
      <c r="U82" s="22">
        <f>IFERROR(VLOOKUP(G82,'ABC Analysis'!$E$18:$G$138,3,0),0)</f>
        <v>2.4364644263703519E-3</v>
      </c>
    </row>
    <row r="83" spans="1:21" hidden="1" x14ac:dyDescent="0.35">
      <c r="A83" s="14" t="s">
        <v>1278</v>
      </c>
      <c r="B83">
        <v>378</v>
      </c>
      <c r="C83">
        <v>8</v>
      </c>
      <c r="D83" s="57">
        <v>52.75</v>
      </c>
      <c r="E83" s="1">
        <v>3.5700000000000007</v>
      </c>
      <c r="F83" s="1"/>
      <c r="G83" s="14" t="s">
        <v>1278</v>
      </c>
      <c r="H83">
        <v>378</v>
      </c>
      <c r="I83" s="34">
        <v>0.25</v>
      </c>
      <c r="J83" s="32">
        <v>3.5700000000000007</v>
      </c>
      <c r="K83" s="35">
        <f t="shared" si="15"/>
        <v>0.89250000000000018</v>
      </c>
      <c r="L83">
        <f t="shared" si="16"/>
        <v>8</v>
      </c>
      <c r="M83" s="56">
        <f t="shared" si="21"/>
        <v>53</v>
      </c>
      <c r="N83" s="41">
        <f t="shared" si="17"/>
        <v>54.990908339470082</v>
      </c>
      <c r="O83" s="41">
        <f t="shared" si="18"/>
        <v>6.8738635424337602</v>
      </c>
      <c r="P83" s="35">
        <f t="shared" si="22"/>
        <v>49.112759433962275</v>
      </c>
      <c r="Q83" s="35">
        <f t="shared" si="19"/>
        <v>49.079385692977056</v>
      </c>
      <c r="R83" s="35">
        <f t="shared" si="23"/>
        <v>-3.3373740985219058E-2</v>
      </c>
      <c r="S83" s="66">
        <f t="shared" si="20"/>
        <v>-6.795330046582676E-2</v>
      </c>
      <c r="T83" s="19" t="str">
        <f>IFERROR(VLOOKUP(G83,'ABC Analysis'!$E$18:$M$138,9,0),0)</f>
        <v>B</v>
      </c>
      <c r="U83" s="22">
        <f>IFERROR(VLOOKUP(G83,'ABC Analysis'!$E$18:$G$138,3,0),0)</f>
        <v>4.9118518657513882E-3</v>
      </c>
    </row>
    <row r="84" spans="1:21" x14ac:dyDescent="0.35">
      <c r="A84" s="14" t="s">
        <v>31</v>
      </c>
      <c r="B84">
        <v>517</v>
      </c>
      <c r="C84">
        <v>9</v>
      </c>
      <c r="D84" s="57">
        <v>61.111111111111114</v>
      </c>
      <c r="E84" s="1">
        <v>9.5733333333333324</v>
      </c>
      <c r="F84" s="1"/>
      <c r="G84" s="14" t="s">
        <v>1516</v>
      </c>
      <c r="H84">
        <v>406</v>
      </c>
      <c r="I84" s="34">
        <v>0.25</v>
      </c>
      <c r="J84" s="32">
        <v>5.6571428571428575</v>
      </c>
      <c r="K84" s="35">
        <f t="shared" si="15"/>
        <v>1.4142857142857144</v>
      </c>
      <c r="L84">
        <f t="shared" si="16"/>
        <v>7</v>
      </c>
      <c r="M84" s="56">
        <f t="shared" si="21"/>
        <v>41</v>
      </c>
      <c r="N84" s="41">
        <f t="shared" si="17"/>
        <v>56.991227395100026</v>
      </c>
      <c r="O84" s="41">
        <f t="shared" si="18"/>
        <v>7.1239034243875041</v>
      </c>
      <c r="P84" s="35">
        <f t="shared" si="22"/>
        <v>85.012369337979095</v>
      </c>
      <c r="Q84" s="35">
        <f t="shared" si="19"/>
        <v>80.601878744498606</v>
      </c>
      <c r="R84" s="35">
        <f t="shared" si="23"/>
        <v>-4.410490593480489</v>
      </c>
      <c r="S84" s="66">
        <f t="shared" si="20"/>
        <v>-5.1880574883708261</v>
      </c>
      <c r="T84" s="19" t="str">
        <f>IFERROR(VLOOKUP(G84,'ABC Analysis'!$E$18:$M$138,9,0),0)</f>
        <v>A</v>
      </c>
      <c r="U84" s="22">
        <f>IFERROR(VLOOKUP(G84,'ABC Analysis'!$E$18:$G$138,3,0),0)</f>
        <v>8.3234249091133083E-3</v>
      </c>
    </row>
    <row r="85" spans="1:21" x14ac:dyDescent="0.35">
      <c r="A85" s="14" t="s">
        <v>470</v>
      </c>
      <c r="B85">
        <v>604</v>
      </c>
      <c r="C85">
        <v>9</v>
      </c>
      <c r="D85" s="57">
        <v>52.444444444444443</v>
      </c>
      <c r="E85" s="1">
        <v>3.1999999999999997</v>
      </c>
      <c r="F85" s="1"/>
      <c r="G85" s="14" t="s">
        <v>90</v>
      </c>
      <c r="H85">
        <v>696</v>
      </c>
      <c r="I85" s="34">
        <v>0.25</v>
      </c>
      <c r="J85" s="32">
        <v>3.1999999999999997</v>
      </c>
      <c r="K85" s="35">
        <f t="shared" si="15"/>
        <v>0.79999999999999993</v>
      </c>
      <c r="L85">
        <f t="shared" si="16"/>
        <v>10</v>
      </c>
      <c r="M85" s="56">
        <f t="shared" si="21"/>
        <v>54</v>
      </c>
      <c r="N85" s="41">
        <f t="shared" si="17"/>
        <v>74.619032424710525</v>
      </c>
      <c r="O85" s="41">
        <f t="shared" si="18"/>
        <v>9.3273790530888139</v>
      </c>
      <c r="P85" s="35">
        <f t="shared" si="22"/>
        <v>62.844444444444434</v>
      </c>
      <c r="Q85" s="35">
        <f t="shared" si="19"/>
        <v>59.695225939768406</v>
      </c>
      <c r="R85" s="35">
        <f t="shared" si="23"/>
        <v>-3.1492185046760284</v>
      </c>
      <c r="S85" s="66">
        <f t="shared" si="20"/>
        <v>-5.0111326983883062</v>
      </c>
      <c r="T85" s="19" t="str">
        <f>IFERROR(VLOOKUP(G85,'ABC Analysis'!$E$18:$M$138,9,0),0)</f>
        <v>A</v>
      </c>
      <c r="U85" s="22">
        <f>IFERROR(VLOOKUP(G85,'ABC Analysis'!$E$18:$G$138,3,0),0)</f>
        <v>8.0866916583393639E-3</v>
      </c>
    </row>
    <row r="86" spans="1:21" x14ac:dyDescent="0.35">
      <c r="A86" s="14" t="s">
        <v>258</v>
      </c>
      <c r="B86">
        <v>559</v>
      </c>
      <c r="C86">
        <v>9</v>
      </c>
      <c r="D86" s="57">
        <v>43.555555555555557</v>
      </c>
      <c r="E86" s="1">
        <v>3.1999999999999997</v>
      </c>
      <c r="F86" s="1"/>
      <c r="G86" s="14" t="s">
        <v>355</v>
      </c>
      <c r="H86">
        <v>408</v>
      </c>
      <c r="I86" s="34">
        <v>0.25</v>
      </c>
      <c r="J86" s="32">
        <v>7.3349999999999991</v>
      </c>
      <c r="K86" s="35">
        <f t="shared" si="15"/>
        <v>1.8337499999999998</v>
      </c>
      <c r="L86">
        <f t="shared" si="16"/>
        <v>8</v>
      </c>
      <c r="M86" s="56">
        <f t="shared" si="21"/>
        <v>43</v>
      </c>
      <c r="N86" s="41">
        <f t="shared" si="17"/>
        <v>57.131427428342803</v>
      </c>
      <c r="O86" s="41">
        <f t="shared" si="18"/>
        <v>7.1414284285428495</v>
      </c>
      <c r="P86" s="35">
        <f t="shared" si="22"/>
        <v>109.02283430232558</v>
      </c>
      <c r="Q86" s="35">
        <f t="shared" si="19"/>
        <v>104.76475504672359</v>
      </c>
      <c r="R86" s="35">
        <f t="shared" si="23"/>
        <v>-4.2580792556019844</v>
      </c>
      <c r="S86" s="66">
        <f t="shared" si="20"/>
        <v>-3.905676533591234</v>
      </c>
      <c r="T86" s="19" t="str">
        <f>IFERROR(VLOOKUP(G86,'ABC Analysis'!$E$18:$M$138,9,0),0)</f>
        <v>A</v>
      </c>
      <c r="U86" s="22">
        <f>IFERROR(VLOOKUP(G86,'ABC Analysis'!$E$18:$G$138,3,0),0)</f>
        <v>7.9960649414786648E-3</v>
      </c>
    </row>
    <row r="87" spans="1:21" x14ac:dyDescent="0.35">
      <c r="A87" s="14" t="s">
        <v>101</v>
      </c>
      <c r="B87">
        <v>454</v>
      </c>
      <c r="C87">
        <v>9</v>
      </c>
      <c r="D87" s="57">
        <v>47.777777777777779</v>
      </c>
      <c r="E87" s="1">
        <v>3.591111111111112</v>
      </c>
      <c r="F87" s="1"/>
      <c r="G87" s="14" t="s">
        <v>137</v>
      </c>
      <c r="H87">
        <v>551</v>
      </c>
      <c r="I87" s="34">
        <v>0.25</v>
      </c>
      <c r="J87" s="32">
        <v>3.9345454545454555</v>
      </c>
      <c r="K87" s="35">
        <f t="shared" si="15"/>
        <v>0.98363636363636386</v>
      </c>
      <c r="L87">
        <f t="shared" si="16"/>
        <v>11</v>
      </c>
      <c r="M87" s="56">
        <f t="shared" si="21"/>
        <v>37</v>
      </c>
      <c r="N87" s="41">
        <f t="shared" si="17"/>
        <v>66.392770690791323</v>
      </c>
      <c r="O87" s="41">
        <f t="shared" si="18"/>
        <v>8.2990963363489172</v>
      </c>
      <c r="P87" s="35">
        <f t="shared" si="22"/>
        <v>76.790098280098306</v>
      </c>
      <c r="Q87" s="35">
        <f t="shared" si="19"/>
        <v>65.306343534032948</v>
      </c>
      <c r="R87" s="35">
        <f t="shared" si="23"/>
        <v>-11.483754746065358</v>
      </c>
      <c r="S87" s="66">
        <f t="shared" si="20"/>
        <v>-14.954733752491634</v>
      </c>
      <c r="T87" s="19" t="str">
        <f>IFERROR(VLOOKUP(G87,'ABC Analysis'!$E$18:$M$138,9,0),0)</f>
        <v>A</v>
      </c>
      <c r="U87" s="22">
        <f>IFERROR(VLOOKUP(G87,'ABC Analysis'!$E$18:$G$138,3,0),0)</f>
        <v>7.8824910751564437E-3</v>
      </c>
    </row>
    <row r="88" spans="1:21" hidden="1" x14ac:dyDescent="0.35">
      <c r="A88" s="14" t="s">
        <v>817</v>
      </c>
      <c r="B88">
        <v>411</v>
      </c>
      <c r="C88">
        <v>6</v>
      </c>
      <c r="D88" s="57">
        <v>24.666666666666668</v>
      </c>
      <c r="E88" s="1">
        <v>2.4000000000000004</v>
      </c>
      <c r="F88" s="1"/>
      <c r="G88" s="14" t="s">
        <v>817</v>
      </c>
      <c r="H88">
        <v>411</v>
      </c>
      <c r="I88" s="34">
        <v>0.25</v>
      </c>
      <c r="J88" s="32">
        <v>2.4000000000000004</v>
      </c>
      <c r="K88" s="35">
        <f t="shared" si="15"/>
        <v>0.60000000000000009</v>
      </c>
      <c r="L88">
        <f t="shared" si="16"/>
        <v>6</v>
      </c>
      <c r="M88" s="56">
        <f t="shared" si="21"/>
        <v>25</v>
      </c>
      <c r="N88" s="41">
        <f t="shared" si="17"/>
        <v>57.341084747325802</v>
      </c>
      <c r="O88" s="41">
        <f t="shared" si="18"/>
        <v>7.1676355934157261</v>
      </c>
      <c r="P88" s="35">
        <f t="shared" si="22"/>
        <v>46.95600000000001</v>
      </c>
      <c r="Q88" s="35">
        <f t="shared" si="19"/>
        <v>34.404650848395491</v>
      </c>
      <c r="R88" s="35">
        <f t="shared" si="23"/>
        <v>-12.551349151604519</v>
      </c>
      <c r="S88" s="66">
        <f t="shared" si="20"/>
        <v>-26.730022045328639</v>
      </c>
      <c r="T88" s="19" t="str">
        <f>IFERROR(VLOOKUP(G88,'ABC Analysis'!$E$18:$M$138,9,0),0)</f>
        <v>B</v>
      </c>
      <c r="U88" s="22">
        <f>IFERROR(VLOOKUP(G88,'ABC Analysis'!$E$18:$G$138,3,0),0)</f>
        <v>3.581498137475732E-3</v>
      </c>
    </row>
    <row r="89" spans="1:21" x14ac:dyDescent="0.35">
      <c r="A89" s="14" t="s">
        <v>276</v>
      </c>
      <c r="B89">
        <v>606</v>
      </c>
      <c r="C89">
        <v>10</v>
      </c>
      <c r="D89" s="57">
        <v>42.4</v>
      </c>
      <c r="E89" s="1">
        <v>2.7880000000000003</v>
      </c>
      <c r="F89" s="1"/>
      <c r="G89" s="14" t="s">
        <v>303</v>
      </c>
      <c r="H89">
        <v>425</v>
      </c>
      <c r="I89" s="34">
        <v>0.25</v>
      </c>
      <c r="J89" s="32">
        <v>4.8000000000000016</v>
      </c>
      <c r="K89" s="35">
        <f t="shared" si="15"/>
        <v>1.2000000000000004</v>
      </c>
      <c r="L89">
        <f t="shared" si="16"/>
        <v>7</v>
      </c>
      <c r="M89" s="56">
        <f t="shared" si="21"/>
        <v>45</v>
      </c>
      <c r="N89" s="41">
        <f t="shared" si="17"/>
        <v>58.309518948453004</v>
      </c>
      <c r="O89" s="41">
        <f t="shared" si="18"/>
        <v>7.2886898685566255</v>
      </c>
      <c r="P89" s="35">
        <f t="shared" si="22"/>
        <v>72.333333333333357</v>
      </c>
      <c r="Q89" s="35">
        <f t="shared" si="19"/>
        <v>69.97142273814363</v>
      </c>
      <c r="R89" s="35">
        <f t="shared" si="23"/>
        <v>-2.3619105951897268</v>
      </c>
      <c r="S89" s="66">
        <f t="shared" si="20"/>
        <v>-3.2653141868982392</v>
      </c>
      <c r="T89" s="19" t="str">
        <f>IFERROR(VLOOKUP(G89,'ABC Analysis'!$E$18:$M$138,9,0),0)</f>
        <v>A</v>
      </c>
      <c r="U89" s="22">
        <f>IFERROR(VLOOKUP(G89,'ABC Analysis'!$E$18:$G$138,3,0),0)</f>
        <v>7.4069912818841175E-3</v>
      </c>
    </row>
    <row r="90" spans="1:21" x14ac:dyDescent="0.35">
      <c r="A90" s="14" t="s">
        <v>320</v>
      </c>
      <c r="B90">
        <v>611</v>
      </c>
      <c r="C90">
        <v>10</v>
      </c>
      <c r="D90" s="57">
        <v>57.5</v>
      </c>
      <c r="E90" s="1">
        <v>3.16</v>
      </c>
      <c r="F90" s="1"/>
      <c r="G90" s="14" t="s">
        <v>151</v>
      </c>
      <c r="H90">
        <v>605</v>
      </c>
      <c r="I90" s="34">
        <v>0.25</v>
      </c>
      <c r="J90" s="32">
        <v>3.36</v>
      </c>
      <c r="K90" s="35">
        <f t="shared" si="15"/>
        <v>0.84</v>
      </c>
      <c r="L90">
        <f t="shared" si="16"/>
        <v>11</v>
      </c>
      <c r="M90" s="56">
        <f t="shared" si="21"/>
        <v>61</v>
      </c>
      <c r="N90" s="41">
        <f t="shared" si="17"/>
        <v>69.570108523704349</v>
      </c>
      <c r="O90" s="41">
        <f t="shared" si="18"/>
        <v>8.6962635654630436</v>
      </c>
      <c r="P90" s="35">
        <f t="shared" si="22"/>
        <v>58.944590163934421</v>
      </c>
      <c r="Q90" s="35">
        <f t="shared" si="19"/>
        <v>58.438891159911648</v>
      </c>
      <c r="R90" s="35">
        <f t="shared" si="23"/>
        <v>-0.50569900402277312</v>
      </c>
      <c r="S90" s="66">
        <f t="shared" si="20"/>
        <v>-0.85792267384732435</v>
      </c>
      <c r="T90" s="19" t="str">
        <f>IFERROR(VLOOKUP(G90,'ABC Analysis'!$E$18:$M$138,9,0),0)</f>
        <v>A</v>
      </c>
      <c r="U90" s="22">
        <f>IFERROR(VLOOKUP(G90,'ABC Analysis'!$E$18:$G$138,3,0),0)</f>
        <v>7.3457020599046047E-3</v>
      </c>
    </row>
    <row r="91" spans="1:21" x14ac:dyDescent="0.35">
      <c r="A91" s="14" t="s">
        <v>342</v>
      </c>
      <c r="B91">
        <v>972</v>
      </c>
      <c r="C91">
        <v>15</v>
      </c>
      <c r="D91" s="57">
        <v>37.4</v>
      </c>
      <c r="E91" s="1">
        <v>4.7999999999999989</v>
      </c>
      <c r="F91" s="1"/>
      <c r="G91" s="14" t="s">
        <v>320</v>
      </c>
      <c r="H91">
        <v>611</v>
      </c>
      <c r="I91" s="34">
        <v>0.25</v>
      </c>
      <c r="J91" s="32">
        <v>3.16</v>
      </c>
      <c r="K91" s="35">
        <f t="shared" si="15"/>
        <v>0.79</v>
      </c>
      <c r="L91">
        <f t="shared" si="16"/>
        <v>10</v>
      </c>
      <c r="M91" s="56">
        <f t="shared" si="21"/>
        <v>58</v>
      </c>
      <c r="N91" s="41">
        <f t="shared" si="17"/>
        <v>69.914233171794137</v>
      </c>
      <c r="O91" s="41">
        <f t="shared" si="18"/>
        <v>8.7392791464742672</v>
      </c>
      <c r="P91" s="35">
        <f t="shared" si="22"/>
        <v>56.198965517241376</v>
      </c>
      <c r="Q91" s="35">
        <f t="shared" si="19"/>
        <v>55.232244205717372</v>
      </c>
      <c r="R91" s="35">
        <f t="shared" si="23"/>
        <v>-0.96672131152400453</v>
      </c>
      <c r="S91" s="66">
        <f t="shared" si="20"/>
        <v>-1.720176345999505</v>
      </c>
      <c r="T91" s="19" t="str">
        <f>IFERROR(VLOOKUP(G91,'ABC Analysis'!$E$18:$M$138,9,0),0)</f>
        <v>A</v>
      </c>
      <c r="U91" s="22">
        <f>IFERROR(VLOOKUP(G91,'ABC Analysis'!$E$18:$G$138,3,0),0)</f>
        <v>7.0181968571467867E-3</v>
      </c>
    </row>
    <row r="92" spans="1:21" hidden="1" x14ac:dyDescent="0.35">
      <c r="A92" s="14" t="s">
        <v>947</v>
      </c>
      <c r="B92">
        <v>317</v>
      </c>
      <c r="C92">
        <v>5</v>
      </c>
      <c r="D92" s="57">
        <v>61.4</v>
      </c>
      <c r="E92" s="1">
        <v>0.96</v>
      </c>
      <c r="F92" s="1"/>
      <c r="G92" s="14" t="s">
        <v>947</v>
      </c>
      <c r="H92">
        <v>317</v>
      </c>
      <c r="I92" s="34">
        <v>0.25</v>
      </c>
      <c r="J92" s="32">
        <v>0.96</v>
      </c>
      <c r="K92" s="35">
        <f t="shared" si="15"/>
        <v>0.24</v>
      </c>
      <c r="L92">
        <f t="shared" si="16"/>
        <v>5</v>
      </c>
      <c r="M92" s="56">
        <f t="shared" si="21"/>
        <v>61</v>
      </c>
      <c r="N92" s="41">
        <f t="shared" si="17"/>
        <v>50.358713248056688</v>
      </c>
      <c r="O92" s="41">
        <f t="shared" si="18"/>
        <v>6.294839156007086</v>
      </c>
      <c r="P92" s="35">
        <f t="shared" si="22"/>
        <v>12.308852459016393</v>
      </c>
      <c r="Q92" s="35">
        <f t="shared" si="19"/>
        <v>12.086091179533605</v>
      </c>
      <c r="R92" s="35">
        <f t="shared" si="23"/>
        <v>-0.22276127948278734</v>
      </c>
      <c r="S92" s="66">
        <f t="shared" si="20"/>
        <v>-1.8097648032137377</v>
      </c>
      <c r="T92" s="19" t="str">
        <f>IFERROR(VLOOKUP(G92,'ABC Analysis'!$E$18:$M$138,9,0),0)</f>
        <v>C</v>
      </c>
      <c r="U92" s="22">
        <f>IFERROR(VLOOKUP(G92,'ABC Analysis'!$E$18:$G$138,3,0),0)</f>
        <v>1.1049488171093011E-3</v>
      </c>
    </row>
    <row r="93" spans="1:21" hidden="1" x14ac:dyDescent="0.35">
      <c r="A93" s="14" t="s">
        <v>627</v>
      </c>
      <c r="B93">
        <v>526</v>
      </c>
      <c r="C93">
        <v>9</v>
      </c>
      <c r="D93" s="57">
        <v>51.888888888888886</v>
      </c>
      <c r="E93" s="1">
        <v>1.9822222222222221</v>
      </c>
      <c r="F93" s="1"/>
      <c r="G93" s="14" t="s">
        <v>627</v>
      </c>
      <c r="H93">
        <v>526</v>
      </c>
      <c r="I93" s="34">
        <v>0.25</v>
      </c>
      <c r="J93" s="32">
        <v>1.9822222222222221</v>
      </c>
      <c r="K93" s="35">
        <f t="shared" si="15"/>
        <v>0.49555555555555553</v>
      </c>
      <c r="L93">
        <f t="shared" si="16"/>
        <v>9</v>
      </c>
      <c r="M93" s="56">
        <f t="shared" si="21"/>
        <v>52</v>
      </c>
      <c r="N93" s="41">
        <f t="shared" si="17"/>
        <v>64.869098960907422</v>
      </c>
      <c r="O93" s="41">
        <f t="shared" si="18"/>
        <v>8.1086373701134278</v>
      </c>
      <c r="P93" s="35">
        <f t="shared" si="22"/>
        <v>32.935384615384613</v>
      </c>
      <c r="Q93" s="35">
        <f t="shared" si="19"/>
        <v>32.146242373960789</v>
      </c>
      <c r="R93" s="35">
        <f t="shared" si="23"/>
        <v>-0.78914224142382494</v>
      </c>
      <c r="S93" s="66">
        <f t="shared" si="20"/>
        <v>-2.3960316560420694</v>
      </c>
      <c r="T93" s="19" t="str">
        <f>IFERROR(VLOOKUP(G93,'ABC Analysis'!$E$18:$M$138,9,0),0)</f>
        <v>B</v>
      </c>
      <c r="U93" s="22">
        <f>IFERROR(VLOOKUP(G93,'ABC Analysis'!$E$18:$G$138,3,0),0)</f>
        <v>3.7833749586878682E-3</v>
      </c>
    </row>
    <row r="94" spans="1:21" hidden="1" x14ac:dyDescent="0.35">
      <c r="A94" s="14" t="s">
        <v>2626</v>
      </c>
      <c r="B94">
        <v>280</v>
      </c>
      <c r="C94">
        <v>5</v>
      </c>
      <c r="D94" s="57">
        <v>62.6</v>
      </c>
      <c r="E94" s="1">
        <v>1.2000000000000002</v>
      </c>
      <c r="F94" s="1"/>
      <c r="G94" s="14" t="s">
        <v>2626</v>
      </c>
      <c r="H94">
        <v>280</v>
      </c>
      <c r="I94" s="34">
        <v>0.25</v>
      </c>
      <c r="J94" s="32">
        <v>1.2000000000000002</v>
      </c>
      <c r="K94" s="35">
        <f t="shared" si="15"/>
        <v>0.30000000000000004</v>
      </c>
      <c r="L94">
        <f t="shared" si="16"/>
        <v>5</v>
      </c>
      <c r="M94" s="56">
        <f t="shared" si="21"/>
        <v>63</v>
      </c>
      <c r="N94" s="41">
        <f t="shared" si="17"/>
        <v>47.328638264796929</v>
      </c>
      <c r="O94" s="41">
        <f t="shared" si="18"/>
        <v>5.9160797830996161</v>
      </c>
      <c r="P94" s="35">
        <f t="shared" si="22"/>
        <v>14.783333333333335</v>
      </c>
      <c r="Q94" s="35">
        <f t="shared" si="19"/>
        <v>14.198591479439081</v>
      </c>
      <c r="R94" s="35">
        <f t="shared" si="23"/>
        <v>-0.58474185389425415</v>
      </c>
      <c r="S94" s="66">
        <f t="shared" si="20"/>
        <v>-3.9554127659137817</v>
      </c>
      <c r="T94" s="19" t="str">
        <f>IFERROR(VLOOKUP(G94,'ABC Analysis'!$E$18:$M$138,9,0),0)</f>
        <v>C</v>
      </c>
      <c r="U94" s="22">
        <f>IFERROR(VLOOKUP(G94,'ABC Analysis'!$E$18:$G$138,3,0),0)</f>
        <v>1.2199750346632663E-3</v>
      </c>
    </row>
    <row r="95" spans="1:21" hidden="1" x14ac:dyDescent="0.35">
      <c r="A95" s="14" t="s">
        <v>198</v>
      </c>
      <c r="B95">
        <v>416</v>
      </c>
      <c r="C95">
        <v>7</v>
      </c>
      <c r="D95" s="57">
        <v>56.571428571428569</v>
      </c>
      <c r="E95" s="1">
        <v>1.5999999999999999</v>
      </c>
      <c r="F95" s="1"/>
      <c r="G95" s="14" t="s">
        <v>198</v>
      </c>
      <c r="H95">
        <v>416</v>
      </c>
      <c r="I95" s="34">
        <v>0.25</v>
      </c>
      <c r="J95" s="32">
        <v>1.5999999999999999</v>
      </c>
      <c r="K95" s="35">
        <f t="shared" si="15"/>
        <v>0.39999999999999997</v>
      </c>
      <c r="L95">
        <f t="shared" si="16"/>
        <v>7</v>
      </c>
      <c r="M95" s="56">
        <f t="shared" si="21"/>
        <v>57</v>
      </c>
      <c r="N95" s="41">
        <f t="shared" si="17"/>
        <v>57.688820407423826</v>
      </c>
      <c r="O95" s="41">
        <f t="shared" si="18"/>
        <v>7.2111025509279791</v>
      </c>
      <c r="P95" s="35">
        <f t="shared" si="22"/>
        <v>23.07719298245614</v>
      </c>
      <c r="Q95" s="35">
        <f t="shared" si="19"/>
        <v>23.07552816296953</v>
      </c>
      <c r="R95" s="35">
        <f t="shared" si="23"/>
        <v>-1.6648194866100141E-3</v>
      </c>
      <c r="S95" s="66">
        <f t="shared" si="20"/>
        <v>-7.2141333994808279E-3</v>
      </c>
      <c r="T95" s="19" t="str">
        <f>IFERROR(VLOOKUP(G95,'ABC Analysis'!$E$18:$M$138,9,0),0)</f>
        <v>C</v>
      </c>
      <c r="U95" s="22">
        <f>IFERROR(VLOOKUP(G95,'ABC Analysis'!$E$18:$G$138,3,0),0)</f>
        <v>2.416712449618661E-3</v>
      </c>
    </row>
    <row r="96" spans="1:21" x14ac:dyDescent="0.35">
      <c r="A96" s="14" t="s">
        <v>111</v>
      </c>
      <c r="B96">
        <v>515</v>
      </c>
      <c r="C96">
        <v>9</v>
      </c>
      <c r="D96" s="57">
        <v>54</v>
      </c>
      <c r="E96" s="1">
        <v>4.8266666666666662</v>
      </c>
      <c r="F96" s="1"/>
      <c r="G96" s="14" t="s">
        <v>470</v>
      </c>
      <c r="H96">
        <v>604</v>
      </c>
      <c r="I96" s="34">
        <v>0.25</v>
      </c>
      <c r="J96" s="32">
        <v>3.1999999999999997</v>
      </c>
      <c r="K96" s="35">
        <f t="shared" si="15"/>
        <v>0.79999999999999993</v>
      </c>
      <c r="L96">
        <f t="shared" si="16"/>
        <v>9</v>
      </c>
      <c r="M96" s="56">
        <f t="shared" si="21"/>
        <v>52</v>
      </c>
      <c r="N96" s="41">
        <f t="shared" si="17"/>
        <v>69.512588787931065</v>
      </c>
      <c r="O96" s="41">
        <f t="shared" si="18"/>
        <v>8.6890735984913832</v>
      </c>
      <c r="P96" s="35">
        <f t="shared" si="22"/>
        <v>57.969230769230762</v>
      </c>
      <c r="Q96" s="35">
        <f t="shared" si="19"/>
        <v>55.610071030344848</v>
      </c>
      <c r="R96" s="35">
        <f t="shared" si="23"/>
        <v>-2.3591597388859142</v>
      </c>
      <c r="S96" s="66">
        <f t="shared" si="20"/>
        <v>-4.0696757703711368</v>
      </c>
      <c r="T96" s="19" t="str">
        <f>IFERROR(VLOOKUP(G96,'ABC Analysis'!$E$18:$M$138,9,0),0)</f>
        <v>A</v>
      </c>
      <c r="U96" s="22">
        <f>IFERROR(VLOOKUP(G96,'ABC Analysis'!$E$18:$G$138,3,0),0)</f>
        <v>7.0177611517772652E-3</v>
      </c>
    </row>
    <row r="97" spans="1:21" x14ac:dyDescent="0.35">
      <c r="A97" s="14" t="s">
        <v>220</v>
      </c>
      <c r="B97">
        <v>414</v>
      </c>
      <c r="C97">
        <v>8</v>
      </c>
      <c r="D97" s="57">
        <v>48</v>
      </c>
      <c r="E97" s="1">
        <v>8.08</v>
      </c>
      <c r="F97" s="1"/>
      <c r="G97" s="14" t="s">
        <v>263</v>
      </c>
      <c r="H97">
        <v>385</v>
      </c>
      <c r="I97" s="34">
        <v>0.25</v>
      </c>
      <c r="J97" s="32">
        <v>4.8000000000000007</v>
      </c>
      <c r="K97" s="35">
        <f t="shared" si="15"/>
        <v>1.2000000000000002</v>
      </c>
      <c r="L97">
        <f t="shared" si="16"/>
        <v>6</v>
      </c>
      <c r="M97" s="56">
        <f t="shared" si="21"/>
        <v>45</v>
      </c>
      <c r="N97" s="41">
        <f t="shared" si="17"/>
        <v>55.497747702046432</v>
      </c>
      <c r="O97" s="41">
        <f t="shared" si="18"/>
        <v>6.937218462755804</v>
      </c>
      <c r="P97" s="35">
        <f t="shared" si="22"/>
        <v>68.066666666666677</v>
      </c>
      <c r="Q97" s="35">
        <f t="shared" si="19"/>
        <v>66.597297242455724</v>
      </c>
      <c r="R97" s="35">
        <f t="shared" si="23"/>
        <v>-1.469369424210953</v>
      </c>
      <c r="S97" s="66">
        <f t="shared" si="20"/>
        <v>-2.1587209954127609</v>
      </c>
      <c r="T97" s="19" t="str">
        <f>IFERROR(VLOOKUP(G97,'ABC Analysis'!$E$18:$M$138,9,0),0)</f>
        <v>A</v>
      </c>
      <c r="U97" s="22">
        <f>IFERROR(VLOOKUP(G97,'ABC Analysis'!$E$18:$G$138,3,0),0)</f>
        <v>6.7098626906479646E-3</v>
      </c>
    </row>
    <row r="98" spans="1:21" hidden="1" x14ac:dyDescent="0.35">
      <c r="A98" s="14" t="s">
        <v>544</v>
      </c>
      <c r="B98">
        <v>476</v>
      </c>
      <c r="C98">
        <v>8</v>
      </c>
      <c r="D98" s="57">
        <v>59.5</v>
      </c>
      <c r="E98" s="1">
        <v>2.36</v>
      </c>
      <c r="F98" s="1"/>
      <c r="G98" s="14" t="s">
        <v>544</v>
      </c>
      <c r="H98">
        <v>476</v>
      </c>
      <c r="I98" s="34">
        <v>0.25</v>
      </c>
      <c r="J98" s="32">
        <v>2.36</v>
      </c>
      <c r="K98" s="35">
        <f t="shared" si="15"/>
        <v>0.59</v>
      </c>
      <c r="L98">
        <f t="shared" si="16"/>
        <v>8</v>
      </c>
      <c r="M98" s="56">
        <f t="shared" si="21"/>
        <v>60</v>
      </c>
      <c r="N98" s="41">
        <f t="shared" si="17"/>
        <v>61.708994482166048</v>
      </c>
      <c r="O98" s="41">
        <f t="shared" si="18"/>
        <v>7.7136243102707569</v>
      </c>
      <c r="P98" s="35">
        <f t="shared" si="22"/>
        <v>36.422666666666665</v>
      </c>
      <c r="Q98" s="35">
        <f t="shared" si="19"/>
        <v>36.408306744477969</v>
      </c>
      <c r="R98" s="35">
        <f t="shared" si="23"/>
        <v>-1.4359922188695862E-2</v>
      </c>
      <c r="S98" s="66">
        <f t="shared" si="20"/>
        <v>-3.9425784828209159E-2</v>
      </c>
      <c r="T98" s="19" t="str">
        <f>IFERROR(VLOOKUP(G98,'ABC Analysis'!$E$18:$M$138,9,0),0)</f>
        <v>B</v>
      </c>
      <c r="U98" s="22">
        <f>IFERROR(VLOOKUP(G98,'ABC Analysis'!$E$18:$G$138,3,0),0)</f>
        <v>4.1142205692786911E-3</v>
      </c>
    </row>
    <row r="99" spans="1:21" x14ac:dyDescent="0.35">
      <c r="A99" s="14" t="s">
        <v>980</v>
      </c>
      <c r="B99">
        <v>495</v>
      </c>
      <c r="C99">
        <v>8</v>
      </c>
      <c r="D99" s="57">
        <v>39</v>
      </c>
      <c r="E99" s="1">
        <v>12</v>
      </c>
      <c r="F99" s="1"/>
      <c r="G99" s="14" t="s">
        <v>96</v>
      </c>
      <c r="H99">
        <v>911</v>
      </c>
      <c r="I99" s="34">
        <v>0.25</v>
      </c>
      <c r="J99" s="32">
        <v>2.0362666666666671</v>
      </c>
      <c r="K99" s="35">
        <f t="shared" si="15"/>
        <v>0.50906666666666678</v>
      </c>
      <c r="L99">
        <f t="shared" si="16"/>
        <v>15</v>
      </c>
      <c r="M99" s="56">
        <f t="shared" si="21"/>
        <v>51</v>
      </c>
      <c r="N99" s="41">
        <f t="shared" si="17"/>
        <v>85.369783881652182</v>
      </c>
      <c r="O99" s="41">
        <f t="shared" si="18"/>
        <v>10.671222985206521</v>
      </c>
      <c r="P99" s="35">
        <f t="shared" si="22"/>
        <v>49.354512418300665</v>
      </c>
      <c r="Q99" s="35">
        <f t="shared" si="19"/>
        <v>43.458911314686404</v>
      </c>
      <c r="R99" s="35">
        <f t="shared" si="23"/>
        <v>-5.8956011036142613</v>
      </c>
      <c r="S99" s="66">
        <f t="shared" si="20"/>
        <v>-11.945414542132465</v>
      </c>
      <c r="T99" s="19" t="str">
        <f>IFERROR(VLOOKUP(G99,'ABC Analysis'!$E$18:$M$138,9,0),0)</f>
        <v>A</v>
      </c>
      <c r="U99" s="22">
        <f>IFERROR(VLOOKUP(G99,'ABC Analysis'!$E$18:$G$138,3,0),0)</f>
        <v>6.6502001020480031E-3</v>
      </c>
    </row>
    <row r="100" spans="1:21" x14ac:dyDescent="0.35">
      <c r="A100" s="14" t="s">
        <v>303</v>
      </c>
      <c r="B100">
        <v>425</v>
      </c>
      <c r="C100">
        <v>7</v>
      </c>
      <c r="D100" s="57">
        <v>45.142857142857146</v>
      </c>
      <c r="E100" s="1">
        <v>4.8000000000000016</v>
      </c>
      <c r="F100" s="1"/>
      <c r="G100" s="14" t="s">
        <v>248</v>
      </c>
      <c r="H100">
        <v>324</v>
      </c>
      <c r="I100" s="34">
        <v>0.25</v>
      </c>
      <c r="J100" s="32">
        <v>5.6000000000000005</v>
      </c>
      <c r="K100" s="35">
        <f t="shared" si="15"/>
        <v>1.4000000000000001</v>
      </c>
      <c r="L100">
        <f t="shared" si="16"/>
        <v>6</v>
      </c>
      <c r="M100" s="56">
        <f t="shared" si="21"/>
        <v>43</v>
      </c>
      <c r="N100" s="41">
        <f t="shared" si="17"/>
        <v>50.911688245431421</v>
      </c>
      <c r="O100" s="41">
        <f t="shared" si="18"/>
        <v>6.3639610306789276</v>
      </c>
      <c r="P100" s="35">
        <f t="shared" si="22"/>
        <v>72.295348837209303</v>
      </c>
      <c r="Q100" s="35">
        <f t="shared" si="19"/>
        <v>71.276363543603992</v>
      </c>
      <c r="R100" s="35">
        <f t="shared" si="23"/>
        <v>-1.0189852936053114</v>
      </c>
      <c r="S100" s="66">
        <f t="shared" si="20"/>
        <v>-1.4094755886714188</v>
      </c>
      <c r="T100" s="19" t="str">
        <f>IFERROR(VLOOKUP(G100,'ABC Analysis'!$E$18:$M$138,9,0),0)</f>
        <v>A</v>
      </c>
      <c r="U100" s="22">
        <f>IFERROR(VLOOKUP(G100,'ABC Analysis'!$E$18:$G$138,3,0),0)</f>
        <v>6.5878651871816374E-3</v>
      </c>
    </row>
    <row r="101" spans="1:21" x14ac:dyDescent="0.35">
      <c r="A101" s="14" t="s">
        <v>239</v>
      </c>
      <c r="B101">
        <v>642</v>
      </c>
      <c r="C101">
        <v>12</v>
      </c>
      <c r="D101" s="57">
        <v>52.333333333333336</v>
      </c>
      <c r="E101" s="1">
        <v>5.2000000000000011</v>
      </c>
      <c r="F101" s="1"/>
      <c r="G101" s="14" t="s">
        <v>490</v>
      </c>
      <c r="H101">
        <v>453</v>
      </c>
      <c r="I101" s="34">
        <v>0.25</v>
      </c>
      <c r="J101" s="32">
        <v>3.95</v>
      </c>
      <c r="K101" s="35">
        <f t="shared" si="15"/>
        <v>0.98750000000000004</v>
      </c>
      <c r="L101">
        <f t="shared" si="16"/>
        <v>8</v>
      </c>
      <c r="M101" s="56">
        <f t="shared" si="21"/>
        <v>46</v>
      </c>
      <c r="N101" s="41">
        <f t="shared" si="17"/>
        <v>60.199667773169644</v>
      </c>
      <c r="O101" s="41">
        <f t="shared" si="18"/>
        <v>7.5249584716462063</v>
      </c>
      <c r="P101" s="35">
        <f t="shared" si="22"/>
        <v>61.611413043478265</v>
      </c>
      <c r="Q101" s="35">
        <f t="shared" si="19"/>
        <v>59.447171926005026</v>
      </c>
      <c r="R101" s="35">
        <f t="shared" si="23"/>
        <v>-2.1642411174732388</v>
      </c>
      <c r="S101" s="66">
        <f t="shared" si="20"/>
        <v>-3.5127276109476107</v>
      </c>
      <c r="T101" s="19" t="str">
        <f>IFERROR(VLOOKUP(G101,'ABC Analysis'!$E$18:$M$138,9,0),0)</f>
        <v>A</v>
      </c>
      <c r="U101" s="22">
        <f>IFERROR(VLOOKUP(G101,'ABC Analysis'!$E$18:$G$138,3,0),0)</f>
        <v>6.5230903222459457E-3</v>
      </c>
    </row>
    <row r="102" spans="1:21" hidden="1" x14ac:dyDescent="0.35">
      <c r="A102" s="14" t="s">
        <v>416</v>
      </c>
      <c r="B102">
        <v>399</v>
      </c>
      <c r="C102">
        <v>7</v>
      </c>
      <c r="D102" s="57">
        <v>57.285714285714285</v>
      </c>
      <c r="E102" s="1">
        <v>2.5714285714285716</v>
      </c>
      <c r="F102" s="1"/>
      <c r="G102" s="14" t="s">
        <v>416</v>
      </c>
      <c r="H102">
        <v>399</v>
      </c>
      <c r="I102" s="34">
        <v>0.25</v>
      </c>
      <c r="J102" s="32">
        <v>2.5714285714285716</v>
      </c>
      <c r="K102" s="35">
        <f t="shared" si="15"/>
        <v>0.6428571428571429</v>
      </c>
      <c r="L102">
        <f t="shared" si="16"/>
        <v>7</v>
      </c>
      <c r="M102" s="56">
        <f t="shared" si="21"/>
        <v>57</v>
      </c>
      <c r="N102" s="41">
        <f t="shared" si="17"/>
        <v>56.497787567302133</v>
      </c>
      <c r="O102" s="41">
        <f t="shared" si="18"/>
        <v>7.0622234459127675</v>
      </c>
      <c r="P102" s="35">
        <f t="shared" si="22"/>
        <v>36.321428571428569</v>
      </c>
      <c r="Q102" s="35">
        <f t="shared" si="19"/>
        <v>36.320006293265664</v>
      </c>
      <c r="R102" s="35">
        <f t="shared" si="23"/>
        <v>-1.4222781629058545E-3</v>
      </c>
      <c r="S102" s="66">
        <f t="shared" si="20"/>
        <v>-3.9158100846965515E-3</v>
      </c>
      <c r="T102" s="19" t="str">
        <f>IFERROR(VLOOKUP(G102,'ABC Analysis'!$E$18:$M$138,9,0),0)</f>
        <v>B</v>
      </c>
      <c r="U102" s="22">
        <f>IFERROR(VLOOKUP(G102,'ABC Analysis'!$E$18:$G$138,3,0),0)</f>
        <v>3.6424968892088952E-3</v>
      </c>
    </row>
    <row r="103" spans="1:21" hidden="1" x14ac:dyDescent="0.35">
      <c r="A103" s="14" t="s">
        <v>211</v>
      </c>
      <c r="B103">
        <v>302</v>
      </c>
      <c r="C103">
        <v>6</v>
      </c>
      <c r="D103" s="57">
        <v>27</v>
      </c>
      <c r="E103" s="1">
        <v>3.2133333333333329</v>
      </c>
      <c r="F103" s="1"/>
      <c r="G103" s="14" t="s">
        <v>211</v>
      </c>
      <c r="H103">
        <v>302</v>
      </c>
      <c r="I103" s="34">
        <v>0.25</v>
      </c>
      <c r="J103" s="32">
        <v>3.2133333333333329</v>
      </c>
      <c r="K103" s="35">
        <f t="shared" ref="K103:K125" si="24">I103*J103</f>
        <v>0.80333333333333323</v>
      </c>
      <c r="L103">
        <f t="shared" ref="L103:L125" si="25">VLOOKUP(G103,$A$7:$C$127,3,0)</f>
        <v>6</v>
      </c>
      <c r="M103" s="56">
        <f t="shared" si="21"/>
        <v>27</v>
      </c>
      <c r="N103" s="41">
        <f t="shared" ref="N103:N125" si="26">SQRT((2*H103*J103)/K103)</f>
        <v>49.152822909778031</v>
      </c>
      <c r="O103" s="41">
        <f t="shared" ref="O103:O125" si="27">H103/N103</f>
        <v>6.1441028637222539</v>
      </c>
      <c r="P103" s="35">
        <f t="shared" si="22"/>
        <v>46.786728395061722</v>
      </c>
      <c r="Q103" s="35">
        <f t="shared" ref="Q103:Q127" si="28">(H103/N103)*J103+(N103/2)*K103</f>
        <v>39.486101070855014</v>
      </c>
      <c r="R103" s="35">
        <f t="shared" si="23"/>
        <v>-7.3006273242067081</v>
      </c>
      <c r="S103" s="66">
        <f t="shared" ref="S103:S125" si="29">(Q103-P103)/P103*100</f>
        <v>-15.604056053163315</v>
      </c>
      <c r="T103" s="19" t="str">
        <f>IFERROR(VLOOKUP(G103,'ABC Analysis'!$E$18:$M$138,9,0),0)</f>
        <v>B</v>
      </c>
      <c r="U103" s="22">
        <f>IFERROR(VLOOKUP(G103,'ABC Analysis'!$E$18:$G$138,3,0),0)</f>
        <v>3.5219517369743107E-3</v>
      </c>
    </row>
    <row r="104" spans="1:21" x14ac:dyDescent="0.35">
      <c r="A104" s="14" t="s">
        <v>151</v>
      </c>
      <c r="B104">
        <v>605</v>
      </c>
      <c r="C104">
        <v>11</v>
      </c>
      <c r="D104" s="57">
        <v>61.272727272727273</v>
      </c>
      <c r="E104" s="1">
        <v>3.36</v>
      </c>
      <c r="F104" s="1"/>
      <c r="G104" s="14" t="s">
        <v>258</v>
      </c>
      <c r="H104">
        <v>559</v>
      </c>
      <c r="I104" s="34">
        <v>0.25</v>
      </c>
      <c r="J104" s="32">
        <v>3.1999999999999997</v>
      </c>
      <c r="K104" s="35">
        <f t="shared" si="24"/>
        <v>0.79999999999999993</v>
      </c>
      <c r="L104">
        <f t="shared" si="25"/>
        <v>9</v>
      </c>
      <c r="M104" s="56">
        <f t="shared" si="21"/>
        <v>44</v>
      </c>
      <c r="N104" s="41">
        <f t="shared" si="26"/>
        <v>66.873013989201951</v>
      </c>
      <c r="O104" s="41">
        <f t="shared" si="27"/>
        <v>8.3591267486502439</v>
      </c>
      <c r="P104" s="35">
        <f t="shared" si="22"/>
        <v>58.25454545454545</v>
      </c>
      <c r="Q104" s="35">
        <f t="shared" si="28"/>
        <v>53.498411191361555</v>
      </c>
      <c r="R104" s="35">
        <f t="shared" si="23"/>
        <v>-4.7561342631838954</v>
      </c>
      <c r="S104" s="66">
        <f t="shared" si="29"/>
        <v>-8.164400264516674</v>
      </c>
      <c r="T104" s="19" t="str">
        <f>IFERROR(VLOOKUP(G104,'ABC Analysis'!$E$18:$M$138,9,0),0)</f>
        <v>A</v>
      </c>
      <c r="U104" s="22">
        <f>IFERROR(VLOOKUP(G104,'ABC Analysis'!$E$18:$G$138,3,0),0)</f>
        <v>6.494914708350152E-3</v>
      </c>
    </row>
    <row r="105" spans="1:21" hidden="1" x14ac:dyDescent="0.35">
      <c r="A105" s="14" t="s">
        <v>700</v>
      </c>
      <c r="B105">
        <v>350</v>
      </c>
      <c r="C105">
        <v>6</v>
      </c>
      <c r="D105" s="57">
        <v>66.5</v>
      </c>
      <c r="E105" s="1">
        <v>1.9826666666666666</v>
      </c>
      <c r="F105" s="1"/>
      <c r="G105" s="14" t="s">
        <v>700</v>
      </c>
      <c r="H105">
        <v>350</v>
      </c>
      <c r="I105" s="34">
        <v>0.25</v>
      </c>
      <c r="J105" s="32">
        <v>1.9826666666666666</v>
      </c>
      <c r="K105" s="35">
        <f t="shared" si="24"/>
        <v>0.49566666666666664</v>
      </c>
      <c r="L105">
        <f t="shared" si="25"/>
        <v>6</v>
      </c>
      <c r="M105" s="56">
        <f t="shared" si="21"/>
        <v>67</v>
      </c>
      <c r="N105" s="41">
        <f t="shared" si="26"/>
        <v>52.915026221291811</v>
      </c>
      <c r="O105" s="41">
        <f t="shared" si="27"/>
        <v>6.6143782776614763</v>
      </c>
      <c r="P105" s="35">
        <f t="shared" si="22"/>
        <v>26.96204726368159</v>
      </c>
      <c r="Q105" s="35">
        <f t="shared" si="28"/>
        <v>26.228214663686973</v>
      </c>
      <c r="R105" s="35">
        <f t="shared" si="23"/>
        <v>-0.73383259999461714</v>
      </c>
      <c r="S105" s="66">
        <f t="shared" si="29"/>
        <v>-2.721724329083512</v>
      </c>
      <c r="T105" s="19" t="str">
        <f>IFERROR(VLOOKUP(G105,'ABC Analysis'!$E$18:$M$138,9,0),0)</f>
        <v>C</v>
      </c>
      <c r="U105" s="22">
        <f>IFERROR(VLOOKUP(G105,'ABC Analysis'!$E$18:$G$138,3,0),0)</f>
        <v>2.5226469484619209E-3</v>
      </c>
    </row>
    <row r="106" spans="1:21" x14ac:dyDescent="0.35">
      <c r="A106" s="14" t="s">
        <v>1069</v>
      </c>
      <c r="B106">
        <v>345</v>
      </c>
      <c r="C106">
        <v>6</v>
      </c>
      <c r="D106" s="57">
        <v>47.833333333333336</v>
      </c>
      <c r="E106" s="1">
        <v>4.786666666666668</v>
      </c>
      <c r="F106" s="1"/>
      <c r="G106" s="14" t="s">
        <v>85</v>
      </c>
      <c r="H106">
        <v>735</v>
      </c>
      <c r="I106" s="34">
        <v>0.25</v>
      </c>
      <c r="J106" s="32">
        <v>2.378181818181818</v>
      </c>
      <c r="K106" s="35">
        <f t="shared" si="24"/>
        <v>0.59454545454545449</v>
      </c>
      <c r="L106">
        <f t="shared" si="25"/>
        <v>11</v>
      </c>
      <c r="M106" s="56">
        <f t="shared" si="21"/>
        <v>53</v>
      </c>
      <c r="N106" s="41">
        <f t="shared" si="26"/>
        <v>76.681158050723255</v>
      </c>
      <c r="O106" s="41">
        <f t="shared" si="27"/>
        <v>9.5851447563404069</v>
      </c>
      <c r="P106" s="35">
        <f t="shared" si="22"/>
        <v>48.735900514579754</v>
      </c>
      <c r="Q106" s="35">
        <f t="shared" si="28"/>
        <v>45.590433968339092</v>
      </c>
      <c r="R106" s="35">
        <f t="shared" si="23"/>
        <v>-3.1454665462406624</v>
      </c>
      <c r="S106" s="66">
        <f t="shared" si="29"/>
        <v>-6.4541057270495488</v>
      </c>
      <c r="T106" s="19" t="str">
        <f>IFERROR(VLOOKUP(G106,'ABC Analysis'!$E$18:$M$138,9,0),0)</f>
        <v>A</v>
      </c>
      <c r="U106" s="22">
        <f>IFERROR(VLOOKUP(G106,'ABC Analysis'!$E$18:$G$138,3,0),0)</f>
        <v>6.3659459189714628E-3</v>
      </c>
    </row>
    <row r="107" spans="1:21" hidden="1" x14ac:dyDescent="0.35">
      <c r="A107" s="14" t="s">
        <v>397</v>
      </c>
      <c r="B107">
        <v>472</v>
      </c>
      <c r="C107">
        <v>6</v>
      </c>
      <c r="D107" s="57">
        <v>33</v>
      </c>
      <c r="E107" s="1">
        <v>2</v>
      </c>
      <c r="F107" s="1"/>
      <c r="G107" s="14" t="s">
        <v>397</v>
      </c>
      <c r="H107">
        <v>472</v>
      </c>
      <c r="I107" s="34">
        <v>0.25</v>
      </c>
      <c r="J107" s="32">
        <v>2</v>
      </c>
      <c r="K107" s="35">
        <f t="shared" si="24"/>
        <v>0.5</v>
      </c>
      <c r="L107">
        <f t="shared" si="25"/>
        <v>6</v>
      </c>
      <c r="M107" s="56">
        <f t="shared" si="21"/>
        <v>33</v>
      </c>
      <c r="N107" s="41">
        <f t="shared" si="26"/>
        <v>61.449165982948863</v>
      </c>
      <c r="O107" s="41">
        <f t="shared" si="27"/>
        <v>7.6811457478686087</v>
      </c>
      <c r="P107" s="35">
        <f t="shared" si="22"/>
        <v>36.856060606060609</v>
      </c>
      <c r="Q107" s="35">
        <f t="shared" si="28"/>
        <v>30.724582991474435</v>
      </c>
      <c r="R107" s="35">
        <f t="shared" si="23"/>
        <v>-6.1314776145861742</v>
      </c>
      <c r="S107" s="66">
        <f t="shared" si="29"/>
        <v>-16.636280475341724</v>
      </c>
      <c r="T107" s="19" t="str">
        <f>IFERROR(VLOOKUP(G107,'ABC Analysis'!$E$18:$M$138,9,0),0)</f>
        <v>B</v>
      </c>
      <c r="U107" s="22">
        <f>IFERROR(VLOOKUP(G107,'ABC Analysis'!$E$18:$G$138,3,0),0)</f>
        <v>3.4275489069110813E-3</v>
      </c>
    </row>
    <row r="108" spans="1:21" x14ac:dyDescent="0.35">
      <c r="A108" s="14" t="s">
        <v>325</v>
      </c>
      <c r="B108">
        <v>481</v>
      </c>
      <c r="C108">
        <v>10</v>
      </c>
      <c r="D108" s="57">
        <v>50.1</v>
      </c>
      <c r="E108" s="1">
        <v>3.5120000000000005</v>
      </c>
      <c r="F108" s="1"/>
      <c r="G108" s="14" t="s">
        <v>508</v>
      </c>
      <c r="H108">
        <v>427</v>
      </c>
      <c r="I108" s="34">
        <v>0.25</v>
      </c>
      <c r="J108" s="32">
        <v>4</v>
      </c>
      <c r="K108" s="35">
        <f t="shared" si="24"/>
        <v>1</v>
      </c>
      <c r="L108">
        <f t="shared" si="25"/>
        <v>7</v>
      </c>
      <c r="M108" s="56">
        <f t="shared" si="21"/>
        <v>70</v>
      </c>
      <c r="N108" s="41">
        <f t="shared" si="26"/>
        <v>58.446556784809829</v>
      </c>
      <c r="O108" s="41">
        <f t="shared" si="27"/>
        <v>7.3058195981012286</v>
      </c>
      <c r="P108" s="35">
        <f t="shared" si="22"/>
        <v>59.4</v>
      </c>
      <c r="Q108" s="35">
        <f t="shared" si="28"/>
        <v>58.446556784809829</v>
      </c>
      <c r="R108" s="35">
        <f t="shared" si="23"/>
        <v>-0.95344321519016972</v>
      </c>
      <c r="S108" s="66">
        <f t="shared" si="29"/>
        <v>-1.6051232578959087</v>
      </c>
      <c r="T108" s="19" t="str">
        <f>IFERROR(VLOOKUP(G108,'ABC Analysis'!$E$18:$M$138,9,0),0)</f>
        <v>A</v>
      </c>
      <c r="U108" s="22">
        <f>IFERROR(VLOOKUP(G108,'ABC Analysis'!$E$18:$G$138,3,0),0)</f>
        <v>6.2241964387534454E-3</v>
      </c>
    </row>
    <row r="109" spans="1:21" hidden="1" x14ac:dyDescent="0.35">
      <c r="A109" s="14" t="s">
        <v>132</v>
      </c>
      <c r="B109">
        <v>514</v>
      </c>
      <c r="C109">
        <v>6</v>
      </c>
      <c r="D109" s="57">
        <v>45</v>
      </c>
      <c r="E109" s="1">
        <v>1.5999999999999999</v>
      </c>
      <c r="F109" s="1"/>
      <c r="G109" s="14" t="s">
        <v>132</v>
      </c>
      <c r="H109">
        <v>514</v>
      </c>
      <c r="I109" s="34">
        <v>0.25</v>
      </c>
      <c r="J109" s="32">
        <v>1.5999999999999999</v>
      </c>
      <c r="K109" s="35">
        <f t="shared" si="24"/>
        <v>0.39999999999999997</v>
      </c>
      <c r="L109">
        <f t="shared" si="25"/>
        <v>6</v>
      </c>
      <c r="M109" s="56">
        <f t="shared" si="21"/>
        <v>45</v>
      </c>
      <c r="N109" s="41">
        <f t="shared" si="26"/>
        <v>64.124878167525594</v>
      </c>
      <c r="O109" s="41">
        <f t="shared" si="27"/>
        <v>8.0156097709406975</v>
      </c>
      <c r="P109" s="35">
        <f t="shared" si="22"/>
        <v>27.275555555555556</v>
      </c>
      <c r="Q109" s="35">
        <f t="shared" si="28"/>
        <v>25.649951267010231</v>
      </c>
      <c r="R109" s="35">
        <f t="shared" si="23"/>
        <v>-1.6256042885453255</v>
      </c>
      <c r="S109" s="66">
        <f t="shared" si="29"/>
        <v>-5.9599309910819329</v>
      </c>
      <c r="T109" s="19" t="str">
        <f>IFERROR(VLOOKUP(G109,'ABC Analysis'!$E$18:$M$138,9,0),0)</f>
        <v>C</v>
      </c>
      <c r="U109" s="22">
        <f>IFERROR(VLOOKUP(G109,'ABC Analysis'!$E$18:$G$138,3,0),0)</f>
        <v>2.9860341324615186E-3</v>
      </c>
    </row>
    <row r="110" spans="1:21" x14ac:dyDescent="0.35">
      <c r="A110" s="14" t="s">
        <v>1085</v>
      </c>
      <c r="B110">
        <v>639</v>
      </c>
      <c r="C110">
        <v>10</v>
      </c>
      <c r="D110" s="57">
        <v>48.1</v>
      </c>
      <c r="E110" s="1">
        <v>6.4079999999999995</v>
      </c>
      <c r="F110" s="1"/>
      <c r="G110" s="14" t="s">
        <v>325</v>
      </c>
      <c r="H110">
        <v>481</v>
      </c>
      <c r="I110" s="34">
        <v>0.25</v>
      </c>
      <c r="J110" s="32">
        <v>3.5120000000000005</v>
      </c>
      <c r="K110" s="35">
        <f t="shared" si="24"/>
        <v>0.87800000000000011</v>
      </c>
      <c r="L110">
        <f t="shared" si="25"/>
        <v>10</v>
      </c>
      <c r="M110" s="56">
        <f t="shared" si="21"/>
        <v>50</v>
      </c>
      <c r="N110" s="41">
        <f t="shared" si="26"/>
        <v>62.032249677083293</v>
      </c>
      <c r="O110" s="41">
        <f t="shared" si="27"/>
        <v>7.7540312096354107</v>
      </c>
      <c r="P110" s="35">
        <f t="shared" si="22"/>
        <v>55.735440000000004</v>
      </c>
      <c r="Q110" s="35">
        <f t="shared" si="28"/>
        <v>54.464315216479136</v>
      </c>
      <c r="R110" s="35">
        <f t="shared" si="23"/>
        <v>-1.2711247835208681</v>
      </c>
      <c r="S110" s="66">
        <f t="shared" si="29"/>
        <v>-2.2806400802090518</v>
      </c>
      <c r="T110" s="19" t="str">
        <f>IFERROR(VLOOKUP(G110,'ABC Analysis'!$E$18:$M$138,9,0),0)</f>
        <v>A</v>
      </c>
      <c r="U110" s="22">
        <f>IFERROR(VLOOKUP(G110,'ABC Analysis'!$E$18:$G$138,3,0),0)</f>
        <v>6.1547740498761778E-3</v>
      </c>
    </row>
    <row r="111" spans="1:21" x14ac:dyDescent="0.35">
      <c r="A111" s="14" t="s">
        <v>165</v>
      </c>
      <c r="B111">
        <v>631</v>
      </c>
      <c r="C111">
        <v>10</v>
      </c>
      <c r="D111" s="57">
        <v>45.9</v>
      </c>
      <c r="E111" s="1">
        <v>5.5600000000000005</v>
      </c>
      <c r="F111" s="1"/>
      <c r="G111" s="14" t="s">
        <v>276</v>
      </c>
      <c r="H111">
        <v>606</v>
      </c>
      <c r="I111" s="34">
        <v>0.25</v>
      </c>
      <c r="J111" s="32">
        <v>2.7880000000000003</v>
      </c>
      <c r="K111" s="35">
        <f t="shared" si="24"/>
        <v>0.69700000000000006</v>
      </c>
      <c r="L111">
        <f t="shared" si="25"/>
        <v>10</v>
      </c>
      <c r="M111" s="56">
        <f t="shared" si="21"/>
        <v>42</v>
      </c>
      <c r="N111" s="41">
        <f t="shared" si="26"/>
        <v>69.627580742116848</v>
      </c>
      <c r="O111" s="41">
        <f t="shared" si="27"/>
        <v>8.7034475927646042</v>
      </c>
      <c r="P111" s="35">
        <f t="shared" si="22"/>
        <v>54.86385714285715</v>
      </c>
      <c r="Q111" s="35">
        <f t="shared" si="28"/>
        <v>48.530423777255443</v>
      </c>
      <c r="R111" s="35">
        <f t="shared" si="23"/>
        <v>-6.3334333656017066</v>
      </c>
      <c r="S111" s="66">
        <f t="shared" si="29"/>
        <v>-11.543908313100204</v>
      </c>
      <c r="T111" s="19" t="str">
        <f>IFERROR(VLOOKUP(G111,'ABC Analysis'!$E$18:$M$138,9,0),0)</f>
        <v>A</v>
      </c>
      <c r="U111" s="22">
        <f>IFERROR(VLOOKUP(G111,'ABC Analysis'!$E$18:$G$138,3,0),0)</f>
        <v>6.1255817901181642E-3</v>
      </c>
    </row>
    <row r="112" spans="1:21" hidden="1" x14ac:dyDescent="0.35">
      <c r="A112" s="14" t="s">
        <v>686</v>
      </c>
      <c r="B112">
        <v>425</v>
      </c>
      <c r="C112">
        <v>5</v>
      </c>
      <c r="D112" s="57">
        <v>53.6</v>
      </c>
      <c r="E112" s="1">
        <v>2</v>
      </c>
      <c r="F112" s="1"/>
      <c r="G112" s="14" t="s">
        <v>686</v>
      </c>
      <c r="H112">
        <v>425</v>
      </c>
      <c r="I112" s="34">
        <v>0.25</v>
      </c>
      <c r="J112" s="32">
        <v>2</v>
      </c>
      <c r="K112" s="35">
        <f t="shared" si="24"/>
        <v>0.5</v>
      </c>
      <c r="L112">
        <f t="shared" si="25"/>
        <v>5</v>
      </c>
      <c r="M112" s="56">
        <f t="shared" si="21"/>
        <v>54</v>
      </c>
      <c r="N112" s="41">
        <f t="shared" si="26"/>
        <v>58.309518948453004</v>
      </c>
      <c r="O112" s="41">
        <f t="shared" si="27"/>
        <v>7.2886898685566255</v>
      </c>
      <c r="P112" s="35">
        <f t="shared" si="22"/>
        <v>29.24074074074074</v>
      </c>
      <c r="Q112" s="35">
        <f t="shared" si="28"/>
        <v>29.154759474226502</v>
      </c>
      <c r="R112" s="35">
        <f t="shared" si="23"/>
        <v>-8.5981266514238541E-2</v>
      </c>
      <c r="S112" s="66">
        <f t="shared" si="29"/>
        <v>-0.29404612994103113</v>
      </c>
      <c r="T112" s="19" t="str">
        <f>IFERROR(VLOOKUP(G112,'ABC Analysis'!$E$18:$M$138,9,0),0)</f>
        <v>C</v>
      </c>
      <c r="U112" s="22">
        <f>IFERROR(VLOOKUP(G112,'ABC Analysis'!$E$18:$G$138,3,0),0)</f>
        <v>3.0862463674517153E-3</v>
      </c>
    </row>
    <row r="113" spans="1:21" x14ac:dyDescent="0.35">
      <c r="A113" s="14" t="s">
        <v>288</v>
      </c>
      <c r="B113">
        <v>627</v>
      </c>
      <c r="C113">
        <v>8</v>
      </c>
      <c r="D113" s="57">
        <v>74.375</v>
      </c>
      <c r="E113" s="1">
        <v>9.4600000000000009</v>
      </c>
      <c r="F113" s="1"/>
      <c r="G113" s="14" t="s">
        <v>1069</v>
      </c>
      <c r="H113">
        <v>345</v>
      </c>
      <c r="I113" s="34">
        <v>0.25</v>
      </c>
      <c r="J113" s="32">
        <v>4.786666666666668</v>
      </c>
      <c r="K113" s="35">
        <f t="shared" si="24"/>
        <v>1.196666666666667</v>
      </c>
      <c r="L113">
        <f t="shared" si="25"/>
        <v>6</v>
      </c>
      <c r="M113" s="56">
        <f t="shared" si="21"/>
        <v>48</v>
      </c>
      <c r="N113" s="41">
        <f t="shared" si="26"/>
        <v>52.535702146254792</v>
      </c>
      <c r="O113" s="41">
        <f t="shared" si="27"/>
        <v>6.5669627682818481</v>
      </c>
      <c r="P113" s="35">
        <f t="shared" si="22"/>
        <v>63.124166666666682</v>
      </c>
      <c r="Q113" s="35">
        <f t="shared" si="28"/>
        <v>62.867723568351579</v>
      </c>
      <c r="R113" s="35">
        <f t="shared" si="23"/>
        <v>-0.2564430983151027</v>
      </c>
      <c r="S113" s="66">
        <f t="shared" si="29"/>
        <v>-0.40625185544115855</v>
      </c>
      <c r="T113" s="19" t="str">
        <f>IFERROR(VLOOKUP(G113,'ABC Analysis'!$E$18:$M$138,9,0),0)</f>
        <v>A</v>
      </c>
      <c r="U113" s="22">
        <f>IFERROR(VLOOKUP(G113,'ABC Analysis'!$E$18:$G$138,3,0),0)</f>
        <v>5.9987915275870893E-3</v>
      </c>
    </row>
    <row r="114" spans="1:21" x14ac:dyDescent="0.35">
      <c r="A114" s="14" t="s">
        <v>420</v>
      </c>
      <c r="B114">
        <v>412</v>
      </c>
      <c r="C114">
        <v>10</v>
      </c>
      <c r="D114" s="57">
        <v>67.900000000000006</v>
      </c>
      <c r="E114" s="1">
        <v>14.400000000000002</v>
      </c>
      <c r="F114" s="1"/>
      <c r="G114" s="14" t="s">
        <v>101</v>
      </c>
      <c r="H114">
        <v>454</v>
      </c>
      <c r="I114" s="34">
        <v>0.25</v>
      </c>
      <c r="J114" s="32">
        <v>3.591111111111112</v>
      </c>
      <c r="K114" s="35">
        <f t="shared" si="24"/>
        <v>0.89777777777777801</v>
      </c>
      <c r="L114">
        <f t="shared" si="25"/>
        <v>9</v>
      </c>
      <c r="M114" s="56">
        <f t="shared" si="21"/>
        <v>48</v>
      </c>
      <c r="N114" s="41">
        <f t="shared" si="26"/>
        <v>60.266076693277455</v>
      </c>
      <c r="O114" s="41">
        <f t="shared" si="27"/>
        <v>7.5332595866596819</v>
      </c>
      <c r="P114" s="35">
        <f t="shared" si="22"/>
        <v>55.512592592592611</v>
      </c>
      <c r="Q114" s="35">
        <f t="shared" si="28"/>
        <v>54.105544409075776</v>
      </c>
      <c r="R114" s="35">
        <f t="shared" si="23"/>
        <v>-1.4070481835168351</v>
      </c>
      <c r="S114" s="66">
        <f t="shared" si="29"/>
        <v>-2.5346468572332292</v>
      </c>
      <c r="T114" s="19" t="str">
        <f>IFERROR(VLOOKUP(G114,'ABC Analysis'!$E$18:$M$138,9,0),0)</f>
        <v>A</v>
      </c>
      <c r="U114" s="22">
        <f>IFERROR(VLOOKUP(G114,'ABC Analysis'!$E$18:$G$138,3,0),0)</f>
        <v>5.920945501565719E-3</v>
      </c>
    </row>
    <row r="115" spans="1:21" hidden="1" x14ac:dyDescent="0.35">
      <c r="A115" s="14" t="s">
        <v>1257</v>
      </c>
      <c r="B115">
        <v>220</v>
      </c>
      <c r="C115">
        <v>3</v>
      </c>
      <c r="D115" s="57">
        <v>22.333333333333332</v>
      </c>
      <c r="E115" s="1">
        <v>4.4000000000000004</v>
      </c>
      <c r="F115" s="1"/>
      <c r="G115" s="14" t="s">
        <v>1257</v>
      </c>
      <c r="H115">
        <v>220</v>
      </c>
      <c r="I115" s="34">
        <v>0.25</v>
      </c>
      <c r="J115" s="32">
        <v>4.4000000000000004</v>
      </c>
      <c r="K115" s="35">
        <f t="shared" si="24"/>
        <v>1.1000000000000001</v>
      </c>
      <c r="L115">
        <f t="shared" si="25"/>
        <v>3</v>
      </c>
      <c r="M115" s="56">
        <f t="shared" si="21"/>
        <v>22</v>
      </c>
      <c r="N115" s="41">
        <f t="shared" si="26"/>
        <v>41.952353926806062</v>
      </c>
      <c r="O115" s="41">
        <f t="shared" si="27"/>
        <v>5.2440442408507577</v>
      </c>
      <c r="P115" s="35">
        <f t="shared" si="22"/>
        <v>56.1</v>
      </c>
      <c r="Q115" s="35">
        <f t="shared" si="28"/>
        <v>46.14758931948667</v>
      </c>
      <c r="R115" s="35">
        <f t="shared" si="23"/>
        <v>-9.9524106805133314</v>
      </c>
      <c r="S115" s="66">
        <f t="shared" si="29"/>
        <v>-17.7404824964587</v>
      </c>
      <c r="T115" s="19" t="str">
        <f>IFERROR(VLOOKUP(G115,'ABC Analysis'!$E$18:$M$138,9,0),0)</f>
        <v>B</v>
      </c>
      <c r="U115" s="22">
        <f>IFERROR(VLOOKUP(G115,'ABC Analysis'!$E$18:$G$138,3,0),0)</f>
        <v>3.5146899808156003E-3</v>
      </c>
    </row>
    <row r="116" spans="1:21" hidden="1" x14ac:dyDescent="0.35">
      <c r="A116" s="14" t="s">
        <v>24</v>
      </c>
      <c r="B116">
        <v>435</v>
      </c>
      <c r="C116">
        <v>7</v>
      </c>
      <c r="D116" s="57">
        <v>43.142857142857146</v>
      </c>
      <c r="E116" s="1">
        <v>1.5999999999999999</v>
      </c>
      <c r="F116" s="1"/>
      <c r="G116" s="14" t="s">
        <v>24</v>
      </c>
      <c r="H116">
        <v>435</v>
      </c>
      <c r="I116" s="34">
        <v>0.25</v>
      </c>
      <c r="J116" s="32">
        <v>1.5999999999999999</v>
      </c>
      <c r="K116" s="35">
        <f t="shared" si="24"/>
        <v>0.39999999999999997</v>
      </c>
      <c r="L116">
        <f t="shared" si="25"/>
        <v>7</v>
      </c>
      <c r="M116" s="56">
        <f t="shared" si="21"/>
        <v>43</v>
      </c>
      <c r="N116" s="41">
        <f t="shared" si="26"/>
        <v>58.9915248150105</v>
      </c>
      <c r="O116" s="41">
        <f t="shared" si="27"/>
        <v>7.3739406018763134</v>
      </c>
      <c r="P116" s="35">
        <f t="shared" si="22"/>
        <v>24.786046511627909</v>
      </c>
      <c r="Q116" s="35">
        <f t="shared" si="28"/>
        <v>23.596609926004199</v>
      </c>
      <c r="R116" s="35">
        <f t="shared" si="23"/>
        <v>-1.1894365856237101</v>
      </c>
      <c r="S116" s="66">
        <f t="shared" si="29"/>
        <v>-4.7988152732050597</v>
      </c>
      <c r="T116" s="19" t="str">
        <f>IFERROR(VLOOKUP(G116,'ABC Analysis'!$E$18:$M$138,9,0),0)</f>
        <v>C</v>
      </c>
      <c r="U116" s="22">
        <f>IFERROR(VLOOKUP(G116,'ABC Analysis'!$E$18:$G$138,3,0),0)</f>
        <v>2.5270911432310516E-3</v>
      </c>
    </row>
    <row r="117" spans="1:21" hidden="1" x14ac:dyDescent="0.35">
      <c r="A117" s="14" t="s">
        <v>1202</v>
      </c>
      <c r="B117">
        <v>633</v>
      </c>
      <c r="C117">
        <v>9</v>
      </c>
      <c r="D117" s="57">
        <v>53.777777777777779</v>
      </c>
      <c r="E117" s="1">
        <v>2.4000000000000004</v>
      </c>
      <c r="F117" s="1"/>
      <c r="G117" s="14" t="s">
        <v>1202</v>
      </c>
      <c r="H117">
        <v>633</v>
      </c>
      <c r="I117" s="34">
        <v>0.25</v>
      </c>
      <c r="J117" s="32">
        <v>2.4000000000000004</v>
      </c>
      <c r="K117" s="35">
        <f t="shared" si="24"/>
        <v>0.60000000000000009</v>
      </c>
      <c r="L117">
        <f t="shared" si="25"/>
        <v>9</v>
      </c>
      <c r="M117" s="56">
        <f t="shared" si="21"/>
        <v>54</v>
      </c>
      <c r="N117" s="41">
        <f t="shared" si="26"/>
        <v>71.161787498628783</v>
      </c>
      <c r="O117" s="41">
        <f t="shared" si="27"/>
        <v>8.8952234373285979</v>
      </c>
      <c r="P117" s="35">
        <f t="shared" si="22"/>
        <v>44.333333333333343</v>
      </c>
      <c r="Q117" s="35">
        <f t="shared" si="28"/>
        <v>42.697072499177274</v>
      </c>
      <c r="R117" s="35">
        <f t="shared" si="23"/>
        <v>-1.6362608341560687</v>
      </c>
      <c r="S117" s="66">
        <f t="shared" si="29"/>
        <v>-3.6908139116302294</v>
      </c>
      <c r="T117" s="19" t="str">
        <f>IFERROR(VLOOKUP(G117,'ABC Analysis'!$E$18:$M$138,9,0),0)</f>
        <v>B</v>
      </c>
      <c r="U117" s="22">
        <f>IFERROR(VLOOKUP(G117,'ABC Analysis'!$E$18:$G$138,3,0),0)</f>
        <v>5.516029978156054E-3</v>
      </c>
    </row>
    <row r="118" spans="1:21" hidden="1" x14ac:dyDescent="0.35">
      <c r="A118" s="14" t="s">
        <v>380</v>
      </c>
      <c r="B118">
        <v>416</v>
      </c>
      <c r="C118">
        <v>6</v>
      </c>
      <c r="D118" s="57">
        <v>52.833333333333336</v>
      </c>
      <c r="E118" s="1">
        <v>3.2133333333333329</v>
      </c>
      <c r="F118" s="1"/>
      <c r="G118" s="14" t="s">
        <v>380</v>
      </c>
      <c r="H118">
        <v>416</v>
      </c>
      <c r="I118" s="34">
        <v>0.25</v>
      </c>
      <c r="J118" s="32">
        <v>3.2133333333333329</v>
      </c>
      <c r="K118" s="35">
        <f t="shared" si="24"/>
        <v>0.80333333333333323</v>
      </c>
      <c r="L118">
        <f t="shared" si="25"/>
        <v>6</v>
      </c>
      <c r="M118" s="56">
        <f t="shared" si="21"/>
        <v>53</v>
      </c>
      <c r="N118" s="41">
        <f t="shared" si="26"/>
        <v>57.688820407423826</v>
      </c>
      <c r="O118" s="41">
        <f t="shared" si="27"/>
        <v>7.2111025509279791</v>
      </c>
      <c r="P118" s="35">
        <f t="shared" si="22"/>
        <v>46.509968553459117</v>
      </c>
      <c r="Q118" s="35">
        <f t="shared" si="28"/>
        <v>46.343352393963798</v>
      </c>
      <c r="R118" s="35">
        <f t="shared" si="23"/>
        <v>-0.16661615949531949</v>
      </c>
      <c r="S118" s="66">
        <f t="shared" si="29"/>
        <v>-0.35823752343287196</v>
      </c>
      <c r="T118" s="19" t="str">
        <f>IFERROR(VLOOKUP(G118,'ABC Analysis'!$E$18:$M$138,9,0),0)</f>
        <v>B</v>
      </c>
      <c r="U118" s="22">
        <f>IFERROR(VLOOKUP(G118,'ABC Analysis'!$E$18:$G$138,3,0),0)</f>
        <v>4.8592767511623294E-3</v>
      </c>
    </row>
    <row r="119" spans="1:21" hidden="1" x14ac:dyDescent="0.35">
      <c r="A119" s="14" t="s">
        <v>1179</v>
      </c>
      <c r="B119">
        <v>626</v>
      </c>
      <c r="C119">
        <v>9</v>
      </c>
      <c r="D119" s="57">
        <v>64.555555555555557</v>
      </c>
      <c r="E119" s="1">
        <v>2</v>
      </c>
      <c r="F119" s="1"/>
      <c r="G119" s="14" t="s">
        <v>1179</v>
      </c>
      <c r="H119">
        <v>626</v>
      </c>
      <c r="I119" s="34">
        <v>0.25</v>
      </c>
      <c r="J119" s="32">
        <v>2</v>
      </c>
      <c r="K119" s="35">
        <f t="shared" si="24"/>
        <v>0.5</v>
      </c>
      <c r="L119">
        <f t="shared" si="25"/>
        <v>9</v>
      </c>
      <c r="M119" s="56">
        <f t="shared" si="21"/>
        <v>65</v>
      </c>
      <c r="N119" s="41">
        <f t="shared" si="26"/>
        <v>70.767224051816527</v>
      </c>
      <c r="O119" s="41">
        <f t="shared" si="27"/>
        <v>8.8459030064770658</v>
      </c>
      <c r="P119" s="35">
        <f t="shared" si="22"/>
        <v>35.511538461538464</v>
      </c>
      <c r="Q119" s="35">
        <f t="shared" si="28"/>
        <v>35.383612025908263</v>
      </c>
      <c r="R119" s="35">
        <f t="shared" si="23"/>
        <v>-0.12792643563020079</v>
      </c>
      <c r="S119" s="66">
        <f t="shared" si="29"/>
        <v>-0.36023906924999677</v>
      </c>
      <c r="T119" s="19" t="str">
        <f>IFERROR(VLOOKUP(G119,'ABC Analysis'!$E$18:$M$138,9,0),0)</f>
        <v>B</v>
      </c>
      <c r="U119" s="22">
        <f>IFERROR(VLOOKUP(G119,'ABC Analysis'!$E$18:$G$138,3,0),0)</f>
        <v>4.5458593553524091E-3</v>
      </c>
    </row>
    <row r="120" spans="1:21" hidden="1" x14ac:dyDescent="0.35">
      <c r="A120" s="14" t="s">
        <v>526</v>
      </c>
      <c r="B120">
        <v>266</v>
      </c>
      <c r="C120">
        <v>4</v>
      </c>
      <c r="D120" s="57">
        <v>39.75</v>
      </c>
      <c r="E120" s="1">
        <v>1.4400000000000002</v>
      </c>
      <c r="F120" s="1"/>
      <c r="G120" s="14" t="s">
        <v>526</v>
      </c>
      <c r="H120">
        <v>266</v>
      </c>
      <c r="I120" s="34">
        <v>0.25</v>
      </c>
      <c r="J120" s="32">
        <v>1.4400000000000002</v>
      </c>
      <c r="K120" s="35">
        <f t="shared" si="24"/>
        <v>0.36000000000000004</v>
      </c>
      <c r="L120">
        <f t="shared" si="25"/>
        <v>4</v>
      </c>
      <c r="M120" s="56">
        <f t="shared" si="21"/>
        <v>40</v>
      </c>
      <c r="N120" s="41">
        <f t="shared" si="26"/>
        <v>46.130250378683186</v>
      </c>
      <c r="O120" s="41">
        <f t="shared" si="27"/>
        <v>5.7662812973353974</v>
      </c>
      <c r="P120" s="35">
        <f t="shared" si="22"/>
        <v>16.776000000000003</v>
      </c>
      <c r="Q120" s="35">
        <f t="shared" si="28"/>
        <v>16.606890136325948</v>
      </c>
      <c r="R120" s="35">
        <f t="shared" si="23"/>
        <v>-0.16910986367405556</v>
      </c>
      <c r="S120" s="66">
        <f t="shared" si="29"/>
        <v>-1.0080463976755814</v>
      </c>
      <c r="T120" s="19" t="str">
        <f>IFERROR(VLOOKUP(G120,'ABC Analysis'!$E$18:$M$138,9,0),0)</f>
        <v>C</v>
      </c>
      <c r="U120" s="22">
        <f>IFERROR(VLOOKUP(G120,'ABC Analysis'!$E$18:$G$138,3,0),0)</f>
        <v>1.3907715395161239E-3</v>
      </c>
    </row>
    <row r="121" spans="1:21" hidden="1" x14ac:dyDescent="0.35">
      <c r="A121" s="14" t="s">
        <v>574</v>
      </c>
      <c r="B121">
        <v>575</v>
      </c>
      <c r="C121">
        <v>11</v>
      </c>
      <c r="D121" s="57">
        <v>47.545454545454547</v>
      </c>
      <c r="E121" s="1">
        <v>1.5999999999999999</v>
      </c>
      <c r="F121" s="1"/>
      <c r="G121" s="14" t="s">
        <v>574</v>
      </c>
      <c r="H121">
        <v>575</v>
      </c>
      <c r="I121" s="34">
        <v>0.25</v>
      </c>
      <c r="J121" s="32">
        <v>1.5999999999999999</v>
      </c>
      <c r="K121" s="35">
        <f t="shared" si="24"/>
        <v>0.39999999999999997</v>
      </c>
      <c r="L121">
        <f t="shared" si="25"/>
        <v>11</v>
      </c>
      <c r="M121" s="56">
        <f t="shared" si="21"/>
        <v>48</v>
      </c>
      <c r="N121" s="41">
        <f t="shared" si="26"/>
        <v>67.823299831252683</v>
      </c>
      <c r="O121" s="41">
        <f t="shared" si="27"/>
        <v>8.4779124789065854</v>
      </c>
      <c r="P121" s="35">
        <f t="shared" si="22"/>
        <v>28.766666666666666</v>
      </c>
      <c r="Q121" s="35">
        <f t="shared" si="28"/>
        <v>27.129319932501073</v>
      </c>
      <c r="R121" s="35">
        <f t="shared" si="23"/>
        <v>-1.6373467341655932</v>
      </c>
      <c r="S121" s="66">
        <f t="shared" si="29"/>
        <v>-5.6918194698688067</v>
      </c>
      <c r="T121" s="19" t="str">
        <f>IFERROR(VLOOKUP(G121,'ABC Analysis'!$E$18:$M$138,9,0),0)</f>
        <v>B</v>
      </c>
      <c r="U121" s="22">
        <f>IFERROR(VLOOKUP(G121,'ABC Analysis'!$E$18:$G$138,3,0),0)</f>
        <v>3.3404078330065631E-3</v>
      </c>
    </row>
    <row r="122" spans="1:21" x14ac:dyDescent="0.35">
      <c r="A122" s="14" t="s">
        <v>517</v>
      </c>
      <c r="B122">
        <v>637</v>
      </c>
      <c r="C122">
        <v>10</v>
      </c>
      <c r="D122" s="57">
        <v>48.8</v>
      </c>
      <c r="E122" s="1">
        <v>20.084000000000003</v>
      </c>
      <c r="F122" s="1"/>
      <c r="G122" s="14" t="s">
        <v>42</v>
      </c>
      <c r="H122">
        <v>284</v>
      </c>
      <c r="I122" s="34">
        <v>0.25</v>
      </c>
      <c r="J122" s="32">
        <v>5.6000000000000005</v>
      </c>
      <c r="K122" s="35">
        <f t="shared" si="24"/>
        <v>1.4000000000000001</v>
      </c>
      <c r="L122">
        <f t="shared" si="25"/>
        <v>4</v>
      </c>
      <c r="M122" s="56">
        <f t="shared" si="21"/>
        <v>43</v>
      </c>
      <c r="N122" s="41">
        <f t="shared" si="26"/>
        <v>47.665501151251938</v>
      </c>
      <c r="O122" s="41">
        <f t="shared" si="27"/>
        <v>5.9581876439064931</v>
      </c>
      <c r="P122" s="35">
        <f t="shared" si="22"/>
        <v>67.086046511627913</v>
      </c>
      <c r="Q122" s="35">
        <f t="shared" si="28"/>
        <v>66.731701611752726</v>
      </c>
      <c r="R122" s="35">
        <f t="shared" si="23"/>
        <v>-0.35434489987518702</v>
      </c>
      <c r="S122" s="66">
        <f t="shared" si="29"/>
        <v>-0.52819463703792557</v>
      </c>
      <c r="T122" s="19" t="str">
        <f>IFERROR(VLOOKUP(G122,'ABC Analysis'!$E$18:$M$138,9,0),0)</f>
        <v>A</v>
      </c>
      <c r="U122" s="22">
        <f>IFERROR(VLOOKUP(G122,'ABC Analysis'!$E$18:$G$138,3,0),0)</f>
        <v>5.7745484974061276E-3</v>
      </c>
    </row>
    <row r="123" spans="1:21" hidden="1" x14ac:dyDescent="0.35">
      <c r="A123" s="14" t="s">
        <v>216</v>
      </c>
      <c r="B123">
        <v>332</v>
      </c>
      <c r="C123">
        <v>4</v>
      </c>
      <c r="D123" s="57">
        <v>30.25</v>
      </c>
      <c r="E123" s="1">
        <v>2.8000000000000003</v>
      </c>
      <c r="F123" s="1"/>
      <c r="G123" s="14" t="s">
        <v>216</v>
      </c>
      <c r="H123">
        <v>332</v>
      </c>
      <c r="I123" s="34">
        <v>0.25</v>
      </c>
      <c r="J123" s="32">
        <v>2.8000000000000003</v>
      </c>
      <c r="K123" s="35">
        <f t="shared" si="24"/>
        <v>0.70000000000000007</v>
      </c>
      <c r="L123">
        <f t="shared" si="25"/>
        <v>4</v>
      </c>
      <c r="M123" s="56">
        <f t="shared" si="21"/>
        <v>30</v>
      </c>
      <c r="N123" s="41">
        <f t="shared" si="26"/>
        <v>51.536394906900505</v>
      </c>
      <c r="O123" s="41">
        <f t="shared" si="27"/>
        <v>6.4420493633625622</v>
      </c>
      <c r="P123" s="35">
        <f t="shared" si="22"/>
        <v>41.486666666666672</v>
      </c>
      <c r="Q123" s="35">
        <f t="shared" si="28"/>
        <v>36.07547643483035</v>
      </c>
      <c r="R123" s="35">
        <f t="shared" si="23"/>
        <v>-5.4111902318363221</v>
      </c>
      <c r="S123" s="66">
        <f t="shared" si="29"/>
        <v>-13.043203194206143</v>
      </c>
      <c r="T123" s="19" t="str">
        <f>IFERROR(VLOOKUP(G123,'ABC Analysis'!$E$18:$M$138,9,0),0)</f>
        <v>B</v>
      </c>
      <c r="U123" s="22">
        <f>IFERROR(VLOOKUP(G123,'ABC Analysis'!$E$18:$G$138,3,0),0)</f>
        <v>3.37526426256837E-3</v>
      </c>
    </row>
    <row r="124" spans="1:21" hidden="1" x14ac:dyDescent="0.35">
      <c r="A124" s="14" t="s">
        <v>121</v>
      </c>
      <c r="B124">
        <v>367</v>
      </c>
      <c r="C124">
        <v>8</v>
      </c>
      <c r="D124" s="57">
        <v>56.875</v>
      </c>
      <c r="E124" s="1">
        <v>2.1850000000000001</v>
      </c>
      <c r="F124" s="1"/>
      <c r="G124" s="14" t="s">
        <v>121</v>
      </c>
      <c r="H124">
        <v>367</v>
      </c>
      <c r="I124" s="34">
        <v>0.25</v>
      </c>
      <c r="J124" s="32">
        <v>2.1850000000000001</v>
      </c>
      <c r="K124" s="35">
        <f t="shared" si="24"/>
        <v>0.54625000000000001</v>
      </c>
      <c r="L124">
        <f t="shared" si="25"/>
        <v>8</v>
      </c>
      <c r="M124" s="56">
        <f t="shared" si="21"/>
        <v>57</v>
      </c>
      <c r="N124" s="41">
        <f t="shared" si="26"/>
        <v>54.184868736576263</v>
      </c>
      <c r="O124" s="41">
        <f t="shared" si="27"/>
        <v>6.7731085920720338</v>
      </c>
      <c r="P124" s="35">
        <f t="shared" si="22"/>
        <v>29.636458333333334</v>
      </c>
      <c r="Q124" s="35">
        <f t="shared" si="28"/>
        <v>29.598484547354786</v>
      </c>
      <c r="R124" s="35">
        <f t="shared" si="23"/>
        <v>-3.797378597854717E-2</v>
      </c>
      <c r="S124" s="66">
        <f t="shared" si="29"/>
        <v>-0.12813199725635402</v>
      </c>
      <c r="T124" s="19" t="str">
        <f>IFERROR(VLOOKUP(G124,'ABC Analysis'!$E$18:$M$138,9,0),0)</f>
        <v>C</v>
      </c>
      <c r="U124" s="22">
        <f>IFERROR(VLOOKUP(G124,'ABC Analysis'!$E$18:$G$138,3,0),0)</f>
        <v>2.9121094547658517E-3</v>
      </c>
    </row>
    <row r="125" spans="1:21" x14ac:dyDescent="0.35">
      <c r="A125" s="14" t="s">
        <v>333</v>
      </c>
      <c r="B125">
        <v>484</v>
      </c>
      <c r="C125">
        <v>8</v>
      </c>
      <c r="D125" s="57">
        <v>48.125</v>
      </c>
      <c r="E125" s="1">
        <v>7.95</v>
      </c>
      <c r="F125" s="1"/>
      <c r="G125" s="14" t="s">
        <v>1369</v>
      </c>
      <c r="H125">
        <v>485</v>
      </c>
      <c r="I125" s="34">
        <v>0.25</v>
      </c>
      <c r="J125" s="32">
        <v>3.2444444444444445</v>
      </c>
      <c r="K125" s="35">
        <f t="shared" si="24"/>
        <v>0.81111111111111112</v>
      </c>
      <c r="L125">
        <f t="shared" si="25"/>
        <v>9</v>
      </c>
      <c r="M125" s="56">
        <f t="shared" si="21"/>
        <v>56</v>
      </c>
      <c r="N125" s="41">
        <f t="shared" si="26"/>
        <v>62.289646009589745</v>
      </c>
      <c r="O125" s="41">
        <f t="shared" si="27"/>
        <v>7.786205751198719</v>
      </c>
      <c r="P125" s="35">
        <f t="shared" si="22"/>
        <v>50.810317460317464</v>
      </c>
      <c r="Q125" s="35">
        <f t="shared" si="28"/>
        <v>50.523823985556135</v>
      </c>
      <c r="R125" s="35">
        <f t="shared" si="23"/>
        <v>-0.28649347476132903</v>
      </c>
      <c r="S125" s="66">
        <f t="shared" si="29"/>
        <v>-0.56384901547816269</v>
      </c>
      <c r="T125" s="19" t="str">
        <f>IFERROR(VLOOKUP(G125,'ABC Analysis'!$E$18:$M$138,9,0),0)</f>
        <v>A</v>
      </c>
      <c r="U125" s="22">
        <f>IFERROR(VLOOKUP(G125,'ABC Analysis'!$E$18:$G$138,3,0),0)</f>
        <v>5.7091926919777391E-3</v>
      </c>
    </row>
    <row r="126" spans="1:21" hidden="1" x14ac:dyDescent="0.35">
      <c r="A126" s="14" t="s">
        <v>70</v>
      </c>
      <c r="B126">
        <v>517</v>
      </c>
      <c r="C126">
        <v>9</v>
      </c>
      <c r="D126" s="57">
        <v>57.111111111111114</v>
      </c>
      <c r="E126" s="1">
        <v>1.3911111111111112</v>
      </c>
      <c r="F126" s="1"/>
      <c r="G126" s="14" t="s">
        <v>70</v>
      </c>
      <c r="H126">
        <v>517</v>
      </c>
      <c r="I126" s="34">
        <v>0.25</v>
      </c>
      <c r="J126" s="32">
        <v>1.3911111111111112</v>
      </c>
      <c r="K126" s="35">
        <f>I126*J126</f>
        <v>0.3477777777777778</v>
      </c>
      <c r="L126" s="35"/>
      <c r="M126" s="56">
        <f t="shared" si="21"/>
        <v>57</v>
      </c>
      <c r="N126" s="41">
        <f>SQRT((2*H126*J126)/K126)</f>
        <v>64.311740763254107</v>
      </c>
      <c r="O126" s="41">
        <f>H126/N126</f>
        <v>8.0389675954067634</v>
      </c>
      <c r="P126" s="35">
        <f t="shared" si="22"/>
        <v>22.529288499025341</v>
      </c>
      <c r="Q126" s="35">
        <f t="shared" si="28"/>
        <v>22.366194287665042</v>
      </c>
      <c r="R126" s="35">
        <f t="shared" si="23"/>
        <v>-0.16309421136029911</v>
      </c>
      <c r="S126" s="66">
        <f>(Q126-P126)/P126*100</f>
        <v>-0.72392082585011441</v>
      </c>
      <c r="T126" s="19" t="str">
        <f>IFERROR(VLOOKUP(G126,'ABC Analysis'!$E$18:$M$138,9,0),0)</f>
        <v>C</v>
      </c>
      <c r="U126" s="22">
        <f>IFERROR(VLOOKUP(G126,'ABC Analysis'!$E$18:$G$138,3,0),0)</f>
        <v>2.6108918093025644E-3</v>
      </c>
    </row>
    <row r="127" spans="1:21" hidden="1" x14ac:dyDescent="0.35">
      <c r="A127" s="14" t="s">
        <v>1109</v>
      </c>
      <c r="B127">
        <v>477</v>
      </c>
      <c r="C127">
        <v>10</v>
      </c>
      <c r="D127" s="57">
        <v>51.9</v>
      </c>
      <c r="E127" s="1">
        <v>2</v>
      </c>
      <c r="F127" s="1"/>
      <c r="G127" s="14" t="s">
        <v>1109</v>
      </c>
      <c r="H127">
        <v>477</v>
      </c>
      <c r="I127" s="34">
        <v>0.25</v>
      </c>
      <c r="J127" s="32">
        <v>2</v>
      </c>
      <c r="K127" s="35">
        <f>I127*J127</f>
        <v>0.5</v>
      </c>
      <c r="L127" s="35"/>
      <c r="M127" s="56">
        <f t="shared" si="21"/>
        <v>52</v>
      </c>
      <c r="N127" s="41">
        <f>SQRT((2*H127*J127)/K127)</f>
        <v>61.773780845922005</v>
      </c>
      <c r="O127" s="41">
        <f>H127/N127</f>
        <v>7.7217226057402497</v>
      </c>
      <c r="P127" s="35">
        <f t="shared" si="22"/>
        <v>31.346153846153847</v>
      </c>
      <c r="Q127" s="35">
        <f t="shared" si="28"/>
        <v>30.886890422961002</v>
      </c>
      <c r="R127" s="35">
        <f t="shared" si="23"/>
        <v>-0.4592634231928443</v>
      </c>
      <c r="S127" s="66">
        <f>(Q127-P127)/P127*100</f>
        <v>-1.4651348469955769</v>
      </c>
      <c r="T127" s="19" t="str">
        <f>IFERROR(VLOOKUP(G127,'ABC Analysis'!$E$18:$M$138,9,0),0)</f>
        <v>B</v>
      </c>
      <c r="U127" s="22">
        <f>IFERROR(VLOOKUP(G127,'ABC Analysis'!$E$18:$G$138,3,0),0)</f>
        <v>3.4638576877046314E-3</v>
      </c>
    </row>
    <row r="128" spans="1:21" x14ac:dyDescent="0.35">
      <c r="A128" s="14" t="s">
        <v>3469</v>
      </c>
      <c r="B128">
        <v>58336</v>
      </c>
      <c r="C128">
        <v>990</v>
      </c>
      <c r="D128" s="57">
        <v>51.913131313131316</v>
      </c>
      <c r="E128" s="1">
        <v>4.739353535353529</v>
      </c>
      <c r="F128" s="1"/>
      <c r="G128" s="32"/>
      <c r="H128" s="35"/>
    </row>
  </sheetData>
  <autoFilter ref="G6:U127" xr:uid="{8340FA10-6CC6-4F92-BE9F-CF54F1898F39}">
    <filterColumn colId="13">
      <filters>
        <filter val="A"/>
      </filters>
    </filterColumn>
  </autoFilter>
  <mergeCells count="3">
    <mergeCell ref="N5:O5"/>
    <mergeCell ref="A2:U3"/>
    <mergeCell ref="P5:U5"/>
  </mergeCells>
  <conditionalFormatting sqref="T6:U6">
    <cfRule type="cellIs" dxfId="18" priority="2" operator="equal">
      <formula>"Under Capacity"</formula>
    </cfRule>
    <cfRule type="cellIs" dxfId="17" priority="3" operator="equal">
      <formula>"Under Capacity"</formula>
    </cfRule>
    <cfRule type="cellIs" dxfId="16" priority="4" operator="equal">
      <formula>"Over Capacity"</formula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9BCF-480E-419D-9BB9-09071BFB645A}">
  <dimension ref="A1:Z782"/>
  <sheetViews>
    <sheetView topLeftCell="A724" zoomScale="76" workbookViewId="0">
      <selection activeCell="R749" sqref="R749"/>
    </sheetView>
  </sheetViews>
  <sheetFormatPr defaultRowHeight="14.5" x14ac:dyDescent="0.35"/>
  <cols>
    <col min="1" max="1" width="19.7265625" bestFit="1" customWidth="1"/>
    <col min="2" max="2" width="16.453125" bestFit="1" customWidth="1"/>
    <col min="3" max="3" width="15.90625" bestFit="1" customWidth="1"/>
    <col min="4" max="5" width="20.1796875" bestFit="1" customWidth="1"/>
    <col min="6" max="6" width="17.90625" bestFit="1" customWidth="1"/>
    <col min="7" max="7" width="15.1796875" bestFit="1" customWidth="1"/>
    <col min="8" max="8" width="20.6328125" customWidth="1"/>
    <col min="9" max="9" width="13.81640625" customWidth="1"/>
    <col min="10" max="10" width="15.6328125" customWidth="1"/>
    <col min="11" max="11" width="10.1796875" hidden="1" customWidth="1"/>
    <col min="12" max="12" width="11.6328125" customWidth="1"/>
    <col min="13" max="13" width="11.6328125" style="19" customWidth="1"/>
    <col min="14" max="14" width="11.54296875" style="19" bestFit="1" customWidth="1"/>
    <col min="15" max="15" width="9.81640625" bestFit="1" customWidth="1"/>
    <col min="16" max="16" width="7.54296875" bestFit="1" customWidth="1"/>
    <col min="17" max="17" width="8.36328125" bestFit="1" customWidth="1"/>
    <col min="18" max="18" width="7" bestFit="1" customWidth="1"/>
    <col min="19" max="19" width="14.54296875" hidden="1" customWidth="1"/>
    <col min="20" max="25" width="12.36328125" hidden="1" customWidth="1"/>
    <col min="26" max="26" width="13.7265625" hidden="1" customWidth="1"/>
    <col min="27" max="27" width="10.7265625" bestFit="1" customWidth="1"/>
    <col min="28" max="28" width="11.6328125" bestFit="1" customWidth="1"/>
    <col min="29" max="29" width="9.7265625" bestFit="1" customWidth="1"/>
    <col min="30" max="30" width="9.6328125" bestFit="1" customWidth="1"/>
    <col min="31" max="31" width="8.81640625" bestFit="1" customWidth="1"/>
    <col min="32" max="32" width="7.7265625" bestFit="1" customWidth="1"/>
    <col min="33" max="33" width="9.26953125" bestFit="1" customWidth="1"/>
    <col min="34" max="34" width="7.90625" bestFit="1" customWidth="1"/>
    <col min="35" max="35" width="7.1796875" bestFit="1" customWidth="1"/>
    <col min="36" max="36" width="8.81640625" bestFit="1" customWidth="1"/>
    <col min="37" max="37" width="7.7265625" bestFit="1" customWidth="1"/>
    <col min="38" max="38" width="8.26953125" bestFit="1" customWidth="1"/>
    <col min="39" max="39" width="7.08984375" bestFit="1" customWidth="1"/>
    <col min="40" max="40" width="12.453125" bestFit="1" customWidth="1"/>
    <col min="41" max="41" width="11.6328125" bestFit="1" customWidth="1"/>
    <col min="42" max="42" width="7.453125" bestFit="1" customWidth="1"/>
    <col min="43" max="43" width="7.6328125" bestFit="1" customWidth="1"/>
    <col min="44" max="44" width="7.08984375" bestFit="1" customWidth="1"/>
    <col min="45" max="45" width="7.90625" bestFit="1" customWidth="1"/>
    <col min="46" max="46" width="7.36328125" bestFit="1" customWidth="1"/>
    <col min="48" max="48" width="7.90625" bestFit="1" customWidth="1"/>
    <col min="49" max="49" width="7.6328125" bestFit="1" customWidth="1"/>
    <col min="50" max="50" width="5.1796875" bestFit="1" customWidth="1"/>
    <col min="51" max="51" width="11.90625" bestFit="1" customWidth="1"/>
    <col min="52" max="52" width="9" bestFit="1" customWidth="1"/>
    <col min="53" max="53" width="8.08984375" bestFit="1" customWidth="1"/>
    <col min="54" max="54" width="6.81640625" bestFit="1" customWidth="1"/>
    <col min="55" max="55" width="7.08984375" bestFit="1" customWidth="1"/>
    <col min="56" max="56" width="7.36328125" bestFit="1" customWidth="1"/>
    <col min="57" max="58" width="8.453125" bestFit="1" customWidth="1"/>
    <col min="59" max="59" width="8.6328125" bestFit="1" customWidth="1"/>
    <col min="60" max="60" width="7.81640625" bestFit="1" customWidth="1"/>
    <col min="61" max="61" width="10.26953125" bestFit="1" customWidth="1"/>
    <col min="62" max="62" width="6.54296875" bestFit="1" customWidth="1"/>
    <col min="63" max="63" width="8.1796875" bestFit="1" customWidth="1"/>
    <col min="64" max="64" width="7" bestFit="1" customWidth="1"/>
    <col min="65" max="65" width="7.6328125" bestFit="1" customWidth="1"/>
    <col min="66" max="66" width="5.90625" bestFit="1" customWidth="1"/>
    <col min="67" max="67" width="5.36328125" bestFit="1" customWidth="1"/>
    <col min="68" max="68" width="5.90625" bestFit="1" customWidth="1"/>
    <col min="69" max="69" width="4.54296875" bestFit="1" customWidth="1"/>
    <col min="70" max="70" width="4.81640625" bestFit="1" customWidth="1"/>
    <col min="71" max="71" width="5.36328125" bestFit="1" customWidth="1"/>
    <col min="72" max="72" width="8.26953125" bestFit="1" customWidth="1"/>
    <col min="73" max="73" width="6.81640625" bestFit="1" customWidth="1"/>
    <col min="74" max="74" width="9.26953125" bestFit="1" customWidth="1"/>
    <col min="75" max="75" width="7.453125" bestFit="1" customWidth="1"/>
    <col min="76" max="76" width="8.453125" bestFit="1" customWidth="1"/>
    <col min="77" max="77" width="4.81640625" bestFit="1" customWidth="1"/>
    <col min="78" max="78" width="7" bestFit="1" customWidth="1"/>
    <col min="79" max="79" width="4.54296875" bestFit="1" customWidth="1"/>
    <col min="80" max="80" width="4" bestFit="1" customWidth="1"/>
    <col min="81" max="81" width="5.90625" bestFit="1" customWidth="1"/>
    <col min="82" max="82" width="8.54296875" bestFit="1" customWidth="1"/>
    <col min="83" max="83" width="4.26953125" bestFit="1" customWidth="1"/>
    <col min="84" max="84" width="7.90625" bestFit="1" customWidth="1"/>
    <col min="85" max="85" width="7.6328125" bestFit="1" customWidth="1"/>
    <col min="86" max="87" width="7.81640625" bestFit="1" customWidth="1"/>
    <col min="88" max="88" width="10.26953125" bestFit="1" customWidth="1"/>
    <col min="89" max="89" width="8.81640625" bestFit="1" customWidth="1"/>
    <col min="90" max="90" width="9.36328125" bestFit="1" customWidth="1"/>
    <col min="91" max="91" width="7.54296875" bestFit="1" customWidth="1"/>
    <col min="92" max="92" width="8.08984375" bestFit="1" customWidth="1"/>
    <col min="93" max="93" width="8.1796875" bestFit="1" customWidth="1"/>
    <col min="94" max="94" width="7.6328125" bestFit="1" customWidth="1"/>
    <col min="95" max="95" width="9.08984375" bestFit="1" customWidth="1"/>
    <col min="96" max="96" width="6.81640625" bestFit="1" customWidth="1"/>
    <col min="97" max="97" width="7.36328125" bestFit="1" customWidth="1"/>
    <col min="98" max="98" width="7.6328125" bestFit="1" customWidth="1"/>
    <col min="99" max="99" width="8.1796875" bestFit="1" customWidth="1"/>
    <col min="100" max="100" width="7.90625" bestFit="1" customWidth="1"/>
    <col min="101" max="101" width="7.6328125" bestFit="1" customWidth="1"/>
    <col min="102" max="102" width="5.1796875" bestFit="1" customWidth="1"/>
    <col min="103" max="103" width="6" bestFit="1" customWidth="1"/>
    <col min="104" max="104" width="7.54296875" bestFit="1" customWidth="1"/>
    <col min="105" max="105" width="7.90625" bestFit="1" customWidth="1"/>
    <col min="106" max="106" width="9" bestFit="1" customWidth="1"/>
    <col min="107" max="107" width="9.08984375" bestFit="1" customWidth="1"/>
    <col min="108" max="108" width="7.81640625" bestFit="1" customWidth="1"/>
    <col min="109" max="109" width="8.36328125" bestFit="1" customWidth="1"/>
    <col min="110" max="110" width="5.6328125" bestFit="1" customWidth="1"/>
    <col min="111" max="111" width="3.81640625" bestFit="1" customWidth="1"/>
    <col min="112" max="112" width="10.36328125" bestFit="1" customWidth="1"/>
    <col min="113" max="113" width="12.08984375" bestFit="1" customWidth="1"/>
    <col min="114" max="114" width="11.36328125" bestFit="1" customWidth="1"/>
    <col min="115" max="115" width="10.08984375" bestFit="1" customWidth="1"/>
    <col min="116" max="116" width="5.08984375" bestFit="1" customWidth="1"/>
    <col min="117" max="117" width="5.54296875" bestFit="1" customWidth="1"/>
    <col min="118" max="118" width="5.36328125" bestFit="1" customWidth="1"/>
    <col min="119" max="119" width="4.36328125" bestFit="1" customWidth="1"/>
    <col min="120" max="120" width="7.54296875" bestFit="1" customWidth="1"/>
    <col min="121" max="121" width="8.81640625" bestFit="1" customWidth="1"/>
    <col min="122" max="122" width="7.36328125" bestFit="1" customWidth="1"/>
    <col min="123" max="123" width="8.453125" bestFit="1" customWidth="1"/>
    <col min="124" max="124" width="4.453125" bestFit="1" customWidth="1"/>
    <col min="125" max="125" width="5" bestFit="1" customWidth="1"/>
    <col min="126" max="126" width="7.6328125" bestFit="1" customWidth="1"/>
    <col min="127" max="127" width="6.81640625" bestFit="1" customWidth="1"/>
    <col min="128" max="128" width="7.26953125" bestFit="1" customWidth="1"/>
    <col min="129" max="129" width="6.6328125" bestFit="1" customWidth="1"/>
    <col min="131" max="131" width="4.6328125" bestFit="1" customWidth="1"/>
    <col min="132" max="132" width="4.81640625" bestFit="1" customWidth="1"/>
    <col min="133" max="133" width="7.6328125" bestFit="1" customWidth="1"/>
    <col min="134" max="134" width="6.81640625" bestFit="1" customWidth="1"/>
    <col min="135" max="135" width="5.26953125" bestFit="1" customWidth="1"/>
    <col min="136" max="136" width="4.81640625" bestFit="1" customWidth="1"/>
    <col min="137" max="137" width="5.453125" bestFit="1" customWidth="1"/>
    <col min="138" max="138" width="7" bestFit="1" customWidth="1"/>
    <col min="139" max="139" width="6.54296875" bestFit="1" customWidth="1"/>
    <col min="140" max="140" width="8.54296875" bestFit="1" customWidth="1"/>
    <col min="141" max="141" width="6" bestFit="1" customWidth="1"/>
    <col min="142" max="142" width="4.26953125" bestFit="1" customWidth="1"/>
    <col min="143" max="143" width="4.1796875" bestFit="1" customWidth="1"/>
    <col min="144" max="144" width="4.6328125" bestFit="1" customWidth="1"/>
    <col min="145" max="145" width="4.26953125" bestFit="1" customWidth="1"/>
    <col min="146" max="146" width="5.90625" bestFit="1" customWidth="1"/>
    <col min="147" max="147" width="9.453125" bestFit="1" customWidth="1"/>
    <col min="148" max="148" width="8" bestFit="1" customWidth="1"/>
    <col min="149" max="149" width="7.90625" bestFit="1" customWidth="1"/>
    <col min="150" max="150" width="7" bestFit="1" customWidth="1"/>
    <col min="151" max="152" width="7.90625" bestFit="1" customWidth="1"/>
    <col min="153" max="153" width="5" bestFit="1" customWidth="1"/>
    <col min="154" max="154" width="7.81640625" bestFit="1" customWidth="1"/>
    <col min="155" max="155" width="6.1796875" bestFit="1" customWidth="1"/>
    <col min="156" max="156" width="9.26953125" bestFit="1" customWidth="1"/>
    <col min="157" max="157" width="7.81640625" bestFit="1" customWidth="1"/>
    <col min="158" max="158" width="6.08984375" bestFit="1" customWidth="1"/>
    <col min="159" max="159" width="7.453125" bestFit="1" customWidth="1"/>
    <col min="160" max="160" width="7.54296875" bestFit="1" customWidth="1"/>
    <col min="161" max="161" width="7.08984375" bestFit="1" customWidth="1"/>
    <col min="162" max="162" width="6.26953125" bestFit="1" customWidth="1"/>
    <col min="163" max="163" width="5.54296875" bestFit="1" customWidth="1"/>
    <col min="164" max="164" width="5.81640625" bestFit="1" customWidth="1"/>
    <col min="165" max="165" width="5.6328125" bestFit="1" customWidth="1"/>
    <col min="166" max="166" width="7.26953125" bestFit="1" customWidth="1"/>
    <col min="167" max="167" width="6" bestFit="1" customWidth="1"/>
    <col min="168" max="168" width="6.6328125" bestFit="1" customWidth="1"/>
    <col min="169" max="169" width="5.6328125" bestFit="1" customWidth="1"/>
    <col min="170" max="170" width="6.7265625" bestFit="1" customWidth="1"/>
    <col min="171" max="171" width="6.26953125" bestFit="1" customWidth="1"/>
    <col min="172" max="172" width="8.54296875" bestFit="1" customWidth="1"/>
    <col min="173" max="173" width="6" bestFit="1" customWidth="1"/>
    <col min="174" max="174" width="4.7265625" bestFit="1" customWidth="1"/>
    <col min="175" max="175" width="5.54296875" bestFit="1" customWidth="1"/>
    <col min="176" max="176" width="4.26953125" bestFit="1" customWidth="1"/>
    <col min="177" max="177" width="4.81640625" bestFit="1" customWidth="1"/>
    <col min="178" max="178" width="5.90625" bestFit="1" customWidth="1"/>
    <col min="179" max="179" width="5.36328125" bestFit="1" customWidth="1"/>
    <col min="180" max="180" width="4.90625" bestFit="1" customWidth="1"/>
    <col min="181" max="181" width="6.26953125" bestFit="1" customWidth="1"/>
    <col min="182" max="182" width="6.81640625" bestFit="1" customWidth="1"/>
    <col min="183" max="183" width="8.08984375" bestFit="1" customWidth="1"/>
    <col min="184" max="184" width="7.453125" bestFit="1" customWidth="1"/>
    <col min="185" max="185" width="6.1796875" bestFit="1" customWidth="1"/>
    <col min="186" max="186" width="4.08984375" bestFit="1" customWidth="1"/>
    <col min="187" max="187" width="10.08984375" bestFit="1" customWidth="1"/>
    <col min="188" max="188" width="9" bestFit="1" customWidth="1"/>
    <col min="189" max="189" width="9.6328125" bestFit="1" customWidth="1"/>
    <col min="190" max="190" width="9.08984375" bestFit="1" customWidth="1"/>
    <col min="191" max="191" width="8.36328125" bestFit="1" customWidth="1"/>
    <col min="192" max="192" width="10.6328125" bestFit="1" customWidth="1"/>
    <col min="193" max="193" width="7.6328125" bestFit="1" customWidth="1"/>
    <col min="194" max="194" width="7.26953125" bestFit="1" customWidth="1"/>
    <col min="195" max="195" width="6.453125" bestFit="1" customWidth="1"/>
    <col min="196" max="196" width="5" bestFit="1" customWidth="1"/>
    <col min="197" max="197" width="6.6328125" bestFit="1" customWidth="1"/>
    <col min="198" max="198" width="8" bestFit="1" customWidth="1"/>
    <col min="199" max="199" width="5.81640625" bestFit="1" customWidth="1"/>
    <col min="200" max="200" width="6.26953125" bestFit="1" customWidth="1"/>
    <col min="201" max="201" width="7" bestFit="1" customWidth="1"/>
    <col min="202" max="202" width="5.90625" bestFit="1" customWidth="1"/>
    <col min="203" max="203" width="5.453125" bestFit="1" customWidth="1"/>
    <col min="204" max="204" width="8" bestFit="1" customWidth="1"/>
    <col min="205" max="205" width="9.6328125" bestFit="1" customWidth="1"/>
    <col min="206" max="206" width="8.36328125" bestFit="1" customWidth="1"/>
    <col min="207" max="207" width="7.1796875" bestFit="1" customWidth="1"/>
    <col min="208" max="208" width="8.1796875" bestFit="1" customWidth="1"/>
    <col min="209" max="209" width="7.36328125" bestFit="1" customWidth="1"/>
    <col min="210" max="210" width="8.81640625" bestFit="1" customWidth="1"/>
    <col min="211" max="211" width="7" bestFit="1" customWidth="1"/>
    <col min="212" max="212" width="7.54296875" bestFit="1" customWidth="1"/>
    <col min="213" max="213" width="6.54296875" bestFit="1" customWidth="1"/>
    <col min="214" max="214" width="9.7265625" bestFit="1" customWidth="1"/>
    <col min="215" max="215" width="6.81640625" bestFit="1" customWidth="1"/>
    <col min="216" max="216" width="6.26953125" bestFit="1" customWidth="1"/>
    <col min="217" max="217" width="8.26953125" bestFit="1" customWidth="1"/>
    <col min="218" max="218" width="7.26953125" bestFit="1" customWidth="1"/>
    <col min="219" max="219" width="6.6328125" bestFit="1" customWidth="1"/>
    <col min="220" max="220" width="7.90625" bestFit="1" customWidth="1"/>
    <col min="221" max="221" width="7.36328125" bestFit="1" customWidth="1"/>
    <col min="222" max="222" width="6.08984375" bestFit="1" customWidth="1"/>
    <col min="223" max="223" width="10.453125" bestFit="1" customWidth="1"/>
    <col min="224" max="224" width="10.81640625" bestFit="1" customWidth="1"/>
    <col min="225" max="225" width="9.90625" bestFit="1" customWidth="1"/>
    <col min="226" max="226" width="9.26953125" bestFit="1" customWidth="1"/>
    <col min="227" max="227" width="7" bestFit="1" customWidth="1"/>
    <col min="228" max="228" width="5.36328125" bestFit="1" customWidth="1"/>
    <col min="229" max="229" width="6.453125" bestFit="1" customWidth="1"/>
    <col min="230" max="230" width="5.26953125" bestFit="1" customWidth="1"/>
    <col min="231" max="231" width="6.26953125" bestFit="1" customWidth="1"/>
    <col min="232" max="232" width="6.453125" bestFit="1" customWidth="1"/>
    <col min="233" max="233" width="5.90625" bestFit="1" customWidth="1"/>
    <col min="234" max="234" width="6.26953125" bestFit="1" customWidth="1"/>
    <col min="235" max="235" width="5.6328125" bestFit="1" customWidth="1"/>
    <col min="236" max="236" width="6" bestFit="1" customWidth="1"/>
    <col min="237" max="237" width="7.08984375" bestFit="1" customWidth="1"/>
    <col min="238" max="238" width="7.453125" bestFit="1" customWidth="1"/>
    <col min="239" max="239" width="9.26953125" bestFit="1" customWidth="1"/>
    <col min="240" max="240" width="8.1796875" bestFit="1" customWidth="1"/>
    <col min="241" max="241" width="6.08984375" bestFit="1" customWidth="1"/>
    <col min="242" max="242" width="5.7265625" bestFit="1" customWidth="1"/>
    <col min="243" max="243" width="6.1796875" bestFit="1" customWidth="1"/>
    <col min="244" max="244" width="6.90625" bestFit="1" customWidth="1"/>
    <col min="245" max="245" width="9.453125" bestFit="1" customWidth="1"/>
    <col min="246" max="246" width="5.6328125" bestFit="1" customWidth="1"/>
    <col min="247" max="247" width="8.36328125" bestFit="1" customWidth="1"/>
    <col min="248" max="248" width="6.26953125" bestFit="1" customWidth="1"/>
    <col min="249" max="249" width="7.36328125" bestFit="1" customWidth="1"/>
    <col min="250" max="250" width="7.453125" bestFit="1" customWidth="1"/>
    <col min="251" max="251" width="7.36328125" bestFit="1" customWidth="1"/>
    <col min="252" max="252" width="6.90625" bestFit="1" customWidth="1"/>
    <col min="253" max="253" width="7.6328125" bestFit="1" customWidth="1"/>
    <col min="254" max="254" width="6.36328125" bestFit="1" customWidth="1"/>
    <col min="255" max="255" width="7.54296875" bestFit="1" customWidth="1"/>
    <col min="256" max="256" width="8.6328125" bestFit="1" customWidth="1"/>
    <col min="257" max="257" width="4.81640625" bestFit="1" customWidth="1"/>
    <col min="258" max="258" width="4.453125" bestFit="1" customWidth="1"/>
    <col min="259" max="259" width="5.81640625" bestFit="1" customWidth="1"/>
    <col min="260" max="260" width="6.26953125" bestFit="1" customWidth="1"/>
    <col min="261" max="261" width="11.6328125" bestFit="1" customWidth="1"/>
    <col min="262" max="262" width="11.453125" bestFit="1" customWidth="1"/>
    <col min="263" max="263" width="13.1796875" bestFit="1" customWidth="1"/>
    <col min="264" max="264" width="10.81640625" bestFit="1" customWidth="1"/>
    <col min="265" max="265" width="13.6328125" bestFit="1" customWidth="1"/>
    <col min="266" max="266" width="12.90625" bestFit="1" customWidth="1"/>
    <col min="267" max="267" width="13" bestFit="1" customWidth="1"/>
    <col min="268" max="268" width="8.1796875" bestFit="1" customWidth="1"/>
    <col min="269" max="269" width="8.90625" bestFit="1" customWidth="1"/>
    <col min="270" max="270" width="10.90625" bestFit="1" customWidth="1"/>
    <col min="271" max="271" width="9.81640625" bestFit="1" customWidth="1"/>
    <col min="272" max="272" width="10.26953125" bestFit="1" customWidth="1"/>
    <col min="273" max="273" width="9.453125" bestFit="1" customWidth="1"/>
    <col min="274" max="274" width="9.90625" bestFit="1" customWidth="1"/>
    <col min="275" max="275" width="4.90625" bestFit="1" customWidth="1"/>
    <col min="276" max="276" width="5.7265625" bestFit="1" customWidth="1"/>
    <col min="277" max="277" width="6.81640625" bestFit="1" customWidth="1"/>
    <col min="278" max="278" width="6.90625" bestFit="1" customWidth="1"/>
    <col min="279" max="279" width="6.54296875" bestFit="1" customWidth="1"/>
    <col min="280" max="280" width="5.7265625" bestFit="1" customWidth="1"/>
    <col min="281" max="281" width="7" bestFit="1" customWidth="1"/>
    <col min="282" max="282" width="6.54296875" bestFit="1" customWidth="1"/>
    <col min="283" max="283" width="10.7265625" bestFit="1" customWidth="1"/>
    <col min="284" max="284" width="12.1796875" bestFit="1" customWidth="1"/>
    <col min="285" max="285" width="9.36328125" bestFit="1" customWidth="1"/>
    <col min="286" max="286" width="12.36328125" bestFit="1" customWidth="1"/>
    <col min="287" max="287" width="10.54296875" bestFit="1" customWidth="1"/>
    <col min="288" max="288" width="12" bestFit="1" customWidth="1"/>
    <col min="289" max="290" width="5.7265625" bestFit="1" customWidth="1"/>
    <col min="291" max="291" width="6.26953125" bestFit="1" customWidth="1"/>
    <col min="292" max="292" width="6.36328125" bestFit="1" customWidth="1"/>
    <col min="293" max="293" width="5.26953125" bestFit="1" customWidth="1"/>
    <col min="294" max="294" width="4.54296875" bestFit="1" customWidth="1"/>
    <col min="295" max="295" width="4" bestFit="1" customWidth="1"/>
    <col min="296" max="296" width="4.36328125" bestFit="1" customWidth="1"/>
    <col min="297" max="297" width="6.08984375" bestFit="1" customWidth="1"/>
    <col min="298" max="298" width="6.90625" bestFit="1" customWidth="1"/>
    <col min="299" max="299" width="7.453125" bestFit="1" customWidth="1"/>
    <col min="300" max="300" width="8.08984375" bestFit="1" customWidth="1"/>
    <col min="301" max="301" width="6.6328125" bestFit="1" customWidth="1"/>
    <col min="302" max="302" width="7" bestFit="1" customWidth="1"/>
    <col min="303" max="303" width="7.08984375" bestFit="1" customWidth="1"/>
    <col min="304" max="304" width="7.6328125" bestFit="1" customWidth="1"/>
    <col min="305" max="305" width="6.7265625" bestFit="1" customWidth="1"/>
    <col min="306" max="306" width="6.54296875" bestFit="1" customWidth="1"/>
    <col min="307" max="307" width="6.1796875" bestFit="1" customWidth="1"/>
    <col min="308" max="308" width="7.54296875" bestFit="1" customWidth="1"/>
    <col min="309" max="309" width="10.1796875" bestFit="1" customWidth="1"/>
    <col min="310" max="310" width="9.453125" bestFit="1" customWidth="1"/>
    <col min="311" max="311" width="9.7265625" bestFit="1" customWidth="1"/>
    <col min="312" max="312" width="5.90625" bestFit="1" customWidth="1"/>
    <col min="313" max="313" width="5.36328125" bestFit="1" customWidth="1"/>
    <col min="314" max="314" width="7.54296875" bestFit="1" customWidth="1"/>
    <col min="315" max="315" width="5.90625" bestFit="1" customWidth="1"/>
    <col min="316" max="316" width="6.1796875" bestFit="1" customWidth="1"/>
    <col min="317" max="317" width="7.54296875" bestFit="1" customWidth="1"/>
    <col min="318" max="318" width="5.90625" bestFit="1" customWidth="1"/>
    <col min="319" max="319" width="4.54296875" bestFit="1" customWidth="1"/>
    <col min="320" max="320" width="5.453125" bestFit="1" customWidth="1"/>
    <col min="321" max="321" width="5.08984375" bestFit="1" customWidth="1"/>
    <col min="322" max="322" width="6.1796875" bestFit="1" customWidth="1"/>
    <col min="323" max="323" width="6.7265625" bestFit="1" customWidth="1"/>
    <col min="324" max="324" width="4.453125" bestFit="1" customWidth="1"/>
    <col min="325" max="325" width="9.26953125" bestFit="1" customWidth="1"/>
    <col min="326" max="326" width="7.7265625" bestFit="1" customWidth="1"/>
    <col min="327" max="327" width="7.6328125" bestFit="1" customWidth="1"/>
    <col min="328" max="328" width="8" bestFit="1" customWidth="1"/>
    <col min="329" max="329" width="7.453125" bestFit="1" customWidth="1"/>
    <col min="330" max="330" width="5.90625" bestFit="1" customWidth="1"/>
    <col min="331" max="331" width="5.26953125" bestFit="1" customWidth="1"/>
    <col min="332" max="332" width="4.7265625" bestFit="1" customWidth="1"/>
    <col min="333" max="333" width="5.1796875" bestFit="1" customWidth="1"/>
    <col min="334" max="334" width="9.453125" bestFit="1" customWidth="1"/>
    <col min="336" max="336" width="11.26953125" bestFit="1" customWidth="1"/>
    <col min="337" max="337" width="9.6328125" bestFit="1" customWidth="1"/>
    <col min="338" max="338" width="7.90625" bestFit="1" customWidth="1"/>
    <col min="339" max="339" width="9.81640625" bestFit="1" customWidth="1"/>
    <col min="340" max="340" width="7" bestFit="1" customWidth="1"/>
    <col min="341" max="342" width="6" bestFit="1" customWidth="1"/>
    <col min="343" max="343" width="6.54296875" bestFit="1" customWidth="1"/>
    <col min="344" max="344" width="10.7265625" bestFit="1" customWidth="1"/>
  </cols>
  <sheetData>
    <row r="1" spans="1:26" ht="15" thickBot="1" x14ac:dyDescent="0.4"/>
    <row r="2" spans="1:26" x14ac:dyDescent="0.35">
      <c r="A2" s="118" t="s">
        <v>3563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</row>
    <row r="3" spans="1:26" ht="15" thickBot="1" x14ac:dyDescent="0.4">
      <c r="A3" s="119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26" x14ac:dyDescent="0.35">
      <c r="A4" s="14"/>
    </row>
    <row r="5" spans="1:26" x14ac:dyDescent="0.35">
      <c r="A5" s="14"/>
    </row>
    <row r="6" spans="1:26" x14ac:dyDescent="0.35">
      <c r="A6" s="13" t="s">
        <v>4</v>
      </c>
      <c r="B6" t="s">
        <v>3489</v>
      </c>
      <c r="G6" s="59" t="s">
        <v>3510</v>
      </c>
      <c r="H6" s="24">
        <v>5.2</v>
      </c>
    </row>
    <row r="7" spans="1:26" x14ac:dyDescent="0.35">
      <c r="G7" s="59" t="s">
        <v>3511</v>
      </c>
      <c r="H7" s="24">
        <v>1.65</v>
      </c>
    </row>
    <row r="8" spans="1:26" ht="30.5" customHeight="1" x14ac:dyDescent="0.35">
      <c r="A8" s="95" t="s">
        <v>3468</v>
      </c>
      <c r="B8" s="60" t="s">
        <v>3503</v>
      </c>
      <c r="C8" s="60" t="s">
        <v>3508</v>
      </c>
      <c r="D8" s="60" t="s">
        <v>3471</v>
      </c>
      <c r="E8" s="54"/>
      <c r="F8" s="82" t="s">
        <v>3550</v>
      </c>
      <c r="G8" s="83" t="s">
        <v>3502</v>
      </c>
      <c r="H8" s="83" t="s">
        <v>3506</v>
      </c>
      <c r="I8" s="83" t="s">
        <v>3504</v>
      </c>
      <c r="J8" s="83" t="s">
        <v>3507</v>
      </c>
      <c r="K8" s="71" t="s">
        <v>3509</v>
      </c>
      <c r="L8" s="84" t="s">
        <v>3520</v>
      </c>
      <c r="M8" s="83" t="s">
        <v>3477</v>
      </c>
      <c r="N8" s="83" t="s">
        <v>3546</v>
      </c>
      <c r="O8" s="83" t="s">
        <v>3540</v>
      </c>
      <c r="S8" s="88" t="s">
        <v>3549</v>
      </c>
      <c r="T8" s="83" t="s">
        <v>3502</v>
      </c>
      <c r="U8" s="83" t="s">
        <v>3506</v>
      </c>
      <c r="V8" s="83" t="s">
        <v>3504</v>
      </c>
      <c r="W8" s="83" t="s">
        <v>3507</v>
      </c>
      <c r="X8" s="84" t="s">
        <v>3520</v>
      </c>
      <c r="Y8" s="88" t="s">
        <v>3548</v>
      </c>
      <c r="Z8" s="88" t="s">
        <v>3547</v>
      </c>
    </row>
    <row r="9" spans="1:26" x14ac:dyDescent="0.35">
      <c r="A9" s="14" t="s">
        <v>75</v>
      </c>
      <c r="B9" s="41">
        <v>1432</v>
      </c>
      <c r="C9" s="57">
        <v>127.31510923801855</v>
      </c>
      <c r="D9">
        <v>585</v>
      </c>
      <c r="F9" s="72" t="s">
        <v>75</v>
      </c>
      <c r="G9" s="73"/>
      <c r="H9" s="81"/>
      <c r="I9" s="77"/>
      <c r="J9" s="77"/>
      <c r="K9" s="3"/>
      <c r="L9" s="76">
        <v>585</v>
      </c>
      <c r="M9" s="77"/>
      <c r="N9" s="85" t="str">
        <f>IFERROR(VLOOKUP(F9,'ABC Analysis'!$E$18:$M$138,9,0),0)</f>
        <v>A</v>
      </c>
      <c r="O9" s="86">
        <f>IFERROR(VLOOKUP(F9,'ABC Analysis'!$E$18:$G$138,3,0),0)</f>
        <v>1.7606563512161718E-2</v>
      </c>
      <c r="S9" s="72" t="s">
        <v>126</v>
      </c>
      <c r="T9" s="73"/>
      <c r="U9" s="74"/>
      <c r="V9" s="75"/>
      <c r="W9" s="74"/>
      <c r="X9" s="76">
        <v>704</v>
      </c>
      <c r="Y9" s="77"/>
      <c r="Z9" s="77"/>
    </row>
    <row r="10" spans="1:26" x14ac:dyDescent="0.35">
      <c r="A10" s="94" t="s">
        <v>2260</v>
      </c>
      <c r="B10" s="41">
        <v>3</v>
      </c>
      <c r="C10" s="57">
        <v>26.333333333333332</v>
      </c>
      <c r="D10">
        <v>88</v>
      </c>
      <c r="F10" s="78" t="s">
        <v>2260</v>
      </c>
      <c r="G10" s="45">
        <v>3</v>
      </c>
      <c r="H10" s="79">
        <f t="shared" ref="H10:H19" si="0">ROUNDUP(VLOOKUP(F10,$A$10:$C$782,3,0),0)</f>
        <v>27</v>
      </c>
      <c r="I10" s="80">
        <f t="shared" ref="I10:I19" si="1">$H$7*$H$6*SQRT(G10)</f>
        <v>14.860995928940966</v>
      </c>
      <c r="J10" s="80">
        <f t="shared" ref="J10:J19" si="2">(H10*G10)+I10</f>
        <v>95.860995928940966</v>
      </c>
      <c r="K10" s="87">
        <f t="shared" ref="K10:K19" si="3">H10*G10</f>
        <v>81</v>
      </c>
      <c r="L10" s="3">
        <v>88</v>
      </c>
      <c r="M10" s="30" t="str">
        <f>IF(L10&lt;J10,"Reorder",IF(L10&gt;=J10*1.5,"Overstock","Sufficient"))</f>
        <v>Reorder</v>
      </c>
      <c r="N10" s="30"/>
      <c r="O10" s="3"/>
      <c r="S10" s="78" t="s">
        <v>678</v>
      </c>
      <c r="T10" s="45">
        <v>209</v>
      </c>
      <c r="U10" s="79">
        <f t="shared" ref="U10:U21" si="4">ROUNDUP(VLOOKUP(S10,$A$10:$C$782,3,0),0)</f>
        <v>1</v>
      </c>
      <c r="V10" s="80">
        <f t="shared" ref="V10:V21" si="5">$H$7*$H$6*SQRT(T10)</f>
        <v>124.03962108939224</v>
      </c>
      <c r="W10" s="80">
        <f t="shared" ref="W10:W21" si="6">(U10*T10)+V10</f>
        <v>333.03962108939226</v>
      </c>
      <c r="X10" s="3">
        <v>98</v>
      </c>
      <c r="Y10" s="30" t="str">
        <f t="shared" ref="Y10:Y21" si="7">IF(X10&lt;W10,"Reorder",IF(X10&gt;=W10*1.5,"Overstock","Normal"))</f>
        <v>Reorder</v>
      </c>
      <c r="Z10" s="3" t="s">
        <v>56</v>
      </c>
    </row>
    <row r="11" spans="1:26" x14ac:dyDescent="0.35">
      <c r="A11" s="94" t="s">
        <v>76</v>
      </c>
      <c r="B11" s="41">
        <v>1</v>
      </c>
      <c r="C11" s="57">
        <v>95</v>
      </c>
      <c r="D11">
        <v>60</v>
      </c>
      <c r="F11" s="78" t="s">
        <v>76</v>
      </c>
      <c r="G11" s="45">
        <v>1</v>
      </c>
      <c r="H11" s="79">
        <f t="shared" si="0"/>
        <v>95</v>
      </c>
      <c r="I11" s="80">
        <f t="shared" si="1"/>
        <v>8.58</v>
      </c>
      <c r="J11" s="80">
        <f t="shared" si="2"/>
        <v>103.58</v>
      </c>
      <c r="K11" s="87">
        <f t="shared" si="3"/>
        <v>95</v>
      </c>
      <c r="L11" s="3">
        <v>60</v>
      </c>
      <c r="M11" s="30" t="str">
        <f t="shared" ref="M11:M19" si="8">IF(L11&lt;J11,"Reorder",IF(L11&gt;=J11*1.5,"Overstock","Sufficient"))</f>
        <v>Reorder</v>
      </c>
      <c r="N11" s="30"/>
      <c r="O11" s="3"/>
      <c r="S11" s="78" t="s">
        <v>1000</v>
      </c>
      <c r="T11" s="45">
        <v>340</v>
      </c>
      <c r="U11" s="79">
        <f t="shared" si="4"/>
        <v>1</v>
      </c>
      <c r="V11" s="80">
        <f t="shared" si="5"/>
        <v>158.20738288714594</v>
      </c>
      <c r="W11" s="80">
        <f t="shared" si="6"/>
        <v>498.20738288714597</v>
      </c>
      <c r="X11" s="3">
        <v>36</v>
      </c>
      <c r="Y11" s="30" t="str">
        <f t="shared" si="7"/>
        <v>Reorder</v>
      </c>
      <c r="Z11" s="3" t="s">
        <v>28</v>
      </c>
    </row>
    <row r="12" spans="1:26" x14ac:dyDescent="0.35">
      <c r="A12" s="94" t="s">
        <v>813</v>
      </c>
      <c r="B12" s="41">
        <v>218</v>
      </c>
      <c r="C12" s="57">
        <v>0.36238532110091742</v>
      </c>
      <c r="D12">
        <v>68</v>
      </c>
      <c r="F12" s="78" t="s">
        <v>813</v>
      </c>
      <c r="G12" s="45">
        <v>218</v>
      </c>
      <c r="H12" s="79">
        <f t="shared" si="0"/>
        <v>1</v>
      </c>
      <c r="I12" s="80">
        <f t="shared" si="1"/>
        <v>126.68218185680257</v>
      </c>
      <c r="J12" s="80">
        <f t="shared" si="2"/>
        <v>344.68218185680257</v>
      </c>
      <c r="K12" s="87">
        <f t="shared" si="3"/>
        <v>218</v>
      </c>
      <c r="L12" s="3">
        <v>68</v>
      </c>
      <c r="M12" s="30" t="str">
        <f t="shared" si="8"/>
        <v>Reorder</v>
      </c>
      <c r="N12" s="30"/>
      <c r="O12" s="3"/>
      <c r="S12" s="78" t="s">
        <v>1739</v>
      </c>
      <c r="T12" s="45">
        <v>60</v>
      </c>
      <c r="U12" s="79">
        <f t="shared" si="4"/>
        <v>2</v>
      </c>
      <c r="V12" s="80">
        <f t="shared" si="5"/>
        <v>66.460394220919284</v>
      </c>
      <c r="W12" s="80">
        <f t="shared" si="6"/>
        <v>186.46039422091928</v>
      </c>
      <c r="X12" s="3">
        <v>13</v>
      </c>
      <c r="Y12" s="30" t="str">
        <f t="shared" si="7"/>
        <v>Reorder</v>
      </c>
      <c r="Z12" s="3" t="s">
        <v>28</v>
      </c>
    </row>
    <row r="13" spans="1:26" x14ac:dyDescent="0.35">
      <c r="A13" s="94" t="s">
        <v>1000</v>
      </c>
      <c r="B13" s="41">
        <v>164</v>
      </c>
      <c r="C13" s="57">
        <v>0.24390243902439024</v>
      </c>
      <c r="D13">
        <v>40</v>
      </c>
      <c r="F13" s="78" t="s">
        <v>1000</v>
      </c>
      <c r="G13" s="45">
        <v>164</v>
      </c>
      <c r="H13" s="79">
        <f t="shared" si="0"/>
        <v>1</v>
      </c>
      <c r="I13" s="80">
        <f t="shared" si="1"/>
        <v>109.87761191434768</v>
      </c>
      <c r="J13" s="80">
        <f t="shared" si="2"/>
        <v>273.87761191434765</v>
      </c>
      <c r="K13" s="87">
        <f t="shared" si="3"/>
        <v>164</v>
      </c>
      <c r="L13" s="3">
        <v>40</v>
      </c>
      <c r="M13" s="30" t="str">
        <f t="shared" si="8"/>
        <v>Reorder</v>
      </c>
      <c r="N13" s="30"/>
      <c r="O13" s="3"/>
      <c r="S13" s="78" t="s">
        <v>1926</v>
      </c>
      <c r="T13" s="45">
        <v>212</v>
      </c>
      <c r="U13" s="79">
        <f t="shared" si="4"/>
        <v>1</v>
      </c>
      <c r="V13" s="80">
        <f t="shared" si="5"/>
        <v>124.9266857000537</v>
      </c>
      <c r="W13" s="80">
        <f t="shared" si="6"/>
        <v>336.92668570005367</v>
      </c>
      <c r="X13" s="3">
        <v>97</v>
      </c>
      <c r="Y13" s="30" t="str">
        <f t="shared" si="7"/>
        <v>Reorder</v>
      </c>
      <c r="Z13" s="3" t="s">
        <v>28</v>
      </c>
    </row>
    <row r="14" spans="1:26" x14ac:dyDescent="0.35">
      <c r="A14" s="94" t="s">
        <v>1475</v>
      </c>
      <c r="B14" s="41">
        <v>229</v>
      </c>
      <c r="C14" s="57">
        <v>0.27510917030567683</v>
      </c>
      <c r="D14">
        <v>70</v>
      </c>
      <c r="F14" s="78" t="s">
        <v>1475</v>
      </c>
      <c r="G14" s="45">
        <v>229</v>
      </c>
      <c r="H14" s="79">
        <f t="shared" si="0"/>
        <v>1</v>
      </c>
      <c r="I14" s="80">
        <f t="shared" si="1"/>
        <v>129.83896025461695</v>
      </c>
      <c r="J14" s="80">
        <f t="shared" si="2"/>
        <v>358.83896025461695</v>
      </c>
      <c r="K14" s="87">
        <f t="shared" si="3"/>
        <v>229</v>
      </c>
      <c r="L14" s="3">
        <v>70</v>
      </c>
      <c r="M14" s="30" t="str">
        <f t="shared" si="8"/>
        <v>Reorder</v>
      </c>
      <c r="N14" s="30"/>
      <c r="O14" s="3"/>
      <c r="S14" s="78" t="s">
        <v>2167</v>
      </c>
      <c r="T14" s="45">
        <v>215</v>
      </c>
      <c r="U14" s="79">
        <f t="shared" si="4"/>
        <v>1</v>
      </c>
      <c r="V14" s="80">
        <f t="shared" si="5"/>
        <v>125.80749580211824</v>
      </c>
      <c r="W14" s="80">
        <f t="shared" si="6"/>
        <v>340.80749580211824</v>
      </c>
      <c r="X14" s="3">
        <v>45</v>
      </c>
      <c r="Y14" s="30" t="str">
        <f t="shared" si="7"/>
        <v>Reorder</v>
      </c>
      <c r="Z14" s="3" t="s">
        <v>56</v>
      </c>
    </row>
    <row r="15" spans="1:26" x14ac:dyDescent="0.35">
      <c r="A15" s="94" t="s">
        <v>1675</v>
      </c>
      <c r="B15" s="41">
        <v>335</v>
      </c>
      <c r="C15" s="57">
        <v>0.20597014925373133</v>
      </c>
      <c r="D15">
        <v>21</v>
      </c>
      <c r="F15" s="78" t="s">
        <v>1675</v>
      </c>
      <c r="G15" s="45">
        <v>335</v>
      </c>
      <c r="H15" s="79">
        <f t="shared" si="0"/>
        <v>1</v>
      </c>
      <c r="I15" s="80">
        <f t="shared" si="1"/>
        <v>157.03978476806441</v>
      </c>
      <c r="J15" s="80">
        <f t="shared" si="2"/>
        <v>492.03978476806441</v>
      </c>
      <c r="K15" s="87">
        <f t="shared" si="3"/>
        <v>335</v>
      </c>
      <c r="L15" s="3">
        <v>21</v>
      </c>
      <c r="M15" s="30" t="str">
        <f t="shared" si="8"/>
        <v>Reorder</v>
      </c>
      <c r="N15" s="30"/>
      <c r="O15" s="3"/>
      <c r="S15" s="78" t="s">
        <v>1599</v>
      </c>
      <c r="T15" s="45">
        <v>67</v>
      </c>
      <c r="U15" s="79">
        <f t="shared" si="4"/>
        <v>2</v>
      </c>
      <c r="V15" s="80">
        <f t="shared" si="5"/>
        <v>70.230326782665628</v>
      </c>
      <c r="W15" s="80">
        <f t="shared" si="6"/>
        <v>204.23032678266563</v>
      </c>
      <c r="X15" s="3">
        <v>74</v>
      </c>
      <c r="Y15" s="30" t="str">
        <f t="shared" si="7"/>
        <v>Reorder</v>
      </c>
      <c r="Z15" s="3" t="s">
        <v>28</v>
      </c>
    </row>
    <row r="16" spans="1:26" x14ac:dyDescent="0.35">
      <c r="A16" s="94" t="s">
        <v>1582</v>
      </c>
      <c r="B16" s="41">
        <v>206</v>
      </c>
      <c r="C16" s="57">
        <v>0.27669902912621358</v>
      </c>
      <c r="D16">
        <v>85</v>
      </c>
      <c r="F16" s="78" t="s">
        <v>1582</v>
      </c>
      <c r="G16" s="45">
        <v>206</v>
      </c>
      <c r="H16" s="79">
        <f t="shared" si="0"/>
        <v>1</v>
      </c>
      <c r="I16" s="80">
        <f t="shared" si="1"/>
        <v>123.14616681001483</v>
      </c>
      <c r="J16" s="80">
        <f t="shared" si="2"/>
        <v>329.14616681001485</v>
      </c>
      <c r="K16" s="87">
        <f t="shared" si="3"/>
        <v>206</v>
      </c>
      <c r="L16" s="3">
        <v>85</v>
      </c>
      <c r="M16" s="30" t="str">
        <f t="shared" si="8"/>
        <v>Reorder</v>
      </c>
      <c r="N16" s="30"/>
      <c r="O16" s="3"/>
      <c r="S16" s="78" t="s">
        <v>2713</v>
      </c>
      <c r="T16" s="45">
        <v>163</v>
      </c>
      <c r="U16" s="79">
        <f t="shared" si="4"/>
        <v>1</v>
      </c>
      <c r="V16" s="80">
        <f t="shared" si="5"/>
        <v>109.54210697261578</v>
      </c>
      <c r="W16" s="80">
        <f t="shared" si="6"/>
        <v>272.54210697261578</v>
      </c>
      <c r="X16" s="3">
        <v>55</v>
      </c>
      <c r="Y16" s="30" t="str">
        <f t="shared" si="7"/>
        <v>Reorder</v>
      </c>
      <c r="Z16" s="3" t="s">
        <v>56</v>
      </c>
    </row>
    <row r="17" spans="1:26" x14ac:dyDescent="0.35">
      <c r="A17" s="94" t="s">
        <v>1012</v>
      </c>
      <c r="B17" s="41">
        <v>197</v>
      </c>
      <c r="C17" s="57">
        <v>0.15228426395939088</v>
      </c>
      <c r="D17">
        <v>36</v>
      </c>
      <c r="F17" s="78" t="s">
        <v>1012</v>
      </c>
      <c r="G17" s="45">
        <v>197</v>
      </c>
      <c r="H17" s="79">
        <f t="shared" si="0"/>
        <v>1</v>
      </c>
      <c r="I17" s="80">
        <f t="shared" si="1"/>
        <v>120.42603871256415</v>
      </c>
      <c r="J17" s="80">
        <f t="shared" si="2"/>
        <v>317.42603871256415</v>
      </c>
      <c r="K17" s="87">
        <f t="shared" si="3"/>
        <v>197</v>
      </c>
      <c r="L17" s="3">
        <v>36</v>
      </c>
      <c r="M17" s="30" t="str">
        <f t="shared" si="8"/>
        <v>Reorder</v>
      </c>
      <c r="N17" s="30"/>
      <c r="O17" s="3"/>
      <c r="S17" s="78" t="s">
        <v>637</v>
      </c>
      <c r="T17" s="45">
        <v>55</v>
      </c>
      <c r="U17" s="79">
        <f t="shared" si="4"/>
        <v>1</v>
      </c>
      <c r="V17" s="80">
        <f t="shared" si="5"/>
        <v>63.630983019280791</v>
      </c>
      <c r="W17" s="80">
        <f t="shared" si="6"/>
        <v>118.63098301928079</v>
      </c>
      <c r="X17" s="3">
        <v>23</v>
      </c>
      <c r="Y17" s="30" t="str">
        <f t="shared" si="7"/>
        <v>Reorder</v>
      </c>
      <c r="Z17" s="3" t="s">
        <v>28</v>
      </c>
    </row>
    <row r="18" spans="1:26" x14ac:dyDescent="0.35">
      <c r="A18" s="94" t="s">
        <v>729</v>
      </c>
      <c r="B18" s="41">
        <v>32</v>
      </c>
      <c r="C18" s="57">
        <v>3.125</v>
      </c>
      <c r="D18">
        <v>86</v>
      </c>
      <c r="F18" s="78" t="s">
        <v>729</v>
      </c>
      <c r="G18" s="45">
        <v>32</v>
      </c>
      <c r="H18" s="79">
        <f t="shared" si="0"/>
        <v>4</v>
      </c>
      <c r="I18" s="80">
        <f t="shared" si="1"/>
        <v>48.535809460644629</v>
      </c>
      <c r="J18" s="80">
        <f t="shared" si="2"/>
        <v>176.53580946064463</v>
      </c>
      <c r="K18" s="87">
        <f t="shared" si="3"/>
        <v>128</v>
      </c>
      <c r="L18" s="3">
        <v>86</v>
      </c>
      <c r="M18" s="30" t="str">
        <f t="shared" si="8"/>
        <v>Reorder</v>
      </c>
      <c r="N18" s="30"/>
      <c r="O18" s="3"/>
      <c r="S18" s="78" t="s">
        <v>1318</v>
      </c>
      <c r="T18" s="45">
        <v>262</v>
      </c>
      <c r="U18" s="79">
        <f t="shared" si="4"/>
        <v>4</v>
      </c>
      <c r="V18" s="80">
        <f t="shared" si="5"/>
        <v>138.8794326025276</v>
      </c>
      <c r="W18" s="80">
        <f t="shared" si="6"/>
        <v>1186.8794326025277</v>
      </c>
      <c r="X18" s="3">
        <v>74</v>
      </c>
      <c r="Y18" s="30" t="str">
        <f t="shared" si="7"/>
        <v>Reorder</v>
      </c>
      <c r="Z18" s="3" t="s">
        <v>56</v>
      </c>
    </row>
    <row r="19" spans="1:26" x14ac:dyDescent="0.35">
      <c r="A19" s="94" t="s">
        <v>372</v>
      </c>
      <c r="B19" s="41">
        <v>47</v>
      </c>
      <c r="C19" s="57">
        <v>1.3404255319148937</v>
      </c>
      <c r="D19">
        <v>31</v>
      </c>
      <c r="F19" s="78" t="s">
        <v>372</v>
      </c>
      <c r="G19" s="45">
        <v>47</v>
      </c>
      <c r="H19" s="79">
        <f t="shared" si="0"/>
        <v>2</v>
      </c>
      <c r="I19" s="80">
        <f t="shared" si="1"/>
        <v>58.821516471440958</v>
      </c>
      <c r="J19" s="80">
        <f t="shared" si="2"/>
        <v>152.82151647144096</v>
      </c>
      <c r="K19" s="87">
        <f t="shared" si="3"/>
        <v>94</v>
      </c>
      <c r="L19" s="3">
        <v>31</v>
      </c>
      <c r="M19" s="30" t="str">
        <f t="shared" si="8"/>
        <v>Reorder</v>
      </c>
      <c r="N19" s="30"/>
      <c r="O19" s="3"/>
      <c r="S19" s="78" t="s">
        <v>161</v>
      </c>
      <c r="T19" s="45">
        <v>280</v>
      </c>
      <c r="U19" s="79">
        <f t="shared" si="4"/>
        <v>6</v>
      </c>
      <c r="V19" s="80">
        <f t="shared" si="5"/>
        <v>143.57086055324737</v>
      </c>
      <c r="W19" s="80">
        <f t="shared" si="6"/>
        <v>1823.5708605532473</v>
      </c>
      <c r="X19" s="3">
        <v>65</v>
      </c>
      <c r="Y19" s="30" t="str">
        <f t="shared" si="7"/>
        <v>Reorder</v>
      </c>
      <c r="Z19" s="3" t="s">
        <v>28</v>
      </c>
    </row>
    <row r="20" spans="1:26" x14ac:dyDescent="0.35">
      <c r="A20" s="14" t="s">
        <v>31</v>
      </c>
      <c r="B20" s="41">
        <v>510</v>
      </c>
      <c r="C20" s="57">
        <v>79.300065876152843</v>
      </c>
      <c r="D20">
        <v>518</v>
      </c>
      <c r="F20" s="72" t="s">
        <v>31</v>
      </c>
      <c r="G20" s="73"/>
      <c r="H20" s="81"/>
      <c r="I20" s="75"/>
      <c r="J20" s="74"/>
      <c r="K20" s="79"/>
      <c r="L20" s="76">
        <v>518</v>
      </c>
      <c r="M20" s="77"/>
      <c r="N20" s="85" t="str">
        <f>IFERROR(VLOOKUP(F20,'ABC Analysis'!$E$18:$M$138,9,0),0)</f>
        <v>A</v>
      </c>
      <c r="O20" s="86">
        <f>IFERROR(VLOOKUP(F20,'ABC Analysis'!$E$18:$G$138,3,0),0)</f>
        <v>1.7964713325909293E-2</v>
      </c>
      <c r="S20" s="78" t="s">
        <v>1378</v>
      </c>
      <c r="T20" s="45">
        <v>289</v>
      </c>
      <c r="U20" s="79">
        <f t="shared" si="4"/>
        <v>1</v>
      </c>
      <c r="V20" s="80">
        <f t="shared" si="5"/>
        <v>145.86000000000001</v>
      </c>
      <c r="W20" s="80">
        <f t="shared" si="6"/>
        <v>434.86</v>
      </c>
      <c r="X20" s="3">
        <v>46</v>
      </c>
      <c r="Y20" s="30" t="str">
        <f t="shared" si="7"/>
        <v>Reorder</v>
      </c>
      <c r="Z20" s="3" t="s">
        <v>28</v>
      </c>
    </row>
    <row r="21" spans="1:26" x14ac:dyDescent="0.35">
      <c r="A21" s="94" t="s">
        <v>1564</v>
      </c>
      <c r="B21" s="41">
        <v>56</v>
      </c>
      <c r="C21" s="57">
        <v>0.6607142857142857</v>
      </c>
      <c r="D21">
        <v>63</v>
      </c>
      <c r="F21" s="78" t="s">
        <v>1564</v>
      </c>
      <c r="G21" s="45">
        <v>56</v>
      </c>
      <c r="H21" s="79">
        <f t="shared" ref="H21:H27" si="9">ROUNDUP(VLOOKUP(F21,$A$10:$C$782,3,0),0)</f>
        <v>1</v>
      </c>
      <c r="I21" s="80">
        <f t="shared" ref="I21:I27" si="10">$H$7*$H$6*SQRT(G21)</f>
        <v>64.206840757040837</v>
      </c>
      <c r="J21" s="80">
        <f t="shared" ref="J21:J27" si="11">(H21*G21)+I21</f>
        <v>120.20684075704084</v>
      </c>
      <c r="K21" s="87">
        <f t="shared" ref="K21:K27" si="12">H21*G21</f>
        <v>56</v>
      </c>
      <c r="L21" s="3">
        <v>63</v>
      </c>
      <c r="M21" s="30" t="str">
        <f t="shared" ref="M21:M27" si="13">IF(L21&lt;J21,"Reorder",IF(L21&gt;=J21*1.5,"Overstock","Sufficient"))</f>
        <v>Reorder</v>
      </c>
      <c r="N21" s="30"/>
      <c r="O21" s="3"/>
      <c r="S21" s="78" t="s">
        <v>1913</v>
      </c>
      <c r="T21" s="45">
        <v>79</v>
      </c>
      <c r="U21" s="79">
        <f t="shared" si="4"/>
        <v>1</v>
      </c>
      <c r="V21" s="80">
        <f t="shared" si="5"/>
        <v>76.260708100567754</v>
      </c>
      <c r="W21" s="80">
        <f t="shared" si="6"/>
        <v>155.26070810056774</v>
      </c>
      <c r="X21" s="3">
        <v>78</v>
      </c>
      <c r="Y21" s="30" t="str">
        <f t="shared" si="7"/>
        <v>Reorder</v>
      </c>
      <c r="Z21" s="3" t="s">
        <v>56</v>
      </c>
    </row>
    <row r="22" spans="1:26" x14ac:dyDescent="0.35">
      <c r="A22" s="94" t="s">
        <v>1307</v>
      </c>
      <c r="B22" s="41">
        <v>23</v>
      </c>
      <c r="C22" s="57">
        <v>2.5652173913043477</v>
      </c>
      <c r="D22">
        <v>63</v>
      </c>
      <c r="F22" s="78" t="s">
        <v>1307</v>
      </c>
      <c r="G22" s="45">
        <v>23</v>
      </c>
      <c r="H22" s="79">
        <f t="shared" si="9"/>
        <v>3</v>
      </c>
      <c r="I22" s="80">
        <f t="shared" si="10"/>
        <v>41.148234470023134</v>
      </c>
      <c r="J22" s="80">
        <f t="shared" si="11"/>
        <v>110.14823447002314</v>
      </c>
      <c r="K22" s="87">
        <f t="shared" si="12"/>
        <v>69</v>
      </c>
      <c r="L22" s="3">
        <v>63</v>
      </c>
      <c r="M22" s="30" t="str">
        <f t="shared" si="13"/>
        <v>Reorder</v>
      </c>
      <c r="N22" s="30"/>
      <c r="O22" s="3"/>
      <c r="S22" s="72" t="s">
        <v>65</v>
      </c>
      <c r="T22" s="73"/>
      <c r="U22" s="81"/>
      <c r="V22" s="75"/>
      <c r="W22" s="74"/>
      <c r="X22" s="76">
        <v>350</v>
      </c>
      <c r="Y22" s="77"/>
      <c r="Z22" s="77"/>
    </row>
    <row r="23" spans="1:26" x14ac:dyDescent="0.35">
      <c r="A23" s="94" t="s">
        <v>2925</v>
      </c>
      <c r="B23" s="41">
        <v>55</v>
      </c>
      <c r="C23" s="57">
        <v>1.8181818181818181</v>
      </c>
      <c r="D23">
        <v>80</v>
      </c>
      <c r="F23" s="78" t="s">
        <v>2925</v>
      </c>
      <c r="G23" s="45">
        <v>55</v>
      </c>
      <c r="H23" s="79">
        <f t="shared" si="9"/>
        <v>2</v>
      </c>
      <c r="I23" s="80">
        <f t="shared" si="10"/>
        <v>63.630983019280791</v>
      </c>
      <c r="J23" s="80">
        <f t="shared" si="11"/>
        <v>173.63098301928079</v>
      </c>
      <c r="K23" s="87">
        <f t="shared" si="12"/>
        <v>110</v>
      </c>
      <c r="L23" s="3">
        <v>80</v>
      </c>
      <c r="M23" s="30" t="str">
        <f t="shared" si="13"/>
        <v>Reorder</v>
      </c>
      <c r="N23" s="30"/>
      <c r="O23" s="3"/>
      <c r="S23" s="78" t="s">
        <v>19</v>
      </c>
      <c r="T23" s="45">
        <v>200</v>
      </c>
      <c r="U23" s="79">
        <f>ROUNDUP(VLOOKUP(S23,$A$10:$C$782,3,0),0)</f>
        <v>1</v>
      </c>
      <c r="V23" s="80">
        <f>$H$7*$H$6*SQRT(T23)</f>
        <v>121.33952365161156</v>
      </c>
      <c r="W23" s="80">
        <f>(U23*T23)+V23</f>
        <v>321.33952365161156</v>
      </c>
      <c r="X23" s="3">
        <v>50</v>
      </c>
      <c r="Y23" s="30" t="str">
        <f>IF(X23&lt;W23,"Reorder",IF(X23&gt;=W23*1.5,"Overstock","Sufficient"))</f>
        <v>Reorder</v>
      </c>
      <c r="Z23" s="3" t="s">
        <v>28</v>
      </c>
    </row>
    <row r="24" spans="1:26" x14ac:dyDescent="0.35">
      <c r="A24" s="94" t="s">
        <v>199</v>
      </c>
      <c r="B24" s="41">
        <v>1</v>
      </c>
      <c r="C24" s="57">
        <v>69</v>
      </c>
      <c r="D24">
        <v>65</v>
      </c>
      <c r="F24" s="78" t="s">
        <v>199</v>
      </c>
      <c r="G24" s="45">
        <v>1</v>
      </c>
      <c r="H24" s="79">
        <f t="shared" si="9"/>
        <v>69</v>
      </c>
      <c r="I24" s="80">
        <f t="shared" si="10"/>
        <v>8.58</v>
      </c>
      <c r="J24" s="80">
        <f t="shared" si="11"/>
        <v>77.58</v>
      </c>
      <c r="K24" s="87">
        <f t="shared" si="12"/>
        <v>69</v>
      </c>
      <c r="L24" s="3">
        <v>65</v>
      </c>
      <c r="M24" s="30" t="str">
        <f t="shared" si="13"/>
        <v>Reorder</v>
      </c>
      <c r="N24" s="30"/>
      <c r="O24" s="3"/>
      <c r="S24" s="78" t="s">
        <v>886</v>
      </c>
      <c r="T24" s="45">
        <v>115</v>
      </c>
      <c r="U24" s="79">
        <f>ROUNDUP(VLOOKUP(S24,$A$10:$C$782,3,0),0)</f>
        <v>1</v>
      </c>
      <c r="V24" s="80">
        <f>$H$7*$H$6*SQRT(T24)</f>
        <v>92.010249429071749</v>
      </c>
      <c r="W24" s="80">
        <f>(U24*T24)+V24</f>
        <v>207.01024942907173</v>
      </c>
      <c r="X24" s="3">
        <v>100</v>
      </c>
      <c r="Y24" s="30" t="str">
        <f>IF(X24&lt;W24,"Reorder",IF(X24&gt;=W24*1.5,"Overstock","Sufficient"))</f>
        <v>Reorder</v>
      </c>
      <c r="Z24" s="3" t="s">
        <v>28</v>
      </c>
    </row>
    <row r="25" spans="1:26" x14ac:dyDescent="0.35">
      <c r="A25" s="94" t="s">
        <v>203</v>
      </c>
      <c r="B25" s="41">
        <v>224</v>
      </c>
      <c r="C25" s="57">
        <v>0.3482142857142857</v>
      </c>
      <c r="D25">
        <v>96</v>
      </c>
      <c r="F25" s="78" t="s">
        <v>203</v>
      </c>
      <c r="G25" s="45">
        <v>224</v>
      </c>
      <c r="H25" s="79">
        <f t="shared" si="9"/>
        <v>1</v>
      </c>
      <c r="I25" s="80">
        <f t="shared" si="10"/>
        <v>128.41368151408167</v>
      </c>
      <c r="J25" s="80">
        <f t="shared" si="11"/>
        <v>352.41368151408165</v>
      </c>
      <c r="K25" s="87">
        <f t="shared" si="12"/>
        <v>224</v>
      </c>
      <c r="L25" s="3">
        <v>96</v>
      </c>
      <c r="M25" s="30" t="str">
        <f t="shared" si="13"/>
        <v>Reorder</v>
      </c>
      <c r="N25" s="30"/>
      <c r="O25" s="3"/>
      <c r="S25" s="78" t="s">
        <v>66</v>
      </c>
      <c r="T25" s="45">
        <v>2</v>
      </c>
      <c r="U25" s="79">
        <f>ROUNDUP(VLOOKUP(S25,$A$10:$C$782,3,0),0)</f>
        <v>30</v>
      </c>
      <c r="V25" s="80">
        <f>$H$7*$H$6*SQRT(T25)</f>
        <v>12.133952365161157</v>
      </c>
      <c r="W25" s="80">
        <f>(U25*T25)+V25</f>
        <v>72.13395236516115</v>
      </c>
      <c r="X25" s="3">
        <v>78</v>
      </c>
      <c r="Y25" s="30" t="str">
        <f>IF(X25&lt;W25,"Reorder",IF(X25&gt;=W25*1.5,"Overstock","Sufficient"))</f>
        <v>Sufficient</v>
      </c>
      <c r="Z25" s="3" t="s">
        <v>56</v>
      </c>
    </row>
    <row r="26" spans="1:26" x14ac:dyDescent="0.35">
      <c r="A26" s="94" t="s">
        <v>1578</v>
      </c>
      <c r="B26" s="41">
        <v>144</v>
      </c>
      <c r="C26" s="57">
        <v>0.47916666666666669</v>
      </c>
      <c r="D26">
        <v>99</v>
      </c>
      <c r="F26" s="78" t="s">
        <v>1578</v>
      </c>
      <c r="G26" s="45">
        <v>144</v>
      </c>
      <c r="H26" s="79">
        <f t="shared" si="9"/>
        <v>1</v>
      </c>
      <c r="I26" s="80">
        <f t="shared" si="10"/>
        <v>102.96000000000001</v>
      </c>
      <c r="J26" s="80">
        <f t="shared" si="11"/>
        <v>246.96</v>
      </c>
      <c r="K26" s="87">
        <f t="shared" si="12"/>
        <v>144</v>
      </c>
      <c r="L26" s="3">
        <v>99</v>
      </c>
      <c r="M26" s="30" t="str">
        <f t="shared" si="13"/>
        <v>Reorder</v>
      </c>
      <c r="N26" s="30"/>
      <c r="O26" s="3"/>
      <c r="S26" s="78" t="s">
        <v>207</v>
      </c>
      <c r="T26" s="45">
        <v>71</v>
      </c>
      <c r="U26" s="79">
        <f>ROUNDUP(VLOOKUP(S26,$A$10:$C$782,3,0),0)</f>
        <v>1</v>
      </c>
      <c r="V26" s="80">
        <f>$H$7*$H$6*SQRT(T26)</f>
        <v>72.296365053853165</v>
      </c>
      <c r="W26" s="80">
        <f>(U26*T26)+V26</f>
        <v>143.29636505385315</v>
      </c>
      <c r="X26" s="3">
        <v>53</v>
      </c>
      <c r="Y26" s="30" t="str">
        <f>IF(X26&lt;W26,"Reorder",IF(X26&gt;=W26*1.5,"Overstock","Sufficient"))</f>
        <v>Reorder</v>
      </c>
      <c r="Z26" s="3" t="s">
        <v>56</v>
      </c>
    </row>
    <row r="27" spans="1:26" x14ac:dyDescent="0.35">
      <c r="A27" s="94" t="s">
        <v>3452</v>
      </c>
      <c r="B27" s="41">
        <v>7</v>
      </c>
      <c r="C27" s="57">
        <v>4.4285714285714288</v>
      </c>
      <c r="D27">
        <v>52</v>
      </c>
      <c r="F27" s="78" t="s">
        <v>3452</v>
      </c>
      <c r="G27" s="45">
        <v>7</v>
      </c>
      <c r="H27" s="79">
        <f t="shared" si="9"/>
        <v>5</v>
      </c>
      <c r="I27" s="80">
        <f t="shared" si="10"/>
        <v>22.700546248934188</v>
      </c>
      <c r="J27" s="80">
        <f t="shared" si="11"/>
        <v>57.700546248934188</v>
      </c>
      <c r="K27" s="87">
        <f t="shared" si="12"/>
        <v>35</v>
      </c>
      <c r="L27" s="3">
        <v>52</v>
      </c>
      <c r="M27" s="30" t="str">
        <f t="shared" si="13"/>
        <v>Reorder</v>
      </c>
      <c r="N27" s="30"/>
      <c r="O27" s="3"/>
      <c r="S27" s="78" t="s">
        <v>1207</v>
      </c>
      <c r="T27" s="45">
        <v>106</v>
      </c>
      <c r="U27" s="79">
        <f>ROUNDUP(VLOOKUP(S27,$A$10:$C$782,3,0),0)</f>
        <v>1</v>
      </c>
      <c r="V27" s="80">
        <f>$H$7*$H$6*SQRT(T27)</f>
        <v>88.336506609668461</v>
      </c>
      <c r="W27" s="80">
        <f>(U27*T27)+V27</f>
        <v>194.33650660966845</v>
      </c>
      <c r="X27" s="3">
        <v>69</v>
      </c>
      <c r="Y27" s="30" t="str">
        <f>IF(X27&lt;W27,"Reorder",IF(X27&gt;=W27*1.5,"Overstock","Sufficient"))</f>
        <v>Reorder</v>
      </c>
      <c r="Z27" s="3" t="s">
        <v>56</v>
      </c>
    </row>
    <row r="28" spans="1:26" x14ac:dyDescent="0.35">
      <c r="A28" s="14" t="s">
        <v>1257</v>
      </c>
      <c r="B28" s="41">
        <v>6</v>
      </c>
      <c r="C28" s="57">
        <v>52.75</v>
      </c>
      <c r="D28">
        <v>174</v>
      </c>
      <c r="F28" s="72" t="s">
        <v>1257</v>
      </c>
      <c r="G28" s="73"/>
      <c r="H28" s="81"/>
      <c r="I28" s="75"/>
      <c r="J28" s="74"/>
      <c r="K28" s="79"/>
      <c r="L28" s="76">
        <v>174</v>
      </c>
      <c r="M28" s="77"/>
      <c r="N28" s="85" t="str">
        <f>IFERROR(VLOOKUP(F28,'ABC Analysis'!$E$18:$M$138,9,0),0)</f>
        <v>B</v>
      </c>
      <c r="O28" s="86">
        <f>IFERROR(VLOOKUP(F28,'ABC Analysis'!$E$18:$G$138,3,0),0)</f>
        <v>3.5146899808156003E-3</v>
      </c>
      <c r="S28" s="72" t="s">
        <v>632</v>
      </c>
      <c r="T28" s="73"/>
      <c r="U28" s="74"/>
      <c r="V28" s="75"/>
      <c r="W28" s="74"/>
      <c r="X28" s="76">
        <v>166</v>
      </c>
      <c r="Y28" s="77"/>
      <c r="Z28" s="77"/>
    </row>
    <row r="29" spans="1:26" x14ac:dyDescent="0.35">
      <c r="A29" s="94" t="s">
        <v>2413</v>
      </c>
      <c r="B29" s="41">
        <v>2</v>
      </c>
      <c r="C29" s="57">
        <v>37</v>
      </c>
      <c r="D29">
        <v>94</v>
      </c>
      <c r="F29" s="78" t="s">
        <v>2413</v>
      </c>
      <c r="G29" s="45">
        <v>2</v>
      </c>
      <c r="H29" s="79">
        <f>ROUNDUP(VLOOKUP(F29,$A$10:$C$782,3,0),0)</f>
        <v>37</v>
      </c>
      <c r="I29" s="80">
        <f>$H$7*$H$6*SQRT(G29)</f>
        <v>12.133952365161157</v>
      </c>
      <c r="J29" s="80">
        <f>(H29*G29)+I29</f>
        <v>86.13395236516115</v>
      </c>
      <c r="K29" s="87">
        <f>H29*G29</f>
        <v>74</v>
      </c>
      <c r="L29" s="3">
        <v>94</v>
      </c>
      <c r="M29" s="30" t="str">
        <f>IF(L29&lt;J29,"Reorder",IF(L29&gt;=J29*1.5,"Overstock","Sufficient"))</f>
        <v>Sufficient</v>
      </c>
      <c r="N29" s="30"/>
      <c r="O29" s="3"/>
      <c r="S29" s="78" t="s">
        <v>1704</v>
      </c>
      <c r="T29" s="45">
        <v>51</v>
      </c>
      <c r="U29" s="79">
        <f>ROUNDUP(VLOOKUP(S29,$A$10:$C$782,3,0),0)</f>
        <v>4</v>
      </c>
      <c r="V29" s="80">
        <f>$H$7*$H$6*SQRT(T29)</f>
        <v>61.27345591689766</v>
      </c>
      <c r="W29" s="80">
        <f>(U29*T29)+V29</f>
        <v>265.27345591689766</v>
      </c>
      <c r="X29" s="3">
        <v>31</v>
      </c>
      <c r="Y29" s="30" t="str">
        <f>IF(X29&lt;W29,"Reorder",IF(X29&gt;=W29*1.5,"Overstock","Sufficient"))</f>
        <v>Reorder</v>
      </c>
      <c r="Z29" s="3" t="s">
        <v>56</v>
      </c>
    </row>
    <row r="30" spans="1:26" x14ac:dyDescent="0.35">
      <c r="A30" s="94" t="s">
        <v>3109</v>
      </c>
      <c r="B30" s="41">
        <v>4</v>
      </c>
      <c r="C30" s="57">
        <v>15.75</v>
      </c>
      <c r="D30">
        <v>80</v>
      </c>
      <c r="F30" s="78" t="s">
        <v>3109</v>
      </c>
      <c r="G30" s="45">
        <v>4</v>
      </c>
      <c r="H30" s="79">
        <f>ROUNDUP(VLOOKUP(F30,$A$10:$C$782,3,0),0)</f>
        <v>16</v>
      </c>
      <c r="I30" s="80">
        <f>$H$7*$H$6*SQRT(G30)</f>
        <v>17.16</v>
      </c>
      <c r="J30" s="80">
        <f>(H30*G30)+I30</f>
        <v>81.16</v>
      </c>
      <c r="K30" s="87">
        <f>H30*G30</f>
        <v>64</v>
      </c>
      <c r="L30" s="3">
        <v>80</v>
      </c>
      <c r="M30" s="30" t="str">
        <f>IF(L30&lt;J30,"Reorder",IF(L30&gt;=J30*1.5,"Overstock","Sufficient"))</f>
        <v>Reorder</v>
      </c>
      <c r="N30" s="30"/>
      <c r="O30" s="3"/>
      <c r="S30" s="78" t="s">
        <v>2677</v>
      </c>
      <c r="T30" s="45">
        <v>171</v>
      </c>
      <c r="U30" s="79">
        <f>ROUNDUP(VLOOKUP(S30,$A$10:$C$782,3,0),0)</f>
        <v>1</v>
      </c>
      <c r="V30" s="80">
        <f>$H$7*$H$6*SQRT(T30)</f>
        <v>112.19805880673694</v>
      </c>
      <c r="W30" s="80">
        <f>(U30*T30)+V30</f>
        <v>283.19805880673692</v>
      </c>
      <c r="X30" s="3">
        <v>16</v>
      </c>
      <c r="Y30" s="30" t="str">
        <f>IF(X30&lt;W30,"Reorder",IF(X30&gt;=W30*1.5,"Overstock","Sufficient"))</f>
        <v>Reorder</v>
      </c>
      <c r="Z30" s="3" t="s">
        <v>56</v>
      </c>
    </row>
    <row r="31" spans="1:26" x14ac:dyDescent="0.35">
      <c r="A31" s="14" t="s">
        <v>342</v>
      </c>
      <c r="B31" s="41">
        <v>1181</v>
      </c>
      <c r="C31" s="57">
        <v>52.367573265393027</v>
      </c>
      <c r="D31">
        <v>655</v>
      </c>
      <c r="F31" s="72" t="s">
        <v>342</v>
      </c>
      <c r="G31" s="73"/>
      <c r="H31" s="81"/>
      <c r="I31" s="75"/>
      <c r="J31" s="74"/>
      <c r="K31" s="79"/>
      <c r="L31" s="76">
        <v>655</v>
      </c>
      <c r="M31" s="77"/>
      <c r="N31" s="85" t="str">
        <f>IFERROR(VLOOKUP(F31,'ABC Analysis'!$E$18:$M$138,9,0),0)</f>
        <v>A</v>
      </c>
      <c r="O31" s="86">
        <f>IFERROR(VLOOKUP(F31,'ABC Analysis'!$E$18:$G$138,3,0),0)</f>
        <v>1.6940224767038499E-2</v>
      </c>
      <c r="S31" s="78" t="s">
        <v>628</v>
      </c>
      <c r="T31" s="45">
        <v>201</v>
      </c>
      <c r="U31" s="79">
        <f>ROUNDUP(VLOOKUP(S31,$A$10:$C$782,3,0),0)</f>
        <v>9</v>
      </c>
      <c r="V31" s="80">
        <f>$H$7*$H$6*SQRT(T31)</f>
        <v>121.64249421974215</v>
      </c>
      <c r="W31" s="80">
        <f>(U31*T31)+V31</f>
        <v>1930.642494219742</v>
      </c>
      <c r="X31" s="3">
        <v>23</v>
      </c>
      <c r="Y31" s="30" t="str">
        <f>IF(X31&lt;W31,"Reorder",IF(X31&gt;=W31*1.5,"Overstock","Sufficient"))</f>
        <v>Reorder</v>
      </c>
      <c r="Z31" s="3" t="s">
        <v>28</v>
      </c>
    </row>
    <row r="32" spans="1:26" x14ac:dyDescent="0.35">
      <c r="A32" s="94" t="s">
        <v>2128</v>
      </c>
      <c r="B32" s="41">
        <v>109</v>
      </c>
      <c r="C32" s="57">
        <v>0.7155963302752294</v>
      </c>
      <c r="D32">
        <v>43</v>
      </c>
      <c r="F32" s="78" t="s">
        <v>2128</v>
      </c>
      <c r="G32" s="45">
        <v>109</v>
      </c>
      <c r="H32" s="79">
        <f t="shared" ref="H32:H43" si="14">ROUNDUP(VLOOKUP(F32,$A$10:$C$782,3,0),0)</f>
        <v>1</v>
      </c>
      <c r="I32" s="80">
        <f>$H$7*$H$6*SQRT(G32)</f>
        <v>89.577829846452531</v>
      </c>
      <c r="J32" s="80">
        <f t="shared" ref="J32:J43" si="15">(H32*G32)+I32</f>
        <v>198.57782984645252</v>
      </c>
      <c r="K32" s="87">
        <f t="shared" ref="K32:K43" si="16">H32*G32</f>
        <v>109</v>
      </c>
      <c r="L32" s="3">
        <v>43</v>
      </c>
      <c r="M32" s="30" t="str">
        <f t="shared" ref="M32:M43" si="17">IF(L32&lt;J32,"Reorder",IF(L32&gt;=J32*1.5,"Overstock","Sufficient"))</f>
        <v>Reorder</v>
      </c>
      <c r="N32" s="30"/>
      <c r="O32" s="3"/>
      <c r="S32" s="78" t="s">
        <v>43</v>
      </c>
      <c r="T32" s="45">
        <v>13</v>
      </c>
      <c r="U32" s="79">
        <f>ROUNDUP(VLOOKUP(S32,$A$10:$C$782,3,0),0)</f>
        <v>2</v>
      </c>
      <c r="V32" s="80">
        <f>$H$7*$H$6*SQRT(T32)</f>
        <v>30.935629943481025</v>
      </c>
      <c r="W32" s="80">
        <f>(U32*T32)+V32</f>
        <v>56.935629943481025</v>
      </c>
      <c r="X32" s="3">
        <v>96</v>
      </c>
      <c r="Y32" s="30" t="str">
        <f>IF(X32&lt;W32,"Reorder",IF(X32&gt;=W32*1.5,"Overstock","Sufficient"))</f>
        <v>Overstock</v>
      </c>
      <c r="Z32" s="3" t="s">
        <v>56</v>
      </c>
    </row>
    <row r="33" spans="1:26" x14ac:dyDescent="0.35">
      <c r="A33" s="94" t="s">
        <v>562</v>
      </c>
      <c r="B33" s="41">
        <v>17</v>
      </c>
      <c r="C33" s="57">
        <v>5.5294117647058822</v>
      </c>
      <c r="D33">
        <v>81</v>
      </c>
      <c r="F33" s="78" t="s">
        <v>562</v>
      </c>
      <c r="G33" s="45">
        <v>17</v>
      </c>
      <c r="H33" s="79">
        <f t="shared" si="14"/>
        <v>6</v>
      </c>
      <c r="I33" s="80">
        <f>$H$7*$H$6*SQRT(G33)</f>
        <v>35.37624626779953</v>
      </c>
      <c r="J33" s="80">
        <f t="shared" si="15"/>
        <v>137.37624626779953</v>
      </c>
      <c r="K33" s="87">
        <f t="shared" si="16"/>
        <v>102</v>
      </c>
      <c r="L33" s="3">
        <v>81</v>
      </c>
      <c r="M33" s="30" t="str">
        <f t="shared" si="17"/>
        <v>Reorder</v>
      </c>
      <c r="N33" s="30"/>
      <c r="O33" s="3"/>
      <c r="S33" s="72" t="s">
        <v>253</v>
      </c>
      <c r="T33" s="73"/>
      <c r="U33" s="81"/>
      <c r="V33" s="75"/>
      <c r="W33" s="74"/>
      <c r="X33" s="76">
        <v>260</v>
      </c>
      <c r="Y33" s="77"/>
      <c r="Z33" s="77"/>
    </row>
    <row r="34" spans="1:26" x14ac:dyDescent="0.35">
      <c r="A34" s="94" t="s">
        <v>425</v>
      </c>
      <c r="B34" s="41">
        <v>91</v>
      </c>
      <c r="C34" s="57">
        <v>1.054945054945055</v>
      </c>
      <c r="D34">
        <v>60</v>
      </c>
      <c r="F34" s="78" t="s">
        <v>425</v>
      </c>
      <c r="G34" s="45">
        <v>91</v>
      </c>
      <c r="H34" s="79">
        <f t="shared" si="14"/>
        <v>2</v>
      </c>
      <c r="I34" s="80">
        <f>$H$7*$H$6*SQRT(G34)</f>
        <v>81.847983481573934</v>
      </c>
      <c r="J34" s="80">
        <f t="shared" si="15"/>
        <v>263.84798348157392</v>
      </c>
      <c r="K34" s="87">
        <f t="shared" si="16"/>
        <v>182</v>
      </c>
      <c r="L34" s="3">
        <v>60</v>
      </c>
      <c r="M34" s="30" t="str">
        <f t="shared" si="17"/>
        <v>Reorder</v>
      </c>
      <c r="N34" s="30"/>
      <c r="O34" s="3"/>
      <c r="S34" s="78" t="s">
        <v>1058</v>
      </c>
      <c r="T34" s="45">
        <v>21</v>
      </c>
      <c r="U34" s="79">
        <f>ROUNDUP(VLOOKUP(S34,$A$10:$C$782,3,0),0)</f>
        <v>1</v>
      </c>
      <c r="V34" s="80">
        <f>$H$7*$H$6*SQRT(T34)</f>
        <v>39.318499462721107</v>
      </c>
      <c r="W34" s="80">
        <f>(U34*T34)+V34</f>
        <v>60.318499462721107</v>
      </c>
      <c r="X34" s="3">
        <v>90</v>
      </c>
      <c r="Y34" s="30" t="str">
        <f>IF(X34&lt;W34,"Reorder",IF(X34&gt;=W34*1.5,"Overstock","Sufficient"))</f>
        <v>Sufficient</v>
      </c>
      <c r="Z34" s="3" t="s">
        <v>28</v>
      </c>
    </row>
    <row r="35" spans="1:26" x14ac:dyDescent="0.35">
      <c r="A35" s="94" t="s">
        <v>2652</v>
      </c>
      <c r="B35" s="41">
        <v>306</v>
      </c>
      <c r="C35" s="57">
        <v>0.82993619283941866</v>
      </c>
      <c r="D35">
        <v>128</v>
      </c>
      <c r="F35" s="78" t="s">
        <v>2652</v>
      </c>
      <c r="G35" s="45">
        <v>306</v>
      </c>
      <c r="H35" s="79">
        <f t="shared" si="14"/>
        <v>1</v>
      </c>
      <c r="I35" s="80">
        <f t="shared" ref="I35:I43" si="18">$H$7*$H$6*SQRT(G35)</f>
        <v>150.08870177331804</v>
      </c>
      <c r="J35" s="80">
        <f t="shared" si="15"/>
        <v>456.08870177331801</v>
      </c>
      <c r="K35" s="87">
        <f t="shared" si="16"/>
        <v>306</v>
      </c>
      <c r="L35" s="3">
        <v>128</v>
      </c>
      <c r="M35" s="30" t="str">
        <f t="shared" si="17"/>
        <v>Reorder</v>
      </c>
      <c r="N35" s="30"/>
      <c r="O35" s="3"/>
      <c r="S35" s="78" t="s">
        <v>388</v>
      </c>
      <c r="T35" s="45">
        <v>144</v>
      </c>
      <c r="U35" s="79">
        <f>ROUNDUP(VLOOKUP(S35,$A$10:$C$782,3,0),0)</f>
        <v>4</v>
      </c>
      <c r="V35" s="80">
        <f>$H$7*$H$6*SQRT(T35)</f>
        <v>102.96000000000001</v>
      </c>
      <c r="W35" s="80">
        <f>(U35*T35)+V35</f>
        <v>678.96</v>
      </c>
      <c r="X35" s="3">
        <v>38</v>
      </c>
      <c r="Y35" s="30" t="str">
        <f>IF(X35&lt;W35,"Reorder",IF(X35&gt;=W35*1.5,"Overstock","Sufficient"))</f>
        <v>Reorder</v>
      </c>
      <c r="Z35" s="3" t="s">
        <v>56</v>
      </c>
    </row>
    <row r="36" spans="1:26" x14ac:dyDescent="0.35">
      <c r="A36" s="94" t="s">
        <v>1595</v>
      </c>
      <c r="B36" s="41">
        <v>16</v>
      </c>
      <c r="C36" s="57">
        <v>2.375</v>
      </c>
      <c r="D36">
        <v>52</v>
      </c>
      <c r="F36" s="78" t="s">
        <v>1595</v>
      </c>
      <c r="G36" s="45">
        <v>16</v>
      </c>
      <c r="H36" s="79">
        <f t="shared" si="14"/>
        <v>3</v>
      </c>
      <c r="I36" s="80">
        <f t="shared" si="18"/>
        <v>34.32</v>
      </c>
      <c r="J36" s="80">
        <f t="shared" si="15"/>
        <v>82.32</v>
      </c>
      <c r="K36" s="87">
        <f t="shared" si="16"/>
        <v>48</v>
      </c>
      <c r="L36" s="3">
        <v>52</v>
      </c>
      <c r="M36" s="30" t="str">
        <f t="shared" si="17"/>
        <v>Reorder</v>
      </c>
      <c r="N36" s="30"/>
      <c r="O36" s="3"/>
      <c r="S36" s="78" t="s">
        <v>254</v>
      </c>
      <c r="T36" s="45">
        <v>60</v>
      </c>
      <c r="U36" s="79">
        <f>ROUNDUP(VLOOKUP(S36,$A$10:$C$782,3,0),0)</f>
        <v>2</v>
      </c>
      <c r="V36" s="80">
        <f>$H$7*$H$6*SQRT(T36)</f>
        <v>66.460394220919284</v>
      </c>
      <c r="W36" s="80">
        <f>(U36*T36)+V36</f>
        <v>186.46039422091928</v>
      </c>
      <c r="X36" s="3">
        <v>42</v>
      </c>
      <c r="Y36" s="30" t="str">
        <f>IF(X36&lt;W36,"Reorder",IF(X36&gt;=W36*1.5,"Overstock","Sufficient"))</f>
        <v>Reorder</v>
      </c>
      <c r="Z36" s="3" t="s">
        <v>28</v>
      </c>
    </row>
    <row r="37" spans="1:26" x14ac:dyDescent="0.35">
      <c r="A37" s="94" t="s">
        <v>692</v>
      </c>
      <c r="B37" s="41">
        <v>122</v>
      </c>
      <c r="C37" s="57">
        <v>0.70491803278688525</v>
      </c>
      <c r="D37">
        <v>14</v>
      </c>
      <c r="F37" s="78" t="s">
        <v>692</v>
      </c>
      <c r="G37" s="45">
        <v>122</v>
      </c>
      <c r="H37" s="79">
        <f t="shared" si="14"/>
        <v>1</v>
      </c>
      <c r="I37" s="80">
        <f t="shared" si="18"/>
        <v>94.769197527466702</v>
      </c>
      <c r="J37" s="80">
        <f t="shared" si="15"/>
        <v>216.7691975274667</v>
      </c>
      <c r="K37" s="87">
        <f t="shared" si="16"/>
        <v>122</v>
      </c>
      <c r="L37" s="3">
        <v>14</v>
      </c>
      <c r="M37" s="30" t="str">
        <f t="shared" si="17"/>
        <v>Reorder</v>
      </c>
      <c r="N37" s="30"/>
      <c r="O37" s="3"/>
      <c r="S37" s="78" t="s">
        <v>61</v>
      </c>
      <c r="T37" s="45">
        <v>3</v>
      </c>
      <c r="U37" s="79">
        <f>ROUNDUP(VLOOKUP(S37,$A$10:$C$782,3,0),0)</f>
        <v>12</v>
      </c>
      <c r="V37" s="80">
        <f>$H$7*$H$6*SQRT(T37)</f>
        <v>14.860995928940966</v>
      </c>
      <c r="W37" s="80">
        <f>(U37*T37)+V37</f>
        <v>50.860995928940966</v>
      </c>
      <c r="X37" s="3">
        <v>90</v>
      </c>
      <c r="Y37" s="30" t="str">
        <f>IF(X37&lt;W37,"Reorder",IF(X37&gt;=W37*1.5,"Overstock","Sufficient"))</f>
        <v>Overstock</v>
      </c>
      <c r="Z37" s="3" t="s">
        <v>56</v>
      </c>
    </row>
    <row r="38" spans="1:26" x14ac:dyDescent="0.35">
      <c r="A38" s="94" t="s">
        <v>2112</v>
      </c>
      <c r="B38" s="41">
        <v>60</v>
      </c>
      <c r="C38" s="57">
        <v>1.3333333333333333</v>
      </c>
      <c r="D38">
        <v>65</v>
      </c>
      <c r="F38" s="78" t="s">
        <v>2112</v>
      </c>
      <c r="G38" s="45">
        <v>60</v>
      </c>
      <c r="H38" s="79">
        <f t="shared" si="14"/>
        <v>2</v>
      </c>
      <c r="I38" s="80">
        <f t="shared" si="18"/>
        <v>66.460394220919284</v>
      </c>
      <c r="J38" s="80">
        <f t="shared" si="15"/>
        <v>186.46039422091928</v>
      </c>
      <c r="K38" s="87">
        <f t="shared" si="16"/>
        <v>120</v>
      </c>
      <c r="L38" s="3">
        <v>65</v>
      </c>
      <c r="M38" s="30" t="str">
        <f t="shared" si="17"/>
        <v>Reorder</v>
      </c>
      <c r="N38" s="30"/>
      <c r="O38" s="3"/>
    </row>
    <row r="39" spans="1:26" x14ac:dyDescent="0.35">
      <c r="A39" s="94" t="s">
        <v>138</v>
      </c>
      <c r="B39" s="41">
        <v>311</v>
      </c>
      <c r="C39" s="57">
        <v>0.26366559485530544</v>
      </c>
      <c r="D39">
        <v>26</v>
      </c>
      <c r="F39" s="78" t="s">
        <v>138</v>
      </c>
      <c r="G39" s="45">
        <v>311</v>
      </c>
      <c r="H39" s="79">
        <f t="shared" si="14"/>
        <v>1</v>
      </c>
      <c r="I39" s="80">
        <f t="shared" si="18"/>
        <v>151.30994811974526</v>
      </c>
      <c r="J39" s="80">
        <f t="shared" si="15"/>
        <v>462.30994811974529</v>
      </c>
      <c r="K39" s="87">
        <f t="shared" si="16"/>
        <v>311</v>
      </c>
      <c r="L39" s="3">
        <v>26</v>
      </c>
      <c r="M39" s="30" t="str">
        <f t="shared" si="17"/>
        <v>Reorder</v>
      </c>
      <c r="N39" s="30"/>
      <c r="O39" s="3"/>
    </row>
    <row r="40" spans="1:26" x14ac:dyDescent="0.35">
      <c r="A40" s="94" t="s">
        <v>343</v>
      </c>
      <c r="B40" s="41">
        <v>30</v>
      </c>
      <c r="C40" s="57">
        <v>1.5666666666666667</v>
      </c>
      <c r="D40">
        <v>59</v>
      </c>
      <c r="F40" s="78" t="s">
        <v>343</v>
      </c>
      <c r="G40" s="45">
        <v>30</v>
      </c>
      <c r="H40" s="79">
        <f t="shared" si="14"/>
        <v>2</v>
      </c>
      <c r="I40" s="80">
        <f t="shared" si="18"/>
        <v>46.994595433943253</v>
      </c>
      <c r="J40" s="80">
        <f t="shared" si="15"/>
        <v>106.99459543394326</v>
      </c>
      <c r="K40" s="87">
        <f t="shared" si="16"/>
        <v>60</v>
      </c>
      <c r="L40" s="3">
        <v>59</v>
      </c>
      <c r="M40" s="30" t="str">
        <f t="shared" si="17"/>
        <v>Reorder</v>
      </c>
      <c r="N40" s="30"/>
      <c r="O40" s="3"/>
    </row>
    <row r="41" spans="1:26" x14ac:dyDescent="0.35">
      <c r="A41" s="94" t="s">
        <v>259</v>
      </c>
      <c r="B41" s="41">
        <v>3</v>
      </c>
      <c r="C41" s="57">
        <v>13.666666666666666</v>
      </c>
      <c r="D41">
        <v>22</v>
      </c>
      <c r="F41" s="78" t="s">
        <v>259</v>
      </c>
      <c r="G41" s="45">
        <v>3</v>
      </c>
      <c r="H41" s="79">
        <f t="shared" si="14"/>
        <v>14</v>
      </c>
      <c r="I41" s="80">
        <f t="shared" si="18"/>
        <v>14.860995928940966</v>
      </c>
      <c r="J41" s="80">
        <f t="shared" si="15"/>
        <v>56.860995928940966</v>
      </c>
      <c r="K41" s="87">
        <f t="shared" si="16"/>
        <v>42</v>
      </c>
      <c r="L41" s="3">
        <v>22</v>
      </c>
      <c r="M41" s="30" t="str">
        <f t="shared" si="17"/>
        <v>Reorder</v>
      </c>
      <c r="N41" s="30"/>
      <c r="O41" s="3"/>
    </row>
    <row r="42" spans="1:26" x14ac:dyDescent="0.35">
      <c r="A42" s="94" t="s">
        <v>3091</v>
      </c>
      <c r="B42" s="41">
        <v>113</v>
      </c>
      <c r="C42" s="57">
        <v>0.32743362831858408</v>
      </c>
      <c r="D42">
        <v>17</v>
      </c>
      <c r="F42" s="78" t="s">
        <v>3091</v>
      </c>
      <c r="G42" s="45">
        <v>113</v>
      </c>
      <c r="H42" s="79">
        <f t="shared" si="14"/>
        <v>1</v>
      </c>
      <c r="I42" s="80">
        <f t="shared" si="18"/>
        <v>91.206651073263302</v>
      </c>
      <c r="J42" s="80">
        <f t="shared" si="15"/>
        <v>204.20665107326329</v>
      </c>
      <c r="K42" s="87">
        <f t="shared" si="16"/>
        <v>113</v>
      </c>
      <c r="L42" s="3">
        <v>17</v>
      </c>
      <c r="M42" s="30" t="str">
        <f t="shared" si="17"/>
        <v>Reorder</v>
      </c>
      <c r="N42" s="30"/>
      <c r="O42" s="3"/>
    </row>
    <row r="43" spans="1:26" x14ac:dyDescent="0.35">
      <c r="A43" s="94" t="s">
        <v>316</v>
      </c>
      <c r="B43" s="41">
        <v>3</v>
      </c>
      <c r="C43" s="57">
        <v>24</v>
      </c>
      <c r="D43">
        <v>88</v>
      </c>
      <c r="F43" s="78" t="s">
        <v>316</v>
      </c>
      <c r="G43" s="45">
        <v>3</v>
      </c>
      <c r="H43" s="79">
        <f t="shared" si="14"/>
        <v>24</v>
      </c>
      <c r="I43" s="80">
        <f t="shared" si="18"/>
        <v>14.860995928940966</v>
      </c>
      <c r="J43" s="80">
        <f t="shared" si="15"/>
        <v>86.860995928940966</v>
      </c>
      <c r="K43" s="87">
        <f t="shared" si="16"/>
        <v>72</v>
      </c>
      <c r="L43" s="3">
        <v>88</v>
      </c>
      <c r="M43" s="30" t="str">
        <f t="shared" si="17"/>
        <v>Sufficient</v>
      </c>
      <c r="N43" s="30"/>
      <c r="O43" s="3"/>
    </row>
    <row r="44" spans="1:26" x14ac:dyDescent="0.35">
      <c r="A44" s="14" t="s">
        <v>615</v>
      </c>
      <c r="B44" s="41">
        <v>367</v>
      </c>
      <c r="C44" s="57">
        <v>37.427804907457649</v>
      </c>
      <c r="D44">
        <v>206</v>
      </c>
      <c r="F44" s="72" t="s">
        <v>615</v>
      </c>
      <c r="G44" s="73"/>
      <c r="H44" s="81"/>
      <c r="I44" s="75"/>
      <c r="J44" s="74"/>
      <c r="K44" s="79"/>
      <c r="L44" s="76">
        <v>206</v>
      </c>
      <c r="M44" s="77"/>
      <c r="N44" s="85" t="str">
        <f>IFERROR(VLOOKUP(F44,'ABC Analysis'!$E$18:$M$138,9,0),0)</f>
        <v>C</v>
      </c>
      <c r="O44" s="86">
        <f>IFERROR(VLOOKUP(F44,'ABC Analysis'!$E$18:$G$138,3,0),0)</f>
        <v>2.7722480311490987E-3</v>
      </c>
    </row>
    <row r="45" spans="1:26" x14ac:dyDescent="0.35">
      <c r="A45" s="94" t="s">
        <v>616</v>
      </c>
      <c r="B45" s="41">
        <v>2</v>
      </c>
      <c r="C45" s="57">
        <v>37</v>
      </c>
      <c r="D45">
        <v>64</v>
      </c>
      <c r="F45" s="78" t="s">
        <v>616</v>
      </c>
      <c r="G45" s="45">
        <v>2</v>
      </c>
      <c r="H45" s="79">
        <f>ROUNDUP(VLOOKUP(F45,$A$10:$C$782,3,0),0)</f>
        <v>37</v>
      </c>
      <c r="I45" s="80">
        <f>$H$7*$H$6*SQRT(G45)</f>
        <v>12.133952365161157</v>
      </c>
      <c r="J45" s="80">
        <f>(H45*G45)+I45</f>
        <v>86.13395236516115</v>
      </c>
      <c r="K45" s="87">
        <f>H45*G45</f>
        <v>74</v>
      </c>
      <c r="L45" s="3">
        <v>64</v>
      </c>
      <c r="M45" s="30" t="str">
        <f>IF(L45&lt;J45,"Reorder",IF(L45&gt;=J45*1.5,"Overstock","Sufficient"))</f>
        <v>Reorder</v>
      </c>
      <c r="N45" s="30"/>
      <c r="O45" s="3"/>
    </row>
    <row r="46" spans="1:26" x14ac:dyDescent="0.35">
      <c r="A46" s="94" t="s">
        <v>882</v>
      </c>
      <c r="B46" s="41">
        <v>194</v>
      </c>
      <c r="C46" s="57">
        <v>0.12371134020618557</v>
      </c>
      <c r="D46">
        <v>70</v>
      </c>
      <c r="F46" s="78" t="s">
        <v>882</v>
      </c>
      <c r="G46" s="45">
        <v>194</v>
      </c>
      <c r="H46" s="79">
        <f>ROUNDUP(VLOOKUP(F46,$A$10:$C$782,3,0),0)</f>
        <v>1</v>
      </c>
      <c r="I46" s="80">
        <f>$H$7*$H$6*SQRT(G46)</f>
        <v>119.50557141823974</v>
      </c>
      <c r="J46" s="80">
        <f>(H46*G46)+I46</f>
        <v>313.50557141823975</v>
      </c>
      <c r="K46" s="87">
        <f>H46*G46</f>
        <v>194</v>
      </c>
      <c r="L46" s="3">
        <v>70</v>
      </c>
      <c r="M46" s="30" t="str">
        <f>IF(L46&lt;J46,"Reorder",IF(L46&gt;=J46*1.5,"Overstock","Sufficient"))</f>
        <v>Reorder</v>
      </c>
      <c r="N46" s="30"/>
      <c r="O46" s="3"/>
    </row>
    <row r="47" spans="1:26" x14ac:dyDescent="0.35">
      <c r="A47" s="94" t="s">
        <v>778</v>
      </c>
      <c r="B47" s="41">
        <v>171</v>
      </c>
      <c r="C47" s="57">
        <v>0.30409356725146197</v>
      </c>
      <c r="D47">
        <v>72</v>
      </c>
      <c r="F47" s="78" t="s">
        <v>778</v>
      </c>
      <c r="G47" s="45">
        <v>171</v>
      </c>
      <c r="H47" s="79">
        <f>ROUNDUP(VLOOKUP(F47,$A$10:$C$782,3,0),0)</f>
        <v>1</v>
      </c>
      <c r="I47" s="80">
        <f>$H$7*$H$6*SQRT(G47)</f>
        <v>112.19805880673694</v>
      </c>
      <c r="J47" s="80">
        <f>(H47*G47)+I47</f>
        <v>283.19805880673692</v>
      </c>
      <c r="K47" s="87">
        <f>H47*G47</f>
        <v>171</v>
      </c>
      <c r="L47" s="3">
        <v>72</v>
      </c>
      <c r="M47" s="30" t="str">
        <f>IF(L47&lt;J47,"Reorder",IF(L47&gt;=J47*1.5,"Overstock","Sufficient"))</f>
        <v>Reorder</v>
      </c>
      <c r="N47" s="30"/>
      <c r="O47" s="3"/>
    </row>
    <row r="48" spans="1:26" x14ac:dyDescent="0.35">
      <c r="A48" s="14" t="s">
        <v>80</v>
      </c>
      <c r="B48" s="41">
        <v>531</v>
      </c>
      <c r="C48" s="57">
        <v>32.447273553692717</v>
      </c>
      <c r="D48">
        <v>206</v>
      </c>
      <c r="F48" s="72" t="s">
        <v>80</v>
      </c>
      <c r="G48" s="73"/>
      <c r="H48" s="81"/>
      <c r="I48" s="75"/>
      <c r="J48" s="74"/>
      <c r="K48" s="79"/>
      <c r="L48" s="76">
        <v>206</v>
      </c>
      <c r="M48" s="77"/>
      <c r="N48" s="85" t="str">
        <f>IFERROR(VLOOKUP(F48,'ABC Analysis'!$E$18:$M$138,9,0),0)</f>
        <v>A</v>
      </c>
      <c r="O48" s="86">
        <f>IFERROR(VLOOKUP(F48,'ABC Analysis'!$E$18:$G$138,3,0),0)</f>
        <v>1.0253599696098403E-2</v>
      </c>
    </row>
    <row r="49" spans="1:15" x14ac:dyDescent="0.35">
      <c r="A49" s="94" t="s">
        <v>122</v>
      </c>
      <c r="B49" s="41">
        <v>113</v>
      </c>
      <c r="C49" s="57">
        <v>0.5752212389380531</v>
      </c>
      <c r="D49">
        <v>14</v>
      </c>
      <c r="F49" s="78" t="s">
        <v>122</v>
      </c>
      <c r="G49" s="45">
        <v>113</v>
      </c>
      <c r="H49" s="79">
        <f>ROUNDUP(VLOOKUP(F49,$A$10:$C$782,3,0),0)</f>
        <v>1</v>
      </c>
      <c r="I49" s="80">
        <f>$H$7*$H$6*SQRT(G49)</f>
        <v>91.206651073263302</v>
      </c>
      <c r="J49" s="80">
        <f>(H49*G49)+I49</f>
        <v>204.20665107326329</v>
      </c>
      <c r="K49" s="87">
        <f>H49*G49</f>
        <v>113</v>
      </c>
      <c r="L49" s="3">
        <v>14</v>
      </c>
      <c r="M49" s="30" t="str">
        <f>IF(L49&lt;J49,"Reorder",IF(L49&gt;=J49*1.5,"Overstock","Sufficient"))</f>
        <v>Reorder</v>
      </c>
      <c r="N49" s="30"/>
      <c r="O49" s="3"/>
    </row>
    <row r="50" spans="1:15" x14ac:dyDescent="0.35">
      <c r="A50" s="94" t="s">
        <v>81</v>
      </c>
      <c r="B50" s="41">
        <v>86</v>
      </c>
      <c r="C50" s="57">
        <v>0.2558139534883721</v>
      </c>
      <c r="D50">
        <v>53</v>
      </c>
      <c r="F50" s="78" t="s">
        <v>81</v>
      </c>
      <c r="G50" s="45">
        <v>86</v>
      </c>
      <c r="H50" s="79">
        <f>ROUNDUP(VLOOKUP(F50,$A$10:$C$782,3,0),0)</f>
        <v>1</v>
      </c>
      <c r="I50" s="80">
        <f>$H$7*$H$6*SQRT(G50)</f>
        <v>79.567646691353147</v>
      </c>
      <c r="J50" s="80">
        <f>(H50*G50)+I50</f>
        <v>165.56764669135316</v>
      </c>
      <c r="K50" s="87">
        <f>H50*G50</f>
        <v>86</v>
      </c>
      <c r="L50" s="3">
        <v>53</v>
      </c>
      <c r="M50" s="30" t="str">
        <f>IF(L50&lt;J50,"Reorder",IF(L50&gt;=J50*1.5,"Overstock","Sufficient"))</f>
        <v>Reorder</v>
      </c>
      <c r="N50" s="30"/>
      <c r="O50" s="3"/>
    </row>
    <row r="51" spans="1:15" x14ac:dyDescent="0.35">
      <c r="A51" s="94" t="s">
        <v>176</v>
      </c>
      <c r="B51" s="41">
        <v>179</v>
      </c>
      <c r="C51" s="57">
        <v>0.12290502793296089</v>
      </c>
      <c r="D51">
        <v>30</v>
      </c>
      <c r="F51" s="78" t="s">
        <v>176</v>
      </c>
      <c r="G51" s="45">
        <v>179</v>
      </c>
      <c r="H51" s="79">
        <f>ROUNDUP(VLOOKUP(F51,$A$10:$C$782,3,0),0)</f>
        <v>1</v>
      </c>
      <c r="I51" s="80">
        <f>$H$7*$H$6*SQRT(G51)</f>
        <v>114.79257641502781</v>
      </c>
      <c r="J51" s="80">
        <f>(H51*G51)+I51</f>
        <v>293.79257641502784</v>
      </c>
      <c r="K51" s="87">
        <f>H51*G51</f>
        <v>179</v>
      </c>
      <c r="L51" s="3">
        <v>30</v>
      </c>
      <c r="M51" s="30" t="str">
        <f>IF(L51&lt;J51,"Reorder",IF(L51&gt;=J51*1.5,"Overstock","Sufficient"))</f>
        <v>Reorder</v>
      </c>
      <c r="N51" s="30"/>
      <c r="O51" s="3"/>
    </row>
    <row r="52" spans="1:15" x14ac:dyDescent="0.35">
      <c r="A52" s="94" t="s">
        <v>1536</v>
      </c>
      <c r="B52" s="41">
        <v>150</v>
      </c>
      <c r="C52" s="57">
        <v>0.16</v>
      </c>
      <c r="D52">
        <v>10</v>
      </c>
      <c r="F52" s="78" t="s">
        <v>1536</v>
      </c>
      <c r="G52" s="45">
        <v>150</v>
      </c>
      <c r="H52" s="79">
        <f>ROUNDUP(VLOOKUP(F52,$A$10:$C$782,3,0),0)</f>
        <v>1</v>
      </c>
      <c r="I52" s="80">
        <f>$H$7*$H$6*SQRT(G52)</f>
        <v>105.08310996539834</v>
      </c>
      <c r="J52" s="80">
        <f>(H52*G52)+I52</f>
        <v>255.08310996539834</v>
      </c>
      <c r="K52" s="87">
        <f>H52*G52</f>
        <v>150</v>
      </c>
      <c r="L52" s="3">
        <v>10</v>
      </c>
      <c r="M52" s="30" t="str">
        <f>IF(L52&lt;J52,"Reorder",IF(L52&gt;=J52*1.5,"Overstock","Sufficient"))</f>
        <v>Reorder</v>
      </c>
      <c r="N52" s="30"/>
      <c r="O52" s="3"/>
    </row>
    <row r="53" spans="1:15" x14ac:dyDescent="0.35">
      <c r="A53" s="94" t="s">
        <v>2496</v>
      </c>
      <c r="B53" s="41">
        <v>3</v>
      </c>
      <c r="C53" s="57">
        <v>31.333333333333332</v>
      </c>
      <c r="D53">
        <v>99</v>
      </c>
      <c r="F53" s="78" t="s">
        <v>2496</v>
      </c>
      <c r="G53" s="45">
        <v>3</v>
      </c>
      <c r="H53" s="79">
        <f>ROUNDUP(VLOOKUP(F53,$A$10:$C$782,3,0),0)</f>
        <v>32</v>
      </c>
      <c r="I53" s="80">
        <f>$H$7*$H$6*SQRT(G53)</f>
        <v>14.860995928940966</v>
      </c>
      <c r="J53" s="80">
        <f>(H53*G53)+I53</f>
        <v>110.86099592894097</v>
      </c>
      <c r="K53" s="87">
        <f>H53*G53</f>
        <v>96</v>
      </c>
      <c r="L53" s="3">
        <v>99</v>
      </c>
      <c r="M53" s="30" t="str">
        <f>IF(L53&lt;J53,"Reorder",IF(L53&gt;=J53*1.5,"Overstock","Sufficient"))</f>
        <v>Reorder</v>
      </c>
      <c r="N53" s="30"/>
      <c r="O53" s="3"/>
    </row>
    <row r="54" spans="1:15" x14ac:dyDescent="0.35">
      <c r="A54" s="14" t="s">
        <v>65</v>
      </c>
      <c r="B54" s="41">
        <v>494</v>
      </c>
      <c r="C54" s="57">
        <v>32.118100729066768</v>
      </c>
      <c r="D54">
        <v>350</v>
      </c>
      <c r="F54" s="72" t="s">
        <v>65</v>
      </c>
      <c r="G54" s="73"/>
      <c r="H54" s="81"/>
      <c r="I54" s="75"/>
      <c r="J54" s="74"/>
      <c r="K54" s="79"/>
      <c r="L54" s="76">
        <v>350</v>
      </c>
      <c r="M54" s="77"/>
      <c r="N54" s="85" t="str">
        <f>IFERROR(VLOOKUP(F54,'ABC Analysis'!$E$18:$M$138,9,0),0)</f>
        <v>A</v>
      </c>
      <c r="O54" s="86">
        <f>IFERROR(VLOOKUP(F54,'ABC Analysis'!$E$18:$G$138,3,0),0)</f>
        <v>1.0804331283174966E-2</v>
      </c>
    </row>
    <row r="55" spans="1:15" x14ac:dyDescent="0.35">
      <c r="A55" s="94" t="s">
        <v>19</v>
      </c>
      <c r="B55" s="41">
        <v>200</v>
      </c>
      <c r="C55" s="57">
        <v>0.3</v>
      </c>
      <c r="D55">
        <v>50</v>
      </c>
      <c r="F55" s="78" t="s">
        <v>19</v>
      </c>
      <c r="G55" s="45">
        <v>200</v>
      </c>
      <c r="H55" s="79">
        <f>ROUNDUP(VLOOKUP(F55,$A$10:$C$782,3,0),0)</f>
        <v>1</v>
      </c>
      <c r="I55" s="80">
        <f>$H$7*$H$6*SQRT(G55)</f>
        <v>121.33952365161156</v>
      </c>
      <c r="J55" s="80">
        <f>(H55*G55)+I55</f>
        <v>321.33952365161156</v>
      </c>
      <c r="K55" s="87">
        <f>H55*G55</f>
        <v>200</v>
      </c>
      <c r="L55" s="3">
        <v>50</v>
      </c>
      <c r="M55" s="30" t="str">
        <f>IF(L55&lt;J55,"Reorder",IF(L55&gt;=J55*1.5,"Overstock","Sufficient"))</f>
        <v>Reorder</v>
      </c>
      <c r="N55" s="30"/>
      <c r="O55" s="3"/>
    </row>
    <row r="56" spans="1:15" x14ac:dyDescent="0.35">
      <c r="A56" s="94" t="s">
        <v>886</v>
      </c>
      <c r="B56" s="41">
        <v>115</v>
      </c>
      <c r="C56" s="57">
        <v>0.76521739130434785</v>
      </c>
      <c r="D56">
        <v>100</v>
      </c>
      <c r="F56" s="78" t="s">
        <v>886</v>
      </c>
      <c r="G56" s="45">
        <v>115</v>
      </c>
      <c r="H56" s="79">
        <f>ROUNDUP(VLOOKUP(F56,$A$10:$C$782,3,0),0)</f>
        <v>1</v>
      </c>
      <c r="I56" s="80">
        <f>$H$7*$H$6*SQRT(G56)</f>
        <v>92.010249429071749</v>
      </c>
      <c r="J56" s="80">
        <f>(H56*G56)+I56</f>
        <v>207.01024942907173</v>
      </c>
      <c r="K56" s="87">
        <f>H56*G56</f>
        <v>115</v>
      </c>
      <c r="L56" s="3">
        <v>100</v>
      </c>
      <c r="M56" s="30" t="str">
        <f>IF(L56&lt;J56,"Reorder",IF(L56&gt;=J56*1.5,"Overstock","Sufficient"))</f>
        <v>Reorder</v>
      </c>
      <c r="N56" s="30"/>
      <c r="O56" s="3"/>
    </row>
    <row r="57" spans="1:15" x14ac:dyDescent="0.35">
      <c r="A57" s="94" t="s">
        <v>66</v>
      </c>
      <c r="B57" s="41">
        <v>2</v>
      </c>
      <c r="C57" s="57">
        <v>30</v>
      </c>
      <c r="D57">
        <v>78</v>
      </c>
      <c r="F57" s="78" t="s">
        <v>66</v>
      </c>
      <c r="G57" s="45">
        <v>2</v>
      </c>
      <c r="H57" s="79">
        <f>ROUNDUP(VLOOKUP(F57,$A$10:$C$782,3,0),0)</f>
        <v>30</v>
      </c>
      <c r="I57" s="80">
        <f>$H$7*$H$6*SQRT(G57)</f>
        <v>12.133952365161157</v>
      </c>
      <c r="J57" s="80">
        <f>(H57*G57)+I57</f>
        <v>72.13395236516115</v>
      </c>
      <c r="K57" s="87">
        <f>H57*G57</f>
        <v>60</v>
      </c>
      <c r="L57" s="3">
        <v>78</v>
      </c>
      <c r="M57" s="30" t="str">
        <f>IF(L57&lt;J57,"Reorder",IF(L57&gt;=J57*1.5,"Overstock","Sufficient"))</f>
        <v>Sufficient</v>
      </c>
      <c r="N57" s="30"/>
      <c r="O57" s="3"/>
    </row>
    <row r="58" spans="1:15" x14ac:dyDescent="0.35">
      <c r="A58" s="94" t="s">
        <v>207</v>
      </c>
      <c r="B58" s="41">
        <v>71</v>
      </c>
      <c r="C58" s="57">
        <v>0.78873239436619713</v>
      </c>
      <c r="D58">
        <v>53</v>
      </c>
      <c r="F58" s="78" t="s">
        <v>207</v>
      </c>
      <c r="G58" s="45">
        <v>71</v>
      </c>
      <c r="H58" s="79">
        <f>ROUNDUP(VLOOKUP(F58,$A$10:$C$782,3,0),0)</f>
        <v>1</v>
      </c>
      <c r="I58" s="80">
        <f>$H$7*$H$6*SQRT(G58)</f>
        <v>72.296365053853165</v>
      </c>
      <c r="J58" s="80">
        <f>(H58*G58)+I58</f>
        <v>143.29636505385315</v>
      </c>
      <c r="K58" s="87">
        <f>H58*G58</f>
        <v>71</v>
      </c>
      <c r="L58" s="3">
        <v>53</v>
      </c>
      <c r="M58" s="30" t="str">
        <f>IF(L58&lt;J58,"Reorder",IF(L58&gt;=J58*1.5,"Overstock","Sufficient"))</f>
        <v>Reorder</v>
      </c>
      <c r="N58" s="30"/>
      <c r="O58" s="3"/>
    </row>
    <row r="59" spans="1:15" x14ac:dyDescent="0.35">
      <c r="A59" s="94" t="s">
        <v>1207</v>
      </c>
      <c r="B59" s="41">
        <v>106</v>
      </c>
      <c r="C59" s="57">
        <v>0.26415094339622641</v>
      </c>
      <c r="D59">
        <v>69</v>
      </c>
      <c r="F59" s="78" t="s">
        <v>1207</v>
      </c>
      <c r="G59" s="45">
        <v>106</v>
      </c>
      <c r="H59" s="79">
        <f>ROUNDUP(VLOOKUP(F59,$A$10:$C$782,3,0),0)</f>
        <v>1</v>
      </c>
      <c r="I59" s="80">
        <f>$H$7*$H$6*SQRT(G59)</f>
        <v>88.336506609668461</v>
      </c>
      <c r="J59" s="80">
        <f>(H59*G59)+I59</f>
        <v>194.33650660966845</v>
      </c>
      <c r="K59" s="87">
        <f>H59*G59</f>
        <v>106</v>
      </c>
      <c r="L59" s="3">
        <v>69</v>
      </c>
      <c r="M59" s="30" t="str">
        <f>IF(L59&lt;J59,"Reorder",IF(L59&gt;=J59*1.5,"Overstock","Sufficient"))</f>
        <v>Reorder</v>
      </c>
      <c r="N59" s="30"/>
      <c r="O59" s="3"/>
    </row>
    <row r="60" spans="1:15" x14ac:dyDescent="0.35">
      <c r="A60" s="14" t="s">
        <v>686</v>
      </c>
      <c r="B60" s="41">
        <v>280</v>
      </c>
      <c r="C60" s="57">
        <v>27.643802647412755</v>
      </c>
      <c r="D60">
        <v>128</v>
      </c>
      <c r="F60" s="72" t="s">
        <v>686</v>
      </c>
      <c r="G60" s="73"/>
      <c r="H60" s="74"/>
      <c r="I60" s="75"/>
      <c r="J60" s="74"/>
      <c r="K60" s="79"/>
      <c r="L60" s="76">
        <v>128</v>
      </c>
      <c r="M60" s="77"/>
      <c r="N60" s="85" t="str">
        <f>IFERROR(VLOOKUP(F60,'ABC Analysis'!$E$18:$M$138,9,0),0)</f>
        <v>C</v>
      </c>
      <c r="O60" s="86">
        <f>IFERROR(VLOOKUP(F60,'ABC Analysis'!$E$18:$G$138,3,0),0)</f>
        <v>3.0862463674517153E-3</v>
      </c>
    </row>
    <row r="61" spans="1:15" x14ac:dyDescent="0.35">
      <c r="A61" s="94" t="s">
        <v>199</v>
      </c>
      <c r="B61" s="41">
        <v>277</v>
      </c>
      <c r="C61" s="57">
        <v>0.31046931407942241</v>
      </c>
      <c r="D61">
        <v>84</v>
      </c>
      <c r="F61" s="78" t="s">
        <v>199</v>
      </c>
      <c r="G61" s="45">
        <v>277</v>
      </c>
      <c r="H61" s="79">
        <f>ROUNDUP(VLOOKUP(F61,$A$10:$C$782,3,0),0)</f>
        <v>69</v>
      </c>
      <c r="I61" s="80">
        <f>$H$7*$H$6*SQRT(G61)</f>
        <v>142.79965966345998</v>
      </c>
      <c r="J61" s="80">
        <f>(H61*G61)+I61</f>
        <v>19255.799659663458</v>
      </c>
      <c r="K61" s="87">
        <f>H61*G61</f>
        <v>19113</v>
      </c>
      <c r="L61" s="3">
        <v>84</v>
      </c>
      <c r="M61" s="30" t="str">
        <f>IF(L61&lt;J61,"Reorder",IF(L61&gt;=J61*1.5,"Overstock","Sufficient"))</f>
        <v>Reorder</v>
      </c>
      <c r="N61" s="30"/>
      <c r="O61" s="3"/>
    </row>
    <row r="62" spans="1:15" x14ac:dyDescent="0.35">
      <c r="A62" s="94" t="s">
        <v>207</v>
      </c>
      <c r="B62" s="41">
        <v>3</v>
      </c>
      <c r="C62" s="57">
        <v>27.333333333333332</v>
      </c>
      <c r="D62">
        <v>44</v>
      </c>
      <c r="F62" s="78" t="s">
        <v>207</v>
      </c>
      <c r="G62" s="45">
        <v>3</v>
      </c>
      <c r="H62" s="79">
        <f>ROUNDUP(VLOOKUP(F62,$A$10:$C$782,3,0),0)</f>
        <v>1</v>
      </c>
      <c r="I62" s="80">
        <f>$H$7*$H$6*SQRT(G62)</f>
        <v>14.860995928940966</v>
      </c>
      <c r="J62" s="80">
        <f>(H62*G62)+I62</f>
        <v>17.860995928940966</v>
      </c>
      <c r="K62" s="87">
        <f>H62*G62</f>
        <v>3</v>
      </c>
      <c r="L62" s="3">
        <v>44</v>
      </c>
      <c r="M62" s="30" t="str">
        <f>IF(L62&lt;J62,"Reorder",IF(L62&gt;=J62*1.5,"Overstock","Sufficient"))</f>
        <v>Overstock</v>
      </c>
      <c r="N62" s="30"/>
      <c r="O62" s="3"/>
    </row>
    <row r="63" spans="1:15" x14ac:dyDescent="0.35">
      <c r="A63" s="14" t="s">
        <v>1016</v>
      </c>
      <c r="B63" s="41">
        <v>647</v>
      </c>
      <c r="C63" s="57">
        <v>26.534837500493758</v>
      </c>
      <c r="D63">
        <v>328</v>
      </c>
      <c r="F63" s="72" t="s">
        <v>1016</v>
      </c>
      <c r="G63" s="73"/>
      <c r="H63" s="74"/>
      <c r="I63" s="75"/>
      <c r="J63" s="74"/>
      <c r="K63" s="79"/>
      <c r="L63" s="76">
        <v>328</v>
      </c>
      <c r="M63" s="77"/>
      <c r="N63" s="85" t="str">
        <f>IFERROR(VLOOKUP(F63,'ABC Analysis'!$E$18:$M$138,9,0),0)</f>
        <v>B</v>
      </c>
      <c r="O63" s="86">
        <f>IFERROR(VLOOKUP(F63,'ABC Analysis'!$E$18:$G$138,3,0),0)</f>
        <v>3.391240126117532E-3</v>
      </c>
    </row>
    <row r="64" spans="1:15" x14ac:dyDescent="0.35">
      <c r="A64" s="94" t="s">
        <v>922</v>
      </c>
      <c r="B64" s="41">
        <v>91</v>
      </c>
      <c r="C64" s="57">
        <v>0.30769230769230771</v>
      </c>
      <c r="D64">
        <v>50</v>
      </c>
      <c r="F64" s="78" t="s">
        <v>922</v>
      </c>
      <c r="G64" s="45">
        <v>91</v>
      </c>
      <c r="H64" s="79">
        <f t="shared" ref="H64:H69" si="19">ROUNDUP(VLOOKUP(F64,$A$10:$C$782,3,0),0)</f>
        <v>1</v>
      </c>
      <c r="I64" s="80">
        <f t="shared" ref="I64:I69" si="20">$H$7*$H$6*SQRT(G64)</f>
        <v>81.847983481573934</v>
      </c>
      <c r="J64" s="80">
        <f t="shared" ref="J64:J69" si="21">(H64*G64)+I64</f>
        <v>172.84798348157392</v>
      </c>
      <c r="K64" s="87">
        <f t="shared" ref="K64:K69" si="22">H64*G64</f>
        <v>91</v>
      </c>
      <c r="L64" s="3">
        <v>50</v>
      </c>
      <c r="M64" s="30" t="str">
        <f t="shared" ref="M64:M69" si="23">IF(L64&lt;J64,"Reorder",IF(L64&gt;=J64*1.5,"Overstock","Sufficient"))</f>
        <v>Reorder</v>
      </c>
      <c r="N64" s="30"/>
      <c r="O64" s="3"/>
    </row>
    <row r="65" spans="1:15" x14ac:dyDescent="0.35">
      <c r="A65" s="94" t="s">
        <v>2542</v>
      </c>
      <c r="B65" s="41">
        <v>74</v>
      </c>
      <c r="C65" s="57">
        <v>1.3513513513513513</v>
      </c>
      <c r="D65">
        <v>75</v>
      </c>
      <c r="F65" s="78" t="s">
        <v>2542</v>
      </c>
      <c r="G65" s="45">
        <v>74</v>
      </c>
      <c r="H65" s="79">
        <f t="shared" si="19"/>
        <v>2</v>
      </c>
      <c r="I65" s="80">
        <f t="shared" si="20"/>
        <v>73.807950791225736</v>
      </c>
      <c r="J65" s="80">
        <f t="shared" si="21"/>
        <v>221.80795079122572</v>
      </c>
      <c r="K65" s="87">
        <f t="shared" si="22"/>
        <v>148</v>
      </c>
      <c r="L65" s="3">
        <v>75</v>
      </c>
      <c r="M65" s="30" t="str">
        <f t="shared" si="23"/>
        <v>Reorder</v>
      </c>
      <c r="N65" s="30"/>
      <c r="O65" s="3"/>
    </row>
    <row r="66" spans="1:15" x14ac:dyDescent="0.35">
      <c r="A66" s="94" t="s">
        <v>1180</v>
      </c>
      <c r="B66" s="41">
        <v>50</v>
      </c>
      <c r="C66" s="57">
        <v>1.34</v>
      </c>
      <c r="D66">
        <v>96</v>
      </c>
      <c r="F66" s="78" t="s">
        <v>1180</v>
      </c>
      <c r="G66" s="45">
        <v>50</v>
      </c>
      <c r="H66" s="79">
        <f t="shared" si="19"/>
        <v>2</v>
      </c>
      <c r="I66" s="80">
        <f t="shared" si="20"/>
        <v>60.669761825805779</v>
      </c>
      <c r="J66" s="80">
        <f t="shared" si="21"/>
        <v>160.66976182580578</v>
      </c>
      <c r="K66" s="87">
        <f t="shared" si="22"/>
        <v>100</v>
      </c>
      <c r="L66" s="3">
        <v>96</v>
      </c>
      <c r="M66" s="30" t="str">
        <f t="shared" si="23"/>
        <v>Reorder</v>
      </c>
      <c r="N66" s="30"/>
      <c r="O66" s="3"/>
    </row>
    <row r="67" spans="1:15" x14ac:dyDescent="0.35">
      <c r="A67" s="94" t="s">
        <v>259</v>
      </c>
      <c r="B67" s="41">
        <v>241</v>
      </c>
      <c r="C67" s="57">
        <v>0.35684647302904565</v>
      </c>
      <c r="D67">
        <v>20</v>
      </c>
      <c r="F67" s="78" t="s">
        <v>259</v>
      </c>
      <c r="G67" s="45">
        <v>241</v>
      </c>
      <c r="H67" s="79">
        <f t="shared" si="19"/>
        <v>14</v>
      </c>
      <c r="I67" s="80">
        <f t="shared" si="20"/>
        <v>133.19741889391102</v>
      </c>
      <c r="J67" s="80">
        <f t="shared" si="21"/>
        <v>3507.1974188939112</v>
      </c>
      <c r="K67" s="87">
        <f t="shared" si="22"/>
        <v>3374</v>
      </c>
      <c r="L67" s="3">
        <v>20</v>
      </c>
      <c r="M67" s="30" t="str">
        <f t="shared" si="23"/>
        <v>Reorder</v>
      </c>
      <c r="N67" s="30"/>
      <c r="O67" s="3"/>
    </row>
    <row r="68" spans="1:15" x14ac:dyDescent="0.35">
      <c r="A68" s="94" t="s">
        <v>2328</v>
      </c>
      <c r="B68" s="41">
        <v>190</v>
      </c>
      <c r="C68" s="57">
        <v>0.17894736842105263</v>
      </c>
      <c r="D68">
        <v>70</v>
      </c>
      <c r="F68" s="78" t="s">
        <v>2328</v>
      </c>
      <c r="G68" s="45">
        <v>190</v>
      </c>
      <c r="H68" s="79">
        <f t="shared" si="19"/>
        <v>1</v>
      </c>
      <c r="I68" s="80">
        <f t="shared" si="20"/>
        <v>118.26713829293411</v>
      </c>
      <c r="J68" s="80">
        <f t="shared" si="21"/>
        <v>308.26713829293408</v>
      </c>
      <c r="K68" s="87">
        <f t="shared" si="22"/>
        <v>190</v>
      </c>
      <c r="L68" s="3">
        <v>70</v>
      </c>
      <c r="M68" s="30" t="str">
        <f t="shared" si="23"/>
        <v>Reorder</v>
      </c>
      <c r="N68" s="30"/>
      <c r="O68" s="3"/>
    </row>
    <row r="69" spans="1:15" x14ac:dyDescent="0.35">
      <c r="A69" s="94" t="s">
        <v>818</v>
      </c>
      <c r="B69" s="41">
        <v>1</v>
      </c>
      <c r="C69" s="57">
        <v>23</v>
      </c>
      <c r="D69">
        <v>17</v>
      </c>
      <c r="F69" s="78" t="s">
        <v>818</v>
      </c>
      <c r="G69" s="45">
        <v>1</v>
      </c>
      <c r="H69" s="79">
        <f t="shared" si="19"/>
        <v>23</v>
      </c>
      <c r="I69" s="80">
        <f t="shared" si="20"/>
        <v>8.58</v>
      </c>
      <c r="J69" s="80">
        <f t="shared" si="21"/>
        <v>31.58</v>
      </c>
      <c r="K69" s="87">
        <f t="shared" si="22"/>
        <v>23</v>
      </c>
      <c r="L69" s="3">
        <v>17</v>
      </c>
      <c r="M69" s="30" t="str">
        <f t="shared" si="23"/>
        <v>Reorder</v>
      </c>
      <c r="N69" s="30"/>
      <c r="O69" s="3"/>
    </row>
    <row r="70" spans="1:15" x14ac:dyDescent="0.35">
      <c r="A70" s="14" t="s">
        <v>329</v>
      </c>
      <c r="B70" s="41">
        <v>1106</v>
      </c>
      <c r="C70" s="57">
        <v>25.649325673334303</v>
      </c>
      <c r="D70">
        <v>578</v>
      </c>
      <c r="F70" s="72" t="s">
        <v>329</v>
      </c>
      <c r="G70" s="73"/>
      <c r="H70" s="74"/>
      <c r="I70" s="75"/>
      <c r="J70" s="74"/>
      <c r="K70" s="79"/>
      <c r="L70" s="76">
        <v>578</v>
      </c>
      <c r="M70" s="77"/>
      <c r="N70" s="85" t="str">
        <f>IFERROR(VLOOKUP(F70,'ABC Analysis'!$E$18:$M$138,9,0),0)</f>
        <v>A</v>
      </c>
      <c r="O70" s="86">
        <f>IFERROR(VLOOKUP(F70,'ABC Analysis'!$E$18:$G$138,3,0),0)</f>
        <v>1.3279863957679178E-2</v>
      </c>
    </row>
    <row r="71" spans="1:15" x14ac:dyDescent="0.35">
      <c r="A71" s="94" t="s">
        <v>1058</v>
      </c>
      <c r="B71" s="41">
        <v>127</v>
      </c>
      <c r="C71" s="57">
        <v>0.55118110236220474</v>
      </c>
      <c r="D71">
        <v>98</v>
      </c>
      <c r="F71" s="78" t="s">
        <v>1058</v>
      </c>
      <c r="G71" s="45">
        <v>127</v>
      </c>
      <c r="H71" s="79">
        <f t="shared" ref="H71:H80" si="24">ROUNDUP(VLOOKUP(F71,$A$10:$C$782,3,0),0)</f>
        <v>1</v>
      </c>
      <c r="I71" s="80">
        <f t="shared" ref="I71:I80" si="25">$H$7*$H$6*SQRT(G71)</f>
        <v>96.691689405036243</v>
      </c>
      <c r="J71" s="80">
        <f t="shared" ref="J71:J80" si="26">(H71*G71)+I71</f>
        <v>223.69168940503624</v>
      </c>
      <c r="K71" s="87">
        <f t="shared" ref="K71:K80" si="27">H71*G71</f>
        <v>127</v>
      </c>
      <c r="L71" s="3">
        <v>98</v>
      </c>
      <c r="M71" s="30" t="str">
        <f t="shared" ref="M71:M80" si="28">IF(L71&lt;J71,"Reorder",IF(L71&gt;=J71*1.5,"Overstock","Sufficient"))</f>
        <v>Reorder</v>
      </c>
      <c r="N71" s="30"/>
      <c r="O71" s="3"/>
    </row>
    <row r="72" spans="1:15" x14ac:dyDescent="0.35">
      <c r="A72" s="94" t="s">
        <v>33</v>
      </c>
      <c r="B72" s="41">
        <v>45</v>
      </c>
      <c r="C72" s="57">
        <v>1.3555555555555556</v>
      </c>
      <c r="D72">
        <v>30</v>
      </c>
      <c r="F72" s="78" t="s">
        <v>33</v>
      </c>
      <c r="G72" s="45">
        <v>45</v>
      </c>
      <c r="H72" s="79">
        <f t="shared" si="24"/>
        <v>2</v>
      </c>
      <c r="I72" s="80">
        <f t="shared" si="25"/>
        <v>57.556389740844587</v>
      </c>
      <c r="J72" s="80">
        <f t="shared" si="26"/>
        <v>147.55638974084459</v>
      </c>
      <c r="K72" s="87">
        <f t="shared" si="27"/>
        <v>90</v>
      </c>
      <c r="L72" s="3">
        <v>30</v>
      </c>
      <c r="M72" s="30" t="str">
        <f t="shared" si="28"/>
        <v>Reorder</v>
      </c>
      <c r="N72" s="30"/>
      <c r="O72" s="3"/>
    </row>
    <row r="73" spans="1:15" x14ac:dyDescent="0.35">
      <c r="A73" s="94" t="s">
        <v>832</v>
      </c>
      <c r="B73" s="41">
        <v>38</v>
      </c>
      <c r="C73" s="57">
        <v>0.68421052631578949</v>
      </c>
      <c r="D73">
        <v>79</v>
      </c>
      <c r="F73" s="78" t="s">
        <v>832</v>
      </c>
      <c r="G73" s="45">
        <v>38</v>
      </c>
      <c r="H73" s="79">
        <f t="shared" si="24"/>
        <v>1</v>
      </c>
      <c r="I73" s="80">
        <f t="shared" si="25"/>
        <v>52.890672145473815</v>
      </c>
      <c r="J73" s="80">
        <f t="shared" si="26"/>
        <v>90.890672145473815</v>
      </c>
      <c r="K73" s="87">
        <f t="shared" si="27"/>
        <v>38</v>
      </c>
      <c r="L73" s="3">
        <v>79</v>
      </c>
      <c r="M73" s="30" t="str">
        <f t="shared" si="28"/>
        <v>Reorder</v>
      </c>
      <c r="N73" s="30"/>
      <c r="O73" s="3"/>
    </row>
    <row r="74" spans="1:15" x14ac:dyDescent="0.35">
      <c r="A74" s="94" t="s">
        <v>2542</v>
      </c>
      <c r="B74" s="41">
        <v>42</v>
      </c>
      <c r="C74" s="57">
        <v>1.7857142857142858</v>
      </c>
      <c r="D74">
        <v>49</v>
      </c>
      <c r="F74" s="78" t="s">
        <v>2542</v>
      </c>
      <c r="G74" s="45">
        <v>42</v>
      </c>
      <c r="H74" s="79">
        <f t="shared" si="24"/>
        <v>2</v>
      </c>
      <c r="I74" s="80">
        <f t="shared" si="25"/>
        <v>55.604755192339439</v>
      </c>
      <c r="J74" s="80">
        <f t="shared" si="26"/>
        <v>139.60475519233944</v>
      </c>
      <c r="K74" s="87">
        <f t="shared" si="27"/>
        <v>84</v>
      </c>
      <c r="L74" s="3">
        <v>49</v>
      </c>
      <c r="M74" s="30" t="str">
        <f t="shared" si="28"/>
        <v>Reorder</v>
      </c>
      <c r="N74" s="30"/>
      <c r="O74" s="3"/>
    </row>
    <row r="75" spans="1:15" x14ac:dyDescent="0.35">
      <c r="A75" s="94" t="s">
        <v>166</v>
      </c>
      <c r="B75" s="41">
        <v>54</v>
      </c>
      <c r="C75" s="57">
        <v>0.57407407407407407</v>
      </c>
      <c r="D75">
        <v>30</v>
      </c>
      <c r="F75" s="78" t="s">
        <v>166</v>
      </c>
      <c r="G75" s="45">
        <v>54</v>
      </c>
      <c r="H75" s="79">
        <f t="shared" si="24"/>
        <v>1</v>
      </c>
      <c r="I75" s="80">
        <f t="shared" si="25"/>
        <v>63.049865979239009</v>
      </c>
      <c r="J75" s="80">
        <f t="shared" si="26"/>
        <v>117.049865979239</v>
      </c>
      <c r="K75" s="87">
        <f t="shared" si="27"/>
        <v>54</v>
      </c>
      <c r="L75" s="3">
        <v>30</v>
      </c>
      <c r="M75" s="30" t="str">
        <f t="shared" si="28"/>
        <v>Reorder</v>
      </c>
      <c r="N75" s="30"/>
      <c r="O75" s="3"/>
    </row>
    <row r="76" spans="1:15" x14ac:dyDescent="0.35">
      <c r="A76" s="94" t="s">
        <v>478</v>
      </c>
      <c r="B76" s="41">
        <v>137</v>
      </c>
      <c r="C76" s="57">
        <v>0.69343065693430661</v>
      </c>
      <c r="D76">
        <v>85</v>
      </c>
      <c r="F76" s="78" t="s">
        <v>478</v>
      </c>
      <c r="G76" s="45">
        <v>137</v>
      </c>
      <c r="H76" s="79">
        <f t="shared" si="24"/>
        <v>1</v>
      </c>
      <c r="I76" s="80">
        <f t="shared" si="25"/>
        <v>100.4263252339744</v>
      </c>
      <c r="J76" s="80">
        <f t="shared" si="26"/>
        <v>237.42632523397441</v>
      </c>
      <c r="K76" s="87">
        <f t="shared" si="27"/>
        <v>137</v>
      </c>
      <c r="L76" s="3">
        <v>85</v>
      </c>
      <c r="M76" s="30" t="str">
        <f t="shared" si="28"/>
        <v>Reorder</v>
      </c>
      <c r="N76" s="30"/>
      <c r="O76" s="3"/>
    </row>
    <row r="77" spans="1:15" x14ac:dyDescent="0.35">
      <c r="A77" s="94" t="s">
        <v>1296</v>
      </c>
      <c r="B77" s="41">
        <v>183</v>
      </c>
      <c r="C77" s="57">
        <v>0.46448087431693991</v>
      </c>
      <c r="D77">
        <v>18</v>
      </c>
      <c r="F77" s="78" t="s">
        <v>1296</v>
      </c>
      <c r="G77" s="45">
        <v>183</v>
      </c>
      <c r="H77" s="79">
        <f t="shared" si="24"/>
        <v>1</v>
      </c>
      <c r="I77" s="80">
        <f t="shared" si="25"/>
        <v>116.0680886376613</v>
      </c>
      <c r="J77" s="80">
        <f t="shared" si="26"/>
        <v>299.06808863766128</v>
      </c>
      <c r="K77" s="87">
        <f t="shared" si="27"/>
        <v>183</v>
      </c>
      <c r="L77" s="3">
        <v>18</v>
      </c>
      <c r="M77" s="30" t="str">
        <f t="shared" si="28"/>
        <v>Reorder</v>
      </c>
      <c r="N77" s="30"/>
      <c r="O77" s="3"/>
    </row>
    <row r="78" spans="1:15" x14ac:dyDescent="0.35">
      <c r="A78" s="94" t="s">
        <v>2462</v>
      </c>
      <c r="B78" s="41">
        <v>298</v>
      </c>
      <c r="C78" s="57">
        <v>0.26845637583892618</v>
      </c>
      <c r="D78">
        <v>86</v>
      </c>
      <c r="F78" s="78" t="s">
        <v>2462</v>
      </c>
      <c r="G78" s="45">
        <v>298</v>
      </c>
      <c r="H78" s="79">
        <f t="shared" si="24"/>
        <v>1</v>
      </c>
      <c r="I78" s="80">
        <f t="shared" si="25"/>
        <v>148.11376438400313</v>
      </c>
      <c r="J78" s="80">
        <f t="shared" si="26"/>
        <v>446.11376438400316</v>
      </c>
      <c r="K78" s="87">
        <f t="shared" si="27"/>
        <v>298</v>
      </c>
      <c r="L78" s="3">
        <v>86</v>
      </c>
      <c r="M78" s="30" t="str">
        <f t="shared" si="28"/>
        <v>Reorder</v>
      </c>
      <c r="N78" s="30"/>
      <c r="O78" s="3"/>
    </row>
    <row r="79" spans="1:15" x14ac:dyDescent="0.35">
      <c r="A79" s="94" t="s">
        <v>661</v>
      </c>
      <c r="B79" s="41">
        <v>180</v>
      </c>
      <c r="C79" s="57">
        <v>0.2722222222222222</v>
      </c>
      <c r="D79">
        <v>11</v>
      </c>
      <c r="F79" s="78" t="s">
        <v>661</v>
      </c>
      <c r="G79" s="45">
        <v>180</v>
      </c>
      <c r="H79" s="79">
        <f t="shared" si="24"/>
        <v>1</v>
      </c>
      <c r="I79" s="80">
        <f t="shared" si="25"/>
        <v>115.11277948168917</v>
      </c>
      <c r="J79" s="80">
        <f t="shared" si="26"/>
        <v>295.11277948168919</v>
      </c>
      <c r="K79" s="87">
        <f t="shared" si="27"/>
        <v>180</v>
      </c>
      <c r="L79" s="3">
        <v>11</v>
      </c>
      <c r="M79" s="30" t="str">
        <f t="shared" si="28"/>
        <v>Reorder</v>
      </c>
      <c r="N79" s="30"/>
      <c r="O79" s="3"/>
    </row>
    <row r="80" spans="1:15" x14ac:dyDescent="0.35">
      <c r="A80" s="94" t="s">
        <v>1766</v>
      </c>
      <c r="B80" s="41">
        <v>2</v>
      </c>
      <c r="C80" s="57">
        <v>19</v>
      </c>
      <c r="D80">
        <v>92</v>
      </c>
      <c r="F80" s="78" t="s">
        <v>1766</v>
      </c>
      <c r="G80" s="45">
        <v>2</v>
      </c>
      <c r="H80" s="79">
        <f t="shared" si="24"/>
        <v>19</v>
      </c>
      <c r="I80" s="80">
        <f t="shared" si="25"/>
        <v>12.133952365161157</v>
      </c>
      <c r="J80" s="80">
        <f t="shared" si="26"/>
        <v>50.133952365161157</v>
      </c>
      <c r="K80" s="87">
        <f t="shared" si="27"/>
        <v>38</v>
      </c>
      <c r="L80" s="3">
        <v>92</v>
      </c>
      <c r="M80" s="30" t="str">
        <f t="shared" si="28"/>
        <v>Overstock</v>
      </c>
      <c r="N80" s="30"/>
      <c r="O80" s="3"/>
    </row>
    <row r="81" spans="1:15" x14ac:dyDescent="0.35">
      <c r="A81" s="14" t="s">
        <v>1117</v>
      </c>
      <c r="B81" s="41">
        <v>722</v>
      </c>
      <c r="C81" s="57">
        <v>24.309559835074534</v>
      </c>
      <c r="D81">
        <v>218</v>
      </c>
      <c r="F81" s="72" t="s">
        <v>1117</v>
      </c>
      <c r="G81" s="73"/>
      <c r="H81" s="81"/>
      <c r="I81" s="75"/>
      <c r="J81" s="74"/>
      <c r="K81" s="79"/>
      <c r="L81" s="76">
        <v>218</v>
      </c>
      <c r="M81" s="77"/>
      <c r="N81" s="85" t="str">
        <f>IFERROR(VLOOKUP(F81,'ABC Analysis'!$E$18:$M$138,9,0),0)</f>
        <v>B</v>
      </c>
      <c r="O81" s="86">
        <f>IFERROR(VLOOKUP(F81,'ABC Analysis'!$E$18:$G$138,3,0),0)</f>
        <v>5.3678901525183714E-3</v>
      </c>
    </row>
    <row r="82" spans="1:15" x14ac:dyDescent="0.35">
      <c r="A82" s="94" t="s">
        <v>682</v>
      </c>
      <c r="B82" s="41">
        <v>293</v>
      </c>
      <c r="C82" s="57">
        <v>0.17406143344709898</v>
      </c>
      <c r="D82">
        <v>84</v>
      </c>
      <c r="F82" s="78" t="s">
        <v>682</v>
      </c>
      <c r="G82" s="45">
        <v>293</v>
      </c>
      <c r="H82" s="79">
        <f>ROUNDUP(VLOOKUP(F82,$A$10:$C$782,3,0),0)</f>
        <v>1</v>
      </c>
      <c r="I82" s="80">
        <f>$H$7*$H$6*SQRT(G82)</f>
        <v>146.86594295479125</v>
      </c>
      <c r="J82" s="80">
        <f>(H82*G82)+I82</f>
        <v>439.86594295479125</v>
      </c>
      <c r="K82" s="87">
        <f>H82*G82</f>
        <v>293</v>
      </c>
      <c r="L82" s="3">
        <v>84</v>
      </c>
      <c r="M82" s="30" t="str">
        <f>IF(L82&lt;J82,"Reorder",IF(L82&gt;=J82*1.5,"Overstock","Sufficient"))</f>
        <v>Reorder</v>
      </c>
      <c r="N82" s="30"/>
      <c r="O82" s="3"/>
    </row>
    <row r="83" spans="1:15" x14ac:dyDescent="0.35">
      <c r="A83" s="94" t="s">
        <v>868</v>
      </c>
      <c r="B83" s="41">
        <v>279</v>
      </c>
      <c r="C83" s="57">
        <v>0.18279569892473119</v>
      </c>
      <c r="D83">
        <v>74</v>
      </c>
      <c r="F83" s="78" t="s">
        <v>868</v>
      </c>
      <c r="G83" s="45">
        <v>279</v>
      </c>
      <c r="H83" s="79">
        <f>ROUNDUP(VLOOKUP(F83,$A$10:$C$782,3,0),0)</f>
        <v>1</v>
      </c>
      <c r="I83" s="80">
        <f>$H$7*$H$6*SQRT(G83)</f>
        <v>143.31425469924477</v>
      </c>
      <c r="J83" s="80">
        <f>(H83*G83)+I83</f>
        <v>422.31425469924477</v>
      </c>
      <c r="K83" s="87">
        <f>H83*G83</f>
        <v>279</v>
      </c>
      <c r="L83" s="3">
        <v>74</v>
      </c>
      <c r="M83" s="30" t="str">
        <f>IF(L83&lt;J83,"Reorder",IF(L83&gt;=J83*1.5,"Overstock","Sufficient"))</f>
        <v>Reorder</v>
      </c>
      <c r="N83" s="30"/>
      <c r="O83" s="3"/>
    </row>
    <row r="84" spans="1:15" x14ac:dyDescent="0.35">
      <c r="A84" s="94" t="s">
        <v>721</v>
      </c>
      <c r="B84" s="41">
        <v>148</v>
      </c>
      <c r="C84" s="57">
        <v>0.45270270270270269</v>
      </c>
      <c r="D84">
        <v>38</v>
      </c>
      <c r="F84" s="78" t="s">
        <v>721</v>
      </c>
      <c r="G84" s="45">
        <v>148</v>
      </c>
      <c r="H84" s="79">
        <f>ROUNDUP(VLOOKUP(F84,$A$10:$C$782,3,0),0)</f>
        <v>1</v>
      </c>
      <c r="I84" s="80">
        <f>$H$7*$H$6*SQRT(G84)</f>
        <v>104.38020501991744</v>
      </c>
      <c r="J84" s="80">
        <f>(H84*G84)+I84</f>
        <v>252.38020501991744</v>
      </c>
      <c r="K84" s="87">
        <f>H84*G84</f>
        <v>148</v>
      </c>
      <c r="L84" s="3">
        <v>38</v>
      </c>
      <c r="M84" s="30" t="str">
        <f>IF(L84&lt;J84,"Reorder",IF(L84&gt;=J84*1.5,"Overstock","Sufficient"))</f>
        <v>Reorder</v>
      </c>
      <c r="N84" s="30"/>
      <c r="O84" s="3"/>
    </row>
    <row r="85" spans="1:15" x14ac:dyDescent="0.35">
      <c r="A85" s="94" t="s">
        <v>199</v>
      </c>
      <c r="B85" s="41">
        <v>2</v>
      </c>
      <c r="C85" s="57">
        <v>23.5</v>
      </c>
      <c r="D85">
        <v>22</v>
      </c>
      <c r="F85" s="78" t="s">
        <v>199</v>
      </c>
      <c r="G85" s="45">
        <v>2</v>
      </c>
      <c r="H85" s="79">
        <f>ROUNDUP(VLOOKUP(F85,$A$10:$C$782,3,0),0)</f>
        <v>69</v>
      </c>
      <c r="I85" s="80">
        <f>$H$7*$H$6*SQRT(G85)</f>
        <v>12.133952365161157</v>
      </c>
      <c r="J85" s="80">
        <f>(H85*G85)+I85</f>
        <v>150.13395236516115</v>
      </c>
      <c r="K85" s="87">
        <f>H85*G85</f>
        <v>138</v>
      </c>
      <c r="L85" s="3">
        <v>22</v>
      </c>
      <c r="M85" s="30" t="str">
        <f>IF(L85&lt;J85,"Reorder",IF(L85&gt;=J85*1.5,"Overstock","Sufficient"))</f>
        <v>Reorder</v>
      </c>
      <c r="N85" s="30"/>
      <c r="O85" s="3"/>
    </row>
    <row r="86" spans="1:15" x14ac:dyDescent="0.35">
      <c r="A86" s="14" t="s">
        <v>106</v>
      </c>
      <c r="B86" s="41">
        <v>473</v>
      </c>
      <c r="C86" s="57">
        <v>23.413005025073726</v>
      </c>
      <c r="D86">
        <v>385</v>
      </c>
      <c r="F86" s="72" t="s">
        <v>106</v>
      </c>
      <c r="G86" s="73"/>
      <c r="H86" s="81"/>
      <c r="I86" s="75"/>
      <c r="J86" s="74"/>
      <c r="K86" s="79"/>
      <c r="L86" s="76">
        <v>385</v>
      </c>
      <c r="M86" s="77"/>
      <c r="N86" s="85" t="str">
        <f>IFERROR(VLOOKUP(F86,'ABC Analysis'!$E$18:$M$138,9,0),0)</f>
        <v>B</v>
      </c>
      <c r="O86" s="86">
        <f>IFERROR(VLOOKUP(F86,'ABC Analysis'!$E$18:$G$138,3,0),0)</f>
        <v>4.4883462465754266E-3</v>
      </c>
    </row>
    <row r="87" spans="1:15" x14ac:dyDescent="0.35">
      <c r="A87" s="94" t="s">
        <v>107</v>
      </c>
      <c r="B87" s="41">
        <v>45</v>
      </c>
      <c r="C87" s="57">
        <v>1.5333333333333334</v>
      </c>
      <c r="D87">
        <v>76</v>
      </c>
      <c r="F87" s="78" t="s">
        <v>107</v>
      </c>
      <c r="G87" s="45">
        <v>45</v>
      </c>
      <c r="H87" s="79">
        <f t="shared" ref="H87:H93" si="29">ROUNDUP(VLOOKUP(F87,$A$10:$C$782,3,0),0)</f>
        <v>2</v>
      </c>
      <c r="I87" s="80">
        <f t="shared" ref="I87:I93" si="30">$H$7*$H$6*SQRT(G87)</f>
        <v>57.556389740844587</v>
      </c>
      <c r="J87" s="80">
        <f t="shared" ref="J87:J93" si="31">(H87*G87)+I87</f>
        <v>147.55638974084459</v>
      </c>
      <c r="K87" s="87">
        <f t="shared" ref="K87:K93" si="32">H87*G87</f>
        <v>90</v>
      </c>
      <c r="L87" s="3">
        <v>76</v>
      </c>
      <c r="M87" s="30" t="str">
        <f t="shared" ref="M87:M93" si="33">IF(L87&lt;J87,"Reorder",IF(L87&gt;=J87*1.5,"Overstock","Sufficient"))</f>
        <v>Reorder</v>
      </c>
      <c r="N87" s="30"/>
      <c r="O87" s="3"/>
    </row>
    <row r="88" spans="1:15" x14ac:dyDescent="0.35">
      <c r="A88" s="94" t="s">
        <v>1671</v>
      </c>
      <c r="B88" s="41">
        <v>4</v>
      </c>
      <c r="C88" s="57">
        <v>15.25</v>
      </c>
      <c r="D88">
        <v>42</v>
      </c>
      <c r="F88" s="78" t="s">
        <v>1671</v>
      </c>
      <c r="G88" s="45">
        <v>4</v>
      </c>
      <c r="H88" s="79">
        <f t="shared" si="29"/>
        <v>16</v>
      </c>
      <c r="I88" s="80">
        <f t="shared" si="30"/>
        <v>17.16</v>
      </c>
      <c r="J88" s="80">
        <f t="shared" si="31"/>
        <v>81.16</v>
      </c>
      <c r="K88" s="87">
        <f t="shared" si="32"/>
        <v>64</v>
      </c>
      <c r="L88" s="3">
        <v>42</v>
      </c>
      <c r="M88" s="30" t="str">
        <f t="shared" si="33"/>
        <v>Reorder</v>
      </c>
      <c r="N88" s="30"/>
      <c r="O88" s="3"/>
    </row>
    <row r="89" spans="1:15" x14ac:dyDescent="0.35">
      <c r="A89" s="94" t="s">
        <v>3194</v>
      </c>
      <c r="B89" s="41">
        <v>158</v>
      </c>
      <c r="C89" s="57">
        <v>0.51265822784810122</v>
      </c>
      <c r="D89">
        <v>23</v>
      </c>
      <c r="F89" s="78" t="s">
        <v>3194</v>
      </c>
      <c r="G89" s="45">
        <v>158</v>
      </c>
      <c r="H89" s="79">
        <f t="shared" si="29"/>
        <v>1</v>
      </c>
      <c r="I89" s="80">
        <f t="shared" si="30"/>
        <v>107.84892767199867</v>
      </c>
      <c r="J89" s="80">
        <f t="shared" si="31"/>
        <v>265.84892767199869</v>
      </c>
      <c r="K89" s="87">
        <f t="shared" si="32"/>
        <v>158</v>
      </c>
      <c r="L89" s="3">
        <v>23</v>
      </c>
      <c r="M89" s="30" t="str">
        <f t="shared" si="33"/>
        <v>Reorder</v>
      </c>
      <c r="N89" s="30"/>
      <c r="O89" s="3"/>
    </row>
    <row r="90" spans="1:15" x14ac:dyDescent="0.35">
      <c r="A90" s="94" t="s">
        <v>1568</v>
      </c>
      <c r="B90" s="41">
        <v>140</v>
      </c>
      <c r="C90" s="57">
        <v>0.58571428571428574</v>
      </c>
      <c r="D90">
        <v>56</v>
      </c>
      <c r="F90" s="78" t="s">
        <v>1568</v>
      </c>
      <c r="G90" s="45">
        <v>140</v>
      </c>
      <c r="H90" s="79">
        <f t="shared" si="29"/>
        <v>1</v>
      </c>
      <c r="I90" s="80">
        <f t="shared" si="30"/>
        <v>101.51992907798942</v>
      </c>
      <c r="J90" s="80">
        <f t="shared" si="31"/>
        <v>241.51992907798942</v>
      </c>
      <c r="K90" s="87">
        <f t="shared" si="32"/>
        <v>140</v>
      </c>
      <c r="L90" s="3">
        <v>56</v>
      </c>
      <c r="M90" s="30" t="str">
        <f t="shared" si="33"/>
        <v>Reorder</v>
      </c>
      <c r="N90" s="30"/>
      <c r="O90" s="3"/>
    </row>
    <row r="91" spans="1:15" x14ac:dyDescent="0.35">
      <c r="A91" s="94" t="s">
        <v>43</v>
      </c>
      <c r="B91" s="41">
        <v>76</v>
      </c>
      <c r="C91" s="57">
        <v>1.0263157894736843</v>
      </c>
      <c r="D91">
        <v>63</v>
      </c>
      <c r="F91" s="78" t="s">
        <v>43</v>
      </c>
      <c r="G91" s="45">
        <v>76</v>
      </c>
      <c r="H91" s="79">
        <f t="shared" si="29"/>
        <v>2</v>
      </c>
      <c r="I91" s="80">
        <f t="shared" si="30"/>
        <v>74.798705871157964</v>
      </c>
      <c r="J91" s="80">
        <f t="shared" si="31"/>
        <v>226.79870587115795</v>
      </c>
      <c r="K91" s="87">
        <f t="shared" si="32"/>
        <v>152</v>
      </c>
      <c r="L91" s="3">
        <v>63</v>
      </c>
      <c r="M91" s="30" t="str">
        <f t="shared" si="33"/>
        <v>Reorder</v>
      </c>
      <c r="N91" s="30"/>
      <c r="O91" s="3"/>
    </row>
    <row r="92" spans="1:15" x14ac:dyDescent="0.35">
      <c r="A92" s="94" t="s">
        <v>388</v>
      </c>
      <c r="B92" s="41">
        <v>7</v>
      </c>
      <c r="C92" s="57">
        <v>3.7142857142857144</v>
      </c>
      <c r="D92">
        <v>39</v>
      </c>
      <c r="F92" s="78" t="s">
        <v>388</v>
      </c>
      <c r="G92" s="45">
        <v>7</v>
      </c>
      <c r="H92" s="79">
        <f t="shared" si="29"/>
        <v>4</v>
      </c>
      <c r="I92" s="80">
        <f t="shared" si="30"/>
        <v>22.700546248934188</v>
      </c>
      <c r="J92" s="80">
        <f t="shared" si="31"/>
        <v>50.700546248934188</v>
      </c>
      <c r="K92" s="87">
        <f t="shared" si="32"/>
        <v>28</v>
      </c>
      <c r="L92" s="3">
        <v>39</v>
      </c>
      <c r="M92" s="30" t="str">
        <f t="shared" si="33"/>
        <v>Reorder</v>
      </c>
      <c r="N92" s="30"/>
      <c r="O92" s="3"/>
    </row>
    <row r="93" spans="1:15" x14ac:dyDescent="0.35">
      <c r="A93" s="94" t="s">
        <v>2223</v>
      </c>
      <c r="B93" s="41">
        <v>43</v>
      </c>
      <c r="C93" s="57">
        <v>0.79069767441860461</v>
      </c>
      <c r="D93">
        <v>86</v>
      </c>
      <c r="F93" s="78" t="s">
        <v>2223</v>
      </c>
      <c r="G93" s="45">
        <v>43</v>
      </c>
      <c r="H93" s="79">
        <f t="shared" si="29"/>
        <v>1</v>
      </c>
      <c r="I93" s="80">
        <f t="shared" si="30"/>
        <v>56.262822538511166</v>
      </c>
      <c r="J93" s="80">
        <f t="shared" si="31"/>
        <v>99.262822538511159</v>
      </c>
      <c r="K93" s="87">
        <f t="shared" si="32"/>
        <v>43</v>
      </c>
      <c r="L93" s="3">
        <v>86</v>
      </c>
      <c r="M93" s="30" t="str">
        <f t="shared" si="33"/>
        <v>Reorder</v>
      </c>
      <c r="N93" s="30"/>
      <c r="O93" s="3"/>
    </row>
    <row r="94" spans="1:15" x14ac:dyDescent="0.35">
      <c r="A94" s="14" t="s">
        <v>1138</v>
      </c>
      <c r="B94" s="41">
        <v>493</v>
      </c>
      <c r="C94" s="57">
        <v>23.320895223197855</v>
      </c>
      <c r="D94">
        <v>201</v>
      </c>
      <c r="F94" s="72" t="s">
        <v>1138</v>
      </c>
      <c r="G94" s="73"/>
      <c r="H94" s="81"/>
      <c r="I94" s="75"/>
      <c r="J94" s="74"/>
      <c r="K94" s="79"/>
      <c r="L94" s="76">
        <v>201</v>
      </c>
      <c r="M94" s="77"/>
      <c r="N94" s="85" t="str">
        <f>IFERROR(VLOOKUP(F94,'ABC Analysis'!$E$18:$M$138,9,0),0)</f>
        <v>C</v>
      </c>
      <c r="O94" s="86">
        <f>IFERROR(VLOOKUP(F94,'ABC Analysis'!$E$18:$G$138,3,0),0)</f>
        <v>2.9744153226075827E-4</v>
      </c>
    </row>
    <row r="95" spans="1:15" x14ac:dyDescent="0.35">
      <c r="A95" s="94" t="s">
        <v>1127</v>
      </c>
      <c r="B95" s="41">
        <v>15</v>
      </c>
      <c r="C95" s="57">
        <v>4.4666666666666668</v>
      </c>
      <c r="D95">
        <v>63</v>
      </c>
      <c r="F95" s="78" t="s">
        <v>1127</v>
      </c>
      <c r="G95" s="45">
        <v>15</v>
      </c>
      <c r="H95" s="79">
        <f>ROUNDUP(VLOOKUP(F95,$A$10:$C$782,3,0),0)</f>
        <v>5</v>
      </c>
      <c r="I95" s="80">
        <f>$H$7*$H$6*SQRT(G95)</f>
        <v>33.230197110459642</v>
      </c>
      <c r="J95" s="80">
        <f>(H95*G95)+I95</f>
        <v>108.23019711045964</v>
      </c>
      <c r="K95" s="87">
        <f>H95*G95</f>
        <v>75</v>
      </c>
      <c r="L95" s="3">
        <v>63</v>
      </c>
      <c r="M95" s="30" t="str">
        <f>IF(L95&lt;J95,"Reorder",IF(L95&gt;=J95*1.5,"Overstock","Sufficient"))</f>
        <v>Reorder</v>
      </c>
      <c r="N95" s="30"/>
      <c r="O95" s="3"/>
    </row>
    <row r="96" spans="1:15" x14ac:dyDescent="0.35">
      <c r="A96" s="94" t="s">
        <v>1139</v>
      </c>
      <c r="B96" s="41">
        <v>39</v>
      </c>
      <c r="C96" s="57">
        <v>1.7435897435897436</v>
      </c>
      <c r="D96">
        <v>36</v>
      </c>
      <c r="F96" s="78" t="s">
        <v>1139</v>
      </c>
      <c r="G96" s="45">
        <v>39</v>
      </c>
      <c r="H96" s="79">
        <f>ROUNDUP(VLOOKUP(F96,$A$10:$C$782,3,0),0)</f>
        <v>2</v>
      </c>
      <c r="I96" s="80">
        <f>$H$7*$H$6*SQRT(G96)</f>
        <v>53.582082826258258</v>
      </c>
      <c r="J96" s="80">
        <f>(H96*G96)+I96</f>
        <v>131.58208282625827</v>
      </c>
      <c r="K96" s="87">
        <f>H96*G96</f>
        <v>78</v>
      </c>
      <c r="L96" s="3">
        <v>36</v>
      </c>
      <c r="M96" s="30" t="str">
        <f>IF(L96&lt;J96,"Reorder",IF(L96&gt;=J96*1.5,"Overstock","Sufficient"))</f>
        <v>Reorder</v>
      </c>
      <c r="N96" s="30"/>
      <c r="O96" s="3"/>
    </row>
    <row r="97" spans="1:15" x14ac:dyDescent="0.35">
      <c r="A97" s="94" t="s">
        <v>2535</v>
      </c>
      <c r="B97" s="41">
        <v>209</v>
      </c>
      <c r="C97" s="57">
        <v>0.29665071770334928</v>
      </c>
      <c r="D97">
        <v>70</v>
      </c>
      <c r="F97" s="78" t="s">
        <v>2535</v>
      </c>
      <c r="G97" s="45">
        <v>209</v>
      </c>
      <c r="H97" s="79">
        <f>ROUNDUP(VLOOKUP(F97,$A$10:$C$782,3,0),0)</f>
        <v>1</v>
      </c>
      <c r="I97" s="80">
        <f>$H$7*$H$6*SQRT(G97)</f>
        <v>124.03962108939224</v>
      </c>
      <c r="J97" s="80">
        <f>(H97*G97)+I97</f>
        <v>333.03962108939226</v>
      </c>
      <c r="K97" s="87">
        <f>H97*G97</f>
        <v>209</v>
      </c>
      <c r="L97" s="3">
        <v>70</v>
      </c>
      <c r="M97" s="30" t="str">
        <f>IF(L97&lt;J97,"Reorder",IF(L97&gt;=J97*1.5,"Overstock","Sufficient"))</f>
        <v>Reorder</v>
      </c>
      <c r="N97" s="30"/>
      <c r="O97" s="3"/>
    </row>
    <row r="98" spans="1:15" x14ac:dyDescent="0.35">
      <c r="A98" s="94" t="s">
        <v>2199</v>
      </c>
      <c r="B98" s="41">
        <v>6</v>
      </c>
      <c r="C98" s="57">
        <v>16.666666666666668</v>
      </c>
      <c r="D98">
        <v>10</v>
      </c>
      <c r="F98" s="78" t="s">
        <v>2199</v>
      </c>
      <c r="G98" s="45">
        <v>6</v>
      </c>
      <c r="H98" s="79">
        <f>ROUNDUP(VLOOKUP(F98,$A$10:$C$782,3,0),0)</f>
        <v>17</v>
      </c>
      <c r="I98" s="80">
        <f>$H$7*$H$6*SQRT(G98)</f>
        <v>21.016621993079667</v>
      </c>
      <c r="J98" s="80">
        <f>(H98*G98)+I98</f>
        <v>123.01662199307967</v>
      </c>
      <c r="K98" s="87">
        <f>H98*G98</f>
        <v>102</v>
      </c>
      <c r="L98" s="3">
        <v>10</v>
      </c>
      <c r="M98" s="30" t="str">
        <f>IF(L98&lt;J98,"Reorder",IF(L98&gt;=J98*1.5,"Overstock","Sufficient"))</f>
        <v>Reorder</v>
      </c>
      <c r="N98" s="30"/>
      <c r="O98" s="3"/>
    </row>
    <row r="99" spans="1:15" x14ac:dyDescent="0.35">
      <c r="A99" s="94" t="s">
        <v>1455</v>
      </c>
      <c r="B99" s="41">
        <v>224</v>
      </c>
      <c r="C99" s="57">
        <v>0.14732142857142858</v>
      </c>
      <c r="D99">
        <v>22</v>
      </c>
      <c r="F99" s="78" t="s">
        <v>1455</v>
      </c>
      <c r="G99" s="45">
        <v>224</v>
      </c>
      <c r="H99" s="79">
        <f>ROUNDUP(VLOOKUP(F99,$A$10:$C$782,3,0),0)</f>
        <v>1</v>
      </c>
      <c r="I99" s="80">
        <f>$H$7*$H$6*SQRT(G99)</f>
        <v>128.41368151408167</v>
      </c>
      <c r="J99" s="80">
        <f>(H99*G99)+I99</f>
        <v>352.41368151408165</v>
      </c>
      <c r="K99" s="87">
        <f>H99*G99</f>
        <v>224</v>
      </c>
      <c r="L99" s="3">
        <v>22</v>
      </c>
      <c r="M99" s="30" t="str">
        <f>IF(L99&lt;J99,"Reorder",IF(L99&gt;=J99*1.5,"Overstock","Sufficient"))</f>
        <v>Reorder</v>
      </c>
      <c r="N99" s="30"/>
      <c r="O99" s="3"/>
    </row>
    <row r="100" spans="1:15" x14ac:dyDescent="0.35">
      <c r="A100" s="14" t="s">
        <v>495</v>
      </c>
      <c r="B100" s="41">
        <v>529</v>
      </c>
      <c r="C100" s="57">
        <v>20.633567305924224</v>
      </c>
      <c r="D100">
        <v>407</v>
      </c>
      <c r="F100" s="72" t="s">
        <v>495</v>
      </c>
      <c r="G100" s="73"/>
      <c r="H100" s="81"/>
      <c r="I100" s="75"/>
      <c r="J100" s="74"/>
      <c r="K100" s="79"/>
      <c r="L100" s="76">
        <v>407</v>
      </c>
      <c r="M100" s="77"/>
      <c r="N100" s="85" t="str">
        <f>IFERROR(VLOOKUP(F100,'ABC Analysis'!$E$18:$M$138,9,0),0)</f>
        <v>A</v>
      </c>
      <c r="O100" s="86">
        <f>IFERROR(VLOOKUP(F100,'ABC Analysis'!$E$18:$G$138,3,0),0)</f>
        <v>1.034887393690068E-2</v>
      </c>
    </row>
    <row r="101" spans="1:15" x14ac:dyDescent="0.35">
      <c r="A101" s="94" t="s">
        <v>107</v>
      </c>
      <c r="B101" s="41">
        <v>127</v>
      </c>
      <c r="C101" s="57">
        <v>0.42519685039370081</v>
      </c>
      <c r="D101">
        <v>65</v>
      </c>
      <c r="F101" s="78" t="s">
        <v>107</v>
      </c>
      <c r="G101" s="45">
        <v>127</v>
      </c>
      <c r="H101" s="79">
        <f t="shared" ref="H101:H107" si="34">ROUNDUP(VLOOKUP(F101,$A$10:$C$782,3,0),0)</f>
        <v>2</v>
      </c>
      <c r="I101" s="80">
        <f t="shared" ref="I101:I107" si="35">$H$7*$H$6*SQRT(G101)</f>
        <v>96.691689405036243</v>
      </c>
      <c r="J101" s="80">
        <f t="shared" ref="J101:J107" si="36">(H101*G101)+I101</f>
        <v>350.69168940503624</v>
      </c>
      <c r="K101" s="87">
        <f t="shared" ref="K101:K107" si="37">H101*G101</f>
        <v>254</v>
      </c>
      <c r="L101" s="3">
        <v>65</v>
      </c>
      <c r="M101" s="30" t="str">
        <f t="shared" ref="M101:M107" si="38">IF(L101&lt;J101,"Reorder",IF(L101&gt;=J101*1.5,"Overstock","Sufficient"))</f>
        <v>Reorder</v>
      </c>
      <c r="N101" s="30"/>
      <c r="O101" s="3"/>
    </row>
    <row r="102" spans="1:15" x14ac:dyDescent="0.35">
      <c r="A102" s="94" t="s">
        <v>908</v>
      </c>
      <c r="B102" s="41">
        <v>18</v>
      </c>
      <c r="C102" s="57">
        <v>5.1111111111111107</v>
      </c>
      <c r="D102">
        <v>81</v>
      </c>
      <c r="F102" s="78" t="s">
        <v>908</v>
      </c>
      <c r="G102" s="45">
        <v>18</v>
      </c>
      <c r="H102" s="79">
        <f t="shared" si="34"/>
        <v>6</v>
      </c>
      <c r="I102" s="80">
        <f t="shared" si="35"/>
        <v>36.401857095483464</v>
      </c>
      <c r="J102" s="80">
        <f t="shared" si="36"/>
        <v>144.40185709548348</v>
      </c>
      <c r="K102" s="87">
        <f t="shared" si="37"/>
        <v>108</v>
      </c>
      <c r="L102" s="3">
        <v>81</v>
      </c>
      <c r="M102" s="30" t="str">
        <f t="shared" si="38"/>
        <v>Reorder</v>
      </c>
      <c r="N102" s="30"/>
      <c r="O102" s="3"/>
    </row>
    <row r="103" spans="1:15" x14ac:dyDescent="0.35">
      <c r="A103" s="94" t="s">
        <v>616</v>
      </c>
      <c r="B103" s="41">
        <v>9</v>
      </c>
      <c r="C103" s="57">
        <v>6.1111111111111107</v>
      </c>
      <c r="D103">
        <v>79</v>
      </c>
      <c r="F103" s="78" t="s">
        <v>616</v>
      </c>
      <c r="G103" s="45">
        <v>9</v>
      </c>
      <c r="H103" s="79">
        <f t="shared" si="34"/>
        <v>37</v>
      </c>
      <c r="I103" s="80">
        <f t="shared" si="35"/>
        <v>25.740000000000002</v>
      </c>
      <c r="J103" s="80">
        <f t="shared" si="36"/>
        <v>358.74</v>
      </c>
      <c r="K103" s="87">
        <f t="shared" si="37"/>
        <v>333</v>
      </c>
      <c r="L103" s="3">
        <v>79</v>
      </c>
      <c r="M103" s="30" t="str">
        <f t="shared" si="38"/>
        <v>Reorder</v>
      </c>
      <c r="N103" s="30"/>
      <c r="O103" s="3"/>
    </row>
    <row r="104" spans="1:15" x14ac:dyDescent="0.35">
      <c r="A104" s="94" t="s">
        <v>2925</v>
      </c>
      <c r="B104" s="41">
        <v>245</v>
      </c>
      <c r="C104" s="57">
        <v>0.3836734693877551</v>
      </c>
      <c r="D104">
        <v>72</v>
      </c>
      <c r="F104" s="78" t="s">
        <v>2925</v>
      </c>
      <c r="G104" s="45">
        <v>245</v>
      </c>
      <c r="H104" s="79">
        <f t="shared" si="34"/>
        <v>2</v>
      </c>
      <c r="I104" s="80">
        <f t="shared" si="35"/>
        <v>134.29824272863738</v>
      </c>
      <c r="J104" s="80">
        <f t="shared" si="36"/>
        <v>624.29824272863743</v>
      </c>
      <c r="K104" s="87">
        <f t="shared" si="37"/>
        <v>490</v>
      </c>
      <c r="L104" s="3">
        <v>72</v>
      </c>
      <c r="M104" s="30" t="str">
        <f t="shared" si="38"/>
        <v>Reorder</v>
      </c>
      <c r="N104" s="30"/>
      <c r="O104" s="3"/>
    </row>
    <row r="105" spans="1:15" x14ac:dyDescent="0.35">
      <c r="A105" s="94" t="s">
        <v>1207</v>
      </c>
      <c r="B105" s="41">
        <v>37</v>
      </c>
      <c r="C105" s="57">
        <v>2.3783783783783785</v>
      </c>
      <c r="D105">
        <v>35</v>
      </c>
      <c r="F105" s="78" t="s">
        <v>1207</v>
      </c>
      <c r="G105" s="45">
        <v>37</v>
      </c>
      <c r="H105" s="79">
        <f t="shared" si="34"/>
        <v>1</v>
      </c>
      <c r="I105" s="80">
        <f t="shared" si="35"/>
        <v>52.19010250995872</v>
      </c>
      <c r="J105" s="80">
        <f t="shared" si="36"/>
        <v>89.19010250995872</v>
      </c>
      <c r="K105" s="87">
        <f t="shared" si="37"/>
        <v>37</v>
      </c>
      <c r="L105" s="3">
        <v>35</v>
      </c>
      <c r="M105" s="30" t="str">
        <f t="shared" si="38"/>
        <v>Reorder</v>
      </c>
      <c r="N105" s="30"/>
      <c r="O105" s="3"/>
    </row>
    <row r="106" spans="1:15" x14ac:dyDescent="0.35">
      <c r="A106" s="94" t="s">
        <v>496</v>
      </c>
      <c r="B106" s="41">
        <v>83</v>
      </c>
      <c r="C106" s="57">
        <v>1.0240963855421688</v>
      </c>
      <c r="D106">
        <v>24</v>
      </c>
      <c r="F106" s="78" t="s">
        <v>496</v>
      </c>
      <c r="G106" s="45">
        <v>83</v>
      </c>
      <c r="H106" s="79">
        <f t="shared" si="34"/>
        <v>2</v>
      </c>
      <c r="I106" s="80">
        <f t="shared" si="35"/>
        <v>78.167520109058088</v>
      </c>
      <c r="J106" s="80">
        <f t="shared" si="36"/>
        <v>244.1675201090581</v>
      </c>
      <c r="K106" s="87">
        <f t="shared" si="37"/>
        <v>166</v>
      </c>
      <c r="L106" s="3">
        <v>24</v>
      </c>
      <c r="M106" s="30" t="str">
        <f t="shared" si="38"/>
        <v>Reorder</v>
      </c>
      <c r="N106" s="30"/>
      <c r="O106" s="3"/>
    </row>
    <row r="107" spans="1:15" x14ac:dyDescent="0.35">
      <c r="A107" s="94" t="s">
        <v>434</v>
      </c>
      <c r="B107" s="41">
        <v>10</v>
      </c>
      <c r="C107" s="57">
        <v>5.2</v>
      </c>
      <c r="D107">
        <v>51</v>
      </c>
      <c r="F107" s="78" t="s">
        <v>434</v>
      </c>
      <c r="G107" s="45">
        <v>10</v>
      </c>
      <c r="H107" s="79">
        <f t="shared" si="34"/>
        <v>6</v>
      </c>
      <c r="I107" s="80">
        <f t="shared" si="35"/>
        <v>27.132342324244696</v>
      </c>
      <c r="J107" s="80">
        <f t="shared" si="36"/>
        <v>87.132342324244689</v>
      </c>
      <c r="K107" s="87">
        <f t="shared" si="37"/>
        <v>60</v>
      </c>
      <c r="L107" s="3">
        <v>51</v>
      </c>
      <c r="M107" s="30" t="str">
        <f t="shared" si="38"/>
        <v>Reorder</v>
      </c>
      <c r="N107" s="30"/>
      <c r="O107" s="3"/>
    </row>
    <row r="108" spans="1:15" x14ac:dyDescent="0.35">
      <c r="A108" s="14" t="s">
        <v>17</v>
      </c>
      <c r="B108" s="41">
        <v>590</v>
      </c>
      <c r="C108" s="57">
        <v>16.77285380690649</v>
      </c>
      <c r="D108">
        <v>443</v>
      </c>
      <c r="F108" s="72" t="s">
        <v>17</v>
      </c>
      <c r="G108" s="73"/>
      <c r="H108" s="81"/>
      <c r="I108" s="75"/>
      <c r="J108" s="74"/>
      <c r="K108" s="79"/>
      <c r="L108" s="76">
        <v>443</v>
      </c>
      <c r="M108" s="77"/>
      <c r="N108" s="85" t="str">
        <f>IFERROR(VLOOKUP(F108,'ABC Analysis'!$E$18:$M$138,9,0),0)</f>
        <v>A</v>
      </c>
      <c r="O108" s="86">
        <f>IFERROR(VLOOKUP(F108,'ABC Analysis'!$E$18:$G$138,3,0),0)</f>
        <v>9.2503154652110436E-3</v>
      </c>
    </row>
    <row r="109" spans="1:15" x14ac:dyDescent="0.35">
      <c r="A109" s="94" t="s">
        <v>536</v>
      </c>
      <c r="B109" s="41">
        <v>48</v>
      </c>
      <c r="C109" s="57">
        <v>0.95833333333333337</v>
      </c>
      <c r="D109">
        <v>84</v>
      </c>
      <c r="F109" s="78" t="s">
        <v>536</v>
      </c>
      <c r="G109" s="45">
        <v>48</v>
      </c>
      <c r="H109" s="79">
        <f t="shared" ref="H109:H114" si="39">ROUNDUP(VLOOKUP(F109,$A$10:$C$782,3,0),0)</f>
        <v>1</v>
      </c>
      <c r="I109" s="80">
        <f t="shared" ref="I109:I114" si="40">$H$7*$H$6*SQRT(G109)</f>
        <v>59.443983715763864</v>
      </c>
      <c r="J109" s="80">
        <f t="shared" ref="J109:J114" si="41">(H109*G109)+I109</f>
        <v>107.44398371576386</v>
      </c>
      <c r="K109" s="87">
        <f t="shared" ref="K109:K114" si="42">H109*G109</f>
        <v>48</v>
      </c>
      <c r="L109" s="3">
        <v>84</v>
      </c>
      <c r="M109" s="30" t="str">
        <f t="shared" ref="M109:M114" si="43">IF(L109&lt;J109,"Reorder",IF(L109&gt;=J109*1.5,"Overstock","Sufficient"))</f>
        <v>Reorder</v>
      </c>
      <c r="N109" s="30"/>
      <c r="O109" s="3"/>
    </row>
    <row r="110" spans="1:15" x14ac:dyDescent="0.35">
      <c r="A110" s="94" t="s">
        <v>2984</v>
      </c>
      <c r="B110" s="41">
        <v>237</v>
      </c>
      <c r="C110" s="57">
        <v>0.34177215189873417</v>
      </c>
      <c r="D110">
        <v>90</v>
      </c>
      <c r="F110" s="78" t="s">
        <v>2984</v>
      </c>
      <c r="G110" s="45">
        <v>237</v>
      </c>
      <c r="H110" s="79">
        <f t="shared" si="39"/>
        <v>1</v>
      </c>
      <c r="I110" s="80">
        <f t="shared" si="40"/>
        <v>132.08742105136281</v>
      </c>
      <c r="J110" s="80">
        <f t="shared" si="41"/>
        <v>369.08742105136281</v>
      </c>
      <c r="K110" s="87">
        <f t="shared" si="42"/>
        <v>237</v>
      </c>
      <c r="L110" s="3">
        <v>90</v>
      </c>
      <c r="M110" s="30" t="str">
        <f t="shared" si="43"/>
        <v>Reorder</v>
      </c>
      <c r="N110" s="30"/>
      <c r="O110" s="3"/>
    </row>
    <row r="111" spans="1:15" x14ac:dyDescent="0.35">
      <c r="A111" s="94" t="s">
        <v>2941</v>
      </c>
      <c r="B111" s="41">
        <v>111</v>
      </c>
      <c r="C111" s="57">
        <v>0.77477477477477474</v>
      </c>
      <c r="D111">
        <v>98</v>
      </c>
      <c r="F111" s="78" t="s">
        <v>2941</v>
      </c>
      <c r="G111" s="45">
        <v>111</v>
      </c>
      <c r="H111" s="79">
        <f t="shared" si="39"/>
        <v>1</v>
      </c>
      <c r="I111" s="80">
        <f t="shared" si="40"/>
        <v>90.395909199476492</v>
      </c>
      <c r="J111" s="80">
        <f t="shared" si="41"/>
        <v>201.39590919947648</v>
      </c>
      <c r="K111" s="87">
        <f t="shared" si="42"/>
        <v>111</v>
      </c>
      <c r="L111" s="3">
        <v>98</v>
      </c>
      <c r="M111" s="30" t="str">
        <f t="shared" si="43"/>
        <v>Reorder</v>
      </c>
      <c r="N111" s="30"/>
      <c r="O111" s="3"/>
    </row>
    <row r="112" spans="1:15" x14ac:dyDescent="0.35">
      <c r="A112" s="94" t="s">
        <v>1578</v>
      </c>
      <c r="B112" s="41">
        <v>123</v>
      </c>
      <c r="C112" s="57">
        <v>0.5934959349593496</v>
      </c>
      <c r="D112">
        <v>26</v>
      </c>
      <c r="F112" s="78" t="s">
        <v>1578</v>
      </c>
      <c r="G112" s="45">
        <v>123</v>
      </c>
      <c r="H112" s="79">
        <f t="shared" si="39"/>
        <v>1</v>
      </c>
      <c r="I112" s="80">
        <f t="shared" si="40"/>
        <v>95.1568032249928</v>
      </c>
      <c r="J112" s="80">
        <f t="shared" si="41"/>
        <v>218.15680322499281</v>
      </c>
      <c r="K112" s="87">
        <f t="shared" si="42"/>
        <v>123</v>
      </c>
      <c r="L112" s="3">
        <v>26</v>
      </c>
      <c r="M112" s="30" t="str">
        <f t="shared" si="43"/>
        <v>Reorder</v>
      </c>
      <c r="N112" s="30"/>
      <c r="O112" s="3"/>
    </row>
    <row r="113" spans="1:15" x14ac:dyDescent="0.35">
      <c r="A113" s="94" t="s">
        <v>1020</v>
      </c>
      <c r="B113" s="41">
        <v>67</v>
      </c>
      <c r="C113" s="57">
        <v>1.1044776119402986</v>
      </c>
      <c r="D113">
        <v>96</v>
      </c>
      <c r="F113" s="78" t="s">
        <v>1020</v>
      </c>
      <c r="G113" s="45">
        <v>67</v>
      </c>
      <c r="H113" s="79">
        <f t="shared" si="39"/>
        <v>2</v>
      </c>
      <c r="I113" s="80">
        <f t="shared" si="40"/>
        <v>70.230326782665628</v>
      </c>
      <c r="J113" s="80">
        <f t="shared" si="41"/>
        <v>204.23032678266563</v>
      </c>
      <c r="K113" s="87">
        <f t="shared" si="42"/>
        <v>134</v>
      </c>
      <c r="L113" s="3">
        <v>96</v>
      </c>
      <c r="M113" s="30" t="str">
        <f t="shared" si="43"/>
        <v>Reorder</v>
      </c>
      <c r="N113" s="30"/>
      <c r="O113" s="3"/>
    </row>
    <row r="114" spans="1:15" x14ac:dyDescent="0.35">
      <c r="A114" s="94" t="s">
        <v>1609</v>
      </c>
      <c r="B114" s="41">
        <v>4</v>
      </c>
      <c r="C114" s="57">
        <v>13</v>
      </c>
      <c r="D114">
        <v>49</v>
      </c>
      <c r="F114" s="78" t="s">
        <v>1609</v>
      </c>
      <c r="G114" s="45">
        <v>4</v>
      </c>
      <c r="H114" s="79">
        <f t="shared" si="39"/>
        <v>13</v>
      </c>
      <c r="I114" s="80">
        <f t="shared" si="40"/>
        <v>17.16</v>
      </c>
      <c r="J114" s="80">
        <f t="shared" si="41"/>
        <v>69.16</v>
      </c>
      <c r="K114" s="87">
        <f t="shared" si="42"/>
        <v>52</v>
      </c>
      <c r="L114" s="3">
        <v>49</v>
      </c>
      <c r="M114" s="30" t="str">
        <f t="shared" si="43"/>
        <v>Reorder</v>
      </c>
      <c r="N114" s="30"/>
      <c r="O114" s="3"/>
    </row>
    <row r="115" spans="1:15" x14ac:dyDescent="0.35">
      <c r="A115" s="14" t="s">
        <v>253</v>
      </c>
      <c r="B115" s="41">
        <v>228</v>
      </c>
      <c r="C115" s="57">
        <v>16.614880952380954</v>
      </c>
      <c r="D115">
        <v>260</v>
      </c>
      <c r="F115" s="72" t="s">
        <v>253</v>
      </c>
      <c r="G115" s="73"/>
      <c r="H115" s="81"/>
      <c r="I115" s="75"/>
      <c r="J115" s="74"/>
      <c r="K115" s="79"/>
      <c r="L115" s="76">
        <v>260</v>
      </c>
      <c r="M115" s="77"/>
      <c r="N115" s="85" t="str">
        <f>IFERROR(VLOOKUP(F115,'ABC Analysis'!$E$18:$M$138,9,0),0)</f>
        <v>B</v>
      </c>
      <c r="O115" s="86">
        <f>IFERROR(VLOOKUP(F115,'ABC Analysis'!$E$18:$G$138,3,0),0)</f>
        <v>5.6351227791588956E-3</v>
      </c>
    </row>
    <row r="116" spans="1:15" x14ac:dyDescent="0.35">
      <c r="A116" s="94" t="s">
        <v>1058</v>
      </c>
      <c r="B116" s="41">
        <v>21</v>
      </c>
      <c r="C116" s="57">
        <v>3.6190476190476191</v>
      </c>
      <c r="D116">
        <v>90</v>
      </c>
      <c r="F116" s="78" t="s">
        <v>1058</v>
      </c>
      <c r="G116" s="45">
        <v>21</v>
      </c>
      <c r="H116" s="79">
        <f>ROUNDUP(VLOOKUP(F116,$A$10:$C$782,3,0),0)</f>
        <v>1</v>
      </c>
      <c r="I116" s="80">
        <f>$H$7*$H$6*SQRT(G116)</f>
        <v>39.318499462721107</v>
      </c>
      <c r="J116" s="80">
        <f>(H116*G116)+I116</f>
        <v>60.318499462721107</v>
      </c>
      <c r="K116" s="87">
        <f>H116*G116</f>
        <v>21</v>
      </c>
      <c r="L116" s="3">
        <v>90</v>
      </c>
      <c r="M116" s="30" t="str">
        <f>IF(L116&lt;J116,"Reorder",IF(L116&gt;=J116*1.5,"Overstock","Sufficient"))</f>
        <v>Sufficient</v>
      </c>
      <c r="N116" s="30"/>
      <c r="O116" s="3"/>
    </row>
    <row r="117" spans="1:15" x14ac:dyDescent="0.35">
      <c r="A117" s="94" t="s">
        <v>388</v>
      </c>
      <c r="B117" s="41">
        <v>144</v>
      </c>
      <c r="C117" s="57">
        <v>0.22916666666666666</v>
      </c>
      <c r="D117">
        <v>38</v>
      </c>
      <c r="F117" s="78" t="s">
        <v>388</v>
      </c>
      <c r="G117" s="45">
        <v>144</v>
      </c>
      <c r="H117" s="79">
        <f>ROUNDUP(VLOOKUP(F117,$A$10:$C$782,3,0),0)</f>
        <v>4</v>
      </c>
      <c r="I117" s="80">
        <f>$H$7*$H$6*SQRT(G117)</f>
        <v>102.96000000000001</v>
      </c>
      <c r="J117" s="80">
        <f>(H117*G117)+I117</f>
        <v>678.96</v>
      </c>
      <c r="K117" s="87">
        <f>H117*G117</f>
        <v>576</v>
      </c>
      <c r="L117" s="3">
        <v>38</v>
      </c>
      <c r="M117" s="30" t="str">
        <f>IF(L117&lt;J117,"Reorder",IF(L117&gt;=J117*1.5,"Overstock","Sufficient"))</f>
        <v>Reorder</v>
      </c>
      <c r="N117" s="30"/>
      <c r="O117" s="3"/>
    </row>
    <row r="118" spans="1:15" x14ac:dyDescent="0.35">
      <c r="A118" s="94" t="s">
        <v>254</v>
      </c>
      <c r="B118" s="41">
        <v>60</v>
      </c>
      <c r="C118" s="57">
        <v>1.4333333333333333</v>
      </c>
      <c r="D118">
        <v>42</v>
      </c>
      <c r="F118" s="78" t="s">
        <v>254</v>
      </c>
      <c r="G118" s="45">
        <v>60</v>
      </c>
      <c r="H118" s="79">
        <f>ROUNDUP(VLOOKUP(F118,$A$10:$C$782,3,0),0)</f>
        <v>2</v>
      </c>
      <c r="I118" s="80">
        <f>$H$7*$H$6*SQRT(G118)</f>
        <v>66.460394220919284</v>
      </c>
      <c r="J118" s="80">
        <f>(H118*G118)+I118</f>
        <v>186.46039422091928</v>
      </c>
      <c r="K118" s="87">
        <f>H118*G118</f>
        <v>120</v>
      </c>
      <c r="L118" s="3">
        <v>42</v>
      </c>
      <c r="M118" s="30" t="str">
        <f>IF(L118&lt;J118,"Reorder",IF(L118&gt;=J118*1.5,"Overstock","Sufficient"))</f>
        <v>Reorder</v>
      </c>
      <c r="N118" s="30"/>
      <c r="O118" s="3"/>
    </row>
    <row r="119" spans="1:15" x14ac:dyDescent="0.35">
      <c r="A119" s="94" t="s">
        <v>61</v>
      </c>
      <c r="B119" s="41">
        <v>3</v>
      </c>
      <c r="C119" s="57">
        <v>11.333333333333334</v>
      </c>
      <c r="D119">
        <v>90</v>
      </c>
      <c r="F119" s="78" t="s">
        <v>61</v>
      </c>
      <c r="G119" s="45">
        <v>3</v>
      </c>
      <c r="H119" s="79">
        <f>ROUNDUP(VLOOKUP(F119,$A$10:$C$782,3,0),0)</f>
        <v>12</v>
      </c>
      <c r="I119" s="80">
        <f>$H$7*$H$6*SQRT(G119)</f>
        <v>14.860995928940966</v>
      </c>
      <c r="J119" s="80">
        <f>(H119*G119)+I119</f>
        <v>50.860995928940966</v>
      </c>
      <c r="K119" s="87">
        <f>H119*G119</f>
        <v>36</v>
      </c>
      <c r="L119" s="3">
        <v>90</v>
      </c>
      <c r="M119" s="30" t="str">
        <f>IF(L119&lt;J119,"Reorder",IF(L119&gt;=J119*1.5,"Overstock","Sufficient"))</f>
        <v>Overstock</v>
      </c>
      <c r="N119" s="30"/>
      <c r="O119" s="3"/>
    </row>
    <row r="120" spans="1:15" x14ac:dyDescent="0.35">
      <c r="A120" s="14" t="s">
        <v>239</v>
      </c>
      <c r="B120" s="41">
        <v>670</v>
      </c>
      <c r="C120" s="57">
        <v>16.043280888362855</v>
      </c>
      <c r="D120">
        <v>551</v>
      </c>
      <c r="F120" s="72" t="s">
        <v>239</v>
      </c>
      <c r="G120" s="73"/>
      <c r="H120" s="81"/>
      <c r="I120" s="75"/>
      <c r="J120" s="74"/>
      <c r="K120" s="79"/>
      <c r="L120" s="76">
        <v>551</v>
      </c>
      <c r="M120" s="77"/>
      <c r="N120" s="85" t="str">
        <f>IFERROR(VLOOKUP(F120,'ABC Analysis'!$E$18:$M$138,9,0),0)</f>
        <v>A</v>
      </c>
      <c r="O120" s="86">
        <f>IFERROR(VLOOKUP(F120,'ABC Analysis'!$E$18:$G$138,3,0),0)</f>
        <v>1.2121323380118598E-2</v>
      </c>
    </row>
    <row r="121" spans="1:15" x14ac:dyDescent="0.35">
      <c r="A121" s="94" t="s">
        <v>2980</v>
      </c>
      <c r="B121" s="41">
        <v>24</v>
      </c>
      <c r="C121" s="57">
        <v>3.25</v>
      </c>
      <c r="D121">
        <v>85</v>
      </c>
      <c r="F121" s="78" t="s">
        <v>2980</v>
      </c>
      <c r="G121" s="45">
        <v>24</v>
      </c>
      <c r="H121" s="79">
        <f t="shared" ref="H121:H128" si="44">ROUNDUP(VLOOKUP(F121,$A$10:$C$782,3,0),0)</f>
        <v>4</v>
      </c>
      <c r="I121" s="80">
        <f t="shared" ref="I121:I128" si="45">$H$7*$H$6*SQRT(G121)</f>
        <v>42.033243986159334</v>
      </c>
      <c r="J121" s="80">
        <f t="shared" ref="J121:J128" si="46">(H121*G121)+I121</f>
        <v>138.03324398615933</v>
      </c>
      <c r="K121" s="87">
        <f t="shared" ref="K121:K128" si="47">H121*G121</f>
        <v>96</v>
      </c>
      <c r="L121" s="3">
        <v>85</v>
      </c>
      <c r="M121" s="30" t="str">
        <f t="shared" ref="M121:M128" si="48">IF(L121&lt;J121,"Reorder",IF(L121&gt;=J121*1.5,"Overstock","Sufficient"))</f>
        <v>Reorder</v>
      </c>
      <c r="N121" s="30"/>
      <c r="O121" s="3"/>
    </row>
    <row r="122" spans="1:15" x14ac:dyDescent="0.35">
      <c r="A122" s="94" t="s">
        <v>900</v>
      </c>
      <c r="B122" s="41">
        <v>122</v>
      </c>
      <c r="C122" s="57">
        <v>0.4344262295081967</v>
      </c>
      <c r="D122">
        <v>50</v>
      </c>
      <c r="F122" s="78" t="s">
        <v>900</v>
      </c>
      <c r="G122" s="45">
        <v>122</v>
      </c>
      <c r="H122" s="79">
        <f t="shared" si="44"/>
        <v>1</v>
      </c>
      <c r="I122" s="80">
        <f t="shared" si="45"/>
        <v>94.769197527466702</v>
      </c>
      <c r="J122" s="80">
        <f t="shared" si="46"/>
        <v>216.7691975274667</v>
      </c>
      <c r="K122" s="87">
        <f t="shared" si="47"/>
        <v>122</v>
      </c>
      <c r="L122" s="3">
        <v>50</v>
      </c>
      <c r="M122" s="30" t="str">
        <f t="shared" si="48"/>
        <v>Reorder</v>
      </c>
      <c r="N122" s="30"/>
      <c r="O122" s="3"/>
    </row>
    <row r="123" spans="1:15" x14ac:dyDescent="0.35">
      <c r="A123" s="94" t="s">
        <v>207</v>
      </c>
      <c r="B123" s="41">
        <v>10</v>
      </c>
      <c r="C123" s="57">
        <v>5.4</v>
      </c>
      <c r="D123">
        <v>39</v>
      </c>
      <c r="F123" s="78" t="s">
        <v>207</v>
      </c>
      <c r="G123" s="45">
        <v>10</v>
      </c>
      <c r="H123" s="79">
        <f t="shared" si="44"/>
        <v>1</v>
      </c>
      <c r="I123" s="80">
        <f t="shared" si="45"/>
        <v>27.132342324244696</v>
      </c>
      <c r="J123" s="80">
        <f t="shared" si="46"/>
        <v>37.132342324244696</v>
      </c>
      <c r="K123" s="87">
        <f t="shared" si="47"/>
        <v>10</v>
      </c>
      <c r="L123" s="3">
        <v>39</v>
      </c>
      <c r="M123" s="30" t="str">
        <f t="shared" si="48"/>
        <v>Sufficient</v>
      </c>
      <c r="N123" s="30"/>
      <c r="O123" s="3"/>
    </row>
    <row r="124" spans="1:15" x14ac:dyDescent="0.35">
      <c r="A124" s="94" t="s">
        <v>1194</v>
      </c>
      <c r="B124" s="41">
        <v>121</v>
      </c>
      <c r="C124" s="57">
        <v>0.63636363636363635</v>
      </c>
      <c r="D124">
        <v>100</v>
      </c>
      <c r="F124" s="78" t="s">
        <v>1194</v>
      </c>
      <c r="G124" s="45">
        <v>121</v>
      </c>
      <c r="H124" s="79">
        <f t="shared" si="44"/>
        <v>1</v>
      </c>
      <c r="I124" s="80">
        <f t="shared" si="45"/>
        <v>94.38</v>
      </c>
      <c r="J124" s="80">
        <f t="shared" si="46"/>
        <v>215.38</v>
      </c>
      <c r="K124" s="87">
        <f t="shared" si="47"/>
        <v>121</v>
      </c>
      <c r="L124" s="3">
        <v>100</v>
      </c>
      <c r="M124" s="30" t="str">
        <f t="shared" si="48"/>
        <v>Reorder</v>
      </c>
      <c r="N124" s="30"/>
      <c r="O124" s="3"/>
    </row>
    <row r="125" spans="1:15" x14ac:dyDescent="0.35">
      <c r="A125" s="94" t="s">
        <v>1550</v>
      </c>
      <c r="B125" s="41">
        <v>55</v>
      </c>
      <c r="C125" s="57">
        <v>0.70909090909090911</v>
      </c>
      <c r="D125">
        <v>89</v>
      </c>
      <c r="F125" s="78" t="s">
        <v>1550</v>
      </c>
      <c r="G125" s="45">
        <v>55</v>
      </c>
      <c r="H125" s="79">
        <f t="shared" si="44"/>
        <v>1</v>
      </c>
      <c r="I125" s="80">
        <f t="shared" si="45"/>
        <v>63.630983019280791</v>
      </c>
      <c r="J125" s="80">
        <f t="shared" si="46"/>
        <v>118.63098301928079</v>
      </c>
      <c r="K125" s="87">
        <f t="shared" si="47"/>
        <v>55</v>
      </c>
      <c r="L125" s="3">
        <v>89</v>
      </c>
      <c r="M125" s="30" t="str">
        <f t="shared" si="48"/>
        <v>Reorder</v>
      </c>
      <c r="N125" s="30"/>
      <c r="O125" s="3"/>
    </row>
    <row r="126" spans="1:15" x14ac:dyDescent="0.35">
      <c r="A126" s="94" t="s">
        <v>943</v>
      </c>
      <c r="B126" s="41">
        <v>185</v>
      </c>
      <c r="C126" s="57">
        <v>0.15675675675675677</v>
      </c>
      <c r="D126">
        <v>77</v>
      </c>
      <c r="F126" s="78" t="s">
        <v>943</v>
      </c>
      <c r="G126" s="45">
        <v>185</v>
      </c>
      <c r="H126" s="79">
        <f t="shared" si="44"/>
        <v>1</v>
      </c>
      <c r="I126" s="80">
        <f t="shared" si="45"/>
        <v>116.70061696495011</v>
      </c>
      <c r="J126" s="80">
        <f t="shared" si="46"/>
        <v>301.70061696495009</v>
      </c>
      <c r="K126" s="87">
        <f t="shared" si="47"/>
        <v>185</v>
      </c>
      <c r="L126" s="3">
        <v>77</v>
      </c>
      <c r="M126" s="30" t="str">
        <f t="shared" si="48"/>
        <v>Reorder</v>
      </c>
      <c r="N126" s="30"/>
      <c r="O126" s="3"/>
    </row>
    <row r="127" spans="1:15" x14ac:dyDescent="0.35">
      <c r="A127" s="94" t="s">
        <v>161</v>
      </c>
      <c r="B127" s="41">
        <v>10</v>
      </c>
      <c r="C127" s="57">
        <v>5.0999999999999996</v>
      </c>
      <c r="D127">
        <v>14</v>
      </c>
      <c r="F127" s="78" t="s">
        <v>161</v>
      </c>
      <c r="G127" s="45">
        <v>10</v>
      </c>
      <c r="H127" s="79">
        <f t="shared" si="44"/>
        <v>6</v>
      </c>
      <c r="I127" s="80">
        <f t="shared" si="45"/>
        <v>27.132342324244696</v>
      </c>
      <c r="J127" s="80">
        <f t="shared" si="46"/>
        <v>87.132342324244689</v>
      </c>
      <c r="K127" s="87">
        <f t="shared" si="47"/>
        <v>60</v>
      </c>
      <c r="L127" s="3">
        <v>14</v>
      </c>
      <c r="M127" s="30" t="str">
        <f t="shared" si="48"/>
        <v>Reorder</v>
      </c>
      <c r="N127" s="30"/>
      <c r="O127" s="3"/>
    </row>
    <row r="128" spans="1:15" x14ac:dyDescent="0.35">
      <c r="A128" s="94" t="s">
        <v>933</v>
      </c>
      <c r="B128" s="41">
        <v>143</v>
      </c>
      <c r="C128" s="57">
        <v>0.35664335664335667</v>
      </c>
      <c r="D128">
        <v>97</v>
      </c>
      <c r="F128" s="78" t="s">
        <v>933</v>
      </c>
      <c r="G128" s="45">
        <v>143</v>
      </c>
      <c r="H128" s="79">
        <f t="shared" si="44"/>
        <v>1</v>
      </c>
      <c r="I128" s="80">
        <f t="shared" si="45"/>
        <v>102.60187717581</v>
      </c>
      <c r="J128" s="80">
        <f t="shared" si="46"/>
        <v>245.60187717580999</v>
      </c>
      <c r="K128" s="87">
        <f t="shared" si="47"/>
        <v>143</v>
      </c>
      <c r="L128" s="3">
        <v>97</v>
      </c>
      <c r="M128" s="30" t="str">
        <f t="shared" si="48"/>
        <v>Reorder</v>
      </c>
      <c r="N128" s="30"/>
      <c r="O128" s="3"/>
    </row>
    <row r="129" spans="1:15" x14ac:dyDescent="0.35">
      <c r="A129" s="14" t="s">
        <v>1278</v>
      </c>
      <c r="B129" s="41">
        <v>426</v>
      </c>
      <c r="C129" s="57">
        <v>15.242258551846307</v>
      </c>
      <c r="D129">
        <v>281</v>
      </c>
      <c r="F129" s="72" t="s">
        <v>1278</v>
      </c>
      <c r="G129" s="73"/>
      <c r="H129" s="74"/>
      <c r="I129" s="75"/>
      <c r="J129" s="74"/>
      <c r="K129" s="79"/>
      <c r="L129" s="76">
        <v>281</v>
      </c>
      <c r="M129" s="77"/>
      <c r="N129" s="85" t="str">
        <f>IFERROR(VLOOKUP(F129,'ABC Analysis'!$E$18:$M$138,9,0),0)</f>
        <v>B</v>
      </c>
      <c r="O129" s="86">
        <f>IFERROR(VLOOKUP(F129,'ABC Analysis'!$E$18:$G$138,3,0),0)</f>
        <v>4.9118518657513882E-3</v>
      </c>
    </row>
    <row r="130" spans="1:15" x14ac:dyDescent="0.35">
      <c r="A130" s="94" t="s">
        <v>518</v>
      </c>
      <c r="B130" s="41">
        <v>172</v>
      </c>
      <c r="C130" s="57">
        <v>2.2072106261859581</v>
      </c>
      <c r="D130">
        <v>101</v>
      </c>
      <c r="F130" s="78" t="s">
        <v>518</v>
      </c>
      <c r="G130" s="45">
        <v>172</v>
      </c>
      <c r="H130" s="79">
        <f>ROUNDUP(VLOOKUP(F130,$A$10:$C$782,3,0),0)</f>
        <v>3</v>
      </c>
      <c r="I130" s="80">
        <f>$H$7*$H$6*SQRT(G130)</f>
        <v>112.52564507702233</v>
      </c>
      <c r="J130" s="80">
        <f>(H130*G130)+I130</f>
        <v>628.52564507702232</v>
      </c>
      <c r="K130" s="87">
        <f>H130*G130</f>
        <v>516</v>
      </c>
      <c r="L130" s="3">
        <v>101</v>
      </c>
      <c r="M130" s="30" t="str">
        <f>IF(L130&lt;J130,"Reorder",IF(L130&gt;=J130*1.5,"Overstock","Sufficient"))</f>
        <v>Reorder</v>
      </c>
      <c r="N130" s="30"/>
      <c r="O130" s="3"/>
    </row>
    <row r="131" spans="1:15" x14ac:dyDescent="0.35">
      <c r="A131" s="94" t="s">
        <v>616</v>
      </c>
      <c r="B131" s="41">
        <v>173</v>
      </c>
      <c r="C131" s="57">
        <v>0.36416184971098264</v>
      </c>
      <c r="D131">
        <v>59</v>
      </c>
      <c r="F131" s="78" t="s">
        <v>616</v>
      </c>
      <c r="G131" s="45">
        <v>173</v>
      </c>
      <c r="H131" s="79">
        <f>ROUNDUP(VLOOKUP(F131,$A$10:$C$782,3,0),0)</f>
        <v>37</v>
      </c>
      <c r="I131" s="80">
        <f>$H$7*$H$6*SQRT(G131)</f>
        <v>112.85228043774747</v>
      </c>
      <c r="J131" s="80">
        <f>(H131*G131)+I131</f>
        <v>6513.8522804377471</v>
      </c>
      <c r="K131" s="87">
        <f>H131*G131</f>
        <v>6401</v>
      </c>
      <c r="L131" s="3">
        <v>59</v>
      </c>
      <c r="M131" s="30" t="str">
        <f>IF(L131&lt;J131,"Reorder",IF(L131&gt;=J131*1.5,"Overstock","Sufficient"))</f>
        <v>Reorder</v>
      </c>
      <c r="N131" s="30"/>
      <c r="O131" s="3"/>
    </row>
    <row r="132" spans="1:15" x14ac:dyDescent="0.35">
      <c r="A132" s="94" t="s">
        <v>1236</v>
      </c>
      <c r="B132" s="41">
        <v>2</v>
      </c>
      <c r="C132" s="57">
        <v>12</v>
      </c>
      <c r="D132">
        <v>24</v>
      </c>
      <c r="F132" s="78" t="s">
        <v>1236</v>
      </c>
      <c r="G132" s="45">
        <v>2</v>
      </c>
      <c r="H132" s="79">
        <f>ROUNDUP(VLOOKUP(F132,$A$10:$C$782,3,0),0)</f>
        <v>12</v>
      </c>
      <c r="I132" s="80">
        <f>$H$7*$H$6*SQRT(G132)</f>
        <v>12.133952365161157</v>
      </c>
      <c r="J132" s="80">
        <f>(H132*G132)+I132</f>
        <v>36.133952365161157</v>
      </c>
      <c r="K132" s="87">
        <f>H132*G132</f>
        <v>24</v>
      </c>
      <c r="L132" s="3">
        <v>24</v>
      </c>
      <c r="M132" s="30" t="str">
        <f>IF(L132&lt;J132,"Reorder",IF(L132&gt;=J132*1.5,"Overstock","Sufficient"))</f>
        <v>Reorder</v>
      </c>
      <c r="N132" s="30"/>
      <c r="O132" s="3"/>
    </row>
    <row r="133" spans="1:15" x14ac:dyDescent="0.35">
      <c r="A133" s="94" t="s">
        <v>316</v>
      </c>
      <c r="B133" s="41">
        <v>79</v>
      </c>
      <c r="C133" s="57">
        <v>0.67088607594936711</v>
      </c>
      <c r="D133">
        <v>97</v>
      </c>
      <c r="F133" s="78" t="s">
        <v>316</v>
      </c>
      <c r="G133" s="45">
        <v>79</v>
      </c>
      <c r="H133" s="79">
        <f>ROUNDUP(VLOOKUP(F133,$A$10:$C$782,3,0),0)</f>
        <v>24</v>
      </c>
      <c r="I133" s="80">
        <f>$H$7*$H$6*SQRT(G133)</f>
        <v>76.260708100567754</v>
      </c>
      <c r="J133" s="80">
        <f>(H133*G133)+I133</f>
        <v>1972.2607081005679</v>
      </c>
      <c r="K133" s="87">
        <f>H133*G133</f>
        <v>1896</v>
      </c>
      <c r="L133" s="3">
        <v>97</v>
      </c>
      <c r="M133" s="30" t="str">
        <f>IF(L133&lt;J133,"Reorder",IF(L133&gt;=J133*1.5,"Overstock","Sufficient"))</f>
        <v>Reorder</v>
      </c>
      <c r="N133" s="30"/>
      <c r="O133" s="3"/>
    </row>
    <row r="134" spans="1:15" x14ac:dyDescent="0.35">
      <c r="A134" s="14" t="s">
        <v>175</v>
      </c>
      <c r="B134" s="41">
        <v>1472</v>
      </c>
      <c r="C134" s="57">
        <v>14.892163741025254</v>
      </c>
      <c r="D134">
        <v>672</v>
      </c>
      <c r="F134" s="72" t="s">
        <v>175</v>
      </c>
      <c r="G134" s="73"/>
      <c r="H134" s="74"/>
      <c r="I134" s="75"/>
      <c r="J134" s="74"/>
      <c r="K134" s="79"/>
      <c r="L134" s="76">
        <v>672</v>
      </c>
      <c r="M134" s="77"/>
      <c r="N134" s="85" t="str">
        <f>IFERROR(VLOOKUP(F134,'ABC Analysis'!$E$18:$M$138,9,0),0)</f>
        <v>B</v>
      </c>
      <c r="O134" s="86">
        <f>IFERROR(VLOOKUP(F134,'ABC Analysis'!$E$18:$G$138,3,0),0)</f>
        <v>4.3657678026164035E-3</v>
      </c>
    </row>
    <row r="135" spans="1:15" x14ac:dyDescent="0.35">
      <c r="A135" s="94" t="s">
        <v>38</v>
      </c>
      <c r="B135" s="41">
        <v>10</v>
      </c>
      <c r="C135" s="57">
        <v>7.7</v>
      </c>
      <c r="D135">
        <v>11</v>
      </c>
      <c r="F135" s="78" t="s">
        <v>38</v>
      </c>
      <c r="G135" s="45">
        <v>10</v>
      </c>
      <c r="H135" s="79">
        <f t="shared" ref="H135:H146" si="49">ROUNDUP(VLOOKUP(F135,$A$10:$C$782,3,0),0)</f>
        <v>8</v>
      </c>
      <c r="I135" s="80">
        <f t="shared" ref="I135:I146" si="50">$H$7*$H$6*SQRT(G135)</f>
        <v>27.132342324244696</v>
      </c>
      <c r="J135" s="80">
        <f t="shared" ref="J135:J146" si="51">(H135*G135)+I135</f>
        <v>107.13234232424469</v>
      </c>
      <c r="K135" s="87">
        <f t="shared" ref="K135:K146" si="52">H135*G135</f>
        <v>80</v>
      </c>
      <c r="L135" s="3">
        <v>11</v>
      </c>
      <c r="M135" s="30" t="str">
        <f t="shared" ref="M135:M146" si="53">IF(L135&lt;J135,"Reorder",IF(L135&gt;=J135*1.5,"Overstock","Sufficient"))</f>
        <v>Reorder</v>
      </c>
      <c r="N135" s="30"/>
      <c r="O135" s="3"/>
    </row>
    <row r="136" spans="1:15" x14ac:dyDescent="0.35">
      <c r="A136" s="94" t="s">
        <v>176</v>
      </c>
      <c r="B136" s="41">
        <v>205</v>
      </c>
      <c r="C136" s="57">
        <v>0.2</v>
      </c>
      <c r="D136">
        <v>54</v>
      </c>
      <c r="F136" s="78" t="s">
        <v>176</v>
      </c>
      <c r="G136" s="45">
        <v>205</v>
      </c>
      <c r="H136" s="79">
        <f t="shared" si="49"/>
        <v>1</v>
      </c>
      <c r="I136" s="80">
        <f t="shared" si="50"/>
        <v>122.84690472291112</v>
      </c>
      <c r="J136" s="80">
        <f t="shared" si="51"/>
        <v>327.84690472291112</v>
      </c>
      <c r="K136" s="87">
        <f t="shared" si="52"/>
        <v>205</v>
      </c>
      <c r="L136" s="3">
        <v>54</v>
      </c>
      <c r="M136" s="30" t="str">
        <f t="shared" si="53"/>
        <v>Reorder</v>
      </c>
      <c r="N136" s="30"/>
      <c r="O136" s="3"/>
    </row>
    <row r="137" spans="1:15" x14ac:dyDescent="0.35">
      <c r="A137" s="94" t="s">
        <v>2260</v>
      </c>
      <c r="B137" s="41">
        <v>174</v>
      </c>
      <c r="C137" s="57">
        <v>0.17816091954022989</v>
      </c>
      <c r="D137">
        <v>25</v>
      </c>
      <c r="F137" s="78" t="s">
        <v>2260</v>
      </c>
      <c r="G137" s="45">
        <v>174</v>
      </c>
      <c r="H137" s="79">
        <f t="shared" si="49"/>
        <v>27</v>
      </c>
      <c r="I137" s="80">
        <f t="shared" si="50"/>
        <v>113.17797312198165</v>
      </c>
      <c r="J137" s="80">
        <f t="shared" si="51"/>
        <v>4811.1779731219813</v>
      </c>
      <c r="K137" s="87">
        <f t="shared" si="52"/>
        <v>4698</v>
      </c>
      <c r="L137" s="3">
        <v>25</v>
      </c>
      <c r="M137" s="30" t="str">
        <f t="shared" si="53"/>
        <v>Reorder</v>
      </c>
      <c r="N137" s="30"/>
      <c r="O137" s="3"/>
    </row>
    <row r="138" spans="1:15" x14ac:dyDescent="0.35">
      <c r="A138" s="94" t="s">
        <v>996</v>
      </c>
      <c r="B138" s="41">
        <v>63</v>
      </c>
      <c r="C138" s="57">
        <v>0.77777777777777779</v>
      </c>
      <c r="D138">
        <v>34</v>
      </c>
      <c r="F138" s="78" t="s">
        <v>996</v>
      </c>
      <c r="G138" s="45">
        <v>63</v>
      </c>
      <c r="H138" s="79">
        <f t="shared" si="49"/>
        <v>1</v>
      </c>
      <c r="I138" s="80">
        <f t="shared" si="50"/>
        <v>68.101638746802564</v>
      </c>
      <c r="J138" s="80">
        <f t="shared" si="51"/>
        <v>131.10163874680256</v>
      </c>
      <c r="K138" s="87">
        <f t="shared" si="52"/>
        <v>63</v>
      </c>
      <c r="L138" s="3">
        <v>34</v>
      </c>
      <c r="M138" s="30" t="str">
        <f t="shared" si="53"/>
        <v>Reorder</v>
      </c>
      <c r="N138" s="30"/>
      <c r="O138" s="3"/>
    </row>
    <row r="139" spans="1:15" x14ac:dyDescent="0.35">
      <c r="A139" s="94" t="s">
        <v>678</v>
      </c>
      <c r="B139" s="41">
        <v>103</v>
      </c>
      <c r="C139" s="57">
        <v>0.56310679611650483</v>
      </c>
      <c r="D139">
        <v>87</v>
      </c>
      <c r="F139" s="78" t="s">
        <v>678</v>
      </c>
      <c r="G139" s="45">
        <v>103</v>
      </c>
      <c r="H139" s="79">
        <f t="shared" si="49"/>
        <v>1</v>
      </c>
      <c r="I139" s="80">
        <f t="shared" si="50"/>
        <v>87.077489628491236</v>
      </c>
      <c r="J139" s="80">
        <f t="shared" si="51"/>
        <v>190.07748962849124</v>
      </c>
      <c r="K139" s="87">
        <f t="shared" si="52"/>
        <v>103</v>
      </c>
      <c r="L139" s="3">
        <v>87</v>
      </c>
      <c r="M139" s="30" t="str">
        <f t="shared" si="53"/>
        <v>Reorder</v>
      </c>
      <c r="N139" s="30"/>
      <c r="O139" s="3"/>
    </row>
    <row r="140" spans="1:15" x14ac:dyDescent="0.35">
      <c r="A140" s="94" t="s">
        <v>2504</v>
      </c>
      <c r="B140" s="41">
        <v>122</v>
      </c>
      <c r="C140" s="57">
        <v>0.45081967213114754</v>
      </c>
      <c r="D140">
        <v>63</v>
      </c>
      <c r="F140" s="78" t="s">
        <v>2504</v>
      </c>
      <c r="G140" s="45">
        <v>122</v>
      </c>
      <c r="H140" s="79">
        <f t="shared" si="49"/>
        <v>1</v>
      </c>
      <c r="I140" s="80">
        <f t="shared" si="50"/>
        <v>94.769197527466702</v>
      </c>
      <c r="J140" s="80">
        <f t="shared" si="51"/>
        <v>216.7691975274667</v>
      </c>
      <c r="K140" s="87">
        <f t="shared" si="52"/>
        <v>122</v>
      </c>
      <c r="L140" s="3">
        <v>63</v>
      </c>
      <c r="M140" s="30" t="str">
        <f t="shared" si="53"/>
        <v>Reorder</v>
      </c>
      <c r="N140" s="30"/>
      <c r="O140" s="3"/>
    </row>
    <row r="141" spans="1:15" x14ac:dyDescent="0.35">
      <c r="A141" s="94" t="s">
        <v>1926</v>
      </c>
      <c r="B141" s="41">
        <v>252</v>
      </c>
      <c r="C141" s="57">
        <v>0.26190476190476192</v>
      </c>
      <c r="D141">
        <v>27</v>
      </c>
      <c r="F141" s="78" t="s">
        <v>1926</v>
      </c>
      <c r="G141" s="45">
        <v>252</v>
      </c>
      <c r="H141" s="79">
        <f t="shared" si="49"/>
        <v>1</v>
      </c>
      <c r="I141" s="80">
        <f t="shared" si="50"/>
        <v>136.20327749360513</v>
      </c>
      <c r="J141" s="80">
        <f t="shared" si="51"/>
        <v>388.20327749360513</v>
      </c>
      <c r="K141" s="87">
        <f t="shared" si="52"/>
        <v>252</v>
      </c>
      <c r="L141" s="3">
        <v>27</v>
      </c>
      <c r="M141" s="30" t="str">
        <f t="shared" si="53"/>
        <v>Reorder</v>
      </c>
      <c r="N141" s="30"/>
      <c r="O141" s="3"/>
    </row>
    <row r="142" spans="1:15" x14ac:dyDescent="0.35">
      <c r="A142" s="94" t="s">
        <v>1465</v>
      </c>
      <c r="B142" s="41">
        <v>32</v>
      </c>
      <c r="C142" s="57">
        <v>2.59375</v>
      </c>
      <c r="D142">
        <v>84</v>
      </c>
      <c r="F142" s="78" t="s">
        <v>1465</v>
      </c>
      <c r="G142" s="45">
        <v>32</v>
      </c>
      <c r="H142" s="79">
        <f t="shared" si="49"/>
        <v>3</v>
      </c>
      <c r="I142" s="80">
        <f t="shared" si="50"/>
        <v>48.535809460644629</v>
      </c>
      <c r="J142" s="80">
        <f t="shared" si="51"/>
        <v>144.53580946064463</v>
      </c>
      <c r="K142" s="87">
        <f t="shared" si="52"/>
        <v>96</v>
      </c>
      <c r="L142" s="3">
        <v>84</v>
      </c>
      <c r="M142" s="30" t="str">
        <f t="shared" si="53"/>
        <v>Reorder</v>
      </c>
      <c r="N142" s="30"/>
      <c r="O142" s="3"/>
    </row>
    <row r="143" spans="1:15" x14ac:dyDescent="0.35">
      <c r="A143" s="94" t="s">
        <v>2455</v>
      </c>
      <c r="B143" s="41">
        <v>115</v>
      </c>
      <c r="C143" s="57">
        <v>0.29565217391304349</v>
      </c>
      <c r="D143">
        <v>71</v>
      </c>
      <c r="F143" s="78" t="s">
        <v>2455</v>
      </c>
      <c r="G143" s="45">
        <v>115</v>
      </c>
      <c r="H143" s="79">
        <f t="shared" si="49"/>
        <v>1</v>
      </c>
      <c r="I143" s="80">
        <f t="shared" si="50"/>
        <v>92.010249429071749</v>
      </c>
      <c r="J143" s="80">
        <f t="shared" si="51"/>
        <v>207.01024942907173</v>
      </c>
      <c r="K143" s="87">
        <f t="shared" si="52"/>
        <v>115</v>
      </c>
      <c r="L143" s="3">
        <v>71</v>
      </c>
      <c r="M143" s="30" t="str">
        <f t="shared" si="53"/>
        <v>Reorder</v>
      </c>
      <c r="N143" s="30"/>
      <c r="O143" s="3"/>
    </row>
    <row r="144" spans="1:15" x14ac:dyDescent="0.35">
      <c r="A144" s="94" t="s">
        <v>157</v>
      </c>
      <c r="B144" s="41">
        <v>145</v>
      </c>
      <c r="C144" s="57">
        <v>0.22068965517241379</v>
      </c>
      <c r="D144">
        <v>62</v>
      </c>
      <c r="F144" s="78" t="s">
        <v>157</v>
      </c>
      <c r="G144" s="45">
        <v>145</v>
      </c>
      <c r="H144" s="79">
        <f t="shared" si="49"/>
        <v>1</v>
      </c>
      <c r="I144" s="80">
        <f t="shared" si="50"/>
        <v>103.3168814860379</v>
      </c>
      <c r="J144" s="80">
        <f t="shared" si="51"/>
        <v>248.31688148603791</v>
      </c>
      <c r="K144" s="87">
        <f t="shared" si="52"/>
        <v>145</v>
      </c>
      <c r="L144" s="3">
        <v>62</v>
      </c>
      <c r="M144" s="30" t="str">
        <f t="shared" si="53"/>
        <v>Reorder</v>
      </c>
      <c r="N144" s="30"/>
      <c r="O144" s="3"/>
    </row>
    <row r="145" spans="1:15" x14ac:dyDescent="0.35">
      <c r="A145" s="94" t="s">
        <v>1877</v>
      </c>
      <c r="B145" s="41">
        <v>61</v>
      </c>
      <c r="C145" s="57">
        <v>1.5081967213114753</v>
      </c>
      <c r="D145">
        <v>84</v>
      </c>
      <c r="F145" s="78" t="s">
        <v>1877</v>
      </c>
      <c r="G145" s="45">
        <v>61</v>
      </c>
      <c r="H145" s="79">
        <f t="shared" si="49"/>
        <v>2</v>
      </c>
      <c r="I145" s="80">
        <f t="shared" si="50"/>
        <v>67.011942219279092</v>
      </c>
      <c r="J145" s="80">
        <f t="shared" si="51"/>
        <v>189.01194221927909</v>
      </c>
      <c r="K145" s="87">
        <f t="shared" si="52"/>
        <v>122</v>
      </c>
      <c r="L145" s="3">
        <v>84</v>
      </c>
      <c r="M145" s="30" t="str">
        <f t="shared" si="53"/>
        <v>Reorder</v>
      </c>
      <c r="N145" s="30"/>
      <c r="O145" s="3"/>
    </row>
    <row r="146" spans="1:15" x14ac:dyDescent="0.35">
      <c r="A146" s="94" t="s">
        <v>1609</v>
      </c>
      <c r="B146" s="41">
        <v>190</v>
      </c>
      <c r="C146" s="57">
        <v>0.14210526315789473</v>
      </c>
      <c r="D146">
        <v>70</v>
      </c>
      <c r="F146" s="78" t="s">
        <v>1609</v>
      </c>
      <c r="G146" s="45">
        <v>190</v>
      </c>
      <c r="H146" s="79">
        <f t="shared" si="49"/>
        <v>13</v>
      </c>
      <c r="I146" s="80">
        <f t="shared" si="50"/>
        <v>118.26713829293411</v>
      </c>
      <c r="J146" s="80">
        <f t="shared" si="51"/>
        <v>2588.2671382929343</v>
      </c>
      <c r="K146" s="87">
        <f t="shared" si="52"/>
        <v>2470</v>
      </c>
      <c r="L146" s="3">
        <v>70</v>
      </c>
      <c r="M146" s="30" t="str">
        <f t="shared" si="53"/>
        <v>Reorder</v>
      </c>
      <c r="N146" s="30"/>
      <c r="O146" s="3"/>
    </row>
    <row r="147" spans="1:15" x14ac:dyDescent="0.35">
      <c r="A147" s="14" t="s">
        <v>627</v>
      </c>
      <c r="B147" s="41">
        <v>443</v>
      </c>
      <c r="C147" s="57">
        <v>14.690104574669833</v>
      </c>
      <c r="D147">
        <v>332</v>
      </c>
      <c r="F147" s="72" t="s">
        <v>627</v>
      </c>
      <c r="G147" s="73"/>
      <c r="H147" s="74"/>
      <c r="I147" s="75"/>
      <c r="J147" s="74"/>
      <c r="K147" s="79"/>
      <c r="L147" s="76">
        <v>332</v>
      </c>
      <c r="M147" s="77"/>
      <c r="N147" s="85" t="str">
        <f>IFERROR(VLOOKUP(F147,'ABC Analysis'!$E$18:$M$138,9,0),0)</f>
        <v>B</v>
      </c>
      <c r="O147" s="86">
        <f>IFERROR(VLOOKUP(F147,'ABC Analysis'!$E$18:$G$138,3,0),0)</f>
        <v>3.7833749586878682E-3</v>
      </c>
    </row>
    <row r="148" spans="1:15" x14ac:dyDescent="0.35">
      <c r="A148" s="94" t="s">
        <v>1719</v>
      </c>
      <c r="B148" s="41">
        <v>131</v>
      </c>
      <c r="C148" s="57">
        <v>0.74045801526717558</v>
      </c>
      <c r="D148">
        <v>64</v>
      </c>
      <c r="F148" s="78" t="s">
        <v>1719</v>
      </c>
      <c r="G148" s="45">
        <v>131</v>
      </c>
      <c r="H148" s="79">
        <f t="shared" ref="H148:H153" si="54">ROUNDUP(VLOOKUP(F148,$A$10:$C$782,3,0),0)</f>
        <v>1</v>
      </c>
      <c r="I148" s="80">
        <f t="shared" ref="I148:I153" si="55">$H$7*$H$6*SQRT(G148)</f>
        <v>98.202588560587344</v>
      </c>
      <c r="J148" s="80">
        <f t="shared" ref="J148:J153" si="56">(H148*G148)+I148</f>
        <v>229.20258856058734</v>
      </c>
      <c r="K148" s="87">
        <f t="shared" ref="K148:K153" si="57">H148*G148</f>
        <v>131</v>
      </c>
      <c r="L148" s="3">
        <v>64</v>
      </c>
      <c r="M148" s="30" t="str">
        <f t="shared" ref="M148:M153" si="58">IF(L148&lt;J148,"Reorder",IF(L148&gt;=J148*1.5,"Overstock","Sufficient"))</f>
        <v>Reorder</v>
      </c>
      <c r="N148" s="30"/>
      <c r="O148" s="3"/>
    </row>
    <row r="149" spans="1:15" x14ac:dyDescent="0.35">
      <c r="A149" s="94" t="s">
        <v>628</v>
      </c>
      <c r="B149" s="41">
        <v>6</v>
      </c>
      <c r="C149" s="57">
        <v>9</v>
      </c>
      <c r="D149">
        <v>46</v>
      </c>
      <c r="F149" s="78" t="s">
        <v>628</v>
      </c>
      <c r="G149" s="45">
        <v>6</v>
      </c>
      <c r="H149" s="79">
        <f t="shared" si="54"/>
        <v>9</v>
      </c>
      <c r="I149" s="80">
        <f t="shared" si="55"/>
        <v>21.016621993079667</v>
      </c>
      <c r="J149" s="80">
        <f t="shared" si="56"/>
        <v>75.016621993079667</v>
      </c>
      <c r="K149" s="87">
        <f t="shared" si="57"/>
        <v>54</v>
      </c>
      <c r="L149" s="3">
        <v>46</v>
      </c>
      <c r="M149" s="30" t="str">
        <f t="shared" si="58"/>
        <v>Reorder</v>
      </c>
      <c r="N149" s="30"/>
      <c r="O149" s="3"/>
    </row>
    <row r="150" spans="1:15" x14ac:dyDescent="0.35">
      <c r="A150" s="94" t="s">
        <v>1829</v>
      </c>
      <c r="B150" s="41">
        <v>55</v>
      </c>
      <c r="C150" s="57">
        <v>1.7272727272727273</v>
      </c>
      <c r="D150">
        <v>88</v>
      </c>
      <c r="F150" s="78" t="s">
        <v>1829</v>
      </c>
      <c r="G150" s="45">
        <v>55</v>
      </c>
      <c r="H150" s="79">
        <f t="shared" si="54"/>
        <v>2</v>
      </c>
      <c r="I150" s="80">
        <f t="shared" si="55"/>
        <v>63.630983019280791</v>
      </c>
      <c r="J150" s="80">
        <f t="shared" si="56"/>
        <v>173.63098301928079</v>
      </c>
      <c r="K150" s="87">
        <f t="shared" si="57"/>
        <v>110</v>
      </c>
      <c r="L150" s="3">
        <v>88</v>
      </c>
      <c r="M150" s="30" t="str">
        <f t="shared" si="58"/>
        <v>Reorder</v>
      </c>
      <c r="N150" s="30"/>
      <c r="O150" s="3"/>
    </row>
    <row r="151" spans="1:15" x14ac:dyDescent="0.35">
      <c r="A151" s="94" t="s">
        <v>763</v>
      </c>
      <c r="B151" s="41">
        <v>123</v>
      </c>
      <c r="C151" s="57">
        <v>0.17886178861788618</v>
      </c>
      <c r="D151">
        <v>47</v>
      </c>
      <c r="F151" s="78" t="s">
        <v>763</v>
      </c>
      <c r="G151" s="45">
        <v>123</v>
      </c>
      <c r="H151" s="79">
        <f t="shared" si="54"/>
        <v>1</v>
      </c>
      <c r="I151" s="80">
        <f t="shared" si="55"/>
        <v>95.1568032249928</v>
      </c>
      <c r="J151" s="80">
        <f t="shared" si="56"/>
        <v>218.15680322499281</v>
      </c>
      <c r="K151" s="87">
        <f t="shared" si="57"/>
        <v>123</v>
      </c>
      <c r="L151" s="3">
        <v>47</v>
      </c>
      <c r="M151" s="30" t="str">
        <f t="shared" si="58"/>
        <v>Reorder</v>
      </c>
      <c r="N151" s="30"/>
      <c r="O151" s="3"/>
    </row>
    <row r="152" spans="1:15" x14ac:dyDescent="0.35">
      <c r="A152" s="94" t="s">
        <v>926</v>
      </c>
      <c r="B152" s="41">
        <v>117</v>
      </c>
      <c r="C152" s="57">
        <v>0.31623931623931623</v>
      </c>
      <c r="D152">
        <v>21</v>
      </c>
      <c r="F152" s="78" t="s">
        <v>926</v>
      </c>
      <c r="G152" s="45">
        <v>117</v>
      </c>
      <c r="H152" s="79">
        <f t="shared" si="54"/>
        <v>1</v>
      </c>
      <c r="I152" s="80">
        <f t="shared" si="55"/>
        <v>92.806889830443097</v>
      </c>
      <c r="J152" s="80">
        <f t="shared" si="56"/>
        <v>209.80688983044308</v>
      </c>
      <c r="K152" s="87">
        <f t="shared" si="57"/>
        <v>117</v>
      </c>
      <c r="L152" s="3">
        <v>21</v>
      </c>
      <c r="M152" s="30" t="str">
        <f t="shared" si="58"/>
        <v>Reorder</v>
      </c>
      <c r="N152" s="30"/>
      <c r="O152" s="3"/>
    </row>
    <row r="153" spans="1:15" x14ac:dyDescent="0.35">
      <c r="A153" s="94" t="s">
        <v>1505</v>
      </c>
      <c r="B153" s="41">
        <v>11</v>
      </c>
      <c r="C153" s="57">
        <v>2.7272727272727271</v>
      </c>
      <c r="D153">
        <v>66</v>
      </c>
      <c r="F153" s="78" t="s">
        <v>1505</v>
      </c>
      <c r="G153" s="45">
        <v>11</v>
      </c>
      <c r="H153" s="79">
        <f t="shared" si="54"/>
        <v>3</v>
      </c>
      <c r="I153" s="80">
        <f t="shared" si="55"/>
        <v>28.456640701249331</v>
      </c>
      <c r="J153" s="80">
        <f t="shared" si="56"/>
        <v>61.456640701249327</v>
      </c>
      <c r="K153" s="87">
        <f t="shared" si="57"/>
        <v>33</v>
      </c>
      <c r="L153" s="3">
        <v>66</v>
      </c>
      <c r="M153" s="30" t="str">
        <f t="shared" si="58"/>
        <v>Sufficient</v>
      </c>
      <c r="N153" s="30"/>
      <c r="O153" s="3"/>
    </row>
    <row r="154" spans="1:15" x14ac:dyDescent="0.35">
      <c r="A154" s="14" t="s">
        <v>508</v>
      </c>
      <c r="B154" s="41">
        <v>765</v>
      </c>
      <c r="C154" s="57">
        <v>14.619858832595453</v>
      </c>
      <c r="D154">
        <v>200</v>
      </c>
      <c r="F154" s="72" t="s">
        <v>508</v>
      </c>
      <c r="G154" s="73"/>
      <c r="H154" s="81"/>
      <c r="I154" s="75"/>
      <c r="J154" s="74"/>
      <c r="K154" s="79"/>
      <c r="L154" s="76">
        <v>200</v>
      </c>
      <c r="M154" s="77"/>
      <c r="N154" s="85" t="str">
        <f>IFERROR(VLOOKUP(F154,'ABC Analysis'!$E$18:$M$138,9,0),0)</f>
        <v>A</v>
      </c>
      <c r="O154" s="86">
        <f>IFERROR(VLOOKUP(F154,'ABC Analysis'!$E$18:$G$138,3,0),0)</f>
        <v>6.2241964387534454E-3</v>
      </c>
    </row>
    <row r="155" spans="1:15" x14ac:dyDescent="0.35">
      <c r="A155" s="94" t="s">
        <v>3358</v>
      </c>
      <c r="B155" s="41">
        <v>8</v>
      </c>
      <c r="C155" s="57">
        <v>8</v>
      </c>
      <c r="D155">
        <v>46</v>
      </c>
      <c r="F155" s="78" t="s">
        <v>3358</v>
      </c>
      <c r="G155" s="45">
        <v>8</v>
      </c>
      <c r="H155" s="79">
        <f>ROUNDUP(VLOOKUP(F155,$A$10:$C$782,3,0),0)</f>
        <v>8</v>
      </c>
      <c r="I155" s="80">
        <f>$H$7*$H$6*SQRT(G155)</f>
        <v>24.267904730322314</v>
      </c>
      <c r="J155" s="80">
        <f>(H155*G155)+I155</f>
        <v>88.267904730322314</v>
      </c>
      <c r="K155" s="87">
        <f>H155*G155</f>
        <v>64</v>
      </c>
      <c r="L155" s="3">
        <v>46</v>
      </c>
      <c r="M155" s="30" t="str">
        <f>IF(L155&lt;J155,"Reorder",IF(L155&gt;=J155*1.5,"Overstock","Sufficient"))</f>
        <v>Reorder</v>
      </c>
      <c r="N155" s="30"/>
      <c r="O155" s="3"/>
    </row>
    <row r="156" spans="1:15" x14ac:dyDescent="0.35">
      <c r="A156" s="94" t="s">
        <v>1253</v>
      </c>
      <c r="B156" s="41">
        <v>11</v>
      </c>
      <c r="C156" s="57">
        <v>5.9090909090909092</v>
      </c>
      <c r="D156">
        <v>18</v>
      </c>
      <c r="F156" s="78" t="s">
        <v>1253</v>
      </c>
      <c r="G156" s="45">
        <v>11</v>
      </c>
      <c r="H156" s="79">
        <f>ROUNDUP(VLOOKUP(F156,$A$10:$C$782,3,0),0)</f>
        <v>6</v>
      </c>
      <c r="I156" s="80">
        <f>$H$7*$H$6*SQRT(G156)</f>
        <v>28.456640701249331</v>
      </c>
      <c r="J156" s="80">
        <f>(H156*G156)+I156</f>
        <v>94.456640701249327</v>
      </c>
      <c r="K156" s="87">
        <f>H156*G156</f>
        <v>66</v>
      </c>
      <c r="L156" s="3">
        <v>18</v>
      </c>
      <c r="M156" s="30" t="str">
        <f>IF(L156&lt;J156,"Reorder",IF(L156&gt;=J156*1.5,"Overstock","Sufficient"))</f>
        <v>Reorder</v>
      </c>
      <c r="N156" s="30"/>
      <c r="O156" s="3"/>
    </row>
    <row r="157" spans="1:15" x14ac:dyDescent="0.35">
      <c r="A157" s="94" t="s">
        <v>509</v>
      </c>
      <c r="B157" s="41">
        <v>190</v>
      </c>
      <c r="C157" s="57">
        <v>0.20526315789473684</v>
      </c>
      <c r="D157">
        <v>35</v>
      </c>
      <c r="F157" s="78" t="s">
        <v>509</v>
      </c>
      <c r="G157" s="45">
        <v>190</v>
      </c>
      <c r="H157" s="79">
        <f>ROUNDUP(VLOOKUP(F157,$A$10:$C$782,3,0),0)</f>
        <v>1</v>
      </c>
      <c r="I157" s="80">
        <f>$H$7*$H$6*SQRT(G157)</f>
        <v>118.26713829293411</v>
      </c>
      <c r="J157" s="80">
        <f>(H157*G157)+I157</f>
        <v>308.26713829293408</v>
      </c>
      <c r="K157" s="87">
        <f>H157*G157</f>
        <v>190</v>
      </c>
      <c r="L157" s="3">
        <v>35</v>
      </c>
      <c r="M157" s="30" t="str">
        <f>IF(L157&lt;J157,"Reorder",IF(L157&gt;=J157*1.5,"Overstock","Sufficient"))</f>
        <v>Reorder</v>
      </c>
      <c r="N157" s="30"/>
      <c r="O157" s="3"/>
    </row>
    <row r="158" spans="1:15" x14ac:dyDescent="0.35">
      <c r="A158" s="94" t="s">
        <v>321</v>
      </c>
      <c r="B158" s="41">
        <v>265</v>
      </c>
      <c r="C158" s="57">
        <v>0.19622641509433963</v>
      </c>
      <c r="D158">
        <v>56</v>
      </c>
      <c r="F158" s="78" t="s">
        <v>321</v>
      </c>
      <c r="G158" s="45">
        <v>265</v>
      </c>
      <c r="H158" s="79">
        <f>ROUNDUP(VLOOKUP(F158,$A$10:$C$782,3,0),0)</f>
        <v>1</v>
      </c>
      <c r="I158" s="80">
        <f>$H$7*$H$6*SQRT(G158)</f>
        <v>139.67228071453547</v>
      </c>
      <c r="J158" s="80">
        <f>(H158*G158)+I158</f>
        <v>404.67228071453547</v>
      </c>
      <c r="K158" s="87">
        <f>H158*G158</f>
        <v>265</v>
      </c>
      <c r="L158" s="3">
        <v>56</v>
      </c>
      <c r="M158" s="30" t="str">
        <f>IF(L158&lt;J158,"Reorder",IF(L158&gt;=J158*1.5,"Overstock","Sufficient"))</f>
        <v>Reorder</v>
      </c>
      <c r="N158" s="30"/>
      <c r="O158" s="3"/>
    </row>
    <row r="159" spans="1:15" x14ac:dyDescent="0.35">
      <c r="A159" s="94" t="s">
        <v>1431</v>
      </c>
      <c r="B159" s="41">
        <v>291</v>
      </c>
      <c r="C159" s="57">
        <v>0.30927835051546393</v>
      </c>
      <c r="D159">
        <v>45</v>
      </c>
      <c r="F159" s="78" t="s">
        <v>1431</v>
      </c>
      <c r="G159" s="45">
        <v>291</v>
      </c>
      <c r="H159" s="79">
        <f>ROUNDUP(VLOOKUP(F159,$A$10:$C$782,3,0),0)</f>
        <v>1</v>
      </c>
      <c r="I159" s="80">
        <f>$H$7*$H$6*SQRT(G159)</f>
        <v>146.36383569721039</v>
      </c>
      <c r="J159" s="80">
        <f>(H159*G159)+I159</f>
        <v>437.36383569721039</v>
      </c>
      <c r="K159" s="87">
        <f>H159*G159</f>
        <v>291</v>
      </c>
      <c r="L159" s="3">
        <v>45</v>
      </c>
      <c r="M159" s="30" t="str">
        <f>IF(L159&lt;J159,"Reorder",IF(L159&gt;=J159*1.5,"Overstock","Sufficient"))</f>
        <v>Reorder</v>
      </c>
      <c r="N159" s="30"/>
      <c r="O159" s="3"/>
    </row>
    <row r="160" spans="1:15" x14ac:dyDescent="0.35">
      <c r="A160" s="14" t="s">
        <v>355</v>
      </c>
      <c r="B160" s="41">
        <v>160</v>
      </c>
      <c r="C160" s="57">
        <v>14.430392156862744</v>
      </c>
      <c r="D160">
        <v>339</v>
      </c>
      <c r="F160" s="72" t="s">
        <v>355</v>
      </c>
      <c r="G160" s="73"/>
      <c r="H160" s="74"/>
      <c r="I160" s="75"/>
      <c r="J160" s="74"/>
      <c r="K160" s="79"/>
      <c r="L160" s="76">
        <v>339</v>
      </c>
      <c r="M160" s="77"/>
      <c r="N160" s="85" t="str">
        <f>IFERROR(VLOOKUP(F160,'ABC Analysis'!$E$18:$M$138,9,0),0)</f>
        <v>A</v>
      </c>
      <c r="O160" s="86">
        <f>IFERROR(VLOOKUP(F160,'ABC Analysis'!$E$18:$G$138,3,0),0)</f>
        <v>7.9960649414786648E-3</v>
      </c>
    </row>
    <row r="161" spans="1:15" x14ac:dyDescent="0.35">
      <c r="A161" s="94" t="s">
        <v>482</v>
      </c>
      <c r="B161" s="41">
        <v>34</v>
      </c>
      <c r="C161" s="57">
        <v>2.1470588235294117</v>
      </c>
      <c r="D161">
        <v>88</v>
      </c>
      <c r="F161" s="78" t="s">
        <v>482</v>
      </c>
      <c r="G161" s="45">
        <v>34</v>
      </c>
      <c r="H161" s="79">
        <f>ROUNDUP(VLOOKUP(F161,$A$10:$C$782,3,0),0)</f>
        <v>3</v>
      </c>
      <c r="I161" s="80">
        <f>$H$7*$H$6*SQRT(G161)</f>
        <v>50.029567257772683</v>
      </c>
      <c r="J161" s="80">
        <f>(H161*G161)+I161</f>
        <v>152.02956725777267</v>
      </c>
      <c r="K161" s="87">
        <f>H161*G161</f>
        <v>102</v>
      </c>
      <c r="L161" s="3">
        <v>88</v>
      </c>
      <c r="M161" s="30" t="str">
        <f>IF(L161&lt;J161,"Reorder",IF(L161&gt;=J161*1.5,"Overstock","Sufficient"))</f>
        <v>Reorder</v>
      </c>
      <c r="N161" s="30"/>
      <c r="O161" s="3"/>
    </row>
    <row r="162" spans="1:15" x14ac:dyDescent="0.35">
      <c r="A162" s="94" t="s">
        <v>356</v>
      </c>
      <c r="B162" s="41">
        <v>21</v>
      </c>
      <c r="C162" s="57">
        <v>4.666666666666667</v>
      </c>
      <c r="D162">
        <v>94</v>
      </c>
      <c r="F162" s="78" t="s">
        <v>356</v>
      </c>
      <c r="G162" s="45">
        <v>21</v>
      </c>
      <c r="H162" s="79">
        <f>ROUNDUP(VLOOKUP(F162,$A$10:$C$782,3,0),0)</f>
        <v>5</v>
      </c>
      <c r="I162" s="80">
        <f>$H$7*$H$6*SQRT(G162)</f>
        <v>39.318499462721107</v>
      </c>
      <c r="J162" s="80">
        <f>(H162*G162)+I162</f>
        <v>144.31849946272109</v>
      </c>
      <c r="K162" s="87">
        <f>H162*G162</f>
        <v>105</v>
      </c>
      <c r="L162" s="3">
        <v>94</v>
      </c>
      <c r="M162" s="30" t="str">
        <f>IF(L162&lt;J162,"Reorder",IF(L162&gt;=J162*1.5,"Overstock","Sufficient"))</f>
        <v>Reorder</v>
      </c>
      <c r="N162" s="30"/>
      <c r="O162" s="3"/>
    </row>
    <row r="163" spans="1:15" x14ac:dyDescent="0.35">
      <c r="A163" s="94" t="s">
        <v>138</v>
      </c>
      <c r="B163" s="41">
        <v>4</v>
      </c>
      <c r="C163" s="57">
        <v>6.25</v>
      </c>
      <c r="D163">
        <v>12</v>
      </c>
      <c r="F163" s="78" t="s">
        <v>138</v>
      </c>
      <c r="G163" s="45">
        <v>4</v>
      </c>
      <c r="H163" s="79">
        <f>ROUNDUP(VLOOKUP(F163,$A$10:$C$782,3,0),0)</f>
        <v>1</v>
      </c>
      <c r="I163" s="80">
        <f>$H$7*$H$6*SQRT(G163)</f>
        <v>17.16</v>
      </c>
      <c r="J163" s="80">
        <f>(H163*G163)+I163</f>
        <v>21.16</v>
      </c>
      <c r="K163" s="87">
        <f>H163*G163</f>
        <v>4</v>
      </c>
      <c r="L163" s="3">
        <v>12</v>
      </c>
      <c r="M163" s="30" t="str">
        <f>IF(L163&lt;J163,"Reorder",IF(L163&gt;=J163*1.5,"Overstock","Sufficient"))</f>
        <v>Reorder</v>
      </c>
      <c r="N163" s="30"/>
      <c r="O163" s="3"/>
    </row>
    <row r="164" spans="1:15" x14ac:dyDescent="0.35">
      <c r="A164" s="94" t="s">
        <v>2713</v>
      </c>
      <c r="B164" s="41">
        <v>51</v>
      </c>
      <c r="C164" s="57">
        <v>0.66666666666666663</v>
      </c>
      <c r="D164">
        <v>62</v>
      </c>
      <c r="F164" s="78" t="s">
        <v>2713</v>
      </c>
      <c r="G164" s="45">
        <v>51</v>
      </c>
      <c r="H164" s="79">
        <f>ROUNDUP(VLOOKUP(F164,$A$10:$C$782,3,0),0)</f>
        <v>1</v>
      </c>
      <c r="I164" s="80">
        <f>$H$7*$H$6*SQRT(G164)</f>
        <v>61.27345591689766</v>
      </c>
      <c r="J164" s="80">
        <f>(H164*G164)+I164</f>
        <v>112.27345591689766</v>
      </c>
      <c r="K164" s="87">
        <f>H164*G164</f>
        <v>51</v>
      </c>
      <c r="L164" s="3">
        <v>62</v>
      </c>
      <c r="M164" s="30" t="str">
        <f>IF(L164&lt;J164,"Reorder",IF(L164&gt;=J164*1.5,"Overstock","Sufficient"))</f>
        <v>Reorder</v>
      </c>
      <c r="N164" s="30"/>
      <c r="O164" s="3"/>
    </row>
    <row r="165" spans="1:15" x14ac:dyDescent="0.35">
      <c r="A165" s="94" t="s">
        <v>2639</v>
      </c>
      <c r="B165" s="41">
        <v>50</v>
      </c>
      <c r="C165" s="57">
        <v>0.7</v>
      </c>
      <c r="D165">
        <v>83</v>
      </c>
      <c r="F165" s="78" t="s">
        <v>2639</v>
      </c>
      <c r="G165" s="45">
        <v>50</v>
      </c>
      <c r="H165" s="79">
        <f>ROUNDUP(VLOOKUP(F165,$A$10:$C$782,3,0),0)</f>
        <v>1</v>
      </c>
      <c r="I165" s="80">
        <f>$H$7*$H$6*SQRT(G165)</f>
        <v>60.669761825805779</v>
      </c>
      <c r="J165" s="80">
        <f>(H165*G165)+I165</f>
        <v>110.66976182580578</v>
      </c>
      <c r="K165" s="87">
        <f>H165*G165</f>
        <v>50</v>
      </c>
      <c r="L165" s="3">
        <v>83</v>
      </c>
      <c r="M165" s="30" t="str">
        <f>IF(L165&lt;J165,"Reorder",IF(L165&gt;=J165*1.5,"Overstock","Sufficient"))</f>
        <v>Reorder</v>
      </c>
      <c r="N165" s="30"/>
      <c r="O165" s="3"/>
    </row>
    <row r="166" spans="1:15" x14ac:dyDescent="0.35">
      <c r="A166" s="14" t="s">
        <v>230</v>
      </c>
      <c r="B166" s="41">
        <v>404</v>
      </c>
      <c r="C166" s="57">
        <v>13.106609233445509</v>
      </c>
      <c r="D166">
        <v>343</v>
      </c>
      <c r="F166" s="72" t="s">
        <v>230</v>
      </c>
      <c r="G166" s="73"/>
      <c r="H166" s="74"/>
      <c r="I166" s="75"/>
      <c r="J166" s="74"/>
      <c r="K166" s="79"/>
      <c r="L166" s="76">
        <v>343</v>
      </c>
      <c r="M166" s="77"/>
      <c r="N166" s="85" t="str">
        <f>IFERROR(VLOOKUP(F166,'ABC Analysis'!$E$18:$M$138,9,0),0)</f>
        <v>C</v>
      </c>
      <c r="O166" s="86">
        <f>IFERROR(VLOOKUP(F166,'ABC Analysis'!$E$18:$G$138,3,0),0)</f>
        <v>2.4364644263703519E-3</v>
      </c>
    </row>
    <row r="167" spans="1:15" x14ac:dyDescent="0.35">
      <c r="A167" s="94" t="s">
        <v>562</v>
      </c>
      <c r="B167" s="41">
        <v>13</v>
      </c>
      <c r="C167" s="57">
        <v>6.3076923076923075</v>
      </c>
      <c r="D167">
        <v>58</v>
      </c>
      <c r="F167" s="78" t="s">
        <v>562</v>
      </c>
      <c r="G167" s="45">
        <v>13</v>
      </c>
      <c r="H167" s="79">
        <f t="shared" ref="H167:H172" si="59">ROUNDUP(VLOOKUP(F167,$A$10:$C$782,3,0),0)</f>
        <v>6</v>
      </c>
      <c r="I167" s="80">
        <f t="shared" ref="I167:I172" si="60">$H$7*$H$6*SQRT(G167)</f>
        <v>30.935629943481025</v>
      </c>
      <c r="J167" s="80">
        <f t="shared" ref="J167:J172" si="61">(H167*G167)+I167</f>
        <v>108.93562994348102</v>
      </c>
      <c r="K167" s="87">
        <f t="shared" ref="K167:K172" si="62">H167*G167</f>
        <v>78</v>
      </c>
      <c r="L167" s="3">
        <v>58</v>
      </c>
      <c r="M167" s="30" t="str">
        <f t="shared" ref="M167:M172" si="63">IF(L167&lt;J167,"Reorder",IF(L167&gt;=J167*1.5,"Overstock","Sufficient"))</f>
        <v>Reorder</v>
      </c>
      <c r="N167" s="30"/>
      <c r="O167" s="3"/>
    </row>
    <row r="168" spans="1:15" x14ac:dyDescent="0.35">
      <c r="A168" s="94" t="s">
        <v>1704</v>
      </c>
      <c r="B168" s="41">
        <v>20</v>
      </c>
      <c r="C168" s="57">
        <v>3.1</v>
      </c>
      <c r="D168">
        <v>35</v>
      </c>
      <c r="F168" s="78" t="s">
        <v>1704</v>
      </c>
      <c r="G168" s="45">
        <v>20</v>
      </c>
      <c r="H168" s="79">
        <f t="shared" si="59"/>
        <v>4</v>
      </c>
      <c r="I168" s="80">
        <f t="shared" si="60"/>
        <v>38.370926493896391</v>
      </c>
      <c r="J168" s="80">
        <f t="shared" si="61"/>
        <v>118.37092649389639</v>
      </c>
      <c r="K168" s="87">
        <f t="shared" si="62"/>
        <v>80</v>
      </c>
      <c r="L168" s="3">
        <v>35</v>
      </c>
      <c r="M168" s="30" t="str">
        <f t="shared" si="63"/>
        <v>Reorder</v>
      </c>
      <c r="N168" s="30"/>
      <c r="O168" s="3"/>
    </row>
    <row r="169" spans="1:15" x14ac:dyDescent="0.35">
      <c r="A169" s="94" t="s">
        <v>425</v>
      </c>
      <c r="B169" s="41">
        <v>160</v>
      </c>
      <c r="C169" s="57">
        <v>0.39374999999999999</v>
      </c>
      <c r="D169">
        <v>69</v>
      </c>
      <c r="F169" s="78" t="s">
        <v>425</v>
      </c>
      <c r="G169" s="45">
        <v>160</v>
      </c>
      <c r="H169" s="79">
        <f t="shared" si="59"/>
        <v>2</v>
      </c>
      <c r="I169" s="80">
        <f t="shared" si="60"/>
        <v>108.52936929697879</v>
      </c>
      <c r="J169" s="80">
        <f t="shared" si="61"/>
        <v>428.52936929697876</v>
      </c>
      <c r="K169" s="87">
        <f t="shared" si="62"/>
        <v>320</v>
      </c>
      <c r="L169" s="3">
        <v>69</v>
      </c>
      <c r="M169" s="30" t="str">
        <f t="shared" si="63"/>
        <v>Reorder</v>
      </c>
      <c r="N169" s="30"/>
      <c r="O169" s="3"/>
    </row>
    <row r="170" spans="1:15" x14ac:dyDescent="0.35">
      <c r="A170" s="94" t="s">
        <v>570</v>
      </c>
      <c r="B170" s="41">
        <v>18</v>
      </c>
      <c r="C170" s="57">
        <v>1.7222222222222223</v>
      </c>
      <c r="D170">
        <v>74</v>
      </c>
      <c r="F170" s="78" t="s">
        <v>570</v>
      </c>
      <c r="G170" s="45">
        <v>18</v>
      </c>
      <c r="H170" s="79">
        <f t="shared" si="59"/>
        <v>2</v>
      </c>
      <c r="I170" s="80">
        <f t="shared" si="60"/>
        <v>36.401857095483464</v>
      </c>
      <c r="J170" s="80">
        <f t="shared" si="61"/>
        <v>72.401857095483464</v>
      </c>
      <c r="K170" s="87">
        <f t="shared" si="62"/>
        <v>36</v>
      </c>
      <c r="L170" s="3">
        <v>74</v>
      </c>
      <c r="M170" s="30" t="str">
        <f t="shared" si="63"/>
        <v>Sufficient</v>
      </c>
      <c r="N170" s="30"/>
      <c r="O170" s="3"/>
    </row>
    <row r="171" spans="1:15" x14ac:dyDescent="0.35">
      <c r="A171" s="94" t="s">
        <v>912</v>
      </c>
      <c r="B171" s="41">
        <v>79</v>
      </c>
      <c r="C171" s="57">
        <v>0.89873417721518989</v>
      </c>
      <c r="D171">
        <v>40</v>
      </c>
      <c r="F171" s="78" t="s">
        <v>912</v>
      </c>
      <c r="G171" s="45">
        <v>79</v>
      </c>
      <c r="H171" s="79">
        <f t="shared" si="59"/>
        <v>1</v>
      </c>
      <c r="I171" s="80">
        <f t="shared" si="60"/>
        <v>76.260708100567754</v>
      </c>
      <c r="J171" s="80">
        <f t="shared" si="61"/>
        <v>155.26070810056774</v>
      </c>
      <c r="K171" s="87">
        <f t="shared" si="62"/>
        <v>79</v>
      </c>
      <c r="L171" s="3">
        <v>40</v>
      </c>
      <c r="M171" s="30" t="str">
        <f t="shared" si="63"/>
        <v>Reorder</v>
      </c>
      <c r="N171" s="30"/>
      <c r="O171" s="3"/>
    </row>
    <row r="172" spans="1:15" x14ac:dyDescent="0.35">
      <c r="A172" s="94" t="s">
        <v>231</v>
      </c>
      <c r="B172" s="41">
        <v>114</v>
      </c>
      <c r="C172" s="57">
        <v>0.68421052631578949</v>
      </c>
      <c r="D172">
        <v>67</v>
      </c>
      <c r="F172" s="78" t="s">
        <v>231</v>
      </c>
      <c r="G172" s="45">
        <v>114</v>
      </c>
      <c r="H172" s="79">
        <f t="shared" si="59"/>
        <v>1</v>
      </c>
      <c r="I172" s="80">
        <f t="shared" si="60"/>
        <v>91.609331402428651</v>
      </c>
      <c r="J172" s="80">
        <f t="shared" si="61"/>
        <v>205.60933140242867</v>
      </c>
      <c r="K172" s="87">
        <f t="shared" si="62"/>
        <v>114</v>
      </c>
      <c r="L172" s="3">
        <v>67</v>
      </c>
      <c r="M172" s="30" t="str">
        <f t="shared" si="63"/>
        <v>Reorder</v>
      </c>
      <c r="N172" s="30"/>
      <c r="O172" s="3"/>
    </row>
    <row r="173" spans="1:15" x14ac:dyDescent="0.35">
      <c r="A173" s="14" t="s">
        <v>121</v>
      </c>
      <c r="B173" s="41">
        <v>822</v>
      </c>
      <c r="C173" s="57">
        <v>12.8230835885562</v>
      </c>
      <c r="D173">
        <v>472</v>
      </c>
      <c r="F173" s="72" t="s">
        <v>121</v>
      </c>
      <c r="G173" s="73"/>
      <c r="H173" s="74"/>
      <c r="I173" s="75"/>
      <c r="J173" s="74"/>
      <c r="K173" s="79"/>
      <c r="L173" s="76">
        <v>472</v>
      </c>
      <c r="M173" s="77"/>
      <c r="N173" s="85" t="str">
        <f>IFERROR(VLOOKUP(F173,'ABC Analysis'!$E$18:$M$138,9,0),0)</f>
        <v>C</v>
      </c>
      <c r="O173" s="86">
        <f>IFERROR(VLOOKUP(F173,'ABC Analysis'!$E$18:$G$138,3,0),0)</f>
        <v>2.9121094547658517E-3</v>
      </c>
    </row>
    <row r="174" spans="1:15" x14ac:dyDescent="0.35">
      <c r="A174" s="94" t="s">
        <v>122</v>
      </c>
      <c r="B174" s="41">
        <v>67</v>
      </c>
      <c r="C174" s="57">
        <v>0.5074626865671642</v>
      </c>
      <c r="D174">
        <v>38</v>
      </c>
      <c r="F174" s="78" t="s">
        <v>122</v>
      </c>
      <c r="G174" s="45">
        <v>67</v>
      </c>
      <c r="H174" s="79">
        <f t="shared" ref="H174:H181" si="64">ROUNDUP(VLOOKUP(F174,$A$10:$C$782,3,0),0)</f>
        <v>1</v>
      </c>
      <c r="I174" s="80">
        <f t="shared" ref="I174:I181" si="65">$H$7*$H$6*SQRT(G174)</f>
        <v>70.230326782665628</v>
      </c>
      <c r="J174" s="80">
        <f t="shared" ref="J174:J181" si="66">(H174*G174)+I174</f>
        <v>137.23032678266563</v>
      </c>
      <c r="K174" s="87">
        <f t="shared" ref="K174:K181" si="67">H174*G174</f>
        <v>67</v>
      </c>
      <c r="L174" s="3">
        <v>38</v>
      </c>
      <c r="M174" s="30" t="str">
        <f t="shared" ref="M174:M181" si="68">IF(L174&lt;J174,"Reorder",IF(L174&gt;=J174*1.5,"Overstock","Sufficient"))</f>
        <v>Reorder</v>
      </c>
      <c r="N174" s="30"/>
      <c r="O174" s="3"/>
    </row>
    <row r="175" spans="1:15" x14ac:dyDescent="0.35">
      <c r="A175" s="94" t="s">
        <v>268</v>
      </c>
      <c r="B175" s="41">
        <v>47</v>
      </c>
      <c r="C175" s="57">
        <v>0.63829787234042556</v>
      </c>
      <c r="D175">
        <v>67</v>
      </c>
      <c r="F175" s="78" t="s">
        <v>268</v>
      </c>
      <c r="G175" s="45">
        <v>47</v>
      </c>
      <c r="H175" s="79">
        <f t="shared" si="64"/>
        <v>1</v>
      </c>
      <c r="I175" s="80">
        <f t="shared" si="65"/>
        <v>58.821516471440958</v>
      </c>
      <c r="J175" s="80">
        <f t="shared" si="66"/>
        <v>105.82151647144096</v>
      </c>
      <c r="K175" s="87">
        <f t="shared" si="67"/>
        <v>47</v>
      </c>
      <c r="L175" s="3">
        <v>67</v>
      </c>
      <c r="M175" s="30" t="str">
        <f t="shared" si="68"/>
        <v>Reorder</v>
      </c>
      <c r="N175" s="30"/>
      <c r="O175" s="3"/>
    </row>
    <row r="176" spans="1:15" x14ac:dyDescent="0.35">
      <c r="A176" s="94" t="s">
        <v>900</v>
      </c>
      <c r="B176" s="41">
        <v>104</v>
      </c>
      <c r="C176" s="57">
        <v>0.25</v>
      </c>
      <c r="D176">
        <v>82</v>
      </c>
      <c r="F176" s="78" t="s">
        <v>900</v>
      </c>
      <c r="G176" s="45">
        <v>104</v>
      </c>
      <c r="H176" s="79">
        <f t="shared" si="64"/>
        <v>1</v>
      </c>
      <c r="I176" s="80">
        <f t="shared" si="65"/>
        <v>87.499174853252185</v>
      </c>
      <c r="J176" s="80">
        <f t="shared" si="66"/>
        <v>191.49917485325219</v>
      </c>
      <c r="K176" s="87">
        <f t="shared" si="67"/>
        <v>104</v>
      </c>
      <c r="L176" s="3">
        <v>82</v>
      </c>
      <c r="M176" s="30" t="str">
        <f t="shared" si="68"/>
        <v>Reorder</v>
      </c>
      <c r="N176" s="30"/>
      <c r="O176" s="3"/>
    </row>
    <row r="177" spans="1:15" x14ac:dyDescent="0.35">
      <c r="A177" s="94" t="s">
        <v>2180</v>
      </c>
      <c r="B177" s="41">
        <v>10</v>
      </c>
      <c r="C177" s="57">
        <v>9.1999999999999993</v>
      </c>
      <c r="D177">
        <v>39</v>
      </c>
      <c r="F177" s="78" t="s">
        <v>2180</v>
      </c>
      <c r="G177" s="45">
        <v>10</v>
      </c>
      <c r="H177" s="79">
        <f t="shared" si="64"/>
        <v>10</v>
      </c>
      <c r="I177" s="80">
        <f t="shared" si="65"/>
        <v>27.132342324244696</v>
      </c>
      <c r="J177" s="80">
        <f t="shared" si="66"/>
        <v>127.13234232424469</v>
      </c>
      <c r="K177" s="87">
        <f t="shared" si="67"/>
        <v>100</v>
      </c>
      <c r="L177" s="3">
        <v>39</v>
      </c>
      <c r="M177" s="30" t="str">
        <f t="shared" si="68"/>
        <v>Reorder</v>
      </c>
      <c r="N177" s="30"/>
      <c r="O177" s="3"/>
    </row>
    <row r="178" spans="1:15" x14ac:dyDescent="0.35">
      <c r="A178" s="94" t="s">
        <v>588</v>
      </c>
      <c r="B178" s="41">
        <v>148</v>
      </c>
      <c r="C178" s="57">
        <v>0.33783783783783783</v>
      </c>
      <c r="D178">
        <v>41</v>
      </c>
      <c r="F178" s="78" t="s">
        <v>588</v>
      </c>
      <c r="G178" s="45">
        <v>148</v>
      </c>
      <c r="H178" s="79">
        <f t="shared" si="64"/>
        <v>1</v>
      </c>
      <c r="I178" s="80">
        <f t="shared" si="65"/>
        <v>104.38020501991744</v>
      </c>
      <c r="J178" s="80">
        <f t="shared" si="66"/>
        <v>252.38020501991744</v>
      </c>
      <c r="K178" s="87">
        <f t="shared" si="67"/>
        <v>148</v>
      </c>
      <c r="L178" s="3">
        <v>41</v>
      </c>
      <c r="M178" s="30" t="str">
        <f t="shared" si="68"/>
        <v>Reorder</v>
      </c>
      <c r="N178" s="30"/>
      <c r="O178" s="3"/>
    </row>
    <row r="179" spans="1:15" x14ac:dyDescent="0.35">
      <c r="A179" s="94" t="s">
        <v>199</v>
      </c>
      <c r="B179" s="41">
        <v>351</v>
      </c>
      <c r="C179" s="57">
        <v>0.14529914529914531</v>
      </c>
      <c r="D179">
        <v>60</v>
      </c>
      <c r="F179" s="78" t="s">
        <v>199</v>
      </c>
      <c r="G179" s="45">
        <v>351</v>
      </c>
      <c r="H179" s="79">
        <f t="shared" si="64"/>
        <v>69</v>
      </c>
      <c r="I179" s="80">
        <f t="shared" si="65"/>
        <v>160.74624847877476</v>
      </c>
      <c r="J179" s="80">
        <f t="shared" si="66"/>
        <v>24379.746248478776</v>
      </c>
      <c r="K179" s="87">
        <f t="shared" si="67"/>
        <v>24219</v>
      </c>
      <c r="L179" s="3">
        <v>60</v>
      </c>
      <c r="M179" s="30" t="str">
        <f t="shared" si="68"/>
        <v>Reorder</v>
      </c>
      <c r="N179" s="30"/>
      <c r="O179" s="3"/>
    </row>
    <row r="180" spans="1:15" x14ac:dyDescent="0.35">
      <c r="A180" s="94" t="s">
        <v>203</v>
      </c>
      <c r="B180" s="41">
        <v>52</v>
      </c>
      <c r="C180" s="57">
        <v>1</v>
      </c>
      <c r="D180">
        <v>86</v>
      </c>
      <c r="F180" s="78" t="s">
        <v>203</v>
      </c>
      <c r="G180" s="45">
        <v>52</v>
      </c>
      <c r="H180" s="79">
        <f t="shared" si="64"/>
        <v>1</v>
      </c>
      <c r="I180" s="80">
        <f t="shared" si="65"/>
        <v>61.871259886962051</v>
      </c>
      <c r="J180" s="80">
        <f t="shared" si="66"/>
        <v>113.87125988696205</v>
      </c>
      <c r="K180" s="87">
        <f t="shared" si="67"/>
        <v>52</v>
      </c>
      <c r="L180" s="3">
        <v>86</v>
      </c>
      <c r="M180" s="30" t="str">
        <f t="shared" si="68"/>
        <v>Reorder</v>
      </c>
      <c r="N180" s="30"/>
      <c r="O180" s="3"/>
    </row>
    <row r="181" spans="1:15" x14ac:dyDescent="0.35">
      <c r="A181" s="94" t="s">
        <v>321</v>
      </c>
      <c r="B181" s="41">
        <v>43</v>
      </c>
      <c r="C181" s="57">
        <v>0.7441860465116279</v>
      </c>
      <c r="D181">
        <v>59</v>
      </c>
      <c r="F181" s="78" t="s">
        <v>321</v>
      </c>
      <c r="G181" s="45">
        <v>43</v>
      </c>
      <c r="H181" s="79">
        <f t="shared" si="64"/>
        <v>1</v>
      </c>
      <c r="I181" s="80">
        <f t="shared" si="65"/>
        <v>56.262822538511166</v>
      </c>
      <c r="J181" s="80">
        <f t="shared" si="66"/>
        <v>99.262822538511159</v>
      </c>
      <c r="K181" s="87">
        <f t="shared" si="67"/>
        <v>43</v>
      </c>
      <c r="L181" s="3">
        <v>59</v>
      </c>
      <c r="M181" s="30" t="str">
        <f t="shared" si="68"/>
        <v>Reorder</v>
      </c>
      <c r="N181" s="30"/>
      <c r="O181" s="3"/>
    </row>
    <row r="182" spans="1:15" x14ac:dyDescent="0.35">
      <c r="A182" s="14" t="s">
        <v>293</v>
      </c>
      <c r="B182" s="41">
        <v>890</v>
      </c>
      <c r="C182" s="57">
        <v>12.460365851198954</v>
      </c>
      <c r="D182">
        <v>371</v>
      </c>
      <c r="F182" s="72" t="s">
        <v>293</v>
      </c>
      <c r="G182" s="73"/>
      <c r="H182" s="81"/>
      <c r="I182" s="75"/>
      <c r="J182" s="74"/>
      <c r="K182" s="79"/>
      <c r="L182" s="76">
        <v>371</v>
      </c>
      <c r="M182" s="77"/>
      <c r="N182" s="85" t="str">
        <f>IFERROR(VLOOKUP(F182,'ABC Analysis'!$E$18:$M$138,9,0),0)</f>
        <v>B</v>
      </c>
      <c r="O182" s="86">
        <f>IFERROR(VLOOKUP(F182,'ABC Analysis'!$E$18:$G$138,3,0),0)</f>
        <v>3.4682147413998567E-3</v>
      </c>
    </row>
    <row r="183" spans="1:15" x14ac:dyDescent="0.35">
      <c r="A183" s="94" t="s">
        <v>2233</v>
      </c>
      <c r="B183" s="41">
        <v>194</v>
      </c>
      <c r="C183" s="57">
        <v>0.15463917525773196</v>
      </c>
      <c r="D183">
        <v>50</v>
      </c>
      <c r="F183" s="78" t="s">
        <v>2233</v>
      </c>
      <c r="G183" s="45">
        <v>194</v>
      </c>
      <c r="H183" s="79">
        <f t="shared" ref="H183:H190" si="69">ROUNDUP(VLOOKUP(F183,$A$10:$C$782,3,0),0)</f>
        <v>1</v>
      </c>
      <c r="I183" s="80">
        <f t="shared" ref="I183:I190" si="70">$H$7*$H$6*SQRT(G183)</f>
        <v>119.50557141823974</v>
      </c>
      <c r="J183" s="80">
        <f t="shared" ref="J183:J190" si="71">(H183*G183)+I183</f>
        <v>313.50557141823975</v>
      </c>
      <c r="K183" s="87">
        <f t="shared" ref="K183:K190" si="72">H183*G183</f>
        <v>194</v>
      </c>
      <c r="L183" s="3">
        <v>50</v>
      </c>
      <c r="M183" s="30" t="str">
        <f t="shared" ref="M183:M190" si="73">IF(L183&lt;J183,"Reorder",IF(L183&gt;=J183*1.5,"Overstock","Sufficient"))</f>
        <v>Reorder</v>
      </c>
      <c r="N183" s="30"/>
      <c r="O183" s="3"/>
    </row>
    <row r="184" spans="1:15" x14ac:dyDescent="0.35">
      <c r="A184" s="94" t="s">
        <v>2180</v>
      </c>
      <c r="B184" s="41">
        <v>265</v>
      </c>
      <c r="C184" s="57">
        <v>0.36603773584905658</v>
      </c>
      <c r="D184">
        <v>74</v>
      </c>
      <c r="F184" s="78" t="s">
        <v>2180</v>
      </c>
      <c r="G184" s="45">
        <v>265</v>
      </c>
      <c r="H184" s="79">
        <f t="shared" si="69"/>
        <v>10</v>
      </c>
      <c r="I184" s="80">
        <f t="shared" si="70"/>
        <v>139.67228071453547</v>
      </c>
      <c r="J184" s="80">
        <f t="shared" si="71"/>
        <v>2789.6722807145356</v>
      </c>
      <c r="K184" s="87">
        <f t="shared" si="72"/>
        <v>2650</v>
      </c>
      <c r="L184" s="3">
        <v>74</v>
      </c>
      <c r="M184" s="30" t="str">
        <f t="shared" si="73"/>
        <v>Reorder</v>
      </c>
      <c r="N184" s="30"/>
      <c r="O184" s="3"/>
    </row>
    <row r="185" spans="1:15" x14ac:dyDescent="0.35">
      <c r="A185" s="94" t="s">
        <v>1997</v>
      </c>
      <c r="B185" s="41">
        <v>70</v>
      </c>
      <c r="C185" s="57">
        <v>1.0857142857142856</v>
      </c>
      <c r="D185">
        <v>35</v>
      </c>
      <c r="F185" s="78" t="s">
        <v>1997</v>
      </c>
      <c r="G185" s="45">
        <v>70</v>
      </c>
      <c r="H185" s="79">
        <f t="shared" si="69"/>
        <v>2</v>
      </c>
      <c r="I185" s="80">
        <f t="shared" si="70"/>
        <v>71.785430276623686</v>
      </c>
      <c r="J185" s="80">
        <f t="shared" si="71"/>
        <v>211.78543027662369</v>
      </c>
      <c r="K185" s="87">
        <f t="shared" si="72"/>
        <v>140</v>
      </c>
      <c r="L185" s="3">
        <v>35</v>
      </c>
      <c r="M185" s="30" t="str">
        <f t="shared" si="73"/>
        <v>Reorder</v>
      </c>
      <c r="N185" s="30"/>
      <c r="O185" s="3"/>
    </row>
    <row r="186" spans="1:15" x14ac:dyDescent="0.35">
      <c r="A186" s="94" t="s">
        <v>1156</v>
      </c>
      <c r="B186" s="41">
        <v>42</v>
      </c>
      <c r="C186" s="57">
        <v>1.4285714285714286</v>
      </c>
      <c r="D186">
        <v>39</v>
      </c>
      <c r="F186" s="78" t="s">
        <v>1156</v>
      </c>
      <c r="G186" s="45">
        <v>42</v>
      </c>
      <c r="H186" s="79">
        <f t="shared" si="69"/>
        <v>2</v>
      </c>
      <c r="I186" s="80">
        <f t="shared" si="70"/>
        <v>55.604755192339439</v>
      </c>
      <c r="J186" s="80">
        <f t="shared" si="71"/>
        <v>139.60475519233944</v>
      </c>
      <c r="K186" s="87">
        <f t="shared" si="72"/>
        <v>84</v>
      </c>
      <c r="L186" s="3">
        <v>39</v>
      </c>
      <c r="M186" s="30" t="str">
        <f t="shared" si="73"/>
        <v>Reorder</v>
      </c>
      <c r="N186" s="30"/>
      <c r="O186" s="3"/>
    </row>
    <row r="187" spans="1:15" x14ac:dyDescent="0.35">
      <c r="A187" s="94" t="s">
        <v>2041</v>
      </c>
      <c r="B187" s="41">
        <v>93</v>
      </c>
      <c r="C187" s="57">
        <v>0.26881720430107525</v>
      </c>
      <c r="D187">
        <v>39</v>
      </c>
      <c r="F187" s="78" t="s">
        <v>2041</v>
      </c>
      <c r="G187" s="45">
        <v>93</v>
      </c>
      <c r="H187" s="79">
        <f t="shared" si="69"/>
        <v>1</v>
      </c>
      <c r="I187" s="80">
        <f t="shared" si="70"/>
        <v>82.742523529319556</v>
      </c>
      <c r="J187" s="80">
        <f t="shared" si="71"/>
        <v>175.74252352931956</v>
      </c>
      <c r="K187" s="87">
        <f t="shared" si="72"/>
        <v>93</v>
      </c>
      <c r="L187" s="3">
        <v>39</v>
      </c>
      <c r="M187" s="30" t="str">
        <f t="shared" si="73"/>
        <v>Reorder</v>
      </c>
      <c r="N187" s="30"/>
      <c r="O187" s="3"/>
    </row>
    <row r="188" spans="1:15" x14ac:dyDescent="0.35">
      <c r="A188" s="94" t="s">
        <v>1374</v>
      </c>
      <c r="B188" s="41">
        <v>96</v>
      </c>
      <c r="C188" s="57">
        <v>0.47916666666666669</v>
      </c>
      <c r="D188">
        <v>98</v>
      </c>
      <c r="F188" s="78" t="s">
        <v>1374</v>
      </c>
      <c r="G188" s="45">
        <v>96</v>
      </c>
      <c r="H188" s="79">
        <f t="shared" si="69"/>
        <v>1</v>
      </c>
      <c r="I188" s="80">
        <f t="shared" si="70"/>
        <v>84.066487972318669</v>
      </c>
      <c r="J188" s="80">
        <f t="shared" si="71"/>
        <v>180.06648797231867</v>
      </c>
      <c r="K188" s="87">
        <f t="shared" si="72"/>
        <v>96</v>
      </c>
      <c r="L188" s="3">
        <v>98</v>
      </c>
      <c r="M188" s="30" t="str">
        <f t="shared" si="73"/>
        <v>Reorder</v>
      </c>
      <c r="N188" s="30"/>
      <c r="O188" s="3"/>
    </row>
    <row r="189" spans="1:15" x14ac:dyDescent="0.35">
      <c r="A189" s="94" t="s">
        <v>1050</v>
      </c>
      <c r="B189" s="41">
        <v>124</v>
      </c>
      <c r="C189" s="57">
        <v>0.17741935483870969</v>
      </c>
      <c r="D189">
        <v>16</v>
      </c>
      <c r="F189" s="78" t="s">
        <v>1050</v>
      </c>
      <c r="G189" s="45">
        <v>124</v>
      </c>
      <c r="H189" s="79">
        <f t="shared" si="69"/>
        <v>1</v>
      </c>
      <c r="I189" s="80">
        <f t="shared" si="70"/>
        <v>95.542836466163166</v>
      </c>
      <c r="J189" s="80">
        <f t="shared" si="71"/>
        <v>219.54283646616318</v>
      </c>
      <c r="K189" s="87">
        <f t="shared" si="72"/>
        <v>124</v>
      </c>
      <c r="L189" s="3">
        <v>16</v>
      </c>
      <c r="M189" s="30" t="str">
        <f t="shared" si="73"/>
        <v>Reorder</v>
      </c>
      <c r="N189" s="30"/>
      <c r="O189" s="3"/>
    </row>
    <row r="190" spans="1:15" x14ac:dyDescent="0.35">
      <c r="A190" s="94" t="s">
        <v>429</v>
      </c>
      <c r="B190" s="41">
        <v>6</v>
      </c>
      <c r="C190" s="57">
        <v>8.5</v>
      </c>
      <c r="D190">
        <v>20</v>
      </c>
      <c r="F190" s="78" t="s">
        <v>429</v>
      </c>
      <c r="G190" s="45">
        <v>6</v>
      </c>
      <c r="H190" s="79">
        <f t="shared" si="69"/>
        <v>9</v>
      </c>
      <c r="I190" s="80">
        <f t="shared" si="70"/>
        <v>21.016621993079667</v>
      </c>
      <c r="J190" s="80">
        <f t="shared" si="71"/>
        <v>75.016621993079667</v>
      </c>
      <c r="K190" s="87">
        <f t="shared" si="72"/>
        <v>54</v>
      </c>
      <c r="L190" s="3">
        <v>20</v>
      </c>
      <c r="M190" s="30" t="str">
        <f t="shared" si="73"/>
        <v>Reorder</v>
      </c>
      <c r="N190" s="30"/>
      <c r="O190" s="3"/>
    </row>
    <row r="191" spans="1:15" x14ac:dyDescent="0.35">
      <c r="A191" s="14" t="s">
        <v>180</v>
      </c>
      <c r="B191" s="41">
        <v>716</v>
      </c>
      <c r="C191" s="57">
        <v>12.390131828575763</v>
      </c>
      <c r="D191">
        <v>325</v>
      </c>
      <c r="F191" s="72" t="s">
        <v>180</v>
      </c>
      <c r="G191" s="73"/>
      <c r="H191" s="74"/>
      <c r="I191" s="75"/>
      <c r="J191" s="74"/>
      <c r="K191" s="79"/>
      <c r="L191" s="76">
        <v>325</v>
      </c>
      <c r="M191" s="77"/>
      <c r="N191" s="85" t="str">
        <f>IFERROR(VLOOKUP(F191,'ABC Analysis'!$E$18:$M$138,9,0),0)</f>
        <v>B</v>
      </c>
      <c r="O191" s="86">
        <f>IFERROR(VLOOKUP(F191,'ABC Analysis'!$E$18:$G$138,3,0),0)</f>
        <v>3.239178952154146E-3</v>
      </c>
    </row>
    <row r="192" spans="1:15" x14ac:dyDescent="0.35">
      <c r="A192" s="94" t="s">
        <v>277</v>
      </c>
      <c r="B192" s="41">
        <v>36</v>
      </c>
      <c r="C192" s="57">
        <v>0.86111111111111116</v>
      </c>
      <c r="D192">
        <v>19</v>
      </c>
      <c r="F192" s="78" t="s">
        <v>277</v>
      </c>
      <c r="G192" s="45">
        <v>36</v>
      </c>
      <c r="H192" s="79">
        <f t="shared" ref="H192:H199" si="74">ROUNDUP(VLOOKUP(F192,$A$10:$C$782,3,0),0)</f>
        <v>1</v>
      </c>
      <c r="I192" s="80">
        <f t="shared" ref="I192:I199" si="75">$H$7*$H$6*SQRT(G192)</f>
        <v>51.480000000000004</v>
      </c>
      <c r="J192" s="80">
        <f t="shared" ref="J192:J199" si="76">(H192*G192)+I192</f>
        <v>87.48</v>
      </c>
      <c r="K192" s="87">
        <f t="shared" ref="K192:K199" si="77">H192*G192</f>
        <v>36</v>
      </c>
      <c r="L192" s="3">
        <v>19</v>
      </c>
      <c r="M192" s="30" t="str">
        <f t="shared" ref="M192:M199" si="78">IF(L192&lt;J192,"Reorder",IF(L192&gt;=J192*1.5,"Overstock","Sufficient"))</f>
        <v>Reorder</v>
      </c>
      <c r="N192" s="30"/>
      <c r="O192" s="3"/>
    </row>
    <row r="193" spans="1:15" x14ac:dyDescent="0.35">
      <c r="A193" s="94" t="s">
        <v>832</v>
      </c>
      <c r="B193" s="41">
        <v>115</v>
      </c>
      <c r="C193" s="57">
        <v>0.64347826086956517</v>
      </c>
      <c r="D193">
        <v>60</v>
      </c>
      <c r="F193" s="78" t="s">
        <v>832</v>
      </c>
      <c r="G193" s="45">
        <v>115</v>
      </c>
      <c r="H193" s="79">
        <f t="shared" si="74"/>
        <v>1</v>
      </c>
      <c r="I193" s="80">
        <f t="shared" si="75"/>
        <v>92.010249429071749</v>
      </c>
      <c r="J193" s="80">
        <f t="shared" si="76"/>
        <v>207.01024942907173</v>
      </c>
      <c r="K193" s="87">
        <f t="shared" si="77"/>
        <v>115</v>
      </c>
      <c r="L193" s="3">
        <v>60</v>
      </c>
      <c r="M193" s="30" t="str">
        <f t="shared" si="78"/>
        <v>Reorder</v>
      </c>
      <c r="N193" s="30"/>
      <c r="O193" s="3"/>
    </row>
    <row r="194" spans="1:15" x14ac:dyDescent="0.35">
      <c r="A194" s="94" t="s">
        <v>81</v>
      </c>
      <c r="B194" s="41">
        <v>76</v>
      </c>
      <c r="C194" s="57">
        <v>0.59210526315789469</v>
      </c>
      <c r="D194">
        <v>12</v>
      </c>
      <c r="F194" s="78" t="s">
        <v>81</v>
      </c>
      <c r="G194" s="45">
        <v>76</v>
      </c>
      <c r="H194" s="79">
        <f t="shared" si="74"/>
        <v>1</v>
      </c>
      <c r="I194" s="80">
        <f t="shared" si="75"/>
        <v>74.798705871157964</v>
      </c>
      <c r="J194" s="80">
        <f t="shared" si="76"/>
        <v>150.79870587115795</v>
      </c>
      <c r="K194" s="87">
        <f t="shared" si="77"/>
        <v>76</v>
      </c>
      <c r="L194" s="3">
        <v>12</v>
      </c>
      <c r="M194" s="30" t="str">
        <f t="shared" si="78"/>
        <v>Reorder</v>
      </c>
      <c r="N194" s="30"/>
      <c r="O194" s="3"/>
    </row>
    <row r="195" spans="1:15" x14ac:dyDescent="0.35">
      <c r="A195" s="94" t="s">
        <v>1346</v>
      </c>
      <c r="B195" s="41">
        <v>42</v>
      </c>
      <c r="C195" s="57">
        <v>2.1666666666666665</v>
      </c>
      <c r="D195">
        <v>31</v>
      </c>
      <c r="F195" s="78" t="s">
        <v>1346</v>
      </c>
      <c r="G195" s="45">
        <v>42</v>
      </c>
      <c r="H195" s="79">
        <f t="shared" si="74"/>
        <v>3</v>
      </c>
      <c r="I195" s="80">
        <f t="shared" si="75"/>
        <v>55.604755192339439</v>
      </c>
      <c r="J195" s="80">
        <f t="shared" si="76"/>
        <v>181.60475519233944</v>
      </c>
      <c r="K195" s="87">
        <f t="shared" si="77"/>
        <v>126</v>
      </c>
      <c r="L195" s="3">
        <v>31</v>
      </c>
      <c r="M195" s="30" t="str">
        <f t="shared" si="78"/>
        <v>Reorder</v>
      </c>
      <c r="N195" s="30"/>
      <c r="O195" s="3"/>
    </row>
    <row r="196" spans="1:15" x14ac:dyDescent="0.35">
      <c r="A196" s="94" t="s">
        <v>1770</v>
      </c>
      <c r="B196" s="41">
        <v>148</v>
      </c>
      <c r="C196" s="57">
        <v>0.14864864864864866</v>
      </c>
      <c r="D196">
        <v>76</v>
      </c>
      <c r="F196" s="78" t="s">
        <v>1770</v>
      </c>
      <c r="G196" s="45">
        <v>148</v>
      </c>
      <c r="H196" s="79">
        <f t="shared" si="74"/>
        <v>1</v>
      </c>
      <c r="I196" s="80">
        <f t="shared" si="75"/>
        <v>104.38020501991744</v>
      </c>
      <c r="J196" s="80">
        <f t="shared" si="76"/>
        <v>252.38020501991744</v>
      </c>
      <c r="K196" s="87">
        <f t="shared" si="77"/>
        <v>148</v>
      </c>
      <c r="L196" s="3">
        <v>76</v>
      </c>
      <c r="M196" s="30" t="str">
        <f t="shared" si="78"/>
        <v>Reorder</v>
      </c>
      <c r="N196" s="30"/>
      <c r="O196" s="3"/>
    </row>
    <row r="197" spans="1:15" x14ac:dyDescent="0.35">
      <c r="A197" s="94" t="s">
        <v>2856</v>
      </c>
      <c r="B197" s="41">
        <v>182</v>
      </c>
      <c r="C197" s="57">
        <v>0.24175824175824176</v>
      </c>
      <c r="D197">
        <v>13</v>
      </c>
      <c r="F197" s="78" t="s">
        <v>2856</v>
      </c>
      <c r="G197" s="45">
        <v>182</v>
      </c>
      <c r="H197" s="79">
        <f t="shared" si="74"/>
        <v>1</v>
      </c>
      <c r="I197" s="80">
        <f t="shared" si="75"/>
        <v>115.75052829253092</v>
      </c>
      <c r="J197" s="80">
        <f t="shared" si="76"/>
        <v>297.75052829253093</v>
      </c>
      <c r="K197" s="87">
        <f t="shared" si="77"/>
        <v>182</v>
      </c>
      <c r="L197" s="3">
        <v>13</v>
      </c>
      <c r="M197" s="30" t="str">
        <f t="shared" si="78"/>
        <v>Reorder</v>
      </c>
      <c r="N197" s="30"/>
      <c r="O197" s="3"/>
    </row>
    <row r="198" spans="1:15" x14ac:dyDescent="0.35">
      <c r="A198" s="94" t="s">
        <v>1595</v>
      </c>
      <c r="B198" s="41">
        <v>7</v>
      </c>
      <c r="C198" s="57">
        <v>7</v>
      </c>
      <c r="D198">
        <v>47</v>
      </c>
      <c r="F198" s="78" t="s">
        <v>1595</v>
      </c>
      <c r="G198" s="45">
        <v>7</v>
      </c>
      <c r="H198" s="79">
        <f t="shared" si="74"/>
        <v>3</v>
      </c>
      <c r="I198" s="80">
        <f t="shared" si="75"/>
        <v>22.700546248934188</v>
      </c>
      <c r="J198" s="80">
        <f t="shared" si="76"/>
        <v>43.700546248934188</v>
      </c>
      <c r="K198" s="87">
        <f t="shared" si="77"/>
        <v>21</v>
      </c>
      <c r="L198" s="3">
        <v>47</v>
      </c>
      <c r="M198" s="30" t="str">
        <f t="shared" si="78"/>
        <v>Sufficient</v>
      </c>
      <c r="N198" s="30"/>
      <c r="O198" s="3"/>
    </row>
    <row r="199" spans="1:15" x14ac:dyDescent="0.35">
      <c r="A199" s="94" t="s">
        <v>181</v>
      </c>
      <c r="B199" s="41">
        <v>110</v>
      </c>
      <c r="C199" s="57">
        <v>0.73636363636363633</v>
      </c>
      <c r="D199">
        <v>67</v>
      </c>
      <c r="F199" s="78" t="s">
        <v>181</v>
      </c>
      <c r="G199" s="45">
        <v>110</v>
      </c>
      <c r="H199" s="79">
        <f t="shared" si="74"/>
        <v>1</v>
      </c>
      <c r="I199" s="80">
        <f t="shared" si="75"/>
        <v>89.987799172999004</v>
      </c>
      <c r="J199" s="80">
        <f t="shared" si="76"/>
        <v>199.98779917299902</v>
      </c>
      <c r="K199" s="87">
        <f t="shared" si="77"/>
        <v>110</v>
      </c>
      <c r="L199" s="3">
        <v>67</v>
      </c>
      <c r="M199" s="30" t="str">
        <f t="shared" si="78"/>
        <v>Reorder</v>
      </c>
      <c r="N199" s="30"/>
      <c r="O199" s="3"/>
    </row>
    <row r="200" spans="1:15" x14ac:dyDescent="0.35">
      <c r="A200" s="14" t="s">
        <v>1202</v>
      </c>
      <c r="B200" s="41">
        <v>588</v>
      </c>
      <c r="C200" s="57">
        <v>11.05575019817444</v>
      </c>
      <c r="D200">
        <v>310</v>
      </c>
      <c r="F200" s="72" t="s">
        <v>1202</v>
      </c>
      <c r="G200" s="73"/>
      <c r="H200" s="74"/>
      <c r="I200" s="75"/>
      <c r="J200" s="74"/>
      <c r="K200" s="79"/>
      <c r="L200" s="76">
        <v>310</v>
      </c>
      <c r="M200" s="77"/>
      <c r="N200" s="85" t="str">
        <f>IFERROR(VLOOKUP(F200,'ABC Analysis'!$E$18:$M$138,9,0),0)</f>
        <v>B</v>
      </c>
      <c r="O200" s="86">
        <f>IFERROR(VLOOKUP(F200,'ABC Analysis'!$E$18:$G$138,3,0),0)</f>
        <v>5.516029978156054E-3</v>
      </c>
    </row>
    <row r="201" spans="1:15" x14ac:dyDescent="0.35">
      <c r="A201" s="94" t="s">
        <v>122</v>
      </c>
      <c r="B201" s="41">
        <v>198</v>
      </c>
      <c r="C201" s="57">
        <v>0.50505050505050508</v>
      </c>
      <c r="D201">
        <v>13</v>
      </c>
      <c r="F201" s="78" t="s">
        <v>122</v>
      </c>
      <c r="G201" s="45">
        <v>198</v>
      </c>
      <c r="H201" s="79">
        <f t="shared" ref="H201:H206" si="79">ROUNDUP(VLOOKUP(F201,$A$10:$C$782,3,0),0)</f>
        <v>1</v>
      </c>
      <c r="I201" s="80">
        <f t="shared" ref="I201:I206" si="80">$H$7*$H$6*SQRT(G201)</f>
        <v>120.73130165785507</v>
      </c>
      <c r="J201" s="80">
        <f t="shared" ref="J201:J206" si="81">(H201*G201)+I201</f>
        <v>318.73130165785506</v>
      </c>
      <c r="K201" s="87">
        <f t="shared" ref="K201:K206" si="82">H201*G201</f>
        <v>198</v>
      </c>
      <c r="L201" s="3">
        <v>13</v>
      </c>
      <c r="M201" s="30" t="str">
        <f t="shared" ref="M201:M206" si="83">IF(L201&lt;J201,"Reorder",IF(L201&gt;=J201*1.5,"Overstock","Sufficient"))</f>
        <v>Reorder</v>
      </c>
      <c r="N201" s="30"/>
      <c r="O201" s="3"/>
    </row>
    <row r="202" spans="1:15" x14ac:dyDescent="0.35">
      <c r="A202" s="94" t="s">
        <v>26</v>
      </c>
      <c r="B202" s="41">
        <v>81</v>
      </c>
      <c r="C202" s="57">
        <v>1.1358024691358024</v>
      </c>
      <c r="D202">
        <v>23</v>
      </c>
      <c r="F202" s="78" t="s">
        <v>26</v>
      </c>
      <c r="G202" s="45">
        <v>81</v>
      </c>
      <c r="H202" s="79">
        <f t="shared" si="79"/>
        <v>2</v>
      </c>
      <c r="I202" s="80">
        <f t="shared" si="80"/>
        <v>77.22</v>
      </c>
      <c r="J202" s="80">
        <f t="shared" si="81"/>
        <v>239.22</v>
      </c>
      <c r="K202" s="87">
        <f t="shared" si="82"/>
        <v>162</v>
      </c>
      <c r="L202" s="3">
        <v>23</v>
      </c>
      <c r="M202" s="30" t="str">
        <f t="shared" si="83"/>
        <v>Reorder</v>
      </c>
      <c r="N202" s="30"/>
      <c r="O202" s="3"/>
    </row>
    <row r="203" spans="1:15" x14ac:dyDescent="0.35">
      <c r="A203" s="94" t="s">
        <v>2448</v>
      </c>
      <c r="B203" s="41">
        <v>22</v>
      </c>
      <c r="C203" s="57">
        <v>1.0454545454545454</v>
      </c>
      <c r="D203">
        <v>51</v>
      </c>
      <c r="F203" s="78" t="s">
        <v>2448</v>
      </c>
      <c r="G203" s="45">
        <v>22</v>
      </c>
      <c r="H203" s="79">
        <f t="shared" si="79"/>
        <v>2</v>
      </c>
      <c r="I203" s="80">
        <f t="shared" si="80"/>
        <v>40.243767219285026</v>
      </c>
      <c r="J203" s="80">
        <f t="shared" si="81"/>
        <v>84.243767219285019</v>
      </c>
      <c r="K203" s="87">
        <f t="shared" si="82"/>
        <v>44</v>
      </c>
      <c r="L203" s="3">
        <v>51</v>
      </c>
      <c r="M203" s="30" t="str">
        <f t="shared" si="83"/>
        <v>Reorder</v>
      </c>
      <c r="N203" s="30"/>
      <c r="O203" s="3"/>
    </row>
    <row r="204" spans="1:15" x14ac:dyDescent="0.35">
      <c r="A204" s="94" t="s">
        <v>1054</v>
      </c>
      <c r="B204" s="41">
        <v>10</v>
      </c>
      <c r="C204" s="57">
        <v>7.1</v>
      </c>
      <c r="D204">
        <v>58</v>
      </c>
      <c r="F204" s="78" t="s">
        <v>1054</v>
      </c>
      <c r="G204" s="45">
        <v>10</v>
      </c>
      <c r="H204" s="79">
        <f t="shared" si="79"/>
        <v>8</v>
      </c>
      <c r="I204" s="80">
        <f t="shared" si="80"/>
        <v>27.132342324244696</v>
      </c>
      <c r="J204" s="80">
        <f t="shared" si="81"/>
        <v>107.13234232424469</v>
      </c>
      <c r="K204" s="87">
        <f t="shared" si="82"/>
        <v>80</v>
      </c>
      <c r="L204" s="3">
        <v>58</v>
      </c>
      <c r="M204" s="30" t="str">
        <f t="shared" si="83"/>
        <v>Reorder</v>
      </c>
      <c r="N204" s="30"/>
      <c r="O204" s="3"/>
    </row>
    <row r="205" spans="1:15" x14ac:dyDescent="0.35">
      <c r="A205" s="94" t="s">
        <v>1203</v>
      </c>
      <c r="B205" s="41">
        <v>121</v>
      </c>
      <c r="C205" s="57">
        <v>0.74380165289256195</v>
      </c>
      <c r="D205">
        <v>75</v>
      </c>
      <c r="F205" s="78" t="s">
        <v>1203</v>
      </c>
      <c r="G205" s="45">
        <v>121</v>
      </c>
      <c r="H205" s="79">
        <f t="shared" si="79"/>
        <v>1</v>
      </c>
      <c r="I205" s="80">
        <f t="shared" si="80"/>
        <v>94.38</v>
      </c>
      <c r="J205" s="80">
        <f t="shared" si="81"/>
        <v>215.38</v>
      </c>
      <c r="K205" s="87">
        <f t="shared" si="82"/>
        <v>121</v>
      </c>
      <c r="L205" s="3">
        <v>75</v>
      </c>
      <c r="M205" s="30" t="str">
        <f t="shared" si="83"/>
        <v>Reorder</v>
      </c>
      <c r="N205" s="30"/>
      <c r="O205" s="3"/>
    </row>
    <row r="206" spans="1:15" x14ac:dyDescent="0.35">
      <c r="A206" s="94" t="s">
        <v>133</v>
      </c>
      <c r="B206" s="41">
        <v>156</v>
      </c>
      <c r="C206" s="57">
        <v>0.52564102564102566</v>
      </c>
      <c r="D206">
        <v>90</v>
      </c>
      <c r="F206" s="78" t="s">
        <v>133</v>
      </c>
      <c r="G206" s="45">
        <v>156</v>
      </c>
      <c r="H206" s="79">
        <f t="shared" si="79"/>
        <v>1</v>
      </c>
      <c r="I206" s="80">
        <f t="shared" si="80"/>
        <v>107.16416565251652</v>
      </c>
      <c r="J206" s="80">
        <f t="shared" si="81"/>
        <v>263.16416565251654</v>
      </c>
      <c r="K206" s="87">
        <f t="shared" si="82"/>
        <v>156</v>
      </c>
      <c r="L206" s="3">
        <v>90</v>
      </c>
      <c r="M206" s="30" t="str">
        <f t="shared" si="83"/>
        <v>Reorder</v>
      </c>
      <c r="N206" s="30"/>
      <c r="O206" s="3"/>
    </row>
    <row r="207" spans="1:15" x14ac:dyDescent="0.35">
      <c r="A207" s="14" t="s">
        <v>554</v>
      </c>
      <c r="B207" s="41">
        <v>705</v>
      </c>
      <c r="C207" s="57">
        <v>10.281360135253415</v>
      </c>
      <c r="D207">
        <v>273</v>
      </c>
      <c r="F207" s="72" t="s">
        <v>554</v>
      </c>
      <c r="G207" s="73"/>
      <c r="H207" s="74"/>
      <c r="I207" s="75"/>
      <c r="J207" s="74"/>
      <c r="K207" s="79"/>
      <c r="L207" s="76">
        <v>273</v>
      </c>
      <c r="M207" s="77"/>
      <c r="N207" s="85" t="str">
        <f>IFERROR(VLOOKUP(F207,'ABC Analysis'!$E$18:$M$138,9,0),0)</f>
        <v>B</v>
      </c>
      <c r="O207" s="86">
        <f>IFERROR(VLOOKUP(F207,'ABC Analysis'!$E$18:$G$138,3,0),0)</f>
        <v>3.3839783699588224E-3</v>
      </c>
    </row>
    <row r="208" spans="1:15" x14ac:dyDescent="0.35">
      <c r="A208" s="94" t="s">
        <v>725</v>
      </c>
      <c r="B208" s="41">
        <v>275</v>
      </c>
      <c r="C208" s="57">
        <v>0.28000000000000003</v>
      </c>
      <c r="D208">
        <v>39</v>
      </c>
      <c r="F208" s="78" t="s">
        <v>725</v>
      </c>
      <c r="G208" s="45">
        <v>275</v>
      </c>
      <c r="H208" s="79">
        <f t="shared" ref="H208:H213" si="84">ROUNDUP(VLOOKUP(F208,$A$10:$C$782,3,0),0)</f>
        <v>1</v>
      </c>
      <c r="I208" s="80">
        <f t="shared" ref="I208:I213" si="85">$H$7*$H$6*SQRT(G208)</f>
        <v>142.28320350624668</v>
      </c>
      <c r="J208" s="80">
        <f t="shared" ref="J208:J213" si="86">(H208*G208)+I208</f>
        <v>417.28320350624665</v>
      </c>
      <c r="K208" s="87">
        <f t="shared" ref="K208:K213" si="87">H208*G208</f>
        <v>275</v>
      </c>
      <c r="L208" s="3">
        <v>39</v>
      </c>
      <c r="M208" s="30" t="str">
        <f t="shared" ref="M208:M213" si="88">IF(L208&lt;J208,"Reorder",IF(L208&gt;=J208*1.5,"Overstock","Sufficient"))</f>
        <v>Reorder</v>
      </c>
      <c r="N208" s="30"/>
      <c r="O208" s="3"/>
    </row>
    <row r="209" spans="1:15" x14ac:dyDescent="0.35">
      <c r="A209" s="94" t="s">
        <v>570</v>
      </c>
      <c r="B209" s="41">
        <v>6</v>
      </c>
      <c r="C209" s="57">
        <v>8</v>
      </c>
      <c r="D209">
        <v>46</v>
      </c>
      <c r="F209" s="78" t="s">
        <v>570</v>
      </c>
      <c r="G209" s="45">
        <v>6</v>
      </c>
      <c r="H209" s="79">
        <f t="shared" si="84"/>
        <v>2</v>
      </c>
      <c r="I209" s="80">
        <f t="shared" si="85"/>
        <v>21.016621993079667</v>
      </c>
      <c r="J209" s="80">
        <f t="shared" si="86"/>
        <v>33.016621993079667</v>
      </c>
      <c r="K209" s="87">
        <f t="shared" si="87"/>
        <v>12</v>
      </c>
      <c r="L209" s="3">
        <v>46</v>
      </c>
      <c r="M209" s="30" t="str">
        <f t="shared" si="88"/>
        <v>Sufficient</v>
      </c>
      <c r="N209" s="30"/>
      <c r="O209" s="3"/>
    </row>
    <row r="210" spans="1:15" x14ac:dyDescent="0.35">
      <c r="A210" s="94" t="s">
        <v>1394</v>
      </c>
      <c r="B210" s="41">
        <v>130</v>
      </c>
      <c r="C210" s="57">
        <v>0.19230769230769232</v>
      </c>
      <c r="D210">
        <v>31</v>
      </c>
      <c r="F210" s="78" t="s">
        <v>1394</v>
      </c>
      <c r="G210" s="45">
        <v>130</v>
      </c>
      <c r="H210" s="79">
        <f t="shared" si="84"/>
        <v>1</v>
      </c>
      <c r="I210" s="80">
        <f t="shared" si="85"/>
        <v>97.827051473506032</v>
      </c>
      <c r="J210" s="80">
        <f t="shared" si="86"/>
        <v>227.82705147350603</v>
      </c>
      <c r="K210" s="87">
        <f t="shared" si="87"/>
        <v>130</v>
      </c>
      <c r="L210" s="3">
        <v>31</v>
      </c>
      <c r="M210" s="30" t="str">
        <f t="shared" si="88"/>
        <v>Reorder</v>
      </c>
      <c r="N210" s="30"/>
      <c r="O210" s="3"/>
    </row>
    <row r="211" spans="1:15" x14ac:dyDescent="0.35">
      <c r="A211" s="94" t="s">
        <v>299</v>
      </c>
      <c r="B211" s="41">
        <v>121</v>
      </c>
      <c r="C211" s="57">
        <v>0.37190082644628097</v>
      </c>
      <c r="D211">
        <v>17</v>
      </c>
      <c r="F211" s="78" t="s">
        <v>299</v>
      </c>
      <c r="G211" s="45">
        <v>121</v>
      </c>
      <c r="H211" s="79">
        <f t="shared" si="84"/>
        <v>1</v>
      </c>
      <c r="I211" s="80">
        <f t="shared" si="85"/>
        <v>94.38</v>
      </c>
      <c r="J211" s="80">
        <f t="shared" si="86"/>
        <v>215.38</v>
      </c>
      <c r="K211" s="87">
        <f t="shared" si="87"/>
        <v>121</v>
      </c>
      <c r="L211" s="3">
        <v>17</v>
      </c>
      <c r="M211" s="30" t="str">
        <f t="shared" si="88"/>
        <v>Reorder</v>
      </c>
      <c r="N211" s="30"/>
      <c r="O211" s="3"/>
    </row>
    <row r="212" spans="1:15" x14ac:dyDescent="0.35">
      <c r="A212" s="94" t="s">
        <v>388</v>
      </c>
      <c r="B212" s="41">
        <v>104</v>
      </c>
      <c r="C212" s="57">
        <v>0.50961538461538458</v>
      </c>
      <c r="D212">
        <v>51</v>
      </c>
      <c r="F212" s="78" t="s">
        <v>388</v>
      </c>
      <c r="G212" s="45">
        <v>104</v>
      </c>
      <c r="H212" s="79">
        <f t="shared" si="84"/>
        <v>4</v>
      </c>
      <c r="I212" s="80">
        <f t="shared" si="85"/>
        <v>87.499174853252185</v>
      </c>
      <c r="J212" s="80">
        <f t="shared" si="86"/>
        <v>503.49917485325216</v>
      </c>
      <c r="K212" s="87">
        <f t="shared" si="87"/>
        <v>416</v>
      </c>
      <c r="L212" s="3">
        <v>51</v>
      </c>
      <c r="M212" s="30" t="str">
        <f t="shared" si="88"/>
        <v>Reorder</v>
      </c>
      <c r="N212" s="30"/>
      <c r="O212" s="3"/>
    </row>
    <row r="213" spans="1:15" x14ac:dyDescent="0.35">
      <c r="A213" s="94" t="s">
        <v>1004</v>
      </c>
      <c r="B213" s="41">
        <v>69</v>
      </c>
      <c r="C213" s="57">
        <v>0.92753623188405798</v>
      </c>
      <c r="D213">
        <v>89</v>
      </c>
      <c r="F213" s="78" t="s">
        <v>1004</v>
      </c>
      <c r="G213" s="45">
        <v>69</v>
      </c>
      <c r="H213" s="79">
        <f t="shared" si="84"/>
        <v>1</v>
      </c>
      <c r="I213" s="80">
        <f t="shared" si="85"/>
        <v>71.270832743837076</v>
      </c>
      <c r="J213" s="80">
        <f t="shared" si="86"/>
        <v>140.27083274383708</v>
      </c>
      <c r="K213" s="87">
        <f t="shared" si="87"/>
        <v>69</v>
      </c>
      <c r="L213" s="3">
        <v>89</v>
      </c>
      <c r="M213" s="30" t="str">
        <f t="shared" si="88"/>
        <v>Reorder</v>
      </c>
      <c r="N213" s="30"/>
      <c r="O213" s="3"/>
    </row>
    <row r="214" spans="1:15" x14ac:dyDescent="0.35">
      <c r="A214" s="14" t="s">
        <v>789</v>
      </c>
      <c r="B214" s="41">
        <v>937</v>
      </c>
      <c r="C214" s="57">
        <v>10.268455163496595</v>
      </c>
      <c r="D214">
        <v>308</v>
      </c>
      <c r="F214" s="72" t="s">
        <v>789</v>
      </c>
      <c r="G214" s="73"/>
      <c r="H214" s="81"/>
      <c r="I214" s="75"/>
      <c r="J214" s="74"/>
      <c r="K214" s="79"/>
      <c r="L214" s="76">
        <v>308</v>
      </c>
      <c r="M214" s="77"/>
      <c r="N214" s="85" t="str">
        <f>IFERROR(VLOOKUP(F214,'ABC Analysis'!$E$18:$M$138,9,0),0)</f>
        <v>C</v>
      </c>
      <c r="O214" s="86">
        <f>IFERROR(VLOOKUP(F214,'ABC Analysis'!$E$18:$G$138,3,0),0)</f>
        <v>2.4745160286419919E-3</v>
      </c>
    </row>
    <row r="215" spans="1:15" x14ac:dyDescent="0.35">
      <c r="A215" s="94" t="s">
        <v>33</v>
      </c>
      <c r="B215" s="41">
        <v>6</v>
      </c>
      <c r="C215" s="57">
        <v>8.5</v>
      </c>
      <c r="D215">
        <v>19</v>
      </c>
      <c r="F215" s="78" t="s">
        <v>33</v>
      </c>
      <c r="G215" s="45">
        <v>6</v>
      </c>
      <c r="H215" s="79">
        <f t="shared" ref="H215:H220" si="89">ROUNDUP(VLOOKUP(F215,$A$10:$C$782,3,0),0)</f>
        <v>2</v>
      </c>
      <c r="I215" s="80">
        <f t="shared" ref="I215:I220" si="90">$H$7*$H$6*SQRT(G215)</f>
        <v>21.016621993079667</v>
      </c>
      <c r="J215" s="80">
        <f t="shared" ref="J215:J220" si="91">(H215*G215)+I215</f>
        <v>33.016621993079667</v>
      </c>
      <c r="K215" s="87">
        <f t="shared" ref="K215:K220" si="92">H215*G215</f>
        <v>12</v>
      </c>
      <c r="L215" s="3">
        <v>19</v>
      </c>
      <c r="M215" s="30" t="str">
        <f t="shared" ref="M215:M220" si="93">IF(L215&lt;J215,"Reorder",IF(L215&gt;=J215*1.5,"Overstock","Sufficient"))</f>
        <v>Reorder</v>
      </c>
      <c r="N215" s="30"/>
      <c r="O215" s="3"/>
    </row>
    <row r="216" spans="1:15" x14ac:dyDescent="0.35">
      <c r="A216" s="94" t="s">
        <v>3095</v>
      </c>
      <c r="B216" s="41">
        <v>149</v>
      </c>
      <c r="C216" s="57">
        <v>0.3087248322147651</v>
      </c>
      <c r="D216">
        <v>99</v>
      </c>
      <c r="F216" s="78" t="s">
        <v>3095</v>
      </c>
      <c r="G216" s="45">
        <v>149</v>
      </c>
      <c r="H216" s="79">
        <f t="shared" si="89"/>
        <v>1</v>
      </c>
      <c r="I216" s="80">
        <f t="shared" si="90"/>
        <v>104.73224718299517</v>
      </c>
      <c r="J216" s="80">
        <f t="shared" si="91"/>
        <v>253.73224718299517</v>
      </c>
      <c r="K216" s="87">
        <f t="shared" si="92"/>
        <v>149</v>
      </c>
      <c r="L216" s="3">
        <v>99</v>
      </c>
      <c r="M216" s="30" t="str">
        <f t="shared" si="93"/>
        <v>Reorder</v>
      </c>
      <c r="N216" s="30"/>
      <c r="O216" s="3"/>
    </row>
    <row r="217" spans="1:15" x14ac:dyDescent="0.35">
      <c r="A217" s="94" t="s">
        <v>1261</v>
      </c>
      <c r="B217" s="41">
        <v>235</v>
      </c>
      <c r="C217" s="57">
        <v>0.41702127659574467</v>
      </c>
      <c r="D217">
        <v>86</v>
      </c>
      <c r="F217" s="78" t="s">
        <v>1261</v>
      </c>
      <c r="G217" s="45">
        <v>235</v>
      </c>
      <c r="H217" s="79">
        <f t="shared" si="89"/>
        <v>1</v>
      </c>
      <c r="I217" s="80">
        <f t="shared" si="90"/>
        <v>131.52890936976556</v>
      </c>
      <c r="J217" s="80">
        <f t="shared" si="91"/>
        <v>366.52890936976553</v>
      </c>
      <c r="K217" s="87">
        <f t="shared" si="92"/>
        <v>235</v>
      </c>
      <c r="L217" s="3">
        <v>86</v>
      </c>
      <c r="M217" s="30" t="str">
        <f t="shared" si="93"/>
        <v>Reorder</v>
      </c>
      <c r="N217" s="30"/>
      <c r="O217" s="3"/>
    </row>
    <row r="218" spans="1:15" x14ac:dyDescent="0.35">
      <c r="A218" s="94" t="s">
        <v>1000</v>
      </c>
      <c r="B218" s="41">
        <v>121</v>
      </c>
      <c r="C218" s="57">
        <v>0.45454545454545453</v>
      </c>
      <c r="D218">
        <v>31</v>
      </c>
      <c r="F218" s="78" t="s">
        <v>1000</v>
      </c>
      <c r="G218" s="45">
        <v>121</v>
      </c>
      <c r="H218" s="79">
        <f t="shared" si="89"/>
        <v>1</v>
      </c>
      <c r="I218" s="80">
        <f t="shared" si="90"/>
        <v>94.38</v>
      </c>
      <c r="J218" s="80">
        <f t="shared" si="91"/>
        <v>215.38</v>
      </c>
      <c r="K218" s="87">
        <f t="shared" si="92"/>
        <v>121</v>
      </c>
      <c r="L218" s="3">
        <v>31</v>
      </c>
      <c r="M218" s="30" t="str">
        <f t="shared" si="93"/>
        <v>Reorder</v>
      </c>
      <c r="N218" s="30"/>
      <c r="O218" s="3"/>
    </row>
    <row r="219" spans="1:15" x14ac:dyDescent="0.35">
      <c r="A219" s="94" t="s">
        <v>181</v>
      </c>
      <c r="B219" s="41">
        <v>265</v>
      </c>
      <c r="C219" s="57">
        <v>0.14716981132075471</v>
      </c>
      <c r="D219">
        <v>42</v>
      </c>
      <c r="F219" s="78" t="s">
        <v>181</v>
      </c>
      <c r="G219" s="45">
        <v>265</v>
      </c>
      <c r="H219" s="79">
        <f t="shared" si="89"/>
        <v>1</v>
      </c>
      <c r="I219" s="80">
        <f t="shared" si="90"/>
        <v>139.67228071453547</v>
      </c>
      <c r="J219" s="80">
        <f t="shared" si="91"/>
        <v>404.67228071453547</v>
      </c>
      <c r="K219" s="87">
        <f t="shared" si="92"/>
        <v>265</v>
      </c>
      <c r="L219" s="3">
        <v>42</v>
      </c>
      <c r="M219" s="30" t="str">
        <f t="shared" si="93"/>
        <v>Reorder</v>
      </c>
      <c r="N219" s="30"/>
      <c r="O219" s="3"/>
    </row>
    <row r="220" spans="1:15" x14ac:dyDescent="0.35">
      <c r="A220" s="94" t="s">
        <v>755</v>
      </c>
      <c r="B220" s="41">
        <v>161</v>
      </c>
      <c r="C220" s="57">
        <v>0.44099378881987578</v>
      </c>
      <c r="D220">
        <v>31</v>
      </c>
      <c r="F220" s="78" t="s">
        <v>755</v>
      </c>
      <c r="G220" s="45">
        <v>161</v>
      </c>
      <c r="H220" s="79">
        <f t="shared" si="89"/>
        <v>1</v>
      </c>
      <c r="I220" s="80">
        <f t="shared" si="90"/>
        <v>108.86799529705688</v>
      </c>
      <c r="J220" s="80">
        <f t="shared" si="91"/>
        <v>269.86799529705689</v>
      </c>
      <c r="K220" s="87">
        <f t="shared" si="92"/>
        <v>161</v>
      </c>
      <c r="L220" s="3">
        <v>31</v>
      </c>
      <c r="M220" s="30" t="str">
        <f t="shared" si="93"/>
        <v>Reorder</v>
      </c>
      <c r="N220" s="30"/>
      <c r="O220" s="3"/>
    </row>
    <row r="221" spans="1:15" x14ac:dyDescent="0.35">
      <c r="A221" s="14" t="s">
        <v>1179</v>
      </c>
      <c r="B221" s="41">
        <v>851</v>
      </c>
      <c r="C221" s="57">
        <v>10.194129736775309</v>
      </c>
      <c r="D221">
        <v>452</v>
      </c>
      <c r="F221" s="72" t="s">
        <v>1179</v>
      </c>
      <c r="G221" s="73"/>
      <c r="H221" s="74"/>
      <c r="I221" s="75"/>
      <c r="J221" s="74"/>
      <c r="K221" s="79"/>
      <c r="L221" s="76">
        <v>452</v>
      </c>
      <c r="M221" s="77"/>
      <c r="N221" s="85" t="str">
        <f>IFERROR(VLOOKUP(F221,'ABC Analysis'!$E$18:$M$138,9,0),0)</f>
        <v>B</v>
      </c>
      <c r="O221" s="86">
        <f>IFERROR(VLOOKUP(F221,'ABC Analysis'!$E$18:$G$138,3,0),0)</f>
        <v>4.5458593553524091E-3</v>
      </c>
    </row>
    <row r="222" spans="1:15" x14ac:dyDescent="0.35">
      <c r="A222" s="94" t="s">
        <v>1286</v>
      </c>
      <c r="B222" s="41">
        <v>191</v>
      </c>
      <c r="C222" s="57">
        <v>0.46596858638743455</v>
      </c>
      <c r="D222">
        <v>78</v>
      </c>
      <c r="F222" s="78" t="s">
        <v>1286</v>
      </c>
      <c r="G222" s="45">
        <v>191</v>
      </c>
      <c r="H222" s="79">
        <f t="shared" ref="H222:H228" si="94">ROUNDUP(VLOOKUP(F222,$A$10:$C$782,3,0),0)</f>
        <v>1</v>
      </c>
      <c r="I222" s="80">
        <f t="shared" ref="I222:I228" si="95">$H$7*$H$6*SQRT(G222)</f>
        <v>118.57795916611147</v>
      </c>
      <c r="J222" s="80">
        <f t="shared" ref="J222:J228" si="96">(H222*G222)+I222</f>
        <v>309.57795916611144</v>
      </c>
      <c r="K222" s="87">
        <f t="shared" ref="K222:K228" si="97">H222*G222</f>
        <v>191</v>
      </c>
      <c r="L222" s="3">
        <v>78</v>
      </c>
      <c r="M222" s="30" t="str">
        <f t="shared" ref="M222:M228" si="98">IF(L222&lt;J222,"Reorder",IF(L222&gt;=J222*1.5,"Overstock","Sufficient"))</f>
        <v>Reorder</v>
      </c>
      <c r="N222" s="30"/>
      <c r="O222" s="3"/>
    </row>
    <row r="223" spans="1:15" x14ac:dyDescent="0.35">
      <c r="A223" s="94" t="s">
        <v>2504</v>
      </c>
      <c r="B223" s="41">
        <v>306</v>
      </c>
      <c r="C223" s="57">
        <v>0.21895424836601307</v>
      </c>
      <c r="D223">
        <v>42</v>
      </c>
      <c r="F223" s="78" t="s">
        <v>2504</v>
      </c>
      <c r="G223" s="45">
        <v>306</v>
      </c>
      <c r="H223" s="79">
        <f t="shared" si="94"/>
        <v>1</v>
      </c>
      <c r="I223" s="80">
        <f t="shared" si="95"/>
        <v>150.08870177331804</v>
      </c>
      <c r="J223" s="80">
        <f t="shared" si="96"/>
        <v>456.08870177331801</v>
      </c>
      <c r="K223" s="87">
        <f t="shared" si="97"/>
        <v>306</v>
      </c>
      <c r="L223" s="3">
        <v>42</v>
      </c>
      <c r="M223" s="30" t="str">
        <f t="shared" si="98"/>
        <v>Reorder</v>
      </c>
      <c r="N223" s="30"/>
      <c r="O223" s="3"/>
    </row>
    <row r="224" spans="1:15" x14ac:dyDescent="0.35">
      <c r="A224" s="94" t="s">
        <v>138</v>
      </c>
      <c r="B224" s="41">
        <v>21</v>
      </c>
      <c r="C224" s="57">
        <v>2.4285714285714284</v>
      </c>
      <c r="D224">
        <v>61</v>
      </c>
      <c r="F224" s="78" t="s">
        <v>138</v>
      </c>
      <c r="G224" s="45">
        <v>21</v>
      </c>
      <c r="H224" s="79">
        <f t="shared" si="94"/>
        <v>1</v>
      </c>
      <c r="I224" s="80">
        <f t="shared" si="95"/>
        <v>39.318499462721107</v>
      </c>
      <c r="J224" s="80">
        <f t="shared" si="96"/>
        <v>60.318499462721107</v>
      </c>
      <c r="K224" s="87">
        <f t="shared" si="97"/>
        <v>21</v>
      </c>
      <c r="L224" s="3">
        <v>61</v>
      </c>
      <c r="M224" s="30" t="str">
        <f t="shared" si="98"/>
        <v>Sufficient</v>
      </c>
      <c r="N224" s="30"/>
      <c r="O224" s="3"/>
    </row>
    <row r="225" spans="1:15" x14ac:dyDescent="0.35">
      <c r="A225" s="94" t="s">
        <v>721</v>
      </c>
      <c r="B225" s="41">
        <v>12</v>
      </c>
      <c r="C225" s="57">
        <v>4.666666666666667</v>
      </c>
      <c r="D225">
        <v>56</v>
      </c>
      <c r="F225" s="78" t="s">
        <v>721</v>
      </c>
      <c r="G225" s="45">
        <v>12</v>
      </c>
      <c r="H225" s="79">
        <f t="shared" si="94"/>
        <v>1</v>
      </c>
      <c r="I225" s="80">
        <f t="shared" si="95"/>
        <v>29.721991857881932</v>
      </c>
      <c r="J225" s="80">
        <f t="shared" si="96"/>
        <v>41.721991857881932</v>
      </c>
      <c r="K225" s="87">
        <f t="shared" si="97"/>
        <v>12</v>
      </c>
      <c r="L225" s="3">
        <v>56</v>
      </c>
      <c r="M225" s="30" t="str">
        <f t="shared" si="98"/>
        <v>Sufficient</v>
      </c>
      <c r="N225" s="30"/>
      <c r="O225" s="3"/>
    </row>
    <row r="226" spans="1:15" x14ac:dyDescent="0.35">
      <c r="A226" s="94" t="s">
        <v>1156</v>
      </c>
      <c r="B226" s="41">
        <v>127</v>
      </c>
      <c r="C226" s="57">
        <v>0.48031496062992124</v>
      </c>
      <c r="D226">
        <v>92</v>
      </c>
      <c r="F226" s="78" t="s">
        <v>1156</v>
      </c>
      <c r="G226" s="45">
        <v>127</v>
      </c>
      <c r="H226" s="79">
        <f t="shared" si="94"/>
        <v>2</v>
      </c>
      <c r="I226" s="80">
        <f t="shared" si="95"/>
        <v>96.691689405036243</v>
      </c>
      <c r="J226" s="80">
        <f t="shared" si="96"/>
        <v>350.69168940503624</v>
      </c>
      <c r="K226" s="87">
        <f t="shared" si="97"/>
        <v>254</v>
      </c>
      <c r="L226" s="3">
        <v>92</v>
      </c>
      <c r="M226" s="30" t="str">
        <f t="shared" si="98"/>
        <v>Reorder</v>
      </c>
      <c r="N226" s="30"/>
      <c r="O226" s="3"/>
    </row>
    <row r="227" spans="1:15" x14ac:dyDescent="0.35">
      <c r="A227" s="94" t="s">
        <v>1180</v>
      </c>
      <c r="B227" s="41">
        <v>130</v>
      </c>
      <c r="C227" s="57">
        <v>0.74615384615384617</v>
      </c>
      <c r="D227">
        <v>30</v>
      </c>
      <c r="F227" s="78" t="s">
        <v>1180</v>
      </c>
      <c r="G227" s="45">
        <v>130</v>
      </c>
      <c r="H227" s="79">
        <f t="shared" si="94"/>
        <v>2</v>
      </c>
      <c r="I227" s="80">
        <f t="shared" si="95"/>
        <v>97.827051473506032</v>
      </c>
      <c r="J227" s="80">
        <f t="shared" si="96"/>
        <v>357.827051473506</v>
      </c>
      <c r="K227" s="87">
        <f t="shared" si="97"/>
        <v>260</v>
      </c>
      <c r="L227" s="3">
        <v>30</v>
      </c>
      <c r="M227" s="30" t="str">
        <f t="shared" si="98"/>
        <v>Reorder</v>
      </c>
      <c r="N227" s="30"/>
      <c r="O227" s="3"/>
    </row>
    <row r="228" spans="1:15" x14ac:dyDescent="0.35">
      <c r="A228" s="94" t="s">
        <v>1795</v>
      </c>
      <c r="B228" s="41">
        <v>64</v>
      </c>
      <c r="C228" s="57">
        <v>1.1875</v>
      </c>
      <c r="D228">
        <v>93</v>
      </c>
      <c r="F228" s="78" t="s">
        <v>1795</v>
      </c>
      <c r="G228" s="45">
        <v>64</v>
      </c>
      <c r="H228" s="79">
        <f t="shared" si="94"/>
        <v>2</v>
      </c>
      <c r="I228" s="80">
        <f t="shared" si="95"/>
        <v>68.64</v>
      </c>
      <c r="J228" s="80">
        <f t="shared" si="96"/>
        <v>196.64</v>
      </c>
      <c r="K228" s="87">
        <f t="shared" si="97"/>
        <v>128</v>
      </c>
      <c r="L228" s="3">
        <v>93</v>
      </c>
      <c r="M228" s="30" t="str">
        <f t="shared" si="98"/>
        <v>Reorder</v>
      </c>
      <c r="N228" s="30"/>
      <c r="O228" s="3"/>
    </row>
    <row r="229" spans="1:15" x14ac:dyDescent="0.35">
      <c r="A229" s="14" t="s">
        <v>674</v>
      </c>
      <c r="B229" s="41">
        <v>1623</v>
      </c>
      <c r="C229" s="57">
        <v>10.085730637028639</v>
      </c>
      <c r="D229">
        <v>579</v>
      </c>
      <c r="F229" s="72" t="s">
        <v>674</v>
      </c>
      <c r="G229" s="73"/>
      <c r="H229" s="74"/>
      <c r="I229" s="75"/>
      <c r="J229" s="74"/>
      <c r="K229" s="79"/>
      <c r="L229" s="76">
        <v>579</v>
      </c>
      <c r="M229" s="77"/>
      <c r="N229" s="85" t="str">
        <f>IFERROR(VLOOKUP(F229,'ABC Analysis'!$E$18:$M$138,9,0),0)</f>
        <v>A</v>
      </c>
      <c r="O229" s="86">
        <f>IFERROR(VLOOKUP(F229,'ABC Analysis'!$E$18:$G$138,3,0),0)</f>
        <v>2.3318951376849292E-2</v>
      </c>
    </row>
    <row r="230" spans="1:15" x14ac:dyDescent="0.35">
      <c r="A230" s="94" t="s">
        <v>952</v>
      </c>
      <c r="B230" s="41">
        <v>13</v>
      </c>
      <c r="C230" s="57">
        <v>6</v>
      </c>
      <c r="D230">
        <v>93</v>
      </c>
      <c r="F230" s="78" t="s">
        <v>952</v>
      </c>
      <c r="G230" s="45">
        <v>13</v>
      </c>
      <c r="H230" s="79">
        <f t="shared" ref="H230:H239" si="99">ROUNDUP(VLOOKUP(F230,$A$10:$C$782,3,0),0)</f>
        <v>6</v>
      </c>
      <c r="I230" s="80">
        <f t="shared" ref="I230:I239" si="100">$H$7*$H$6*SQRT(G230)</f>
        <v>30.935629943481025</v>
      </c>
      <c r="J230" s="80">
        <f t="shared" ref="J230:J239" si="101">(H230*G230)+I230</f>
        <v>108.93562994348102</v>
      </c>
      <c r="K230" s="87">
        <f t="shared" ref="K230:K239" si="102">H230*G230</f>
        <v>78</v>
      </c>
      <c r="L230" s="3">
        <v>93</v>
      </c>
      <c r="M230" s="30" t="str">
        <f t="shared" ref="M230:M239" si="103">IF(L230&lt;J230,"Reorder",IF(L230&gt;=J230*1.5,"Overstock","Sufficient"))</f>
        <v>Reorder</v>
      </c>
      <c r="N230" s="30"/>
      <c r="O230" s="3"/>
    </row>
    <row r="231" spans="1:15" x14ac:dyDescent="0.35">
      <c r="A231" s="94" t="s">
        <v>2243</v>
      </c>
      <c r="B231" s="41">
        <v>178</v>
      </c>
      <c r="C231" s="57">
        <v>0.5617977528089888</v>
      </c>
      <c r="D231">
        <v>17</v>
      </c>
      <c r="F231" s="78" t="s">
        <v>2243</v>
      </c>
      <c r="G231" s="45">
        <v>178</v>
      </c>
      <c r="H231" s="79">
        <f t="shared" si="99"/>
        <v>1</v>
      </c>
      <c r="I231" s="80">
        <f t="shared" si="100"/>
        <v>114.47147767020395</v>
      </c>
      <c r="J231" s="80">
        <f t="shared" si="101"/>
        <v>292.47147767020397</v>
      </c>
      <c r="K231" s="87">
        <f t="shared" si="102"/>
        <v>178</v>
      </c>
      <c r="L231" s="3">
        <v>17</v>
      </c>
      <c r="M231" s="30" t="str">
        <f t="shared" si="103"/>
        <v>Reorder</v>
      </c>
      <c r="N231" s="30"/>
      <c r="O231" s="3"/>
    </row>
    <row r="232" spans="1:15" x14ac:dyDescent="0.35">
      <c r="A232" s="94" t="s">
        <v>92</v>
      </c>
      <c r="B232" s="41">
        <v>134</v>
      </c>
      <c r="C232" s="57">
        <v>0.2537313432835821</v>
      </c>
      <c r="D232">
        <v>61</v>
      </c>
      <c r="F232" s="78" t="s">
        <v>92</v>
      </c>
      <c r="G232" s="45">
        <v>134</v>
      </c>
      <c r="H232" s="79">
        <f t="shared" si="99"/>
        <v>1</v>
      </c>
      <c r="I232" s="80">
        <f t="shared" si="100"/>
        <v>99.320680625940142</v>
      </c>
      <c r="J232" s="80">
        <f t="shared" si="101"/>
        <v>233.32068062594016</v>
      </c>
      <c r="K232" s="87">
        <f t="shared" si="102"/>
        <v>134</v>
      </c>
      <c r="L232" s="3">
        <v>61</v>
      </c>
      <c r="M232" s="30" t="str">
        <f t="shared" si="103"/>
        <v>Reorder</v>
      </c>
      <c r="N232" s="30"/>
      <c r="O232" s="3"/>
    </row>
    <row r="233" spans="1:15" x14ac:dyDescent="0.35">
      <c r="A233" s="94" t="s">
        <v>1346</v>
      </c>
      <c r="B233" s="41">
        <v>210</v>
      </c>
      <c r="C233" s="57">
        <v>0.40952380952380951</v>
      </c>
      <c r="D233">
        <v>11</v>
      </c>
      <c r="F233" s="78" t="s">
        <v>1346</v>
      </c>
      <c r="G233" s="45">
        <v>210</v>
      </c>
      <c r="H233" s="79">
        <f t="shared" si="99"/>
        <v>3</v>
      </c>
      <c r="I233" s="80">
        <f t="shared" si="100"/>
        <v>124.33601248230538</v>
      </c>
      <c r="J233" s="80">
        <f t="shared" si="101"/>
        <v>754.33601248230536</v>
      </c>
      <c r="K233" s="87">
        <f t="shared" si="102"/>
        <v>630</v>
      </c>
      <c r="L233" s="3">
        <v>11</v>
      </c>
      <c r="M233" s="30" t="str">
        <f t="shared" si="103"/>
        <v>Reorder</v>
      </c>
      <c r="N233" s="30"/>
      <c r="O233" s="3"/>
    </row>
    <row r="234" spans="1:15" x14ac:dyDescent="0.35">
      <c r="A234" s="94" t="s">
        <v>1557</v>
      </c>
      <c r="B234" s="41">
        <v>266</v>
      </c>
      <c r="C234" s="57">
        <v>0.22556390977443608</v>
      </c>
      <c r="D234">
        <v>84</v>
      </c>
      <c r="F234" s="78" t="s">
        <v>1557</v>
      </c>
      <c r="G234" s="45">
        <v>266</v>
      </c>
      <c r="H234" s="79">
        <f t="shared" si="99"/>
        <v>1</v>
      </c>
      <c r="I234" s="80">
        <f t="shared" si="100"/>
        <v>139.93556517197476</v>
      </c>
      <c r="J234" s="80">
        <f t="shared" si="101"/>
        <v>405.93556517197476</v>
      </c>
      <c r="K234" s="87">
        <f t="shared" si="102"/>
        <v>266</v>
      </c>
      <c r="L234" s="3">
        <v>84</v>
      </c>
      <c r="M234" s="30" t="str">
        <f t="shared" si="103"/>
        <v>Reorder</v>
      </c>
      <c r="N234" s="30"/>
      <c r="O234" s="3"/>
    </row>
    <row r="235" spans="1:15" x14ac:dyDescent="0.35">
      <c r="A235" s="94" t="s">
        <v>171</v>
      </c>
      <c r="B235" s="41">
        <v>249</v>
      </c>
      <c r="C235" s="57">
        <v>0.30522088353413657</v>
      </c>
      <c r="D235">
        <v>67</v>
      </c>
      <c r="F235" s="78" t="s">
        <v>171</v>
      </c>
      <c r="G235" s="45">
        <v>249</v>
      </c>
      <c r="H235" s="79">
        <f t="shared" si="99"/>
        <v>1</v>
      </c>
      <c r="I235" s="80">
        <f t="shared" si="100"/>
        <v>135.39011633055051</v>
      </c>
      <c r="J235" s="80">
        <f t="shared" si="101"/>
        <v>384.39011633055054</v>
      </c>
      <c r="K235" s="87">
        <f t="shared" si="102"/>
        <v>249</v>
      </c>
      <c r="L235" s="3">
        <v>67</v>
      </c>
      <c r="M235" s="30" t="str">
        <f t="shared" si="103"/>
        <v>Reorder</v>
      </c>
      <c r="N235" s="30"/>
      <c r="O235" s="3"/>
    </row>
    <row r="236" spans="1:15" x14ac:dyDescent="0.35">
      <c r="A236" s="94" t="s">
        <v>633</v>
      </c>
      <c r="B236" s="41">
        <v>89</v>
      </c>
      <c r="C236" s="57">
        <v>0.550561797752809</v>
      </c>
      <c r="D236">
        <v>75</v>
      </c>
      <c r="F236" s="78" t="s">
        <v>633</v>
      </c>
      <c r="G236" s="45">
        <v>89</v>
      </c>
      <c r="H236" s="79">
        <f t="shared" si="99"/>
        <v>1</v>
      </c>
      <c r="I236" s="80">
        <f t="shared" si="100"/>
        <v>80.943558113045654</v>
      </c>
      <c r="J236" s="80">
        <f t="shared" si="101"/>
        <v>169.94355811304564</v>
      </c>
      <c r="K236" s="87">
        <f t="shared" si="102"/>
        <v>89</v>
      </c>
      <c r="L236" s="3">
        <v>75</v>
      </c>
      <c r="M236" s="30" t="str">
        <f t="shared" si="103"/>
        <v>Reorder</v>
      </c>
      <c r="N236" s="30"/>
      <c r="O236" s="3"/>
    </row>
    <row r="237" spans="1:15" x14ac:dyDescent="0.35">
      <c r="A237" s="94" t="s">
        <v>1708</v>
      </c>
      <c r="B237" s="41">
        <v>228</v>
      </c>
      <c r="C237" s="57">
        <v>0.23245614035087719</v>
      </c>
      <c r="D237">
        <v>98</v>
      </c>
      <c r="F237" s="78" t="s">
        <v>1708</v>
      </c>
      <c r="G237" s="45">
        <v>228</v>
      </c>
      <c r="H237" s="79">
        <f t="shared" si="99"/>
        <v>1</v>
      </c>
      <c r="I237" s="80">
        <f t="shared" si="100"/>
        <v>129.55515890924607</v>
      </c>
      <c r="J237" s="80">
        <f t="shared" si="101"/>
        <v>357.55515890924607</v>
      </c>
      <c r="K237" s="87">
        <f t="shared" si="102"/>
        <v>228</v>
      </c>
      <c r="L237" s="3">
        <v>98</v>
      </c>
      <c r="M237" s="30" t="str">
        <f t="shared" si="103"/>
        <v>Reorder</v>
      </c>
      <c r="N237" s="30"/>
      <c r="O237" s="3"/>
    </row>
    <row r="238" spans="1:15" x14ac:dyDescent="0.35">
      <c r="A238" s="94" t="s">
        <v>1004</v>
      </c>
      <c r="B238" s="41">
        <v>192</v>
      </c>
      <c r="C238" s="57">
        <v>0.515625</v>
      </c>
      <c r="D238">
        <v>30</v>
      </c>
      <c r="F238" s="78" t="s">
        <v>1004</v>
      </c>
      <c r="G238" s="45">
        <v>192</v>
      </c>
      <c r="H238" s="79">
        <f t="shared" si="99"/>
        <v>1</v>
      </c>
      <c r="I238" s="80">
        <f t="shared" si="100"/>
        <v>118.88796743152773</v>
      </c>
      <c r="J238" s="80">
        <f t="shared" si="101"/>
        <v>310.88796743152773</v>
      </c>
      <c r="K238" s="87">
        <f t="shared" si="102"/>
        <v>192</v>
      </c>
      <c r="L238" s="3">
        <v>30</v>
      </c>
      <c r="M238" s="30" t="str">
        <f t="shared" si="103"/>
        <v>Reorder</v>
      </c>
      <c r="N238" s="30"/>
      <c r="O238" s="3"/>
    </row>
    <row r="239" spans="1:15" x14ac:dyDescent="0.35">
      <c r="A239" s="94" t="s">
        <v>2001</v>
      </c>
      <c r="B239" s="41">
        <v>64</v>
      </c>
      <c r="C239" s="57">
        <v>1.03125</v>
      </c>
      <c r="D239">
        <v>43</v>
      </c>
      <c r="F239" s="78" t="s">
        <v>2001</v>
      </c>
      <c r="G239" s="45">
        <v>64</v>
      </c>
      <c r="H239" s="79">
        <f t="shared" si="99"/>
        <v>2</v>
      </c>
      <c r="I239" s="80">
        <f t="shared" si="100"/>
        <v>68.64</v>
      </c>
      <c r="J239" s="80">
        <f t="shared" si="101"/>
        <v>196.64</v>
      </c>
      <c r="K239" s="87">
        <f t="shared" si="102"/>
        <v>128</v>
      </c>
      <c r="L239" s="3">
        <v>43</v>
      </c>
      <c r="M239" s="30" t="str">
        <f t="shared" si="103"/>
        <v>Reorder</v>
      </c>
      <c r="N239" s="30"/>
      <c r="O239" s="3"/>
    </row>
    <row r="240" spans="1:15" x14ac:dyDescent="0.35">
      <c r="A240" s="14" t="s">
        <v>976</v>
      </c>
      <c r="B240" s="41">
        <v>931</v>
      </c>
      <c r="C240" s="57">
        <v>9.4245302550965064</v>
      </c>
      <c r="D240">
        <v>378</v>
      </c>
      <c r="F240" s="72" t="s">
        <v>976</v>
      </c>
      <c r="G240" s="73"/>
      <c r="H240" s="81"/>
      <c r="I240" s="75"/>
      <c r="J240" s="74"/>
      <c r="K240" s="79"/>
      <c r="L240" s="76">
        <v>378</v>
      </c>
      <c r="M240" s="77"/>
      <c r="N240" s="85" t="str">
        <f>IFERROR(VLOOKUP(F240,'ABC Analysis'!$E$18:$M$138,9,0),0)</f>
        <v>A</v>
      </c>
      <c r="O240" s="86">
        <f>IFERROR(VLOOKUP(F240,'ABC Analysis'!$E$18:$G$138,3,0),0)</f>
        <v>3.1080316359278454E-2</v>
      </c>
    </row>
    <row r="241" spans="1:15" x14ac:dyDescent="0.35">
      <c r="A241" s="94" t="s">
        <v>235</v>
      </c>
      <c r="B241" s="41">
        <v>159</v>
      </c>
      <c r="C241" s="57">
        <v>0.57861635220125784</v>
      </c>
      <c r="D241">
        <v>88</v>
      </c>
      <c r="F241" s="78" t="s">
        <v>235</v>
      </c>
      <c r="G241" s="45">
        <v>159</v>
      </c>
      <c r="H241" s="79">
        <f t="shared" ref="H241:H247" si="104">ROUNDUP(VLOOKUP(F241,$A$10:$C$782,3,0),0)</f>
        <v>1</v>
      </c>
      <c r="I241" s="80">
        <f t="shared" ref="I241:I247" si="105">$H$7*$H$6*SQRT(G241)</f>
        <v>108.18968342684066</v>
      </c>
      <c r="J241" s="80">
        <f t="shared" ref="J241:J247" si="106">(H241*G241)+I241</f>
        <v>267.18968342684065</v>
      </c>
      <c r="K241" s="87">
        <f t="shared" ref="K241:K247" si="107">H241*G241</f>
        <v>159</v>
      </c>
      <c r="L241" s="3">
        <v>88</v>
      </c>
      <c r="M241" s="30" t="str">
        <f t="shared" ref="M241:M247" si="108">IF(L241&lt;J241,"Reorder",IF(L241&gt;=J241*1.5,"Overstock","Sufficient"))</f>
        <v>Reorder</v>
      </c>
      <c r="N241" s="30"/>
      <c r="O241" s="3"/>
    </row>
    <row r="242" spans="1:15" x14ac:dyDescent="0.35">
      <c r="A242" s="94" t="s">
        <v>2033</v>
      </c>
      <c r="B242" s="41">
        <v>13</v>
      </c>
      <c r="C242" s="57">
        <v>5.6923076923076925</v>
      </c>
      <c r="D242">
        <v>35</v>
      </c>
      <c r="F242" s="78" t="s">
        <v>2033</v>
      </c>
      <c r="G242" s="45">
        <v>13</v>
      </c>
      <c r="H242" s="79">
        <f t="shared" si="104"/>
        <v>6</v>
      </c>
      <c r="I242" s="80">
        <f t="shared" si="105"/>
        <v>30.935629943481025</v>
      </c>
      <c r="J242" s="80">
        <f t="shared" si="106"/>
        <v>108.93562994348102</v>
      </c>
      <c r="K242" s="87">
        <f t="shared" si="107"/>
        <v>78</v>
      </c>
      <c r="L242" s="3">
        <v>35</v>
      </c>
      <c r="M242" s="30" t="str">
        <f t="shared" si="108"/>
        <v>Reorder</v>
      </c>
      <c r="N242" s="30"/>
      <c r="O242" s="3"/>
    </row>
    <row r="243" spans="1:15" x14ac:dyDescent="0.35">
      <c r="A243" s="94" t="s">
        <v>364</v>
      </c>
      <c r="B243" s="41">
        <v>37</v>
      </c>
      <c r="C243" s="57">
        <v>1.7837837837837838</v>
      </c>
      <c r="D243">
        <v>82</v>
      </c>
      <c r="F243" s="78" t="s">
        <v>364</v>
      </c>
      <c r="G243" s="45">
        <v>37</v>
      </c>
      <c r="H243" s="79">
        <f t="shared" si="104"/>
        <v>2</v>
      </c>
      <c r="I243" s="80">
        <f t="shared" si="105"/>
        <v>52.19010250995872</v>
      </c>
      <c r="J243" s="80">
        <f t="shared" si="106"/>
        <v>126.19010250995872</v>
      </c>
      <c r="K243" s="87">
        <f t="shared" si="107"/>
        <v>74</v>
      </c>
      <c r="L243" s="3">
        <v>82</v>
      </c>
      <c r="M243" s="30" t="str">
        <f t="shared" si="108"/>
        <v>Reorder</v>
      </c>
      <c r="N243" s="30"/>
      <c r="O243" s="3"/>
    </row>
    <row r="244" spans="1:15" x14ac:dyDescent="0.35">
      <c r="A244" s="94" t="s">
        <v>1054</v>
      </c>
      <c r="B244" s="41">
        <v>216</v>
      </c>
      <c r="C244" s="57">
        <v>0.18055555555555555</v>
      </c>
      <c r="D244">
        <v>40</v>
      </c>
      <c r="F244" s="78" t="s">
        <v>1054</v>
      </c>
      <c r="G244" s="45">
        <v>216</v>
      </c>
      <c r="H244" s="79">
        <f t="shared" si="104"/>
        <v>8</v>
      </c>
      <c r="I244" s="80">
        <f t="shared" si="105"/>
        <v>126.09973195847802</v>
      </c>
      <c r="J244" s="80">
        <f t="shared" si="106"/>
        <v>1854.0997319584781</v>
      </c>
      <c r="K244" s="87">
        <f t="shared" si="107"/>
        <v>1728</v>
      </c>
      <c r="L244" s="3">
        <v>40</v>
      </c>
      <c r="M244" s="30" t="str">
        <f t="shared" si="108"/>
        <v>Reorder</v>
      </c>
      <c r="N244" s="30"/>
      <c r="O244" s="3"/>
    </row>
    <row r="245" spans="1:15" x14ac:dyDescent="0.35">
      <c r="A245" s="94" t="s">
        <v>1040</v>
      </c>
      <c r="B245" s="41">
        <v>183</v>
      </c>
      <c r="C245" s="57">
        <v>0.31147540983606559</v>
      </c>
      <c r="D245">
        <v>18</v>
      </c>
      <c r="F245" s="78" t="s">
        <v>1040</v>
      </c>
      <c r="G245" s="45">
        <v>183</v>
      </c>
      <c r="H245" s="79">
        <f t="shared" si="104"/>
        <v>1</v>
      </c>
      <c r="I245" s="80">
        <f t="shared" si="105"/>
        <v>116.0680886376613</v>
      </c>
      <c r="J245" s="80">
        <f t="shared" si="106"/>
        <v>299.06808863766128</v>
      </c>
      <c r="K245" s="87">
        <f t="shared" si="107"/>
        <v>183</v>
      </c>
      <c r="L245" s="3">
        <v>18</v>
      </c>
      <c r="M245" s="30" t="str">
        <f t="shared" si="108"/>
        <v>Reorder</v>
      </c>
      <c r="N245" s="30"/>
      <c r="O245" s="3"/>
    </row>
    <row r="246" spans="1:15" x14ac:dyDescent="0.35">
      <c r="A246" s="94" t="s">
        <v>926</v>
      </c>
      <c r="B246" s="41">
        <v>203</v>
      </c>
      <c r="C246" s="57">
        <v>0.36945812807881773</v>
      </c>
      <c r="D246">
        <v>68</v>
      </c>
      <c r="F246" s="78" t="s">
        <v>926</v>
      </c>
      <c r="G246" s="45">
        <v>203</v>
      </c>
      <c r="H246" s="79">
        <f t="shared" si="104"/>
        <v>1</v>
      </c>
      <c r="I246" s="80">
        <f t="shared" si="105"/>
        <v>122.24618276248955</v>
      </c>
      <c r="J246" s="80">
        <f t="shared" si="106"/>
        <v>325.24618276248952</v>
      </c>
      <c r="K246" s="87">
        <f t="shared" si="107"/>
        <v>203</v>
      </c>
      <c r="L246" s="3">
        <v>68</v>
      </c>
      <c r="M246" s="30" t="str">
        <f t="shared" si="108"/>
        <v>Reorder</v>
      </c>
      <c r="N246" s="30"/>
      <c r="O246" s="3"/>
    </row>
    <row r="247" spans="1:15" x14ac:dyDescent="0.35">
      <c r="A247" s="94" t="s">
        <v>747</v>
      </c>
      <c r="B247" s="41">
        <v>120</v>
      </c>
      <c r="C247" s="57">
        <v>0.5083333333333333</v>
      </c>
      <c r="D247">
        <v>47</v>
      </c>
      <c r="F247" s="78" t="s">
        <v>747</v>
      </c>
      <c r="G247" s="45">
        <v>120</v>
      </c>
      <c r="H247" s="79">
        <f t="shared" si="104"/>
        <v>1</v>
      </c>
      <c r="I247" s="80">
        <f t="shared" si="105"/>
        <v>93.989190867886506</v>
      </c>
      <c r="J247" s="80">
        <f t="shared" si="106"/>
        <v>213.98919086788652</v>
      </c>
      <c r="K247" s="87">
        <f t="shared" si="107"/>
        <v>120</v>
      </c>
      <c r="L247" s="3">
        <v>47</v>
      </c>
      <c r="M247" s="30" t="str">
        <f t="shared" si="108"/>
        <v>Reorder</v>
      </c>
      <c r="N247" s="30"/>
      <c r="O247" s="3"/>
    </row>
    <row r="248" spans="1:15" x14ac:dyDescent="0.35">
      <c r="A248" s="14" t="s">
        <v>272</v>
      </c>
      <c r="B248" s="41">
        <v>472</v>
      </c>
      <c r="C248" s="57">
        <v>9.3348658303901271</v>
      </c>
      <c r="D248">
        <v>265</v>
      </c>
      <c r="F248" s="72" t="s">
        <v>272</v>
      </c>
      <c r="G248" s="73"/>
      <c r="H248" s="74"/>
      <c r="I248" s="75"/>
      <c r="J248" s="74"/>
      <c r="K248" s="79"/>
      <c r="L248" s="76">
        <v>265</v>
      </c>
      <c r="M248" s="77"/>
      <c r="N248" s="85" t="str">
        <f>IFERROR(VLOOKUP(F248,'ABC Analysis'!$E$18:$M$138,9,0),0)</f>
        <v>C</v>
      </c>
      <c r="O248" s="86">
        <f>IFERROR(VLOOKUP(F248,'ABC Analysis'!$E$18:$G$138,3,0),0)</f>
        <v>1.6847274288207014E-3</v>
      </c>
    </row>
    <row r="249" spans="1:15" x14ac:dyDescent="0.35">
      <c r="A249" s="94" t="s">
        <v>1719</v>
      </c>
      <c r="B249" s="41">
        <v>105</v>
      </c>
      <c r="C249" s="57">
        <v>0.90476190476190477</v>
      </c>
      <c r="D249">
        <v>70</v>
      </c>
      <c r="F249" s="78" t="s">
        <v>1719</v>
      </c>
      <c r="G249" s="45">
        <v>105</v>
      </c>
      <c r="H249" s="79">
        <f>ROUNDUP(VLOOKUP(F249,$A$10:$C$782,3,0),0)</f>
        <v>1</v>
      </c>
      <c r="I249" s="80">
        <f>$H$7*$H$6*SQRT(G249)</f>
        <v>87.918837571933352</v>
      </c>
      <c r="J249" s="80">
        <f>(H249*G249)+I249</f>
        <v>192.91883757193335</v>
      </c>
      <c r="K249" s="87">
        <f>H249*G249</f>
        <v>105</v>
      </c>
      <c r="L249" s="3">
        <v>70</v>
      </c>
      <c r="M249" s="30" t="str">
        <f>IF(L249&lt;J249,"Reorder",IF(L249&gt;=J249*1.5,"Overstock","Sufficient"))</f>
        <v>Reorder</v>
      </c>
      <c r="N249" s="30"/>
      <c r="O249" s="3"/>
    </row>
    <row r="250" spans="1:15" x14ac:dyDescent="0.35">
      <c r="A250" s="94" t="s">
        <v>570</v>
      </c>
      <c r="B250" s="41">
        <v>207</v>
      </c>
      <c r="C250" s="57">
        <v>0.3719806763285024</v>
      </c>
      <c r="D250">
        <v>52</v>
      </c>
      <c r="F250" s="78" t="s">
        <v>570</v>
      </c>
      <c r="G250" s="45">
        <v>207</v>
      </c>
      <c r="H250" s="79">
        <f>ROUNDUP(VLOOKUP(F250,$A$10:$C$782,3,0),0)</f>
        <v>2</v>
      </c>
      <c r="I250" s="80">
        <f>$H$7*$H$6*SQRT(G250)</f>
        <v>123.44470341006941</v>
      </c>
      <c r="J250" s="80">
        <f>(H250*G250)+I250</f>
        <v>537.44470341006945</v>
      </c>
      <c r="K250" s="87">
        <f>H250*G250</f>
        <v>414</v>
      </c>
      <c r="L250" s="3">
        <v>52</v>
      </c>
      <c r="M250" s="30" t="str">
        <f>IF(L250&lt;J250,"Reorder",IF(L250&gt;=J250*1.5,"Overstock","Sufficient"))</f>
        <v>Reorder</v>
      </c>
      <c r="N250" s="30"/>
      <c r="O250" s="3"/>
    </row>
    <row r="251" spans="1:15" x14ac:dyDescent="0.35">
      <c r="A251" s="94" t="s">
        <v>43</v>
      </c>
      <c r="B251" s="41">
        <v>105</v>
      </c>
      <c r="C251" s="57">
        <v>0.8571428571428571</v>
      </c>
      <c r="D251">
        <v>37</v>
      </c>
      <c r="F251" s="78" t="s">
        <v>43</v>
      </c>
      <c r="G251" s="45">
        <v>105</v>
      </c>
      <c r="H251" s="79">
        <f>ROUNDUP(VLOOKUP(F251,$A$10:$C$782,3,0),0)</f>
        <v>2</v>
      </c>
      <c r="I251" s="80">
        <f>$H$7*$H$6*SQRT(G251)</f>
        <v>87.918837571933352</v>
      </c>
      <c r="J251" s="80">
        <f>(H251*G251)+I251</f>
        <v>297.91883757193335</v>
      </c>
      <c r="K251" s="87">
        <f>H251*G251</f>
        <v>210</v>
      </c>
      <c r="L251" s="3">
        <v>37</v>
      </c>
      <c r="M251" s="30" t="str">
        <f>IF(L251&lt;J251,"Reorder",IF(L251&gt;=J251*1.5,"Overstock","Sufficient"))</f>
        <v>Reorder</v>
      </c>
      <c r="N251" s="30"/>
      <c r="O251" s="3"/>
    </row>
    <row r="252" spans="1:15" x14ac:dyDescent="0.35">
      <c r="A252" s="94" t="s">
        <v>1398</v>
      </c>
      <c r="B252" s="41">
        <v>51</v>
      </c>
      <c r="C252" s="57">
        <v>0.45098039215686275</v>
      </c>
      <c r="D252">
        <v>63</v>
      </c>
      <c r="F252" s="78" t="s">
        <v>1398</v>
      </c>
      <c r="G252" s="45">
        <v>51</v>
      </c>
      <c r="H252" s="79">
        <f>ROUNDUP(VLOOKUP(F252,$A$10:$C$782,3,0),0)</f>
        <v>1</v>
      </c>
      <c r="I252" s="80">
        <f>$H$7*$H$6*SQRT(G252)</f>
        <v>61.27345591689766</v>
      </c>
      <c r="J252" s="80">
        <f>(H252*G252)+I252</f>
        <v>112.27345591689766</v>
      </c>
      <c r="K252" s="87">
        <f>H252*G252</f>
        <v>51</v>
      </c>
      <c r="L252" s="3">
        <v>63</v>
      </c>
      <c r="M252" s="30" t="str">
        <f>IF(L252&lt;J252,"Reorder",IF(L252&gt;=J252*1.5,"Overstock","Sufficient"))</f>
        <v>Reorder</v>
      </c>
      <c r="N252" s="30"/>
      <c r="O252" s="3"/>
    </row>
    <row r="253" spans="1:15" x14ac:dyDescent="0.35">
      <c r="A253" s="94" t="s">
        <v>372</v>
      </c>
      <c r="B253" s="41">
        <v>4</v>
      </c>
      <c r="C253" s="57">
        <v>6.75</v>
      </c>
      <c r="D253">
        <v>43</v>
      </c>
      <c r="F253" s="78" t="s">
        <v>372</v>
      </c>
      <c r="G253" s="45">
        <v>4</v>
      </c>
      <c r="H253" s="79">
        <f>ROUNDUP(VLOOKUP(F253,$A$10:$C$782,3,0),0)</f>
        <v>2</v>
      </c>
      <c r="I253" s="80">
        <f>$H$7*$H$6*SQRT(G253)</f>
        <v>17.16</v>
      </c>
      <c r="J253" s="80">
        <f>(H253*G253)+I253</f>
        <v>25.16</v>
      </c>
      <c r="K253" s="87">
        <f>H253*G253</f>
        <v>8</v>
      </c>
      <c r="L253" s="3">
        <v>43</v>
      </c>
      <c r="M253" s="30" t="str">
        <f>IF(L253&lt;J253,"Reorder",IF(L253&gt;=J253*1.5,"Overstock","Sufficient"))</f>
        <v>Overstock</v>
      </c>
      <c r="N253" s="30"/>
      <c r="O253" s="3"/>
    </row>
    <row r="254" spans="1:15" x14ac:dyDescent="0.35">
      <c r="A254" s="14" t="s">
        <v>258</v>
      </c>
      <c r="B254" s="41">
        <v>541</v>
      </c>
      <c r="C254" s="57">
        <v>9.1918108479084086</v>
      </c>
      <c r="D254">
        <v>247</v>
      </c>
      <c r="F254" s="72" t="s">
        <v>258</v>
      </c>
      <c r="G254" s="73"/>
      <c r="H254" s="74"/>
      <c r="I254" s="75"/>
      <c r="J254" s="74"/>
      <c r="K254" s="79"/>
      <c r="L254" s="76">
        <v>247</v>
      </c>
      <c r="M254" s="77"/>
      <c r="N254" s="85" t="str">
        <f>IFERROR(VLOOKUP(F254,'ABC Analysis'!$E$18:$M$138,9,0),0)</f>
        <v>A</v>
      </c>
      <c r="O254" s="86">
        <f>IFERROR(VLOOKUP(F254,'ABC Analysis'!$E$18:$G$138,3,0),0)</f>
        <v>6.494914708350152E-3</v>
      </c>
    </row>
    <row r="255" spans="1:15" x14ac:dyDescent="0.35">
      <c r="A255" s="94" t="s">
        <v>107</v>
      </c>
      <c r="B255" s="41">
        <v>111</v>
      </c>
      <c r="C255" s="57">
        <v>0.45945945945945948</v>
      </c>
      <c r="D255">
        <v>64</v>
      </c>
      <c r="F255" s="78" t="s">
        <v>107</v>
      </c>
      <c r="G255" s="45">
        <v>111</v>
      </c>
      <c r="H255" s="79">
        <f t="shared" ref="H255:H260" si="109">ROUNDUP(VLOOKUP(F255,$A$10:$C$782,3,0),0)</f>
        <v>2</v>
      </c>
      <c r="I255" s="80">
        <f t="shared" ref="I255:I260" si="110">$H$7*$H$6*SQRT(G255)</f>
        <v>90.395909199476492</v>
      </c>
      <c r="J255" s="80">
        <f t="shared" ref="J255:J260" si="111">(H255*G255)+I255</f>
        <v>312.39590919947648</v>
      </c>
      <c r="K255" s="87">
        <f t="shared" ref="K255:K260" si="112">H255*G255</f>
        <v>222</v>
      </c>
      <c r="L255" s="3">
        <v>64</v>
      </c>
      <c r="M255" s="30" t="str">
        <f t="shared" ref="M255:M260" si="113">IF(L255&lt;J255,"Reorder",IF(L255&gt;=J255*1.5,"Overstock","Sufficient"))</f>
        <v>Reorder</v>
      </c>
      <c r="N255" s="30"/>
      <c r="O255" s="3"/>
    </row>
    <row r="256" spans="1:15" x14ac:dyDescent="0.35">
      <c r="A256" s="94" t="s">
        <v>221</v>
      </c>
      <c r="B256" s="41">
        <v>82</v>
      </c>
      <c r="C256" s="57">
        <v>1.1951219512195121</v>
      </c>
      <c r="D256">
        <v>24</v>
      </c>
      <c r="F256" s="78" t="s">
        <v>221</v>
      </c>
      <c r="G256" s="45">
        <v>82</v>
      </c>
      <c r="H256" s="79">
        <f t="shared" si="109"/>
        <v>2</v>
      </c>
      <c r="I256" s="80">
        <f t="shared" si="110"/>
        <v>77.695204485219037</v>
      </c>
      <c r="J256" s="80">
        <f t="shared" si="111"/>
        <v>241.69520448521905</v>
      </c>
      <c r="K256" s="87">
        <f t="shared" si="112"/>
        <v>164</v>
      </c>
      <c r="L256" s="3">
        <v>24</v>
      </c>
      <c r="M256" s="30" t="str">
        <f t="shared" si="113"/>
        <v>Reorder</v>
      </c>
      <c r="N256" s="30"/>
      <c r="O256" s="3"/>
    </row>
    <row r="257" spans="1:15" x14ac:dyDescent="0.35">
      <c r="A257" s="94" t="s">
        <v>409</v>
      </c>
      <c r="B257" s="41">
        <v>12</v>
      </c>
      <c r="C257" s="57">
        <v>4.666666666666667</v>
      </c>
      <c r="D257">
        <v>57</v>
      </c>
      <c r="F257" s="78" t="s">
        <v>409</v>
      </c>
      <c r="G257" s="45">
        <v>12</v>
      </c>
      <c r="H257" s="79">
        <f t="shared" si="109"/>
        <v>5</v>
      </c>
      <c r="I257" s="80">
        <f t="shared" si="110"/>
        <v>29.721991857881932</v>
      </c>
      <c r="J257" s="80">
        <f t="shared" si="111"/>
        <v>89.721991857881932</v>
      </c>
      <c r="K257" s="87">
        <f t="shared" si="112"/>
        <v>60</v>
      </c>
      <c r="L257" s="3">
        <v>57</v>
      </c>
      <c r="M257" s="30" t="str">
        <f t="shared" si="113"/>
        <v>Reorder</v>
      </c>
      <c r="N257" s="30"/>
      <c r="O257" s="3"/>
    </row>
    <row r="258" spans="1:15" x14ac:dyDescent="0.35">
      <c r="A258" s="94" t="s">
        <v>996</v>
      </c>
      <c r="B258" s="41">
        <v>140</v>
      </c>
      <c r="C258" s="57">
        <v>0.67142857142857137</v>
      </c>
      <c r="D258">
        <v>60</v>
      </c>
      <c r="F258" s="78" t="s">
        <v>996</v>
      </c>
      <c r="G258" s="45">
        <v>140</v>
      </c>
      <c r="H258" s="79">
        <f t="shared" si="109"/>
        <v>1</v>
      </c>
      <c r="I258" s="80">
        <f t="shared" si="110"/>
        <v>101.51992907798942</v>
      </c>
      <c r="J258" s="80">
        <f t="shared" si="111"/>
        <v>241.51992907798942</v>
      </c>
      <c r="K258" s="87">
        <f t="shared" si="112"/>
        <v>140</v>
      </c>
      <c r="L258" s="3">
        <v>60</v>
      </c>
      <c r="M258" s="30" t="str">
        <f t="shared" si="113"/>
        <v>Reorder</v>
      </c>
      <c r="N258" s="30"/>
      <c r="O258" s="3"/>
    </row>
    <row r="259" spans="1:15" x14ac:dyDescent="0.35">
      <c r="A259" s="94" t="s">
        <v>1207</v>
      </c>
      <c r="B259" s="41">
        <v>42</v>
      </c>
      <c r="C259" s="57">
        <v>1.8809523809523809</v>
      </c>
      <c r="D259">
        <v>21</v>
      </c>
      <c r="F259" s="78" t="s">
        <v>1207</v>
      </c>
      <c r="G259" s="45">
        <v>42</v>
      </c>
      <c r="H259" s="79">
        <f t="shared" si="109"/>
        <v>1</v>
      </c>
      <c r="I259" s="80">
        <f t="shared" si="110"/>
        <v>55.604755192339439</v>
      </c>
      <c r="J259" s="80">
        <f t="shared" si="111"/>
        <v>97.604755192339439</v>
      </c>
      <c r="K259" s="87">
        <f t="shared" si="112"/>
        <v>42</v>
      </c>
      <c r="L259" s="3">
        <v>21</v>
      </c>
      <c r="M259" s="30" t="str">
        <f t="shared" si="113"/>
        <v>Reorder</v>
      </c>
      <c r="N259" s="30"/>
      <c r="O259" s="3"/>
    </row>
    <row r="260" spans="1:15" x14ac:dyDescent="0.35">
      <c r="A260" s="94" t="s">
        <v>316</v>
      </c>
      <c r="B260" s="41">
        <v>154</v>
      </c>
      <c r="C260" s="57">
        <v>0.31818181818181818</v>
      </c>
      <c r="D260">
        <v>21</v>
      </c>
      <c r="F260" s="78" t="s">
        <v>316</v>
      </c>
      <c r="G260" s="45">
        <v>154</v>
      </c>
      <c r="H260" s="79">
        <f t="shared" si="109"/>
        <v>24</v>
      </c>
      <c r="I260" s="80">
        <f t="shared" si="110"/>
        <v>106.47499988260155</v>
      </c>
      <c r="J260" s="80">
        <f t="shared" si="111"/>
        <v>3802.4749998826014</v>
      </c>
      <c r="K260" s="87">
        <f t="shared" si="112"/>
        <v>3696</v>
      </c>
      <c r="L260" s="3">
        <v>21</v>
      </c>
      <c r="M260" s="30" t="str">
        <f t="shared" si="113"/>
        <v>Reorder</v>
      </c>
      <c r="N260" s="30"/>
      <c r="O260" s="3"/>
    </row>
    <row r="261" spans="1:15" x14ac:dyDescent="0.35">
      <c r="A261" s="14" t="s">
        <v>392</v>
      </c>
      <c r="B261" s="41">
        <v>1302</v>
      </c>
      <c r="C261" s="57">
        <v>9.0645851181871997</v>
      </c>
      <c r="D261">
        <v>549</v>
      </c>
      <c r="F261" s="72" t="s">
        <v>392</v>
      </c>
      <c r="G261" s="73"/>
      <c r="H261" s="74"/>
      <c r="I261" s="75"/>
      <c r="J261" s="74"/>
      <c r="K261" s="79"/>
      <c r="L261" s="76">
        <v>549</v>
      </c>
      <c r="M261" s="77"/>
      <c r="N261" s="85" t="str">
        <f>IFERROR(VLOOKUP(F261,'ABC Analysis'!$E$18:$M$138,9,0),0)</f>
        <v>A</v>
      </c>
      <c r="O261" s="86">
        <f>IFERROR(VLOOKUP(F261,'ABC Analysis'!$E$18:$G$138,3,0),0)</f>
        <v>1.2093728706715498E-2</v>
      </c>
    </row>
    <row r="262" spans="1:15" x14ac:dyDescent="0.35">
      <c r="A262" s="94" t="s">
        <v>376</v>
      </c>
      <c r="B262" s="41">
        <v>106</v>
      </c>
      <c r="C262" s="57">
        <v>0.20754716981132076</v>
      </c>
      <c r="D262">
        <v>87</v>
      </c>
      <c r="F262" s="78" t="s">
        <v>376</v>
      </c>
      <c r="G262" s="45">
        <v>106</v>
      </c>
      <c r="H262" s="79">
        <f t="shared" ref="H262:H271" si="114">ROUNDUP(VLOOKUP(F262,$A$10:$C$782,3,0),0)</f>
        <v>1</v>
      </c>
      <c r="I262" s="80">
        <f t="shared" ref="I262:I271" si="115">$H$7*$H$6*SQRT(G262)</f>
        <v>88.336506609668461</v>
      </c>
      <c r="J262" s="80">
        <f t="shared" ref="J262:J271" si="116">(H262*G262)+I262</f>
        <v>194.33650660966845</v>
      </c>
      <c r="K262" s="87">
        <f t="shared" ref="K262:K271" si="117">H262*G262</f>
        <v>106</v>
      </c>
      <c r="L262" s="3">
        <v>87</v>
      </c>
      <c r="M262" s="30" t="str">
        <f t="shared" ref="M262:M271" si="118">IF(L262&lt;J262,"Reorder",IF(L262&gt;=J262*1.5,"Overstock","Sufficient"))</f>
        <v>Reorder</v>
      </c>
      <c r="N262" s="30"/>
      <c r="O262" s="3"/>
    </row>
    <row r="263" spans="1:15" x14ac:dyDescent="0.35">
      <c r="A263" s="94" t="s">
        <v>1540</v>
      </c>
      <c r="B263" s="41">
        <v>264</v>
      </c>
      <c r="C263" s="57">
        <v>0.30681818181818182</v>
      </c>
      <c r="D263">
        <v>54</v>
      </c>
      <c r="F263" s="78" t="s">
        <v>1540</v>
      </c>
      <c r="G263" s="45">
        <v>264</v>
      </c>
      <c r="H263" s="79">
        <f t="shared" si="114"/>
        <v>1</v>
      </c>
      <c r="I263" s="80">
        <f t="shared" si="115"/>
        <v>139.40849902355308</v>
      </c>
      <c r="J263" s="80">
        <f t="shared" si="116"/>
        <v>403.40849902355308</v>
      </c>
      <c r="K263" s="87">
        <f t="shared" si="117"/>
        <v>264</v>
      </c>
      <c r="L263" s="3">
        <v>54</v>
      </c>
      <c r="M263" s="30" t="str">
        <f t="shared" si="118"/>
        <v>Reorder</v>
      </c>
      <c r="N263" s="30"/>
      <c r="O263" s="3"/>
    </row>
    <row r="264" spans="1:15" x14ac:dyDescent="0.35">
      <c r="A264" s="94" t="s">
        <v>2233</v>
      </c>
      <c r="B264" s="41">
        <v>148</v>
      </c>
      <c r="C264" s="57">
        <v>0.39864864864864863</v>
      </c>
      <c r="D264">
        <v>98</v>
      </c>
      <c r="F264" s="78" t="s">
        <v>2233</v>
      </c>
      <c r="G264" s="45">
        <v>148</v>
      </c>
      <c r="H264" s="79">
        <f t="shared" si="114"/>
        <v>1</v>
      </c>
      <c r="I264" s="80">
        <f t="shared" si="115"/>
        <v>104.38020501991744</v>
      </c>
      <c r="J264" s="80">
        <f t="shared" si="116"/>
        <v>252.38020501991744</v>
      </c>
      <c r="K264" s="87">
        <f t="shared" si="117"/>
        <v>148</v>
      </c>
      <c r="L264" s="3">
        <v>98</v>
      </c>
      <c r="M264" s="30" t="str">
        <f t="shared" si="118"/>
        <v>Reorder</v>
      </c>
      <c r="N264" s="30"/>
      <c r="O264" s="3"/>
    </row>
    <row r="265" spans="1:15" x14ac:dyDescent="0.35">
      <c r="A265" s="94" t="s">
        <v>922</v>
      </c>
      <c r="B265" s="41">
        <v>35</v>
      </c>
      <c r="C265" s="57">
        <v>0.97142857142857142</v>
      </c>
      <c r="D265">
        <v>37</v>
      </c>
      <c r="F265" s="78" t="s">
        <v>922</v>
      </c>
      <c r="G265" s="45">
        <v>35</v>
      </c>
      <c r="H265" s="79">
        <f t="shared" si="114"/>
        <v>1</v>
      </c>
      <c r="I265" s="80">
        <f t="shared" si="115"/>
        <v>50.759964538994709</v>
      </c>
      <c r="J265" s="80">
        <f t="shared" si="116"/>
        <v>85.759964538994709</v>
      </c>
      <c r="K265" s="87">
        <f t="shared" si="117"/>
        <v>35</v>
      </c>
      <c r="L265" s="3">
        <v>37</v>
      </c>
      <c r="M265" s="30" t="str">
        <f t="shared" si="118"/>
        <v>Reorder</v>
      </c>
      <c r="N265" s="30"/>
      <c r="O265" s="3"/>
    </row>
    <row r="266" spans="1:15" x14ac:dyDescent="0.35">
      <c r="A266" s="94" t="s">
        <v>813</v>
      </c>
      <c r="B266" s="41">
        <v>239</v>
      </c>
      <c r="C266" s="57">
        <v>0.14225941422594143</v>
      </c>
      <c r="D266">
        <v>22</v>
      </c>
      <c r="F266" s="78" t="s">
        <v>813</v>
      </c>
      <c r="G266" s="45">
        <v>239</v>
      </c>
      <c r="H266" s="79">
        <f t="shared" si="114"/>
        <v>1</v>
      </c>
      <c r="I266" s="80">
        <f t="shared" si="115"/>
        <v>132.64358107349184</v>
      </c>
      <c r="J266" s="80">
        <f t="shared" si="116"/>
        <v>371.64358107349187</v>
      </c>
      <c r="K266" s="87">
        <f t="shared" si="117"/>
        <v>239</v>
      </c>
      <c r="L266" s="3">
        <v>22</v>
      </c>
      <c r="M266" s="30" t="str">
        <f t="shared" si="118"/>
        <v>Reorder</v>
      </c>
      <c r="N266" s="30"/>
      <c r="O266" s="3"/>
    </row>
    <row r="267" spans="1:15" x14ac:dyDescent="0.35">
      <c r="A267" s="94" t="s">
        <v>989</v>
      </c>
      <c r="B267" s="41">
        <v>183</v>
      </c>
      <c r="C267" s="57">
        <v>0.34426229508196721</v>
      </c>
      <c r="D267">
        <v>30</v>
      </c>
      <c r="F267" s="78" t="s">
        <v>989</v>
      </c>
      <c r="G267" s="45">
        <v>183</v>
      </c>
      <c r="H267" s="79">
        <f t="shared" si="114"/>
        <v>1</v>
      </c>
      <c r="I267" s="80">
        <f t="shared" si="115"/>
        <v>116.0680886376613</v>
      </c>
      <c r="J267" s="80">
        <f t="shared" si="116"/>
        <v>299.06808863766128</v>
      </c>
      <c r="K267" s="87">
        <f t="shared" si="117"/>
        <v>183</v>
      </c>
      <c r="L267" s="3">
        <v>30</v>
      </c>
      <c r="M267" s="30" t="str">
        <f t="shared" si="118"/>
        <v>Reorder</v>
      </c>
      <c r="N267" s="30"/>
      <c r="O267" s="3"/>
    </row>
    <row r="268" spans="1:15" x14ac:dyDescent="0.35">
      <c r="A268" s="94" t="s">
        <v>1073</v>
      </c>
      <c r="B268" s="41">
        <v>16</v>
      </c>
      <c r="C268" s="57">
        <v>3.6875</v>
      </c>
      <c r="D268">
        <v>38</v>
      </c>
      <c r="F268" s="78" t="s">
        <v>1073</v>
      </c>
      <c r="G268" s="45">
        <v>16</v>
      </c>
      <c r="H268" s="79">
        <f t="shared" si="114"/>
        <v>4</v>
      </c>
      <c r="I268" s="80">
        <f t="shared" si="115"/>
        <v>34.32</v>
      </c>
      <c r="J268" s="80">
        <f t="shared" si="116"/>
        <v>98.32</v>
      </c>
      <c r="K268" s="87">
        <f t="shared" si="117"/>
        <v>64</v>
      </c>
      <c r="L268" s="3">
        <v>38</v>
      </c>
      <c r="M268" s="30" t="str">
        <f t="shared" si="118"/>
        <v>Reorder</v>
      </c>
      <c r="N268" s="30"/>
      <c r="O268" s="3"/>
    </row>
    <row r="269" spans="1:15" x14ac:dyDescent="0.35">
      <c r="A269" s="94" t="s">
        <v>2253</v>
      </c>
      <c r="B269" s="41">
        <v>26</v>
      </c>
      <c r="C269" s="57">
        <v>1.5</v>
      </c>
      <c r="D269">
        <v>82</v>
      </c>
      <c r="F269" s="78" t="s">
        <v>2253</v>
      </c>
      <c r="G269" s="45">
        <v>26</v>
      </c>
      <c r="H269" s="79">
        <f t="shared" si="114"/>
        <v>2</v>
      </c>
      <c r="I269" s="80">
        <f t="shared" si="115"/>
        <v>43.749587426626093</v>
      </c>
      <c r="J269" s="80">
        <f t="shared" si="116"/>
        <v>95.749587426626093</v>
      </c>
      <c r="K269" s="87">
        <f t="shared" si="117"/>
        <v>52</v>
      </c>
      <c r="L269" s="3">
        <v>82</v>
      </c>
      <c r="M269" s="30" t="str">
        <f t="shared" si="118"/>
        <v>Reorder</v>
      </c>
      <c r="N269" s="30"/>
      <c r="O269" s="3"/>
    </row>
    <row r="270" spans="1:15" x14ac:dyDescent="0.35">
      <c r="A270" s="94" t="s">
        <v>249</v>
      </c>
      <c r="B270" s="41">
        <v>214</v>
      </c>
      <c r="C270" s="57">
        <v>0.19626168224299065</v>
      </c>
      <c r="D270">
        <v>13</v>
      </c>
      <c r="F270" s="78" t="s">
        <v>249</v>
      </c>
      <c r="G270" s="45">
        <v>214</v>
      </c>
      <c r="H270" s="79">
        <f t="shared" si="114"/>
        <v>1</v>
      </c>
      <c r="I270" s="80">
        <f t="shared" si="115"/>
        <v>125.51457923285247</v>
      </c>
      <c r="J270" s="80">
        <f t="shared" si="116"/>
        <v>339.5145792328525</v>
      </c>
      <c r="K270" s="87">
        <f t="shared" si="117"/>
        <v>214</v>
      </c>
      <c r="L270" s="3">
        <v>13</v>
      </c>
      <c r="M270" s="30" t="str">
        <f t="shared" si="118"/>
        <v>Reorder</v>
      </c>
      <c r="N270" s="30"/>
      <c r="O270" s="3"/>
    </row>
    <row r="271" spans="1:15" x14ac:dyDescent="0.35">
      <c r="A271" s="94" t="s">
        <v>254</v>
      </c>
      <c r="B271" s="41">
        <v>71</v>
      </c>
      <c r="C271" s="57">
        <v>1.3098591549295775</v>
      </c>
      <c r="D271">
        <v>88</v>
      </c>
      <c r="F271" s="78" t="s">
        <v>254</v>
      </c>
      <c r="G271" s="45">
        <v>71</v>
      </c>
      <c r="H271" s="79">
        <f t="shared" si="114"/>
        <v>2</v>
      </c>
      <c r="I271" s="80">
        <f t="shared" si="115"/>
        <v>72.296365053853165</v>
      </c>
      <c r="J271" s="80">
        <f t="shared" si="116"/>
        <v>214.29636505385315</v>
      </c>
      <c r="K271" s="87">
        <f t="shared" si="117"/>
        <v>142</v>
      </c>
      <c r="L271" s="3">
        <v>88</v>
      </c>
      <c r="M271" s="30" t="str">
        <f t="shared" si="118"/>
        <v>Reorder</v>
      </c>
      <c r="N271" s="30"/>
      <c r="O271" s="3"/>
    </row>
    <row r="272" spans="1:15" x14ac:dyDescent="0.35">
      <c r="A272" s="14" t="s">
        <v>632</v>
      </c>
      <c r="B272" s="41">
        <v>436</v>
      </c>
      <c r="C272" s="57">
        <v>9.0525770765131242</v>
      </c>
      <c r="D272">
        <v>166</v>
      </c>
      <c r="F272" s="72" t="s">
        <v>632</v>
      </c>
      <c r="G272" s="73"/>
      <c r="H272" s="74"/>
      <c r="I272" s="75"/>
      <c r="J272" s="74"/>
      <c r="K272" s="79"/>
      <c r="L272" s="76">
        <v>166</v>
      </c>
      <c r="M272" s="77"/>
      <c r="N272" s="85" t="str">
        <f>IFERROR(VLOOKUP(F272,'ABC Analysis'!$E$18:$M$138,9,0),0)</f>
        <v>A</v>
      </c>
      <c r="O272" s="86">
        <f>IFERROR(VLOOKUP(F272,'ABC Analysis'!$E$18:$G$138,3,0),0)</f>
        <v>1.1409671276565026E-2</v>
      </c>
    </row>
    <row r="273" spans="1:15" x14ac:dyDescent="0.35">
      <c r="A273" s="94" t="s">
        <v>1704</v>
      </c>
      <c r="B273" s="41">
        <v>51</v>
      </c>
      <c r="C273" s="57">
        <v>0.80392156862745101</v>
      </c>
      <c r="D273">
        <v>31</v>
      </c>
      <c r="F273" s="78" t="s">
        <v>1704</v>
      </c>
      <c r="G273" s="45">
        <v>51</v>
      </c>
      <c r="H273" s="79">
        <f>ROUNDUP(VLOOKUP(F273,$A$10:$C$782,3,0),0)</f>
        <v>4</v>
      </c>
      <c r="I273" s="80">
        <f>$H$7*$H$6*SQRT(G273)</f>
        <v>61.27345591689766</v>
      </c>
      <c r="J273" s="80">
        <f>(H273*G273)+I273</f>
        <v>265.27345591689766</v>
      </c>
      <c r="K273" s="87">
        <f>H273*G273</f>
        <v>204</v>
      </c>
      <c r="L273" s="3">
        <v>31</v>
      </c>
      <c r="M273" s="30" t="str">
        <f>IF(L273&lt;J273,"Reorder",IF(L273&gt;=J273*1.5,"Overstock","Sufficient"))</f>
        <v>Reorder</v>
      </c>
      <c r="N273" s="30"/>
      <c r="O273" s="3"/>
    </row>
    <row r="274" spans="1:15" x14ac:dyDescent="0.35">
      <c r="A274" s="94" t="s">
        <v>2677</v>
      </c>
      <c r="B274" s="41">
        <v>171</v>
      </c>
      <c r="C274" s="57">
        <v>0.47368421052631576</v>
      </c>
      <c r="D274">
        <v>16</v>
      </c>
      <c r="F274" s="78" t="s">
        <v>2677</v>
      </c>
      <c r="G274" s="45">
        <v>171</v>
      </c>
      <c r="H274" s="79">
        <f>ROUNDUP(VLOOKUP(F274,$A$10:$C$782,3,0),0)</f>
        <v>1</v>
      </c>
      <c r="I274" s="80">
        <f>$H$7*$H$6*SQRT(G274)</f>
        <v>112.19805880673694</v>
      </c>
      <c r="J274" s="80">
        <f>(H274*G274)+I274</f>
        <v>283.19805880673692</v>
      </c>
      <c r="K274" s="87">
        <f>H274*G274</f>
        <v>171</v>
      </c>
      <c r="L274" s="3">
        <v>16</v>
      </c>
      <c r="M274" s="30" t="str">
        <f>IF(L274&lt;J274,"Reorder",IF(L274&gt;=J274*1.5,"Overstock","Sufficient"))</f>
        <v>Reorder</v>
      </c>
      <c r="N274" s="30"/>
      <c r="O274" s="3"/>
    </row>
    <row r="275" spans="1:15" x14ac:dyDescent="0.35">
      <c r="A275" s="94" t="s">
        <v>628</v>
      </c>
      <c r="B275" s="41">
        <v>201</v>
      </c>
      <c r="C275" s="57">
        <v>0.31343283582089554</v>
      </c>
      <c r="D275">
        <v>23</v>
      </c>
      <c r="F275" s="78" t="s">
        <v>628</v>
      </c>
      <c r="G275" s="45">
        <v>201</v>
      </c>
      <c r="H275" s="79">
        <f>ROUNDUP(VLOOKUP(F275,$A$10:$C$782,3,0),0)</f>
        <v>9</v>
      </c>
      <c r="I275" s="80">
        <f>$H$7*$H$6*SQRT(G275)</f>
        <v>121.64249421974215</v>
      </c>
      <c r="J275" s="80">
        <f>(H275*G275)+I275</f>
        <v>1930.642494219742</v>
      </c>
      <c r="K275" s="87">
        <f>H275*G275</f>
        <v>1809</v>
      </c>
      <c r="L275" s="3">
        <v>23</v>
      </c>
      <c r="M275" s="30" t="str">
        <f>IF(L275&lt;J275,"Reorder",IF(L275&gt;=J275*1.5,"Overstock","Sufficient"))</f>
        <v>Reorder</v>
      </c>
      <c r="N275" s="30"/>
      <c r="O275" s="3"/>
    </row>
    <row r="276" spans="1:15" x14ac:dyDescent="0.35">
      <c r="A276" s="94" t="s">
        <v>43</v>
      </c>
      <c r="B276" s="41">
        <v>13</v>
      </c>
      <c r="C276" s="57">
        <v>7.4615384615384617</v>
      </c>
      <c r="D276">
        <v>96</v>
      </c>
      <c r="F276" s="78" t="s">
        <v>43</v>
      </c>
      <c r="G276" s="45">
        <v>13</v>
      </c>
      <c r="H276" s="79">
        <f>ROUNDUP(VLOOKUP(F276,$A$10:$C$782,3,0),0)</f>
        <v>2</v>
      </c>
      <c r="I276" s="80">
        <f>$H$7*$H$6*SQRT(G276)</f>
        <v>30.935629943481025</v>
      </c>
      <c r="J276" s="80">
        <f>(H276*G276)+I276</f>
        <v>56.935629943481025</v>
      </c>
      <c r="K276" s="87">
        <f>H276*G276</f>
        <v>26</v>
      </c>
      <c r="L276" s="3">
        <v>96</v>
      </c>
      <c r="M276" s="30" t="str">
        <f>IF(L276&lt;J276,"Reorder",IF(L276&gt;=J276*1.5,"Overstock","Sufficient"))</f>
        <v>Overstock</v>
      </c>
      <c r="N276" s="30"/>
      <c r="O276" s="3"/>
    </row>
    <row r="277" spans="1:15" x14ac:dyDescent="0.35">
      <c r="A277" s="14" t="s">
        <v>1369</v>
      </c>
      <c r="B277" s="41">
        <v>497</v>
      </c>
      <c r="C277" s="57">
        <v>8.8909952712576121</v>
      </c>
      <c r="D277">
        <v>372</v>
      </c>
      <c r="F277" s="72" t="s">
        <v>1369</v>
      </c>
      <c r="G277" s="73"/>
      <c r="H277" s="81"/>
      <c r="I277" s="75"/>
      <c r="J277" s="74"/>
      <c r="K277" s="79"/>
      <c r="L277" s="76">
        <v>372</v>
      </c>
      <c r="M277" s="77"/>
      <c r="N277" s="85" t="str">
        <f>IFERROR(VLOOKUP(F277,'ABC Analysis'!$E$18:$M$138,9,0),0)</f>
        <v>A</v>
      </c>
      <c r="O277" s="86">
        <f>IFERROR(VLOOKUP(F277,'ABC Analysis'!$E$18:$G$138,3,0),0)</f>
        <v>5.7091926919777391E-3</v>
      </c>
    </row>
    <row r="278" spans="1:15" x14ac:dyDescent="0.35">
      <c r="A278" s="94" t="s">
        <v>774</v>
      </c>
      <c r="B278" s="41">
        <v>26</v>
      </c>
      <c r="C278" s="57">
        <v>3.8076923076923075</v>
      </c>
      <c r="D278">
        <v>74</v>
      </c>
      <c r="F278" s="78" t="s">
        <v>774</v>
      </c>
      <c r="G278" s="45">
        <v>26</v>
      </c>
      <c r="H278" s="79">
        <f>ROUNDUP(VLOOKUP(F278,$A$10:$C$782,3,0),0)</f>
        <v>4</v>
      </c>
      <c r="I278" s="80">
        <f>$H$7*$H$6*SQRT(G278)</f>
        <v>43.749587426626093</v>
      </c>
      <c r="J278" s="80">
        <f>(H278*G278)+I278</f>
        <v>147.74958742662608</v>
      </c>
      <c r="K278" s="87">
        <f>H278*G278</f>
        <v>104</v>
      </c>
      <c r="L278" s="3">
        <v>74</v>
      </c>
      <c r="M278" s="30" t="str">
        <f>IF(L278&lt;J278,"Reorder",IF(L278&gt;=J278*1.5,"Overstock","Sufficient"))</f>
        <v>Reorder</v>
      </c>
      <c r="N278" s="30"/>
      <c r="O278" s="3"/>
    </row>
    <row r="279" spans="1:15" x14ac:dyDescent="0.35">
      <c r="A279" s="94" t="s">
        <v>2564</v>
      </c>
      <c r="B279" s="41">
        <v>192</v>
      </c>
      <c r="C279" s="57">
        <v>0.49479166666666669</v>
      </c>
      <c r="D279">
        <v>85</v>
      </c>
      <c r="F279" s="78" t="s">
        <v>2564</v>
      </c>
      <c r="G279" s="45">
        <v>192</v>
      </c>
      <c r="H279" s="79">
        <f>ROUNDUP(VLOOKUP(F279,$A$10:$C$782,3,0),0)</f>
        <v>1</v>
      </c>
      <c r="I279" s="80">
        <f>$H$7*$H$6*SQRT(G279)</f>
        <v>118.88796743152773</v>
      </c>
      <c r="J279" s="80">
        <f>(H279*G279)+I279</f>
        <v>310.88796743152773</v>
      </c>
      <c r="K279" s="87">
        <f>H279*G279</f>
        <v>192</v>
      </c>
      <c r="L279" s="3">
        <v>85</v>
      </c>
      <c r="M279" s="30" t="str">
        <f>IF(L279&lt;J279,"Reorder",IF(L279&gt;=J279*1.5,"Overstock","Sufficient"))</f>
        <v>Reorder</v>
      </c>
      <c r="N279" s="30"/>
      <c r="O279" s="3"/>
    </row>
    <row r="280" spans="1:15" x14ac:dyDescent="0.35">
      <c r="A280" s="94" t="s">
        <v>1318</v>
      </c>
      <c r="B280" s="41">
        <v>17</v>
      </c>
      <c r="C280" s="57">
        <v>3.8235294117647061</v>
      </c>
      <c r="D280">
        <v>74</v>
      </c>
      <c r="F280" s="78" t="s">
        <v>1318</v>
      </c>
      <c r="G280" s="45">
        <v>17</v>
      </c>
      <c r="H280" s="79">
        <f>ROUNDUP(VLOOKUP(F280,$A$10:$C$782,3,0),0)</f>
        <v>4</v>
      </c>
      <c r="I280" s="80">
        <f>$H$7*$H$6*SQRT(G280)</f>
        <v>35.37624626779953</v>
      </c>
      <c r="J280" s="80">
        <f>(H280*G280)+I280</f>
        <v>103.37624626779953</v>
      </c>
      <c r="K280" s="87">
        <f>H280*G280</f>
        <v>68</v>
      </c>
      <c r="L280" s="3">
        <v>74</v>
      </c>
      <c r="M280" s="30" t="str">
        <f>IF(L280&lt;J280,"Reorder",IF(L280&gt;=J280*1.5,"Overstock","Sufficient"))</f>
        <v>Reorder</v>
      </c>
      <c r="N280" s="30"/>
      <c r="O280" s="3"/>
    </row>
    <row r="281" spans="1:15" x14ac:dyDescent="0.35">
      <c r="A281" s="94" t="s">
        <v>48</v>
      </c>
      <c r="B281" s="41">
        <v>149</v>
      </c>
      <c r="C281" s="57">
        <v>0.15436241610738255</v>
      </c>
      <c r="D281">
        <v>57</v>
      </c>
      <c r="F281" s="78" t="s">
        <v>48</v>
      </c>
      <c r="G281" s="45">
        <v>149</v>
      </c>
      <c r="H281" s="79">
        <f>ROUNDUP(VLOOKUP(F281,$A$10:$C$782,3,0),0)</f>
        <v>1</v>
      </c>
      <c r="I281" s="80">
        <f>$H$7*$H$6*SQRT(G281)</f>
        <v>104.73224718299517</v>
      </c>
      <c r="J281" s="80">
        <f>(H281*G281)+I281</f>
        <v>253.73224718299517</v>
      </c>
      <c r="K281" s="87">
        <f>H281*G281</f>
        <v>149</v>
      </c>
      <c r="L281" s="3">
        <v>57</v>
      </c>
      <c r="M281" s="30" t="str">
        <f>IF(L281&lt;J281,"Reorder",IF(L281&gt;=J281*1.5,"Overstock","Sufficient"))</f>
        <v>Reorder</v>
      </c>
      <c r="N281" s="30"/>
      <c r="O281" s="3"/>
    </row>
    <row r="282" spans="1:15" x14ac:dyDescent="0.35">
      <c r="A282" s="94" t="s">
        <v>818</v>
      </c>
      <c r="B282" s="41">
        <v>113</v>
      </c>
      <c r="C282" s="57">
        <v>0.61061946902654862</v>
      </c>
      <c r="D282">
        <v>82</v>
      </c>
      <c r="F282" s="78" t="s">
        <v>818</v>
      </c>
      <c r="G282" s="45">
        <v>113</v>
      </c>
      <c r="H282" s="79">
        <f>ROUNDUP(VLOOKUP(F282,$A$10:$C$782,3,0),0)</f>
        <v>23</v>
      </c>
      <c r="I282" s="80">
        <f>$H$7*$H$6*SQRT(G282)</f>
        <v>91.206651073263302</v>
      </c>
      <c r="J282" s="80">
        <f>(H282*G282)+I282</f>
        <v>2690.2066510732634</v>
      </c>
      <c r="K282" s="87">
        <f>H282*G282</f>
        <v>2599</v>
      </c>
      <c r="L282" s="3">
        <v>82</v>
      </c>
      <c r="M282" s="30" t="str">
        <f>IF(L282&lt;J282,"Reorder",IF(L282&gt;=J282*1.5,"Overstock","Sufficient"))</f>
        <v>Reorder</v>
      </c>
      <c r="N282" s="30"/>
      <c r="O282" s="3"/>
    </row>
    <row r="283" spans="1:15" x14ac:dyDescent="0.35">
      <c r="A283" s="14" t="s">
        <v>836</v>
      </c>
      <c r="B283" s="41">
        <v>720</v>
      </c>
      <c r="C283" s="57">
        <v>8.6917942376364827</v>
      </c>
      <c r="D283">
        <v>432</v>
      </c>
      <c r="F283" s="72" t="s">
        <v>836</v>
      </c>
      <c r="G283" s="73"/>
      <c r="H283" s="74"/>
      <c r="I283" s="75"/>
      <c r="J283" s="74"/>
      <c r="K283" s="79"/>
      <c r="L283" s="76">
        <v>432</v>
      </c>
      <c r="M283" s="77"/>
      <c r="N283" s="85" t="str">
        <f>IFERROR(VLOOKUP(F283,'ABC Analysis'!$E$18:$M$138,9,0),0)</f>
        <v>B</v>
      </c>
      <c r="O283" s="86">
        <f>IFERROR(VLOOKUP(F283,'ABC Analysis'!$E$18:$G$138,3,0),0)</f>
        <v>3.8923013010685164E-3</v>
      </c>
    </row>
    <row r="284" spans="1:15" x14ac:dyDescent="0.35">
      <c r="A284" s="94" t="s">
        <v>500</v>
      </c>
      <c r="B284" s="41">
        <v>30</v>
      </c>
      <c r="C284" s="57">
        <v>1</v>
      </c>
      <c r="D284">
        <v>47</v>
      </c>
      <c r="F284" s="78" t="s">
        <v>500</v>
      </c>
      <c r="G284" s="45">
        <v>30</v>
      </c>
      <c r="H284" s="79">
        <f t="shared" ref="H284:H290" si="119">ROUNDUP(VLOOKUP(F284,$A$10:$C$782,3,0),0)</f>
        <v>1</v>
      </c>
      <c r="I284" s="80">
        <f t="shared" ref="I284:I290" si="120">$H$7*$H$6*SQRT(G284)</f>
        <v>46.994595433943253</v>
      </c>
      <c r="J284" s="80">
        <f t="shared" ref="J284:J290" si="121">(H284*G284)+I284</f>
        <v>76.99459543394326</v>
      </c>
      <c r="K284" s="87">
        <f t="shared" ref="K284:K290" si="122">H284*G284</f>
        <v>30</v>
      </c>
      <c r="L284" s="3">
        <v>47</v>
      </c>
      <c r="M284" s="30" t="str">
        <f t="shared" ref="M284:M290" si="123">IF(L284&lt;J284,"Reorder",IF(L284&gt;=J284*1.5,"Overstock","Sufficient"))</f>
        <v>Reorder</v>
      </c>
      <c r="N284" s="30"/>
      <c r="O284" s="3"/>
    </row>
    <row r="285" spans="1:15" x14ac:dyDescent="0.35">
      <c r="A285" s="94" t="s">
        <v>1595</v>
      </c>
      <c r="B285" s="41">
        <v>113</v>
      </c>
      <c r="C285" s="57">
        <v>0.39823008849557523</v>
      </c>
      <c r="D285">
        <v>38</v>
      </c>
      <c r="F285" s="78" t="s">
        <v>1595</v>
      </c>
      <c r="G285" s="45">
        <v>113</v>
      </c>
      <c r="H285" s="79">
        <f t="shared" si="119"/>
        <v>3</v>
      </c>
      <c r="I285" s="80">
        <f t="shared" si="120"/>
        <v>91.206651073263302</v>
      </c>
      <c r="J285" s="80">
        <f t="shared" si="121"/>
        <v>430.20665107326329</v>
      </c>
      <c r="K285" s="87">
        <f t="shared" si="122"/>
        <v>339</v>
      </c>
      <c r="L285" s="3">
        <v>38</v>
      </c>
      <c r="M285" s="30" t="str">
        <f t="shared" si="123"/>
        <v>Reorder</v>
      </c>
      <c r="N285" s="30"/>
      <c r="O285" s="3"/>
    </row>
    <row r="286" spans="1:15" x14ac:dyDescent="0.35">
      <c r="A286" s="94" t="s">
        <v>43</v>
      </c>
      <c r="B286" s="41">
        <v>343</v>
      </c>
      <c r="C286" s="57">
        <v>0.16326530612244897</v>
      </c>
      <c r="D286">
        <v>93</v>
      </c>
      <c r="F286" s="78" t="s">
        <v>43</v>
      </c>
      <c r="G286" s="45">
        <v>343</v>
      </c>
      <c r="H286" s="79">
        <f t="shared" si="119"/>
        <v>2</v>
      </c>
      <c r="I286" s="80">
        <f t="shared" si="120"/>
        <v>158.90382374253932</v>
      </c>
      <c r="J286" s="80">
        <f t="shared" si="121"/>
        <v>844.90382374253932</v>
      </c>
      <c r="K286" s="87">
        <f t="shared" si="122"/>
        <v>686</v>
      </c>
      <c r="L286" s="3">
        <v>93</v>
      </c>
      <c r="M286" s="30" t="str">
        <f t="shared" si="123"/>
        <v>Reorder</v>
      </c>
      <c r="N286" s="30"/>
      <c r="O286" s="3"/>
    </row>
    <row r="287" spans="1:15" x14ac:dyDescent="0.35">
      <c r="A287" s="94" t="s">
        <v>1249</v>
      </c>
      <c r="B287" s="41">
        <v>52</v>
      </c>
      <c r="C287" s="57">
        <v>0.61538461538461542</v>
      </c>
      <c r="D287">
        <v>65</v>
      </c>
      <c r="F287" s="78" t="s">
        <v>1249</v>
      </c>
      <c r="G287" s="45">
        <v>52</v>
      </c>
      <c r="H287" s="79">
        <f t="shared" si="119"/>
        <v>1</v>
      </c>
      <c r="I287" s="80">
        <f t="shared" si="120"/>
        <v>61.871259886962051</v>
      </c>
      <c r="J287" s="80">
        <f t="shared" si="121"/>
        <v>113.87125988696205</v>
      </c>
      <c r="K287" s="87">
        <f t="shared" si="122"/>
        <v>52</v>
      </c>
      <c r="L287" s="3">
        <v>65</v>
      </c>
      <c r="M287" s="30" t="str">
        <f t="shared" si="123"/>
        <v>Reorder</v>
      </c>
      <c r="N287" s="30"/>
      <c r="O287" s="3"/>
    </row>
    <row r="288" spans="1:15" x14ac:dyDescent="0.35">
      <c r="A288" s="94" t="s">
        <v>1505</v>
      </c>
      <c r="B288" s="41">
        <v>97</v>
      </c>
      <c r="C288" s="57">
        <v>0.7010309278350515</v>
      </c>
      <c r="D288">
        <v>46</v>
      </c>
      <c r="F288" s="78" t="s">
        <v>1505</v>
      </c>
      <c r="G288" s="45">
        <v>97</v>
      </c>
      <c r="H288" s="79">
        <f t="shared" si="119"/>
        <v>3</v>
      </c>
      <c r="I288" s="80">
        <f t="shared" si="120"/>
        <v>84.503199939410578</v>
      </c>
      <c r="J288" s="80">
        <f t="shared" si="121"/>
        <v>375.50319993941059</v>
      </c>
      <c r="K288" s="87">
        <f t="shared" si="122"/>
        <v>291</v>
      </c>
      <c r="L288" s="3">
        <v>46</v>
      </c>
      <c r="M288" s="30" t="str">
        <f t="shared" si="123"/>
        <v>Reorder</v>
      </c>
      <c r="N288" s="30"/>
      <c r="O288" s="3"/>
    </row>
    <row r="289" spans="1:15" x14ac:dyDescent="0.35">
      <c r="A289" s="94" t="s">
        <v>147</v>
      </c>
      <c r="B289" s="41">
        <v>71</v>
      </c>
      <c r="C289" s="57">
        <v>1.028169014084507</v>
      </c>
      <c r="D289">
        <v>87</v>
      </c>
      <c r="F289" s="78" t="s">
        <v>147</v>
      </c>
      <c r="G289" s="45">
        <v>71</v>
      </c>
      <c r="H289" s="79">
        <f t="shared" si="119"/>
        <v>2</v>
      </c>
      <c r="I289" s="80">
        <f t="shared" si="120"/>
        <v>72.296365053853165</v>
      </c>
      <c r="J289" s="80">
        <f t="shared" si="121"/>
        <v>214.29636505385315</v>
      </c>
      <c r="K289" s="87">
        <f t="shared" si="122"/>
        <v>142</v>
      </c>
      <c r="L289" s="3">
        <v>87</v>
      </c>
      <c r="M289" s="30" t="str">
        <f t="shared" si="123"/>
        <v>Reorder</v>
      </c>
      <c r="N289" s="30"/>
      <c r="O289" s="3"/>
    </row>
    <row r="290" spans="1:15" x14ac:dyDescent="0.35">
      <c r="A290" s="94" t="s">
        <v>601</v>
      </c>
      <c r="B290" s="41">
        <v>14</v>
      </c>
      <c r="C290" s="57">
        <v>4.7857142857142856</v>
      </c>
      <c r="D290">
        <v>56</v>
      </c>
      <c r="F290" s="78" t="s">
        <v>601</v>
      </c>
      <c r="G290" s="45">
        <v>14</v>
      </c>
      <c r="H290" s="79">
        <f t="shared" si="119"/>
        <v>5</v>
      </c>
      <c r="I290" s="80">
        <f t="shared" si="120"/>
        <v>32.103420378520418</v>
      </c>
      <c r="J290" s="80">
        <f t="shared" si="121"/>
        <v>102.10342037852041</v>
      </c>
      <c r="K290" s="87">
        <f t="shared" si="122"/>
        <v>70</v>
      </c>
      <c r="L290" s="3">
        <v>56</v>
      </c>
      <c r="M290" s="30" t="str">
        <f t="shared" si="123"/>
        <v>Reorder</v>
      </c>
      <c r="N290" s="30"/>
      <c r="O290" s="3"/>
    </row>
    <row r="291" spans="1:15" x14ac:dyDescent="0.35">
      <c r="A291" s="14" t="s">
        <v>303</v>
      </c>
      <c r="B291" s="41">
        <v>360</v>
      </c>
      <c r="C291" s="57">
        <v>8.3742537313432841</v>
      </c>
      <c r="D291">
        <v>176</v>
      </c>
      <c r="F291" s="72" t="s">
        <v>303</v>
      </c>
      <c r="G291" s="73"/>
      <c r="H291" s="74"/>
      <c r="I291" s="75"/>
      <c r="J291" s="74"/>
      <c r="K291" s="79"/>
      <c r="L291" s="76">
        <v>176</v>
      </c>
      <c r="M291" s="77"/>
      <c r="N291" s="85" t="str">
        <f>IFERROR(VLOOKUP(F291,'ABC Analysis'!$E$18:$M$138,9,0),0)</f>
        <v>A</v>
      </c>
      <c r="O291" s="86">
        <f>IFERROR(VLOOKUP(F291,'ABC Analysis'!$E$18:$G$138,3,0),0)</f>
        <v>7.4069912818841175E-3</v>
      </c>
    </row>
    <row r="292" spans="1:15" x14ac:dyDescent="0.35">
      <c r="A292" s="94" t="s">
        <v>562</v>
      </c>
      <c r="B292" s="41">
        <v>16</v>
      </c>
      <c r="C292" s="57">
        <v>5.625</v>
      </c>
      <c r="D292">
        <v>44</v>
      </c>
      <c r="F292" s="78" t="s">
        <v>562</v>
      </c>
      <c r="G292" s="45">
        <v>16</v>
      </c>
      <c r="H292" s="79">
        <f>ROUNDUP(VLOOKUP(F292,$A$10:$C$782,3,0),0)</f>
        <v>6</v>
      </c>
      <c r="I292" s="80">
        <f>$H$7*$H$6*SQRT(G292)</f>
        <v>34.32</v>
      </c>
      <c r="J292" s="80">
        <f>(H292*G292)+I292</f>
        <v>130.32</v>
      </c>
      <c r="K292" s="87">
        <f>H292*G292</f>
        <v>96</v>
      </c>
      <c r="L292" s="3">
        <v>44</v>
      </c>
      <c r="M292" s="30" t="str">
        <f>IF(L292&lt;J292,"Reorder",IF(L292&gt;=J292*1.5,"Overstock","Sufficient"))</f>
        <v>Reorder</v>
      </c>
      <c r="N292" s="30"/>
      <c r="O292" s="3"/>
    </row>
    <row r="293" spans="1:15" x14ac:dyDescent="0.35">
      <c r="A293" s="94" t="s">
        <v>1175</v>
      </c>
      <c r="B293" s="41">
        <v>28</v>
      </c>
      <c r="C293" s="57">
        <v>2</v>
      </c>
      <c r="D293">
        <v>30</v>
      </c>
      <c r="F293" s="78" t="s">
        <v>1175</v>
      </c>
      <c r="G293" s="45">
        <v>28</v>
      </c>
      <c r="H293" s="79">
        <f>ROUNDUP(VLOOKUP(F293,$A$10:$C$782,3,0),0)</f>
        <v>2</v>
      </c>
      <c r="I293" s="80">
        <f>$H$7*$H$6*SQRT(G293)</f>
        <v>45.401092497868376</v>
      </c>
      <c r="J293" s="80">
        <f>(H293*G293)+I293</f>
        <v>101.40109249786838</v>
      </c>
      <c r="K293" s="87">
        <f>H293*G293</f>
        <v>56</v>
      </c>
      <c r="L293" s="3">
        <v>30</v>
      </c>
      <c r="M293" s="30" t="str">
        <f>IF(L293&lt;J293,"Reorder",IF(L293&gt;=J293*1.5,"Overstock","Sufficient"))</f>
        <v>Reorder</v>
      </c>
      <c r="N293" s="30"/>
      <c r="O293" s="3"/>
    </row>
    <row r="294" spans="1:15" x14ac:dyDescent="0.35">
      <c r="A294" s="94" t="s">
        <v>1498</v>
      </c>
      <c r="B294" s="41">
        <v>201</v>
      </c>
      <c r="C294" s="57">
        <v>0.14925373134328357</v>
      </c>
      <c r="D294">
        <v>91</v>
      </c>
      <c r="F294" s="78" t="s">
        <v>1498</v>
      </c>
      <c r="G294" s="45">
        <v>201</v>
      </c>
      <c r="H294" s="79">
        <f>ROUNDUP(VLOOKUP(F294,$A$10:$C$782,3,0),0)</f>
        <v>1</v>
      </c>
      <c r="I294" s="80">
        <f>$H$7*$H$6*SQRT(G294)</f>
        <v>121.64249421974215</v>
      </c>
      <c r="J294" s="80">
        <f>(H294*G294)+I294</f>
        <v>322.64249421974216</v>
      </c>
      <c r="K294" s="87">
        <f>H294*G294</f>
        <v>201</v>
      </c>
      <c r="L294" s="3">
        <v>91</v>
      </c>
      <c r="M294" s="30" t="str">
        <f>IF(L294&lt;J294,"Reorder",IF(L294&gt;=J294*1.5,"Overstock","Sufficient"))</f>
        <v>Reorder</v>
      </c>
      <c r="N294" s="30"/>
      <c r="O294" s="3"/>
    </row>
    <row r="295" spans="1:15" x14ac:dyDescent="0.35">
      <c r="A295" s="94" t="s">
        <v>166</v>
      </c>
      <c r="B295" s="41">
        <v>115</v>
      </c>
      <c r="C295" s="57">
        <v>0.6</v>
      </c>
      <c r="D295">
        <v>11</v>
      </c>
      <c r="F295" s="78" t="s">
        <v>166</v>
      </c>
      <c r="G295" s="45">
        <v>115</v>
      </c>
      <c r="H295" s="79">
        <f>ROUNDUP(VLOOKUP(F295,$A$10:$C$782,3,0),0)</f>
        <v>1</v>
      </c>
      <c r="I295" s="80">
        <f>$H$7*$H$6*SQRT(G295)</f>
        <v>92.010249429071749</v>
      </c>
      <c r="J295" s="80">
        <f>(H295*G295)+I295</f>
        <v>207.01024942907173</v>
      </c>
      <c r="K295" s="87">
        <f>H295*G295</f>
        <v>115</v>
      </c>
      <c r="L295" s="3">
        <v>11</v>
      </c>
      <c r="M295" s="30" t="str">
        <f>IF(L295&lt;J295,"Reorder",IF(L295&gt;=J295*1.5,"Overstock","Sufficient"))</f>
        <v>Reorder</v>
      </c>
      <c r="N295" s="30"/>
      <c r="O295" s="3"/>
    </row>
    <row r="296" spans="1:15" x14ac:dyDescent="0.35">
      <c r="A296" s="14" t="s">
        <v>132</v>
      </c>
      <c r="B296" s="41">
        <v>573</v>
      </c>
      <c r="C296" s="57">
        <v>8.232774361342944</v>
      </c>
      <c r="D296">
        <v>389</v>
      </c>
      <c r="F296" s="72" t="s">
        <v>132</v>
      </c>
      <c r="G296" s="73"/>
      <c r="H296" s="74"/>
      <c r="I296" s="75"/>
      <c r="J296" s="74"/>
      <c r="K296" s="79"/>
      <c r="L296" s="76">
        <v>389</v>
      </c>
      <c r="M296" s="77"/>
      <c r="N296" s="85" t="str">
        <f>IFERROR(VLOOKUP(F296,'ABC Analysis'!$E$18:$M$138,9,0),0)</f>
        <v>C</v>
      </c>
      <c r="O296" s="86">
        <f>IFERROR(VLOOKUP(F296,'ABC Analysis'!$E$18:$G$138,3,0),0)</f>
        <v>2.9860341324615186E-3</v>
      </c>
    </row>
    <row r="297" spans="1:15" x14ac:dyDescent="0.35">
      <c r="A297" s="94" t="s">
        <v>1139</v>
      </c>
      <c r="B297" s="41">
        <v>224</v>
      </c>
      <c r="C297" s="57">
        <v>0.27232142857142855</v>
      </c>
      <c r="D297">
        <v>95</v>
      </c>
      <c r="F297" s="78" t="s">
        <v>1139</v>
      </c>
      <c r="G297" s="45">
        <v>224</v>
      </c>
      <c r="H297" s="79">
        <f>ROUNDUP(VLOOKUP(F297,$A$10:$C$782,3,0),0)</f>
        <v>2</v>
      </c>
      <c r="I297" s="80">
        <f>$H$7*$H$6*SQRT(G297)</f>
        <v>128.41368151408167</v>
      </c>
      <c r="J297" s="80">
        <f>(H297*G297)+I297</f>
        <v>576.41368151408165</v>
      </c>
      <c r="K297" s="87">
        <f>H297*G297</f>
        <v>448</v>
      </c>
      <c r="L297" s="3">
        <v>95</v>
      </c>
      <c r="M297" s="30" t="str">
        <f>IF(L297&lt;J297,"Reorder",IF(L297&gt;=J297*1.5,"Overstock","Sufficient"))</f>
        <v>Reorder</v>
      </c>
      <c r="N297" s="30"/>
      <c r="O297" s="3"/>
    </row>
    <row r="298" spans="1:15" x14ac:dyDescent="0.35">
      <c r="A298" s="94" t="s">
        <v>900</v>
      </c>
      <c r="B298" s="41">
        <v>115</v>
      </c>
      <c r="C298" s="57">
        <v>0.85217391304347823</v>
      </c>
      <c r="D298">
        <v>80</v>
      </c>
      <c r="F298" s="78" t="s">
        <v>900</v>
      </c>
      <c r="G298" s="45">
        <v>115</v>
      </c>
      <c r="H298" s="79">
        <f>ROUNDUP(VLOOKUP(F298,$A$10:$C$782,3,0),0)</f>
        <v>1</v>
      </c>
      <c r="I298" s="80">
        <f>$H$7*$H$6*SQRT(G298)</f>
        <v>92.010249429071749</v>
      </c>
      <c r="J298" s="80">
        <f>(H298*G298)+I298</f>
        <v>207.01024942907173</v>
      </c>
      <c r="K298" s="87">
        <f>H298*G298</f>
        <v>115</v>
      </c>
      <c r="L298" s="3">
        <v>80</v>
      </c>
      <c r="M298" s="30" t="str">
        <f>IF(L298&lt;J298,"Reorder",IF(L298&gt;=J298*1.5,"Overstock","Sufficient"))</f>
        <v>Reorder</v>
      </c>
      <c r="N298" s="30"/>
      <c r="O298" s="3"/>
    </row>
    <row r="299" spans="1:15" x14ac:dyDescent="0.35">
      <c r="A299" s="94" t="s">
        <v>2925</v>
      </c>
      <c r="B299" s="41">
        <v>43</v>
      </c>
      <c r="C299" s="57">
        <v>2.2790697674418605</v>
      </c>
      <c r="D299">
        <v>100</v>
      </c>
      <c r="F299" s="78" t="s">
        <v>2925</v>
      </c>
      <c r="G299" s="45">
        <v>43</v>
      </c>
      <c r="H299" s="79">
        <f>ROUNDUP(VLOOKUP(F299,$A$10:$C$782,3,0),0)</f>
        <v>2</v>
      </c>
      <c r="I299" s="80">
        <f>$H$7*$H$6*SQRT(G299)</f>
        <v>56.262822538511166</v>
      </c>
      <c r="J299" s="80">
        <f>(H299*G299)+I299</f>
        <v>142.26282253851116</v>
      </c>
      <c r="K299" s="87">
        <f>H299*G299</f>
        <v>86</v>
      </c>
      <c r="L299" s="3">
        <v>100</v>
      </c>
      <c r="M299" s="30" t="str">
        <f>IF(L299&lt;J299,"Reorder",IF(L299&gt;=J299*1.5,"Overstock","Sufficient"))</f>
        <v>Reorder</v>
      </c>
      <c r="N299" s="30"/>
      <c r="O299" s="3"/>
    </row>
    <row r="300" spans="1:15" x14ac:dyDescent="0.35">
      <c r="A300" s="94" t="s">
        <v>912</v>
      </c>
      <c r="B300" s="41">
        <v>169</v>
      </c>
      <c r="C300" s="57">
        <v>0.42011834319526625</v>
      </c>
      <c r="D300">
        <v>65</v>
      </c>
      <c r="F300" s="78" t="s">
        <v>912</v>
      </c>
      <c r="G300" s="45">
        <v>169</v>
      </c>
      <c r="H300" s="79">
        <f>ROUNDUP(VLOOKUP(F300,$A$10:$C$782,3,0),0)</f>
        <v>1</v>
      </c>
      <c r="I300" s="80">
        <f>$H$7*$H$6*SQRT(G300)</f>
        <v>111.54</v>
      </c>
      <c r="J300" s="80">
        <f>(H300*G300)+I300</f>
        <v>280.54000000000002</v>
      </c>
      <c r="K300" s="87">
        <f>H300*G300</f>
        <v>169</v>
      </c>
      <c r="L300" s="3">
        <v>65</v>
      </c>
      <c r="M300" s="30" t="str">
        <f>IF(L300&lt;J300,"Reorder",IF(L300&gt;=J300*1.5,"Overstock","Sufficient"))</f>
        <v>Reorder</v>
      </c>
      <c r="N300" s="30"/>
      <c r="O300" s="3"/>
    </row>
    <row r="301" spans="1:15" x14ac:dyDescent="0.35">
      <c r="A301" s="94" t="s">
        <v>133</v>
      </c>
      <c r="B301" s="41">
        <v>22</v>
      </c>
      <c r="C301" s="57">
        <v>4.4090909090909092</v>
      </c>
      <c r="D301">
        <v>49</v>
      </c>
      <c r="F301" s="78" t="s">
        <v>133</v>
      </c>
      <c r="G301" s="45">
        <v>22</v>
      </c>
      <c r="H301" s="79">
        <f>ROUNDUP(VLOOKUP(F301,$A$10:$C$782,3,0),0)</f>
        <v>1</v>
      </c>
      <c r="I301" s="80">
        <f>$H$7*$H$6*SQRT(G301)</f>
        <v>40.243767219285026</v>
      </c>
      <c r="J301" s="80">
        <f>(H301*G301)+I301</f>
        <v>62.243767219285026</v>
      </c>
      <c r="K301" s="87">
        <f>H301*G301</f>
        <v>22</v>
      </c>
      <c r="L301" s="3">
        <v>49</v>
      </c>
      <c r="M301" s="30" t="str">
        <f>IF(L301&lt;J301,"Reorder",IF(L301&gt;=J301*1.5,"Overstock","Sufficient"))</f>
        <v>Reorder</v>
      </c>
      <c r="N301" s="30"/>
      <c r="O301" s="3"/>
    </row>
    <row r="302" spans="1:15" x14ac:dyDescent="0.35">
      <c r="A302" s="14" t="s">
        <v>211</v>
      </c>
      <c r="B302" s="41">
        <v>461</v>
      </c>
      <c r="C302" s="57">
        <v>8.1268548349720469</v>
      </c>
      <c r="D302">
        <v>186</v>
      </c>
      <c r="F302" s="72" t="s">
        <v>211</v>
      </c>
      <c r="G302" s="73"/>
      <c r="H302" s="81"/>
      <c r="I302" s="75"/>
      <c r="J302" s="74"/>
      <c r="K302" s="79"/>
      <c r="L302" s="76">
        <v>186</v>
      </c>
      <c r="M302" s="77"/>
      <c r="N302" s="85" t="str">
        <f>IFERROR(VLOOKUP(F302,'ABC Analysis'!$E$18:$M$138,9,0),0)</f>
        <v>B</v>
      </c>
      <c r="O302" s="86">
        <f>IFERROR(VLOOKUP(F302,'ABC Analysis'!$E$18:$G$138,3,0),0)</f>
        <v>3.5219517369743107E-3</v>
      </c>
    </row>
    <row r="303" spans="1:15" x14ac:dyDescent="0.35">
      <c r="A303" s="94" t="s">
        <v>1127</v>
      </c>
      <c r="B303" s="41">
        <v>41</v>
      </c>
      <c r="C303" s="57">
        <v>1.4390243902439024</v>
      </c>
      <c r="D303">
        <v>43</v>
      </c>
      <c r="F303" s="78" t="s">
        <v>1127</v>
      </c>
      <c r="G303" s="45">
        <v>41</v>
      </c>
      <c r="H303" s="79">
        <f>ROUNDUP(VLOOKUP(F303,$A$10:$C$782,3,0),0)</f>
        <v>5</v>
      </c>
      <c r="I303" s="80">
        <f>$H$7*$H$6*SQRT(G303)</f>
        <v>54.938805957173841</v>
      </c>
      <c r="J303" s="80">
        <f>(H303*G303)+I303</f>
        <v>259.93880595717383</v>
      </c>
      <c r="K303" s="87">
        <f>H303*G303</f>
        <v>205</v>
      </c>
      <c r="L303" s="3">
        <v>43</v>
      </c>
      <c r="M303" s="30" t="str">
        <f>IF(L303&lt;J303,"Reorder",IF(L303&gt;=J303*1.5,"Overstock","Sufficient"))</f>
        <v>Reorder</v>
      </c>
      <c r="N303" s="30"/>
      <c r="O303" s="3"/>
    </row>
    <row r="304" spans="1:15" x14ac:dyDescent="0.35">
      <c r="A304" s="94" t="s">
        <v>1465</v>
      </c>
      <c r="B304" s="41">
        <v>14</v>
      </c>
      <c r="C304" s="57">
        <v>4.8571428571428568</v>
      </c>
      <c r="D304">
        <v>81</v>
      </c>
      <c r="F304" s="78" t="s">
        <v>1465</v>
      </c>
      <c r="G304" s="45">
        <v>14</v>
      </c>
      <c r="H304" s="79">
        <f>ROUNDUP(VLOOKUP(F304,$A$10:$C$782,3,0),0)</f>
        <v>3</v>
      </c>
      <c r="I304" s="80">
        <f>$H$7*$H$6*SQRT(G304)</f>
        <v>32.103420378520418</v>
      </c>
      <c r="J304" s="80">
        <f>(H304*G304)+I304</f>
        <v>74.103420378520411</v>
      </c>
      <c r="K304" s="87">
        <f>H304*G304</f>
        <v>42</v>
      </c>
      <c r="L304" s="3">
        <v>81</v>
      </c>
      <c r="M304" s="30" t="str">
        <f>IF(L304&lt;J304,"Reorder",IF(L304&gt;=J304*1.5,"Overstock","Sufficient"))</f>
        <v>Sufficient</v>
      </c>
      <c r="N304" s="30"/>
      <c r="O304" s="3"/>
    </row>
    <row r="305" spans="1:15" x14ac:dyDescent="0.35">
      <c r="A305" s="94" t="s">
        <v>212</v>
      </c>
      <c r="B305" s="41">
        <v>58</v>
      </c>
      <c r="C305" s="57">
        <v>1.4482758620689655</v>
      </c>
      <c r="D305">
        <v>11</v>
      </c>
      <c r="F305" s="78" t="s">
        <v>212</v>
      </c>
      <c r="G305" s="45">
        <v>58</v>
      </c>
      <c r="H305" s="79">
        <f>ROUNDUP(VLOOKUP(F305,$A$10:$C$782,3,0),0)</f>
        <v>2</v>
      </c>
      <c r="I305" s="80">
        <f>$H$7*$H$6*SQRT(G305)</f>
        <v>65.343333248312334</v>
      </c>
      <c r="J305" s="80">
        <f>(H305*G305)+I305</f>
        <v>181.34333324831232</v>
      </c>
      <c r="K305" s="87">
        <f>H305*G305</f>
        <v>116</v>
      </c>
      <c r="L305" s="3">
        <v>11</v>
      </c>
      <c r="M305" s="30" t="str">
        <f>IF(L305&lt;J305,"Reorder",IF(L305&gt;=J305*1.5,"Overstock","Sufficient"))</f>
        <v>Reorder</v>
      </c>
      <c r="N305" s="30"/>
      <c r="O305" s="3"/>
    </row>
    <row r="306" spans="1:15" x14ac:dyDescent="0.35">
      <c r="A306" s="94" t="s">
        <v>1296</v>
      </c>
      <c r="B306" s="41">
        <v>158</v>
      </c>
      <c r="C306" s="57">
        <v>0.14556962025316456</v>
      </c>
      <c r="D306">
        <v>29</v>
      </c>
      <c r="F306" s="78" t="s">
        <v>1296</v>
      </c>
      <c r="G306" s="45">
        <v>158</v>
      </c>
      <c r="H306" s="79">
        <f>ROUNDUP(VLOOKUP(F306,$A$10:$C$782,3,0),0)</f>
        <v>1</v>
      </c>
      <c r="I306" s="80">
        <f>$H$7*$H$6*SQRT(G306)</f>
        <v>107.84892767199867</v>
      </c>
      <c r="J306" s="80">
        <f>(H306*G306)+I306</f>
        <v>265.84892767199869</v>
      </c>
      <c r="K306" s="87">
        <f>H306*G306</f>
        <v>158</v>
      </c>
      <c r="L306" s="3">
        <v>29</v>
      </c>
      <c r="M306" s="30" t="str">
        <f>IF(L306&lt;J306,"Reorder",IF(L306&gt;=J306*1.5,"Overstock","Sufficient"))</f>
        <v>Reorder</v>
      </c>
      <c r="N306" s="30"/>
      <c r="O306" s="3"/>
    </row>
    <row r="307" spans="1:15" x14ac:dyDescent="0.35">
      <c r="A307" s="94" t="s">
        <v>1336</v>
      </c>
      <c r="B307" s="41">
        <v>190</v>
      </c>
      <c r="C307" s="57">
        <v>0.23684210526315788</v>
      </c>
      <c r="D307">
        <v>22</v>
      </c>
      <c r="F307" s="78" t="s">
        <v>1336</v>
      </c>
      <c r="G307" s="45">
        <v>190</v>
      </c>
      <c r="H307" s="79">
        <f>ROUNDUP(VLOOKUP(F307,$A$10:$C$782,3,0),0)</f>
        <v>1</v>
      </c>
      <c r="I307" s="80">
        <f>$H$7*$H$6*SQRT(G307)</f>
        <v>118.26713829293411</v>
      </c>
      <c r="J307" s="80">
        <f>(H307*G307)+I307</f>
        <v>308.26713829293408</v>
      </c>
      <c r="K307" s="87">
        <f>H307*G307</f>
        <v>190</v>
      </c>
      <c r="L307" s="3">
        <v>22</v>
      </c>
      <c r="M307" s="30" t="str">
        <f>IF(L307&lt;J307,"Reorder",IF(L307&gt;=J307*1.5,"Overstock","Sufficient"))</f>
        <v>Reorder</v>
      </c>
      <c r="N307" s="30"/>
      <c r="O307" s="3"/>
    </row>
    <row r="308" spans="1:15" x14ac:dyDescent="0.35">
      <c r="A308" s="14" t="s">
        <v>544</v>
      </c>
      <c r="B308" s="41">
        <v>545</v>
      </c>
      <c r="C308" s="57">
        <v>7.9635498895867567</v>
      </c>
      <c r="D308">
        <v>307</v>
      </c>
      <c r="F308" s="72" t="s">
        <v>544</v>
      </c>
      <c r="G308" s="73"/>
      <c r="H308" s="74"/>
      <c r="I308" s="75"/>
      <c r="J308" s="74"/>
      <c r="K308" s="79"/>
      <c r="L308" s="76">
        <v>307</v>
      </c>
      <c r="M308" s="77"/>
      <c r="N308" s="85" t="str">
        <f>IFERROR(VLOOKUP(F308,'ABC Analysis'!$E$18:$M$138,9,0),0)</f>
        <v>B</v>
      </c>
      <c r="O308" s="86">
        <f>IFERROR(VLOOKUP(F308,'ABC Analysis'!$E$18:$G$138,3,0),0)</f>
        <v>4.1142205692786911E-3</v>
      </c>
    </row>
    <row r="309" spans="1:15" x14ac:dyDescent="0.35">
      <c r="A309" s="94" t="s">
        <v>545</v>
      </c>
      <c r="B309" s="41">
        <v>21</v>
      </c>
      <c r="C309" s="57">
        <v>4.666666666666667</v>
      </c>
      <c r="D309">
        <v>69</v>
      </c>
      <c r="F309" s="78" t="s">
        <v>545</v>
      </c>
      <c r="G309" s="45">
        <v>21</v>
      </c>
      <c r="H309" s="79">
        <f>ROUNDUP(VLOOKUP(F309,$A$10:$C$782,3,0),0)</f>
        <v>5</v>
      </c>
      <c r="I309" s="80">
        <f>$H$7*$H$6*SQRT(G309)</f>
        <v>39.318499462721107</v>
      </c>
      <c r="J309" s="80">
        <f>(H309*G309)+I309</f>
        <v>144.31849946272109</v>
      </c>
      <c r="K309" s="87">
        <f>H309*G309</f>
        <v>105</v>
      </c>
      <c r="L309" s="3">
        <v>69</v>
      </c>
      <c r="M309" s="30" t="str">
        <f>IF(L309&lt;J309,"Reorder",IF(L309&gt;=J309*1.5,"Overstock","Sufficient"))</f>
        <v>Reorder</v>
      </c>
      <c r="N309" s="30"/>
      <c r="O309" s="3"/>
    </row>
    <row r="310" spans="1:15" x14ac:dyDescent="0.35">
      <c r="A310" s="94" t="s">
        <v>620</v>
      </c>
      <c r="B310" s="41">
        <v>62</v>
      </c>
      <c r="C310" s="57">
        <v>0.79032258064516125</v>
      </c>
      <c r="D310">
        <v>99</v>
      </c>
      <c r="F310" s="78" t="s">
        <v>620</v>
      </c>
      <c r="G310" s="45">
        <v>62</v>
      </c>
      <c r="H310" s="79">
        <f>ROUNDUP(VLOOKUP(F310,$A$10:$C$782,3,0),0)</f>
        <v>1</v>
      </c>
      <c r="I310" s="80">
        <f>$H$7*$H$6*SQRT(G310)</f>
        <v>67.558987559021347</v>
      </c>
      <c r="J310" s="80">
        <f>(H310*G310)+I310</f>
        <v>129.55898755902135</v>
      </c>
      <c r="K310" s="87">
        <f>H310*G310</f>
        <v>62</v>
      </c>
      <c r="L310" s="3">
        <v>99</v>
      </c>
      <c r="M310" s="30" t="str">
        <f>IF(L310&lt;J310,"Reorder",IF(L310&gt;=J310*1.5,"Overstock","Sufficient"))</f>
        <v>Reorder</v>
      </c>
      <c r="N310" s="30"/>
      <c r="O310" s="3"/>
    </row>
    <row r="311" spans="1:15" x14ac:dyDescent="0.35">
      <c r="A311" s="94" t="s">
        <v>2112</v>
      </c>
      <c r="B311" s="41">
        <v>37</v>
      </c>
      <c r="C311" s="57">
        <v>1.9189189189189189</v>
      </c>
      <c r="D311">
        <v>61</v>
      </c>
      <c r="F311" s="78" t="s">
        <v>2112</v>
      </c>
      <c r="G311" s="45">
        <v>37</v>
      </c>
      <c r="H311" s="79">
        <f>ROUNDUP(VLOOKUP(F311,$A$10:$C$782,3,0),0)</f>
        <v>2</v>
      </c>
      <c r="I311" s="80">
        <f>$H$7*$H$6*SQRT(G311)</f>
        <v>52.19010250995872</v>
      </c>
      <c r="J311" s="80">
        <f>(H311*G311)+I311</f>
        <v>126.19010250995872</v>
      </c>
      <c r="K311" s="87">
        <f>H311*G311</f>
        <v>74</v>
      </c>
      <c r="L311" s="3">
        <v>61</v>
      </c>
      <c r="M311" s="30" t="str">
        <f>IF(L311&lt;J311,"Reorder",IF(L311&gt;=J311*1.5,"Overstock","Sufficient"))</f>
        <v>Reorder</v>
      </c>
      <c r="N311" s="30"/>
      <c r="O311" s="3"/>
    </row>
    <row r="312" spans="1:15" x14ac:dyDescent="0.35">
      <c r="A312" s="94" t="s">
        <v>1712</v>
      </c>
      <c r="B312" s="41">
        <v>180</v>
      </c>
      <c r="C312" s="57">
        <v>0.46111111111111114</v>
      </c>
      <c r="D312">
        <v>50</v>
      </c>
      <c r="F312" s="78" t="s">
        <v>1712</v>
      </c>
      <c r="G312" s="45">
        <v>180</v>
      </c>
      <c r="H312" s="79">
        <f>ROUNDUP(VLOOKUP(F312,$A$10:$C$782,3,0),0)</f>
        <v>1</v>
      </c>
      <c r="I312" s="80">
        <f>$H$7*$H$6*SQRT(G312)</f>
        <v>115.11277948168917</v>
      </c>
      <c r="J312" s="80">
        <f>(H312*G312)+I312</f>
        <v>295.11277948168919</v>
      </c>
      <c r="K312" s="87">
        <f>H312*G312</f>
        <v>180</v>
      </c>
      <c r="L312" s="3">
        <v>50</v>
      </c>
      <c r="M312" s="30" t="str">
        <f>IF(L312&lt;J312,"Reorder",IF(L312&gt;=J312*1.5,"Overstock","Sufficient"))</f>
        <v>Reorder</v>
      </c>
      <c r="N312" s="30"/>
      <c r="O312" s="3"/>
    </row>
    <row r="313" spans="1:15" x14ac:dyDescent="0.35">
      <c r="A313" s="94" t="s">
        <v>1743</v>
      </c>
      <c r="B313" s="41">
        <v>245</v>
      </c>
      <c r="C313" s="57">
        <v>0.12653061224489795</v>
      </c>
      <c r="D313">
        <v>28</v>
      </c>
      <c r="F313" s="78" t="s">
        <v>1743</v>
      </c>
      <c r="G313" s="45">
        <v>245</v>
      </c>
      <c r="H313" s="79">
        <f>ROUNDUP(VLOOKUP(F313,$A$10:$C$782,3,0),0)</f>
        <v>1</v>
      </c>
      <c r="I313" s="80">
        <f>$H$7*$H$6*SQRT(G313)</f>
        <v>134.29824272863738</v>
      </c>
      <c r="J313" s="80">
        <f>(H313*G313)+I313</f>
        <v>379.29824272863738</v>
      </c>
      <c r="K313" s="87">
        <f>H313*G313</f>
        <v>245</v>
      </c>
      <c r="L313" s="3">
        <v>28</v>
      </c>
      <c r="M313" s="30" t="str">
        <f>IF(L313&lt;J313,"Reorder",IF(L313&gt;=J313*1.5,"Overstock","Sufficient"))</f>
        <v>Reorder</v>
      </c>
      <c r="N313" s="30"/>
      <c r="O313" s="3"/>
    </row>
    <row r="314" spans="1:15" x14ac:dyDescent="0.35">
      <c r="A314" s="14" t="s">
        <v>438</v>
      </c>
      <c r="B314" s="41">
        <v>398</v>
      </c>
      <c r="C314" s="57">
        <v>7.8835816121034989</v>
      </c>
      <c r="D314">
        <v>262</v>
      </c>
      <c r="F314" s="72" t="s">
        <v>438</v>
      </c>
      <c r="G314" s="73"/>
      <c r="H314" s="74"/>
      <c r="I314" s="75"/>
      <c r="J314" s="74"/>
      <c r="K314" s="79"/>
      <c r="L314" s="76">
        <v>262</v>
      </c>
      <c r="M314" s="77"/>
      <c r="N314" s="85" t="str">
        <f>IFERROR(VLOOKUP(F314,'ABC Analysis'!$E$18:$M$138,9,0),0)</f>
        <v>B</v>
      </c>
      <c r="O314" s="86">
        <f>IFERROR(VLOOKUP(F314,'ABC Analysis'!$E$18:$G$138,3,0),0)</f>
        <v>4.8944236509704852E-3</v>
      </c>
    </row>
    <row r="315" spans="1:15" x14ac:dyDescent="0.35">
      <c r="A315" s="94" t="s">
        <v>2769</v>
      </c>
      <c r="B315" s="41">
        <v>9</v>
      </c>
      <c r="C315" s="57">
        <v>6.7777777777777777</v>
      </c>
      <c r="D315">
        <v>85</v>
      </c>
      <c r="F315" s="78" t="s">
        <v>2769</v>
      </c>
      <c r="G315" s="45">
        <v>9</v>
      </c>
      <c r="H315" s="79">
        <f>ROUNDUP(VLOOKUP(F315,$A$10:$C$782,3,0),0)</f>
        <v>7</v>
      </c>
      <c r="I315" s="80">
        <f>$H$7*$H$6*SQRT(G315)</f>
        <v>25.740000000000002</v>
      </c>
      <c r="J315" s="80">
        <f>(H315*G315)+I315</f>
        <v>88.740000000000009</v>
      </c>
      <c r="K315" s="87">
        <f>H315*G315</f>
        <v>63</v>
      </c>
      <c r="L315" s="3">
        <v>85</v>
      </c>
      <c r="M315" s="30" t="str">
        <f>IF(L315&lt;J315,"Reorder",IF(L315&gt;=J315*1.5,"Overstock","Sufficient"))</f>
        <v>Reorder</v>
      </c>
      <c r="N315" s="30"/>
      <c r="O315" s="3"/>
    </row>
    <row r="316" spans="1:15" x14ac:dyDescent="0.35">
      <c r="A316" s="94" t="s">
        <v>43</v>
      </c>
      <c r="B316" s="41">
        <v>153</v>
      </c>
      <c r="C316" s="57">
        <v>0.27450980392156865</v>
      </c>
      <c r="D316">
        <v>56</v>
      </c>
      <c r="F316" s="78" t="s">
        <v>43</v>
      </c>
      <c r="G316" s="45">
        <v>153</v>
      </c>
      <c r="H316" s="79">
        <f>ROUNDUP(VLOOKUP(F316,$A$10:$C$782,3,0),0)</f>
        <v>2</v>
      </c>
      <c r="I316" s="80">
        <f>$H$7*$H$6*SQRT(G316)</f>
        <v>106.12873880339858</v>
      </c>
      <c r="J316" s="80">
        <f>(H316*G316)+I316</f>
        <v>412.12873880339856</v>
      </c>
      <c r="K316" s="87">
        <f>H316*G316</f>
        <v>306</v>
      </c>
      <c r="L316" s="3">
        <v>56</v>
      </c>
      <c r="M316" s="30" t="str">
        <f>IF(L316&lt;J316,"Reorder",IF(L316&gt;=J316*1.5,"Overstock","Sufficient"))</f>
        <v>Reorder</v>
      </c>
      <c r="N316" s="30"/>
      <c r="O316" s="3"/>
    </row>
    <row r="317" spans="1:15" x14ac:dyDescent="0.35">
      <c r="A317" s="94" t="s">
        <v>2180</v>
      </c>
      <c r="B317" s="41">
        <v>174</v>
      </c>
      <c r="C317" s="57">
        <v>0.21839080459770116</v>
      </c>
      <c r="D317">
        <v>32</v>
      </c>
      <c r="F317" s="78" t="s">
        <v>2180</v>
      </c>
      <c r="G317" s="45">
        <v>174</v>
      </c>
      <c r="H317" s="79">
        <f>ROUNDUP(VLOOKUP(F317,$A$10:$C$782,3,0),0)</f>
        <v>10</v>
      </c>
      <c r="I317" s="80">
        <f>$H$7*$H$6*SQRT(G317)</f>
        <v>113.17797312198165</v>
      </c>
      <c r="J317" s="80">
        <f>(H317*G317)+I317</f>
        <v>1853.1779731219817</v>
      </c>
      <c r="K317" s="87">
        <f>H317*G317</f>
        <v>1740</v>
      </c>
      <c r="L317" s="3">
        <v>32</v>
      </c>
      <c r="M317" s="30" t="str">
        <f>IF(L317&lt;J317,"Reorder",IF(L317&gt;=J317*1.5,"Overstock","Sufficient"))</f>
        <v>Reorder</v>
      </c>
      <c r="N317" s="30"/>
      <c r="O317" s="3"/>
    </row>
    <row r="318" spans="1:15" x14ac:dyDescent="0.35">
      <c r="A318" s="94" t="s">
        <v>405</v>
      </c>
      <c r="B318" s="41">
        <v>62</v>
      </c>
      <c r="C318" s="57">
        <v>0.61290322580645162</v>
      </c>
      <c r="D318">
        <v>89</v>
      </c>
      <c r="F318" s="78" t="s">
        <v>405</v>
      </c>
      <c r="G318" s="45">
        <v>62</v>
      </c>
      <c r="H318" s="79">
        <f>ROUNDUP(VLOOKUP(F318,$A$10:$C$782,3,0),0)</f>
        <v>1</v>
      </c>
      <c r="I318" s="80">
        <f>$H$7*$H$6*SQRT(G318)</f>
        <v>67.558987559021347</v>
      </c>
      <c r="J318" s="80">
        <f>(H318*G318)+I318</f>
        <v>129.55898755902135</v>
      </c>
      <c r="K318" s="87">
        <f>H318*G318</f>
        <v>62</v>
      </c>
      <c r="L318" s="3">
        <v>89</v>
      </c>
      <c r="M318" s="30" t="str">
        <f>IF(L318&lt;J318,"Reorder",IF(L318&gt;=J318*1.5,"Overstock","Sufficient"))</f>
        <v>Reorder</v>
      </c>
      <c r="N318" s="30"/>
      <c r="O318" s="3"/>
    </row>
    <row r="319" spans="1:15" x14ac:dyDescent="0.35">
      <c r="A319" s="14" t="s">
        <v>276</v>
      </c>
      <c r="B319" s="41">
        <v>905</v>
      </c>
      <c r="C319" s="57">
        <v>7.5178408612744843</v>
      </c>
      <c r="D319">
        <v>240</v>
      </c>
      <c r="F319" s="72" t="s">
        <v>276</v>
      </c>
      <c r="G319" s="73"/>
      <c r="H319" s="74"/>
      <c r="I319" s="75"/>
      <c r="J319" s="74"/>
      <c r="K319" s="79"/>
      <c r="L319" s="76">
        <v>240</v>
      </c>
      <c r="M319" s="77"/>
      <c r="N319" s="85" t="str">
        <f>IFERROR(VLOOKUP(F319,'ABC Analysis'!$E$18:$M$138,9,0),0)</f>
        <v>A</v>
      </c>
      <c r="O319" s="86">
        <f>IFERROR(VLOOKUP(F319,'ABC Analysis'!$E$18:$G$138,3,0),0)</f>
        <v>6.1255817901181642E-3</v>
      </c>
    </row>
    <row r="320" spans="1:15" x14ac:dyDescent="0.35">
      <c r="A320" s="94" t="s">
        <v>277</v>
      </c>
      <c r="B320" s="41">
        <v>296</v>
      </c>
      <c r="C320" s="57">
        <v>0.27027027027027029</v>
      </c>
      <c r="D320">
        <v>20</v>
      </c>
      <c r="F320" s="78" t="s">
        <v>277</v>
      </c>
      <c r="G320" s="45">
        <v>296</v>
      </c>
      <c r="H320" s="79">
        <f>ROUNDUP(VLOOKUP(F320,$A$10:$C$782,3,0),0)</f>
        <v>1</v>
      </c>
      <c r="I320" s="80">
        <f>$H$7*$H$6*SQRT(G320)</f>
        <v>147.61590158245147</v>
      </c>
      <c r="J320" s="80">
        <f>(H320*G320)+I320</f>
        <v>443.61590158245144</v>
      </c>
      <c r="K320" s="87">
        <f>H320*G320</f>
        <v>296</v>
      </c>
      <c r="L320" s="3">
        <v>20</v>
      </c>
      <c r="M320" s="30" t="str">
        <f>IF(L320&lt;J320,"Reorder",IF(L320&gt;=J320*1.5,"Overstock","Sufficient"))</f>
        <v>Reorder</v>
      </c>
      <c r="N320" s="30"/>
      <c r="O320" s="3"/>
    </row>
    <row r="321" spans="1:15" x14ac:dyDescent="0.35">
      <c r="A321" s="94" t="s">
        <v>832</v>
      </c>
      <c r="B321" s="41">
        <v>14</v>
      </c>
      <c r="C321" s="57">
        <v>5.7857142857142856</v>
      </c>
      <c r="D321">
        <v>55</v>
      </c>
      <c r="F321" s="78" t="s">
        <v>832</v>
      </c>
      <c r="G321" s="45">
        <v>14</v>
      </c>
      <c r="H321" s="79">
        <f>ROUNDUP(VLOOKUP(F321,$A$10:$C$782,3,0),0)</f>
        <v>1</v>
      </c>
      <c r="I321" s="80">
        <f>$H$7*$H$6*SQRT(G321)</f>
        <v>32.103420378520418</v>
      </c>
      <c r="J321" s="80">
        <f>(H321*G321)+I321</f>
        <v>46.103420378520418</v>
      </c>
      <c r="K321" s="87">
        <f>H321*G321</f>
        <v>14</v>
      </c>
      <c r="L321" s="3">
        <v>55</v>
      </c>
      <c r="M321" s="30" t="str">
        <f>IF(L321&lt;J321,"Reorder",IF(L321&gt;=J321*1.5,"Overstock","Sufficient"))</f>
        <v>Sufficient</v>
      </c>
      <c r="N321" s="30"/>
      <c r="O321" s="3"/>
    </row>
    <row r="322" spans="1:15" x14ac:dyDescent="0.35">
      <c r="A322" s="94" t="s">
        <v>3266</v>
      </c>
      <c r="B322" s="41">
        <v>51</v>
      </c>
      <c r="C322" s="57">
        <v>0.82352941176470584</v>
      </c>
      <c r="D322">
        <v>18</v>
      </c>
      <c r="F322" s="78" t="s">
        <v>3266</v>
      </c>
      <c r="G322" s="45">
        <v>51</v>
      </c>
      <c r="H322" s="79">
        <f>ROUNDUP(VLOOKUP(F322,$A$10:$C$782,3,0),0)</f>
        <v>1</v>
      </c>
      <c r="I322" s="80">
        <f>$H$7*$H$6*SQRT(G322)</f>
        <v>61.27345591689766</v>
      </c>
      <c r="J322" s="80">
        <f>(H322*G322)+I322</f>
        <v>112.27345591689766</v>
      </c>
      <c r="K322" s="87">
        <f>H322*G322</f>
        <v>51</v>
      </c>
      <c r="L322" s="3">
        <v>18</v>
      </c>
      <c r="M322" s="30" t="str">
        <f>IF(L322&lt;J322,"Reorder",IF(L322&gt;=J322*1.5,"Overstock","Sufficient"))</f>
        <v>Reorder</v>
      </c>
      <c r="N322" s="30"/>
      <c r="O322" s="3"/>
    </row>
    <row r="323" spans="1:15" x14ac:dyDescent="0.35">
      <c r="A323" s="94" t="s">
        <v>388</v>
      </c>
      <c r="B323" s="41">
        <v>297</v>
      </c>
      <c r="C323" s="57">
        <v>0.33873175182481752</v>
      </c>
      <c r="D323">
        <v>133</v>
      </c>
      <c r="F323" s="78" t="s">
        <v>388</v>
      </c>
      <c r="G323" s="45">
        <v>297</v>
      </c>
      <c r="H323" s="79">
        <f>ROUNDUP(VLOOKUP(F323,$A$10:$C$782,3,0),0)</f>
        <v>4</v>
      </c>
      <c r="I323" s="80">
        <f>$H$7*$H$6*SQRT(G323)</f>
        <v>147.86504252188885</v>
      </c>
      <c r="J323" s="80">
        <f>(H323*G323)+I323</f>
        <v>1335.8650425218889</v>
      </c>
      <c r="K323" s="87">
        <f>H323*G323</f>
        <v>1188</v>
      </c>
      <c r="L323" s="3">
        <v>133</v>
      </c>
      <c r="M323" s="30" t="str">
        <f>IF(L323&lt;J323,"Reorder",IF(L323&gt;=J323*1.5,"Overstock","Sufficient"))</f>
        <v>Reorder</v>
      </c>
      <c r="N323" s="30"/>
      <c r="O323" s="3"/>
    </row>
    <row r="324" spans="1:15" x14ac:dyDescent="0.35">
      <c r="A324" s="94" t="s">
        <v>203</v>
      </c>
      <c r="B324" s="41">
        <v>247</v>
      </c>
      <c r="C324" s="57">
        <v>0.29959514170040485</v>
      </c>
      <c r="D324">
        <v>14</v>
      </c>
      <c r="F324" s="78" t="s">
        <v>203</v>
      </c>
      <c r="G324" s="45">
        <v>247</v>
      </c>
      <c r="H324" s="79">
        <f>ROUNDUP(VLOOKUP(F324,$A$10:$C$782,3,0),0)</f>
        <v>1</v>
      </c>
      <c r="I324" s="80">
        <f>$H$7*$H$6*SQRT(G324)</f>
        <v>134.84528467840468</v>
      </c>
      <c r="J324" s="80">
        <f>(H324*G324)+I324</f>
        <v>381.84528467840471</v>
      </c>
      <c r="K324" s="87">
        <f>H324*G324</f>
        <v>247</v>
      </c>
      <c r="L324" s="3">
        <v>14</v>
      </c>
      <c r="M324" s="30" t="str">
        <f>IF(L324&lt;J324,"Reorder",IF(L324&gt;=J324*1.5,"Overstock","Sufficient"))</f>
        <v>Reorder</v>
      </c>
      <c r="N324" s="30"/>
      <c r="O324" s="3"/>
    </row>
    <row r="325" spans="1:15" x14ac:dyDescent="0.35">
      <c r="A325" s="14" t="s">
        <v>828</v>
      </c>
      <c r="B325" s="41">
        <v>595</v>
      </c>
      <c r="C325" s="57">
        <v>7.4046656699141158</v>
      </c>
      <c r="D325">
        <v>261</v>
      </c>
      <c r="F325" s="72" t="s">
        <v>828</v>
      </c>
      <c r="G325" s="73"/>
      <c r="H325" s="74"/>
      <c r="I325" s="75"/>
      <c r="J325" s="74"/>
      <c r="K325" s="79"/>
      <c r="L325" s="76">
        <v>261</v>
      </c>
      <c r="M325" s="77"/>
      <c r="N325" s="85" t="str">
        <f>IFERROR(VLOOKUP(F325,'ABC Analysis'!$E$18:$M$138,9,0),0)</f>
        <v>B</v>
      </c>
      <c r="O325" s="86">
        <f>IFERROR(VLOOKUP(F325,'ABC Analysis'!$E$18:$G$138,3,0),0)</f>
        <v>4.1159633907567814E-3</v>
      </c>
    </row>
    <row r="326" spans="1:15" x14ac:dyDescent="0.35">
      <c r="A326" s="94" t="s">
        <v>2081</v>
      </c>
      <c r="B326" s="41">
        <v>15</v>
      </c>
      <c r="C326" s="57">
        <v>6.2666666666666666</v>
      </c>
      <c r="D326">
        <v>89</v>
      </c>
      <c r="F326" s="78" t="s">
        <v>2081</v>
      </c>
      <c r="G326" s="45">
        <v>15</v>
      </c>
      <c r="H326" s="79">
        <f>ROUNDUP(VLOOKUP(F326,$A$10:$C$782,3,0),0)</f>
        <v>7</v>
      </c>
      <c r="I326" s="80">
        <f>$H$7*$H$6*SQRT(G326)</f>
        <v>33.230197110459642</v>
      </c>
      <c r="J326" s="80">
        <f>(H326*G326)+I326</f>
        <v>138.23019711045964</v>
      </c>
      <c r="K326" s="87">
        <f>H326*G326</f>
        <v>105</v>
      </c>
      <c r="L326" s="3">
        <v>89</v>
      </c>
      <c r="M326" s="30" t="str">
        <f>IF(L326&lt;J326,"Reorder",IF(L326&gt;=J326*1.5,"Overstock","Sufficient"))</f>
        <v>Reorder</v>
      </c>
      <c r="N326" s="30"/>
      <c r="O326" s="3"/>
    </row>
    <row r="327" spans="1:15" x14ac:dyDescent="0.35">
      <c r="A327" s="94" t="s">
        <v>678</v>
      </c>
      <c r="B327" s="41">
        <v>131</v>
      </c>
      <c r="C327" s="57">
        <v>0.26717557251908397</v>
      </c>
      <c r="D327">
        <v>67</v>
      </c>
      <c r="F327" s="78" t="s">
        <v>678</v>
      </c>
      <c r="G327" s="45">
        <v>131</v>
      </c>
      <c r="H327" s="79">
        <f>ROUNDUP(VLOOKUP(F327,$A$10:$C$782,3,0),0)</f>
        <v>1</v>
      </c>
      <c r="I327" s="80">
        <f>$H$7*$H$6*SQRT(G327)</f>
        <v>98.202588560587344</v>
      </c>
      <c r="J327" s="80">
        <f>(H327*G327)+I327</f>
        <v>229.20258856058734</v>
      </c>
      <c r="K327" s="87">
        <f>H327*G327</f>
        <v>131</v>
      </c>
      <c r="L327" s="3">
        <v>67</v>
      </c>
      <c r="M327" s="30" t="str">
        <f>IF(L327&lt;J327,"Reorder",IF(L327&gt;=J327*1.5,"Overstock","Sufficient"))</f>
        <v>Reorder</v>
      </c>
      <c r="N327" s="30"/>
      <c r="O327" s="3"/>
    </row>
    <row r="328" spans="1:15" x14ac:dyDescent="0.35">
      <c r="A328" s="94" t="s">
        <v>128</v>
      </c>
      <c r="B328" s="41">
        <v>138</v>
      </c>
      <c r="C328" s="57">
        <v>0.65217391304347827</v>
      </c>
      <c r="D328">
        <v>68</v>
      </c>
      <c r="F328" s="78" t="s">
        <v>128</v>
      </c>
      <c r="G328" s="45">
        <v>138</v>
      </c>
      <c r="H328" s="79">
        <f>ROUNDUP(VLOOKUP(F328,$A$10:$C$782,3,0),0)</f>
        <v>1</v>
      </c>
      <c r="I328" s="80">
        <f>$H$7*$H$6*SQRT(G328)</f>
        <v>100.79217826795886</v>
      </c>
      <c r="J328" s="80">
        <f>(H328*G328)+I328</f>
        <v>238.79217826795886</v>
      </c>
      <c r="K328" s="87">
        <f>H328*G328</f>
        <v>138</v>
      </c>
      <c r="L328" s="3">
        <v>68</v>
      </c>
      <c r="M328" s="30" t="str">
        <f>IF(L328&lt;J328,"Reorder",IF(L328&gt;=J328*1.5,"Overstock","Sufficient"))</f>
        <v>Reorder</v>
      </c>
      <c r="N328" s="30"/>
      <c r="O328" s="3"/>
    </row>
    <row r="329" spans="1:15" x14ac:dyDescent="0.35">
      <c r="A329" s="94" t="s">
        <v>513</v>
      </c>
      <c r="B329" s="41">
        <v>311</v>
      </c>
      <c r="C329" s="57">
        <v>0.21864951768488747</v>
      </c>
      <c r="D329">
        <v>37</v>
      </c>
      <c r="F329" s="78" t="s">
        <v>513</v>
      </c>
      <c r="G329" s="45">
        <v>311</v>
      </c>
      <c r="H329" s="79">
        <f>ROUNDUP(VLOOKUP(F329,$A$10:$C$782,3,0),0)</f>
        <v>1</v>
      </c>
      <c r="I329" s="80">
        <f>$H$7*$H$6*SQRT(G329)</f>
        <v>151.30994811974526</v>
      </c>
      <c r="J329" s="80">
        <f>(H329*G329)+I329</f>
        <v>462.30994811974529</v>
      </c>
      <c r="K329" s="87">
        <f>H329*G329</f>
        <v>311</v>
      </c>
      <c r="L329" s="3">
        <v>37</v>
      </c>
      <c r="M329" s="30" t="str">
        <f>IF(L329&lt;J329,"Reorder",IF(L329&gt;=J329*1.5,"Overstock","Sufficient"))</f>
        <v>Reorder</v>
      </c>
      <c r="N329" s="30"/>
      <c r="O329" s="3"/>
    </row>
    <row r="330" spans="1:15" x14ac:dyDescent="0.35">
      <c r="A330" s="14" t="s">
        <v>216</v>
      </c>
      <c r="B330" s="41">
        <v>346</v>
      </c>
      <c r="C330" s="57">
        <v>7.3229517396184063</v>
      </c>
      <c r="D330">
        <v>202</v>
      </c>
      <c r="F330" s="72" t="s">
        <v>216</v>
      </c>
      <c r="G330" s="73"/>
      <c r="H330" s="74"/>
      <c r="I330" s="75"/>
      <c r="J330" s="74"/>
      <c r="K330" s="79"/>
      <c r="L330" s="76">
        <v>202</v>
      </c>
      <c r="M330" s="77"/>
      <c r="N330" s="85" t="str">
        <f>IFERROR(VLOOKUP(F330,'ABC Analysis'!$E$18:$M$138,9,0),0)</f>
        <v>B</v>
      </c>
      <c r="O330" s="86">
        <f>IFERROR(VLOOKUP(F330,'ABC Analysis'!$E$18:$G$138,3,0),0)</f>
        <v>3.37526426256837E-3</v>
      </c>
    </row>
    <row r="331" spans="1:15" x14ac:dyDescent="0.35">
      <c r="A331" s="94" t="s">
        <v>54</v>
      </c>
      <c r="B331" s="41">
        <v>22</v>
      </c>
      <c r="C331" s="57">
        <v>4.2272727272727275</v>
      </c>
      <c r="D331">
        <v>17</v>
      </c>
      <c r="F331" s="78" t="s">
        <v>54</v>
      </c>
      <c r="G331" s="45">
        <v>22</v>
      </c>
      <c r="H331" s="79">
        <f>ROUNDUP(VLOOKUP(F331,$A$10:$C$782,3,0),0)</f>
        <v>5</v>
      </c>
      <c r="I331" s="80">
        <f>$H$7*$H$6*SQRT(G331)</f>
        <v>40.243767219285026</v>
      </c>
      <c r="J331" s="80">
        <f>(H331*G331)+I331</f>
        <v>150.24376721928502</v>
      </c>
      <c r="K331" s="87">
        <f>H331*G331</f>
        <v>110</v>
      </c>
      <c r="L331" s="3">
        <v>17</v>
      </c>
      <c r="M331" s="30" t="str">
        <f>IF(L331&lt;J331,"Reorder",IF(L331&gt;=J331*1.5,"Overstock","Sufficient"))</f>
        <v>Reorder</v>
      </c>
      <c r="N331" s="30"/>
      <c r="O331" s="3"/>
    </row>
    <row r="332" spans="1:15" x14ac:dyDescent="0.35">
      <c r="A332" s="94" t="s">
        <v>312</v>
      </c>
      <c r="B332" s="41">
        <v>126</v>
      </c>
      <c r="C332" s="57">
        <v>0.77777777777777779</v>
      </c>
      <c r="D332">
        <v>58</v>
      </c>
      <c r="F332" s="78" t="s">
        <v>312</v>
      </c>
      <c r="G332" s="45">
        <v>126</v>
      </c>
      <c r="H332" s="79">
        <f>ROUNDUP(VLOOKUP(F332,$A$10:$C$782,3,0),0)</f>
        <v>1</v>
      </c>
      <c r="I332" s="80">
        <f>$H$7*$H$6*SQRT(G332)</f>
        <v>96.310261135561248</v>
      </c>
      <c r="J332" s="80">
        <f>(H332*G332)+I332</f>
        <v>222.31026113556123</v>
      </c>
      <c r="K332" s="87">
        <f>H332*G332</f>
        <v>126</v>
      </c>
      <c r="L332" s="3">
        <v>58</v>
      </c>
      <c r="M332" s="30" t="str">
        <f>IF(L332&lt;J332,"Reorder",IF(L332&gt;=J332*1.5,"Overstock","Sufficient"))</f>
        <v>Reorder</v>
      </c>
      <c r="N332" s="30"/>
      <c r="O332" s="3"/>
    </row>
    <row r="333" spans="1:15" x14ac:dyDescent="0.35">
      <c r="A333" s="94" t="s">
        <v>778</v>
      </c>
      <c r="B333" s="41">
        <v>36</v>
      </c>
      <c r="C333" s="57">
        <v>1.8611111111111112</v>
      </c>
      <c r="D333">
        <v>36</v>
      </c>
      <c r="F333" s="78" t="s">
        <v>778</v>
      </c>
      <c r="G333" s="45">
        <v>36</v>
      </c>
      <c r="H333" s="79">
        <f>ROUNDUP(VLOOKUP(F333,$A$10:$C$782,3,0),0)</f>
        <v>1</v>
      </c>
      <c r="I333" s="80">
        <f>$H$7*$H$6*SQRT(G333)</f>
        <v>51.480000000000004</v>
      </c>
      <c r="J333" s="80">
        <f>(H333*G333)+I333</f>
        <v>87.48</v>
      </c>
      <c r="K333" s="87">
        <f>H333*G333</f>
        <v>36</v>
      </c>
      <c r="L333" s="3">
        <v>36</v>
      </c>
      <c r="M333" s="30" t="str">
        <f>IF(L333&lt;J333,"Reorder",IF(L333&gt;=J333*1.5,"Overstock","Sufficient"))</f>
        <v>Reorder</v>
      </c>
      <c r="N333" s="30"/>
      <c r="O333" s="3"/>
    </row>
    <row r="334" spans="1:15" x14ac:dyDescent="0.35">
      <c r="A334" s="94" t="s">
        <v>696</v>
      </c>
      <c r="B334" s="41">
        <v>162</v>
      </c>
      <c r="C334" s="57">
        <v>0.4567901234567901</v>
      </c>
      <c r="D334">
        <v>91</v>
      </c>
      <c r="F334" s="78" t="s">
        <v>696</v>
      </c>
      <c r="G334" s="45">
        <v>162</v>
      </c>
      <c r="H334" s="79">
        <f>ROUNDUP(VLOOKUP(F334,$A$10:$C$782,3,0),0)</f>
        <v>1</v>
      </c>
      <c r="I334" s="80">
        <f>$H$7*$H$6*SQRT(G334)</f>
        <v>109.20557128645039</v>
      </c>
      <c r="J334" s="80">
        <f>(H334*G334)+I334</f>
        <v>271.20557128645038</v>
      </c>
      <c r="K334" s="87">
        <f>H334*G334</f>
        <v>162</v>
      </c>
      <c r="L334" s="3">
        <v>91</v>
      </c>
      <c r="M334" s="30" t="str">
        <f>IF(L334&lt;J334,"Reorder",IF(L334&gt;=J334*1.5,"Overstock","Sufficient"))</f>
        <v>Reorder</v>
      </c>
      <c r="N334" s="30"/>
      <c r="O334" s="3"/>
    </row>
    <row r="335" spans="1:15" x14ac:dyDescent="0.35">
      <c r="A335" s="14" t="s">
        <v>85</v>
      </c>
      <c r="B335" s="41">
        <v>657</v>
      </c>
      <c r="C335" s="57">
        <v>7.204928035646831</v>
      </c>
      <c r="D335">
        <v>386</v>
      </c>
      <c r="F335" s="72" t="s">
        <v>85</v>
      </c>
      <c r="G335" s="73"/>
      <c r="H335" s="81"/>
      <c r="I335" s="75"/>
      <c r="J335" s="74"/>
      <c r="K335" s="79"/>
      <c r="L335" s="76">
        <v>386</v>
      </c>
      <c r="M335" s="77"/>
      <c r="N335" s="85" t="str">
        <f>IFERROR(VLOOKUP(F335,'ABC Analysis'!$E$18:$M$138,9,0),0)</f>
        <v>A</v>
      </c>
      <c r="O335" s="86">
        <f>IFERROR(VLOOKUP(F335,'ABC Analysis'!$E$18:$G$138,3,0),0)</f>
        <v>6.3659459189714628E-3</v>
      </c>
    </row>
    <row r="336" spans="1:15" x14ac:dyDescent="0.35">
      <c r="A336" s="94" t="s">
        <v>687</v>
      </c>
      <c r="B336" s="41">
        <v>301</v>
      </c>
      <c r="C336" s="57">
        <v>4.0690476190476188</v>
      </c>
      <c r="D336">
        <v>173</v>
      </c>
      <c r="F336" s="78" t="s">
        <v>687</v>
      </c>
      <c r="G336" s="45">
        <v>301</v>
      </c>
      <c r="H336" s="79">
        <f>ROUNDUP(VLOOKUP(F336,$A$10:$C$782,3,0),0)</f>
        <v>5</v>
      </c>
      <c r="I336" s="80">
        <f>$H$7*$H$6*SQRT(G336)</f>
        <v>148.85743649546032</v>
      </c>
      <c r="J336" s="80">
        <f>(H336*G336)+I336</f>
        <v>1653.8574364954602</v>
      </c>
      <c r="K336" s="87">
        <f>H336*G336</f>
        <v>1505</v>
      </c>
      <c r="L336" s="3">
        <v>173</v>
      </c>
      <c r="M336" s="30" t="str">
        <f>IF(L336&lt;J336,"Reorder",IF(L336&gt;=J336*1.5,"Overstock","Sufficient"))</f>
        <v>Reorder</v>
      </c>
      <c r="N336" s="30"/>
      <c r="O336" s="3"/>
    </row>
    <row r="337" spans="1:15" x14ac:dyDescent="0.35">
      <c r="A337" s="94" t="s">
        <v>86</v>
      </c>
      <c r="B337" s="41">
        <v>27</v>
      </c>
      <c r="C337" s="57">
        <v>2.1111111111111112</v>
      </c>
      <c r="D337">
        <v>94</v>
      </c>
      <c r="F337" s="78" t="s">
        <v>86</v>
      </c>
      <c r="G337" s="45">
        <v>27</v>
      </c>
      <c r="H337" s="79">
        <f>ROUNDUP(VLOOKUP(F337,$A$10:$C$782,3,0),0)</f>
        <v>3</v>
      </c>
      <c r="I337" s="80">
        <f>$H$7*$H$6*SQRT(G337)</f>
        <v>44.582987786822905</v>
      </c>
      <c r="J337" s="80">
        <f>(H337*G337)+I337</f>
        <v>125.58298778682291</v>
      </c>
      <c r="K337" s="87">
        <f>H337*G337</f>
        <v>81</v>
      </c>
      <c r="L337" s="3">
        <v>94</v>
      </c>
      <c r="M337" s="30" t="str">
        <f>IF(L337&lt;J337,"Reorder",IF(L337&gt;=J337*1.5,"Overstock","Sufficient"))</f>
        <v>Reorder</v>
      </c>
      <c r="N337" s="30"/>
      <c r="O337" s="3"/>
    </row>
    <row r="338" spans="1:15" x14ac:dyDescent="0.35">
      <c r="A338" s="94" t="s">
        <v>294</v>
      </c>
      <c r="B338" s="41">
        <v>116</v>
      </c>
      <c r="C338" s="57">
        <v>0.82758620689655171</v>
      </c>
      <c r="D338">
        <v>75</v>
      </c>
      <c r="F338" s="78" t="s">
        <v>294</v>
      </c>
      <c r="G338" s="45">
        <v>116</v>
      </c>
      <c r="H338" s="79">
        <f>ROUNDUP(VLOOKUP(F338,$A$10:$C$782,3,0),0)</f>
        <v>1</v>
      </c>
      <c r="I338" s="80">
        <f>$H$7*$H$6*SQRT(G338)</f>
        <v>92.409428090428079</v>
      </c>
      <c r="J338" s="80">
        <f>(H338*G338)+I338</f>
        <v>208.40942809042809</v>
      </c>
      <c r="K338" s="87">
        <f>H338*G338</f>
        <v>116</v>
      </c>
      <c r="L338" s="3">
        <v>75</v>
      </c>
      <c r="M338" s="30" t="str">
        <f>IF(L338&lt;J338,"Reorder",IF(L338&gt;=J338*1.5,"Overstock","Sufficient"))</f>
        <v>Reorder</v>
      </c>
      <c r="N338" s="30"/>
      <c r="O338" s="3"/>
    </row>
    <row r="339" spans="1:15" x14ac:dyDescent="0.35">
      <c r="A339" s="94" t="s">
        <v>299</v>
      </c>
      <c r="B339" s="41">
        <v>213</v>
      </c>
      <c r="C339" s="57">
        <v>0.19718309859154928</v>
      </c>
      <c r="D339">
        <v>44</v>
      </c>
      <c r="F339" s="78" t="s">
        <v>299</v>
      </c>
      <c r="G339" s="45">
        <v>213</v>
      </c>
      <c r="H339" s="79">
        <f>ROUNDUP(VLOOKUP(F339,$A$10:$C$782,3,0),0)</f>
        <v>1</v>
      </c>
      <c r="I339" s="80">
        <f>$H$7*$H$6*SQRT(G339)</f>
        <v>125.22097747582072</v>
      </c>
      <c r="J339" s="80">
        <f>(H339*G339)+I339</f>
        <v>338.22097747582075</v>
      </c>
      <c r="K339" s="87">
        <f>H339*G339</f>
        <v>213</v>
      </c>
      <c r="L339" s="3">
        <v>44</v>
      </c>
      <c r="M339" s="30" t="str">
        <f>IF(L339&lt;J339,"Reorder",IF(L339&gt;=J339*1.5,"Overstock","Sufficient"))</f>
        <v>Reorder</v>
      </c>
      <c r="N339" s="30"/>
      <c r="O339" s="3"/>
    </row>
    <row r="340" spans="1:15" x14ac:dyDescent="0.35">
      <c r="A340" s="14" t="s">
        <v>1624</v>
      </c>
      <c r="B340" s="41">
        <v>495</v>
      </c>
      <c r="C340" s="57">
        <v>7.0090416944518719</v>
      </c>
      <c r="D340">
        <v>363</v>
      </c>
      <c r="F340" s="72" t="s">
        <v>1624</v>
      </c>
      <c r="G340" s="73"/>
      <c r="H340" s="74"/>
      <c r="I340" s="75"/>
      <c r="J340" s="74"/>
      <c r="K340" s="79"/>
      <c r="L340" s="76">
        <v>363</v>
      </c>
      <c r="M340" s="77"/>
      <c r="N340" s="85" t="str">
        <f>IFERROR(VLOOKUP(F340,'ABC Analysis'!$E$18:$M$138,9,0),0)</f>
        <v>A</v>
      </c>
      <c r="O340" s="86">
        <f>IFERROR(VLOOKUP(F340,'ABC Analysis'!$E$18:$G$138,3,0),0)</f>
        <v>8.7576779274041623E-3</v>
      </c>
    </row>
    <row r="341" spans="1:15" x14ac:dyDescent="0.35">
      <c r="A341" s="94" t="s">
        <v>1479</v>
      </c>
      <c r="B341" s="41">
        <v>95</v>
      </c>
      <c r="C341" s="57">
        <v>0.54736842105263162</v>
      </c>
      <c r="D341">
        <v>71</v>
      </c>
      <c r="F341" s="78" t="s">
        <v>1479</v>
      </c>
      <c r="G341" s="45">
        <v>95</v>
      </c>
      <c r="H341" s="79">
        <f>ROUNDUP(VLOOKUP(F341,$A$10:$C$782,3,0),0)</f>
        <v>1</v>
      </c>
      <c r="I341" s="80">
        <f>$H$7*$H$6*SQRT(G341)</f>
        <v>83.627495478460901</v>
      </c>
      <c r="J341" s="80">
        <f>(H341*G341)+I341</f>
        <v>178.6274954784609</v>
      </c>
      <c r="K341" s="87">
        <f>H341*G341</f>
        <v>95</v>
      </c>
      <c r="L341" s="3">
        <v>71</v>
      </c>
      <c r="M341" s="30" t="str">
        <f>IF(L341&lt;J341,"Reorder",IF(L341&gt;=J341*1.5,"Overstock","Sufficient"))</f>
        <v>Reorder</v>
      </c>
      <c r="N341" s="30"/>
      <c r="O341" s="3"/>
    </row>
    <row r="342" spans="1:15" x14ac:dyDescent="0.35">
      <c r="A342" s="94" t="s">
        <v>1819</v>
      </c>
      <c r="B342" s="41">
        <v>86</v>
      </c>
      <c r="C342" s="57">
        <v>0.55813953488372092</v>
      </c>
      <c r="D342">
        <v>89</v>
      </c>
      <c r="F342" s="78" t="s">
        <v>1819</v>
      </c>
      <c r="G342" s="45">
        <v>86</v>
      </c>
      <c r="H342" s="79">
        <f>ROUNDUP(VLOOKUP(F342,$A$10:$C$782,3,0),0)</f>
        <v>1</v>
      </c>
      <c r="I342" s="80">
        <f>$H$7*$H$6*SQRT(G342)</f>
        <v>79.567646691353147</v>
      </c>
      <c r="J342" s="80">
        <f>(H342*G342)+I342</f>
        <v>165.56764669135316</v>
      </c>
      <c r="K342" s="87">
        <f>H342*G342</f>
        <v>86</v>
      </c>
      <c r="L342" s="3">
        <v>89</v>
      </c>
      <c r="M342" s="30" t="str">
        <f>IF(L342&lt;J342,"Reorder",IF(L342&gt;=J342*1.5,"Overstock","Sufficient"))</f>
        <v>Reorder</v>
      </c>
      <c r="N342" s="30"/>
      <c r="O342" s="3"/>
    </row>
    <row r="343" spans="1:15" x14ac:dyDescent="0.35">
      <c r="A343" s="94" t="s">
        <v>1877</v>
      </c>
      <c r="B343" s="41">
        <v>187</v>
      </c>
      <c r="C343" s="57">
        <v>0.48128342245989303</v>
      </c>
      <c r="D343">
        <v>91</v>
      </c>
      <c r="F343" s="78" t="s">
        <v>1877</v>
      </c>
      <c r="G343" s="45">
        <v>187</v>
      </c>
      <c r="H343" s="79">
        <f>ROUNDUP(VLOOKUP(F343,$A$10:$C$782,3,0),0)</f>
        <v>2</v>
      </c>
      <c r="I343" s="80">
        <f>$H$7*$H$6*SQRT(G343)</f>
        <v>117.3297353615016</v>
      </c>
      <c r="J343" s="80">
        <f>(H343*G343)+I343</f>
        <v>491.3297353615016</v>
      </c>
      <c r="K343" s="87">
        <f>H343*G343</f>
        <v>374</v>
      </c>
      <c r="L343" s="3">
        <v>91</v>
      </c>
      <c r="M343" s="30" t="str">
        <f>IF(L343&lt;J343,"Reorder",IF(L343&gt;=J343*1.5,"Overstock","Sufficient"))</f>
        <v>Reorder</v>
      </c>
      <c r="N343" s="30"/>
      <c r="O343" s="3"/>
    </row>
    <row r="344" spans="1:15" x14ac:dyDescent="0.35">
      <c r="A344" s="94" t="s">
        <v>2900</v>
      </c>
      <c r="B344" s="41">
        <v>113</v>
      </c>
      <c r="C344" s="57">
        <v>0.70796460176991149</v>
      </c>
      <c r="D344">
        <v>30</v>
      </c>
      <c r="F344" s="78" t="s">
        <v>2900</v>
      </c>
      <c r="G344" s="45">
        <v>113</v>
      </c>
      <c r="H344" s="79">
        <f>ROUNDUP(VLOOKUP(F344,$A$10:$C$782,3,0),0)</f>
        <v>1</v>
      </c>
      <c r="I344" s="80">
        <f>$H$7*$H$6*SQRT(G344)</f>
        <v>91.206651073263302</v>
      </c>
      <c r="J344" s="80">
        <f>(H344*G344)+I344</f>
        <v>204.20665107326329</v>
      </c>
      <c r="K344" s="87">
        <f>H344*G344</f>
        <v>113</v>
      </c>
      <c r="L344" s="3">
        <v>30</v>
      </c>
      <c r="M344" s="30" t="str">
        <f>IF(L344&lt;J344,"Reorder",IF(L344&gt;=J344*1.5,"Overstock","Sufficient"))</f>
        <v>Reorder</v>
      </c>
      <c r="N344" s="30"/>
      <c r="O344" s="3"/>
    </row>
    <row r="345" spans="1:15" x14ac:dyDescent="0.35">
      <c r="A345" s="94" t="s">
        <v>770</v>
      </c>
      <c r="B345" s="41">
        <v>14</v>
      </c>
      <c r="C345" s="57">
        <v>4.7142857142857144</v>
      </c>
      <c r="D345">
        <v>82</v>
      </c>
      <c r="F345" s="78" t="s">
        <v>770</v>
      </c>
      <c r="G345" s="45">
        <v>14</v>
      </c>
      <c r="H345" s="79">
        <f>ROUNDUP(VLOOKUP(F345,$A$10:$C$782,3,0),0)</f>
        <v>5</v>
      </c>
      <c r="I345" s="80">
        <f>$H$7*$H$6*SQRT(G345)</f>
        <v>32.103420378520418</v>
      </c>
      <c r="J345" s="80">
        <f>(H345*G345)+I345</f>
        <v>102.10342037852041</v>
      </c>
      <c r="K345" s="87">
        <f>H345*G345</f>
        <v>70</v>
      </c>
      <c r="L345" s="3">
        <v>82</v>
      </c>
      <c r="M345" s="30" t="str">
        <f>IF(L345&lt;J345,"Reorder",IF(L345&gt;=J345*1.5,"Overstock","Sufficient"))</f>
        <v>Reorder</v>
      </c>
      <c r="N345" s="30"/>
      <c r="O345" s="3"/>
    </row>
    <row r="346" spans="1:15" x14ac:dyDescent="0.35">
      <c r="A346" s="14" t="s">
        <v>531</v>
      </c>
      <c r="B346" s="41">
        <v>346</v>
      </c>
      <c r="C346" s="57">
        <v>6.9868396184834545</v>
      </c>
      <c r="D346">
        <v>246</v>
      </c>
      <c r="F346" s="72" t="s">
        <v>531</v>
      </c>
      <c r="G346" s="73"/>
      <c r="H346" s="74"/>
      <c r="I346" s="75"/>
      <c r="J346" s="74"/>
      <c r="K346" s="79"/>
      <c r="L346" s="76">
        <v>246</v>
      </c>
      <c r="M346" s="77"/>
      <c r="N346" s="85" t="str">
        <f>IFERROR(VLOOKUP(F346,'ABC Analysis'!$E$18:$M$138,9,0),0)</f>
        <v>C</v>
      </c>
      <c r="O346" s="86">
        <f>IFERROR(VLOOKUP(F346,'ABC Analysis'!$E$18:$G$138,3,0),0)</f>
        <v>2.3571660491172393E-3</v>
      </c>
    </row>
    <row r="347" spans="1:15" x14ac:dyDescent="0.35">
      <c r="A347" s="94" t="s">
        <v>2332</v>
      </c>
      <c r="B347" s="41">
        <v>42</v>
      </c>
      <c r="C347" s="57">
        <v>0.47619047619047616</v>
      </c>
      <c r="D347">
        <v>39</v>
      </c>
      <c r="F347" s="78" t="s">
        <v>2332</v>
      </c>
      <c r="G347" s="45">
        <v>42</v>
      </c>
      <c r="H347" s="79">
        <f>ROUNDUP(VLOOKUP(F347,$A$10:$C$782,3,0),0)</f>
        <v>1</v>
      </c>
      <c r="I347" s="80">
        <f>$H$7*$H$6*SQRT(G347)</f>
        <v>55.604755192339439</v>
      </c>
      <c r="J347" s="80">
        <f>(H347*G347)+I347</f>
        <v>97.604755192339439</v>
      </c>
      <c r="K347" s="87">
        <f>H347*G347</f>
        <v>42</v>
      </c>
      <c r="L347" s="3">
        <v>39</v>
      </c>
      <c r="M347" s="30" t="str">
        <f>IF(L347&lt;J347,"Reorder",IF(L347&gt;=J347*1.5,"Overstock","Sufficient"))</f>
        <v>Reorder</v>
      </c>
      <c r="N347" s="30"/>
      <c r="O347" s="3"/>
    </row>
    <row r="348" spans="1:15" x14ac:dyDescent="0.35">
      <c r="A348" s="94" t="s">
        <v>518</v>
      </c>
      <c r="B348" s="41">
        <v>73</v>
      </c>
      <c r="C348" s="57">
        <v>1.3013698630136987</v>
      </c>
      <c r="D348">
        <v>12</v>
      </c>
      <c r="F348" s="78" t="s">
        <v>518</v>
      </c>
      <c r="G348" s="45">
        <v>73</v>
      </c>
      <c r="H348" s="79">
        <f>ROUNDUP(VLOOKUP(F348,$A$10:$C$782,3,0),0)</f>
        <v>3</v>
      </c>
      <c r="I348" s="80">
        <f>$H$7*$H$6*SQRT(G348)</f>
        <v>73.307552134824405</v>
      </c>
      <c r="J348" s="80">
        <f>(H348*G348)+I348</f>
        <v>292.30755213482439</v>
      </c>
      <c r="K348" s="87">
        <f>H348*G348</f>
        <v>219</v>
      </c>
      <c r="L348" s="3">
        <v>12</v>
      </c>
      <c r="M348" s="30" t="str">
        <f>IF(L348&lt;J348,"Reorder",IF(L348&gt;=J348*1.5,"Overstock","Sufficient"))</f>
        <v>Reorder</v>
      </c>
      <c r="N348" s="30"/>
      <c r="O348" s="3"/>
    </row>
    <row r="349" spans="1:15" x14ac:dyDescent="0.35">
      <c r="A349" s="94" t="s">
        <v>171</v>
      </c>
      <c r="B349" s="41">
        <v>75</v>
      </c>
      <c r="C349" s="57">
        <v>1.0133333333333334</v>
      </c>
      <c r="D349">
        <v>26</v>
      </c>
      <c r="F349" s="78" t="s">
        <v>171</v>
      </c>
      <c r="G349" s="45">
        <v>75</v>
      </c>
      <c r="H349" s="79">
        <f>ROUNDUP(VLOOKUP(F349,$A$10:$C$782,3,0),0)</f>
        <v>1</v>
      </c>
      <c r="I349" s="80">
        <f>$H$7*$H$6*SQRT(G349)</f>
        <v>74.304979644704844</v>
      </c>
      <c r="J349" s="80">
        <f>(H349*G349)+I349</f>
        <v>149.30497964470484</v>
      </c>
      <c r="K349" s="87">
        <f>H349*G349</f>
        <v>75</v>
      </c>
      <c r="L349" s="3">
        <v>26</v>
      </c>
      <c r="M349" s="30" t="str">
        <f>IF(L349&lt;J349,"Reorder",IF(L349&gt;=J349*1.5,"Overstock","Sufficient"))</f>
        <v>Reorder</v>
      </c>
      <c r="N349" s="30"/>
      <c r="O349" s="3"/>
    </row>
    <row r="350" spans="1:15" x14ac:dyDescent="0.35">
      <c r="A350" s="94" t="s">
        <v>641</v>
      </c>
      <c r="B350" s="41">
        <v>148</v>
      </c>
      <c r="C350" s="57">
        <v>0.44594594594594594</v>
      </c>
      <c r="D350">
        <v>71</v>
      </c>
      <c r="F350" s="78" t="s">
        <v>641</v>
      </c>
      <c r="G350" s="45">
        <v>148</v>
      </c>
      <c r="H350" s="79">
        <f>ROUNDUP(VLOOKUP(F350,$A$10:$C$782,3,0),0)</f>
        <v>1</v>
      </c>
      <c r="I350" s="80">
        <f>$H$7*$H$6*SQRT(G350)</f>
        <v>104.38020501991744</v>
      </c>
      <c r="J350" s="80">
        <f>(H350*G350)+I350</f>
        <v>252.38020501991744</v>
      </c>
      <c r="K350" s="87">
        <f>H350*G350</f>
        <v>148</v>
      </c>
      <c r="L350" s="3">
        <v>71</v>
      </c>
      <c r="M350" s="30" t="str">
        <f>IF(L350&lt;J350,"Reorder",IF(L350&gt;=J350*1.5,"Overstock","Sufficient"))</f>
        <v>Reorder</v>
      </c>
      <c r="N350" s="30"/>
      <c r="O350" s="3"/>
    </row>
    <row r="351" spans="1:15" x14ac:dyDescent="0.35">
      <c r="A351" s="94" t="s">
        <v>138</v>
      </c>
      <c r="B351" s="41">
        <v>8</v>
      </c>
      <c r="C351" s="57">
        <v>3.75</v>
      </c>
      <c r="D351">
        <v>98</v>
      </c>
      <c r="F351" s="78" t="s">
        <v>138</v>
      </c>
      <c r="G351" s="45">
        <v>8</v>
      </c>
      <c r="H351" s="79">
        <f>ROUNDUP(VLOOKUP(F351,$A$10:$C$782,3,0),0)</f>
        <v>1</v>
      </c>
      <c r="I351" s="80">
        <f>$H$7*$H$6*SQRT(G351)</f>
        <v>24.267904730322314</v>
      </c>
      <c r="J351" s="80">
        <f>(H351*G351)+I351</f>
        <v>32.267904730322314</v>
      </c>
      <c r="K351" s="87">
        <f>H351*G351</f>
        <v>8</v>
      </c>
      <c r="L351" s="3">
        <v>98</v>
      </c>
      <c r="M351" s="30" t="str">
        <f>IF(L351&lt;J351,"Reorder",IF(L351&gt;=J351*1.5,"Overstock","Sufficient"))</f>
        <v>Overstock</v>
      </c>
      <c r="N351" s="30"/>
      <c r="O351" s="3"/>
    </row>
    <row r="352" spans="1:15" x14ac:dyDescent="0.35">
      <c r="A352" s="14" t="s">
        <v>717</v>
      </c>
      <c r="B352" s="41">
        <v>361</v>
      </c>
      <c r="C352" s="57">
        <v>6.9267911561483846</v>
      </c>
      <c r="D352">
        <v>148</v>
      </c>
      <c r="F352" s="72" t="s">
        <v>717</v>
      </c>
      <c r="G352" s="73"/>
      <c r="H352" s="74"/>
      <c r="I352" s="75"/>
      <c r="J352" s="74"/>
      <c r="K352" s="79"/>
      <c r="L352" s="76">
        <v>148</v>
      </c>
      <c r="M352" s="77"/>
      <c r="N352" s="85" t="str">
        <f>IFERROR(VLOOKUP(F352,'ABC Analysis'!$E$18:$M$138,9,0),0)</f>
        <v>B</v>
      </c>
      <c r="O352" s="86">
        <f>IFERROR(VLOOKUP(F352,'ABC Analysis'!$E$18:$G$138,3,0),0)</f>
        <v>4.1224989712996211E-3</v>
      </c>
    </row>
    <row r="353" spans="1:15" x14ac:dyDescent="0.35">
      <c r="A353" s="94" t="s">
        <v>926</v>
      </c>
      <c r="B353" s="41">
        <v>87</v>
      </c>
      <c r="C353" s="57">
        <v>0.62068965517241381</v>
      </c>
      <c r="D353">
        <v>26</v>
      </c>
      <c r="F353" s="78" t="s">
        <v>926</v>
      </c>
      <c r="G353" s="45">
        <v>87</v>
      </c>
      <c r="H353" s="79">
        <f>ROUNDUP(VLOOKUP(F353,$A$10:$C$782,3,0),0)</f>
        <v>1</v>
      </c>
      <c r="I353" s="80">
        <f>$H$7*$H$6*SQRT(G353)</f>
        <v>80.028912275502037</v>
      </c>
      <c r="J353" s="80">
        <f>(H353*G353)+I353</f>
        <v>167.02891227550202</v>
      </c>
      <c r="K353" s="87">
        <f>H353*G353</f>
        <v>87</v>
      </c>
      <c r="L353" s="3">
        <v>26</v>
      </c>
      <c r="M353" s="30" t="str">
        <f>IF(L353&lt;J353,"Reorder",IF(L353&gt;=J353*1.5,"Overstock","Sufficient"))</f>
        <v>Reorder</v>
      </c>
      <c r="N353" s="30"/>
      <c r="O353" s="3"/>
    </row>
    <row r="354" spans="1:15" x14ac:dyDescent="0.35">
      <c r="A354" s="94" t="s">
        <v>112</v>
      </c>
      <c r="B354" s="41">
        <v>179</v>
      </c>
      <c r="C354" s="57">
        <v>0.20670391061452514</v>
      </c>
      <c r="D354">
        <v>55</v>
      </c>
      <c r="F354" s="78" t="s">
        <v>112</v>
      </c>
      <c r="G354" s="45">
        <v>179</v>
      </c>
      <c r="H354" s="79">
        <f>ROUNDUP(VLOOKUP(F354,$A$10:$C$782,3,0),0)</f>
        <v>1</v>
      </c>
      <c r="I354" s="80">
        <f>$H$7*$H$6*SQRT(G354)</f>
        <v>114.79257641502781</v>
      </c>
      <c r="J354" s="80">
        <f>(H354*G354)+I354</f>
        <v>293.79257641502784</v>
      </c>
      <c r="K354" s="87">
        <f>H354*G354</f>
        <v>179</v>
      </c>
      <c r="L354" s="3">
        <v>55</v>
      </c>
      <c r="M354" s="30" t="str">
        <f>IF(L354&lt;J354,"Reorder",IF(L354&gt;=J354*1.5,"Overstock","Sufficient"))</f>
        <v>Reorder</v>
      </c>
      <c r="N354" s="30"/>
      <c r="O354" s="3"/>
    </row>
    <row r="355" spans="1:15" x14ac:dyDescent="0.35">
      <c r="A355" s="94" t="s">
        <v>1271</v>
      </c>
      <c r="B355" s="41">
        <v>12</v>
      </c>
      <c r="C355" s="57">
        <v>5.75</v>
      </c>
      <c r="D355">
        <v>56</v>
      </c>
      <c r="F355" s="78" t="s">
        <v>1271</v>
      </c>
      <c r="G355" s="45">
        <v>12</v>
      </c>
      <c r="H355" s="79">
        <f>ROUNDUP(VLOOKUP(F355,$A$10:$C$782,3,0),0)</f>
        <v>6</v>
      </c>
      <c r="I355" s="80">
        <f>$H$7*$H$6*SQRT(G355)</f>
        <v>29.721991857881932</v>
      </c>
      <c r="J355" s="80">
        <f>(H355*G355)+I355</f>
        <v>101.72199185788193</v>
      </c>
      <c r="K355" s="87">
        <f>H355*G355</f>
        <v>72</v>
      </c>
      <c r="L355" s="3">
        <v>56</v>
      </c>
      <c r="M355" s="30" t="str">
        <f>IF(L355&lt;J355,"Reorder",IF(L355&gt;=J355*1.5,"Overstock","Sufficient"))</f>
        <v>Reorder</v>
      </c>
      <c r="N355" s="30"/>
      <c r="O355" s="3"/>
    </row>
    <row r="356" spans="1:15" x14ac:dyDescent="0.35">
      <c r="A356" s="94" t="s">
        <v>226</v>
      </c>
      <c r="B356" s="41">
        <v>83</v>
      </c>
      <c r="C356" s="57">
        <v>0.3493975903614458</v>
      </c>
      <c r="D356">
        <v>11</v>
      </c>
      <c r="F356" s="78" t="s">
        <v>226</v>
      </c>
      <c r="G356" s="45">
        <v>83</v>
      </c>
      <c r="H356" s="79">
        <f>ROUNDUP(VLOOKUP(F356,$A$10:$C$782,3,0),0)</f>
        <v>1</v>
      </c>
      <c r="I356" s="80">
        <f>$H$7*$H$6*SQRT(G356)</f>
        <v>78.167520109058088</v>
      </c>
      <c r="J356" s="80">
        <f>(H356*G356)+I356</f>
        <v>161.1675201090581</v>
      </c>
      <c r="K356" s="87">
        <f>H356*G356</f>
        <v>83</v>
      </c>
      <c r="L356" s="3">
        <v>11</v>
      </c>
      <c r="M356" s="30" t="str">
        <f>IF(L356&lt;J356,"Reorder",IF(L356&gt;=J356*1.5,"Overstock","Sufficient"))</f>
        <v>Reorder</v>
      </c>
      <c r="N356" s="30"/>
      <c r="O356" s="3"/>
    </row>
    <row r="357" spans="1:15" x14ac:dyDescent="0.35">
      <c r="A357" s="14" t="s">
        <v>288</v>
      </c>
      <c r="B357" s="41">
        <v>556</v>
      </c>
      <c r="C357" s="57">
        <v>6.8001121463077983</v>
      </c>
      <c r="D357">
        <v>409</v>
      </c>
      <c r="F357" s="72" t="s">
        <v>288</v>
      </c>
      <c r="G357" s="73"/>
      <c r="H357" s="74"/>
      <c r="I357" s="75"/>
      <c r="J357" s="74"/>
      <c r="K357" s="79"/>
      <c r="L357" s="76">
        <v>409</v>
      </c>
      <c r="M357" s="77"/>
      <c r="N357" s="85" t="str">
        <f>IFERROR(VLOOKUP(F357,'ABC Analysis'!$E$18:$M$138,9,0),0)</f>
        <v>A</v>
      </c>
      <c r="O357" s="86">
        <f>IFERROR(VLOOKUP(F357,'ABC Analysis'!$E$18:$G$138,3,0),0)</f>
        <v>2.1521231022199064E-2</v>
      </c>
    </row>
    <row r="358" spans="1:15" x14ac:dyDescent="0.35">
      <c r="A358" s="94" t="s">
        <v>289</v>
      </c>
      <c r="B358" s="41">
        <v>207</v>
      </c>
      <c r="C358" s="57">
        <v>0.41062801932367149</v>
      </c>
      <c r="D358">
        <v>29</v>
      </c>
      <c r="F358" s="78" t="s">
        <v>289</v>
      </c>
      <c r="G358" s="45">
        <v>207</v>
      </c>
      <c r="H358" s="79">
        <f t="shared" ref="H358:H363" si="124">ROUNDUP(VLOOKUP(F358,$A$10:$C$782,3,0),0)</f>
        <v>1</v>
      </c>
      <c r="I358" s="80">
        <f t="shared" ref="I358:I363" si="125">$H$7*$H$6*SQRT(G358)</f>
        <v>123.44470341006941</v>
      </c>
      <c r="J358" s="80">
        <f t="shared" ref="J358:J363" si="126">(H358*G358)+I358</f>
        <v>330.44470341006939</v>
      </c>
      <c r="K358" s="87">
        <f t="shared" ref="K358:K363" si="127">H358*G358</f>
        <v>207</v>
      </c>
      <c r="L358" s="3">
        <v>29</v>
      </c>
      <c r="M358" s="30" t="str">
        <f t="shared" ref="M358:M363" si="128">IF(L358&lt;J358,"Reorder",IF(L358&gt;=J358*1.5,"Overstock","Sufficient"))</f>
        <v>Reorder</v>
      </c>
      <c r="N358" s="30"/>
      <c r="O358" s="3"/>
    </row>
    <row r="359" spans="1:15" x14ac:dyDescent="0.35">
      <c r="A359" s="94" t="s">
        <v>1282</v>
      </c>
      <c r="B359" s="41">
        <v>63</v>
      </c>
      <c r="C359" s="57">
        <v>1.2857142857142858</v>
      </c>
      <c r="D359">
        <v>91</v>
      </c>
      <c r="F359" s="78" t="s">
        <v>1282</v>
      </c>
      <c r="G359" s="45">
        <v>63</v>
      </c>
      <c r="H359" s="79">
        <f t="shared" si="124"/>
        <v>2</v>
      </c>
      <c r="I359" s="80">
        <f t="shared" si="125"/>
        <v>68.101638746802564</v>
      </c>
      <c r="J359" s="80">
        <f t="shared" si="126"/>
        <v>194.10163874680256</v>
      </c>
      <c r="K359" s="87">
        <f t="shared" si="127"/>
        <v>126</v>
      </c>
      <c r="L359" s="3">
        <v>91</v>
      </c>
      <c r="M359" s="30" t="str">
        <f t="shared" si="128"/>
        <v>Reorder</v>
      </c>
      <c r="N359" s="30"/>
      <c r="O359" s="3"/>
    </row>
    <row r="360" spans="1:15" x14ac:dyDescent="0.35">
      <c r="A360" s="94" t="s">
        <v>1261</v>
      </c>
      <c r="B360" s="41">
        <v>70</v>
      </c>
      <c r="C360" s="57">
        <v>0.88571428571428568</v>
      </c>
      <c r="D360">
        <v>98</v>
      </c>
      <c r="F360" s="78" t="s">
        <v>1261</v>
      </c>
      <c r="G360" s="45">
        <v>70</v>
      </c>
      <c r="H360" s="79">
        <f t="shared" si="124"/>
        <v>1</v>
      </c>
      <c r="I360" s="80">
        <f t="shared" si="125"/>
        <v>71.785430276623686</v>
      </c>
      <c r="J360" s="80">
        <f t="shared" si="126"/>
        <v>141.78543027662369</v>
      </c>
      <c r="K360" s="87">
        <f t="shared" si="127"/>
        <v>70</v>
      </c>
      <c r="L360" s="3">
        <v>98</v>
      </c>
      <c r="M360" s="30" t="str">
        <f t="shared" si="128"/>
        <v>Reorder</v>
      </c>
      <c r="N360" s="30"/>
      <c r="O360" s="3"/>
    </row>
    <row r="361" spans="1:15" x14ac:dyDescent="0.35">
      <c r="A361" s="94" t="s">
        <v>2303</v>
      </c>
      <c r="B361" s="41">
        <v>45</v>
      </c>
      <c r="C361" s="57">
        <v>1.1555555555555554</v>
      </c>
      <c r="D361">
        <v>49</v>
      </c>
      <c r="F361" s="78" t="s">
        <v>2303</v>
      </c>
      <c r="G361" s="45">
        <v>45</v>
      </c>
      <c r="H361" s="79">
        <f t="shared" si="124"/>
        <v>2</v>
      </c>
      <c r="I361" s="80">
        <f t="shared" si="125"/>
        <v>57.556389740844587</v>
      </c>
      <c r="J361" s="80">
        <f t="shared" si="126"/>
        <v>147.55638974084459</v>
      </c>
      <c r="K361" s="87">
        <f t="shared" si="127"/>
        <v>90</v>
      </c>
      <c r="L361" s="3">
        <v>49</v>
      </c>
      <c r="M361" s="30" t="str">
        <f t="shared" si="128"/>
        <v>Reorder</v>
      </c>
      <c r="N361" s="30"/>
      <c r="O361" s="3"/>
    </row>
    <row r="362" spans="1:15" x14ac:dyDescent="0.35">
      <c r="A362" s="94" t="s">
        <v>972</v>
      </c>
      <c r="B362" s="41">
        <v>27</v>
      </c>
      <c r="C362" s="57">
        <v>2.4444444444444446</v>
      </c>
      <c r="D362">
        <v>67</v>
      </c>
      <c r="F362" s="78" t="s">
        <v>972</v>
      </c>
      <c r="G362" s="45">
        <v>27</v>
      </c>
      <c r="H362" s="79">
        <f t="shared" si="124"/>
        <v>3</v>
      </c>
      <c r="I362" s="80">
        <f t="shared" si="125"/>
        <v>44.582987786822905</v>
      </c>
      <c r="J362" s="80">
        <f t="shared" si="126"/>
        <v>125.58298778682291</v>
      </c>
      <c r="K362" s="87">
        <f t="shared" si="127"/>
        <v>81</v>
      </c>
      <c r="L362" s="3">
        <v>67</v>
      </c>
      <c r="M362" s="30" t="str">
        <f t="shared" si="128"/>
        <v>Reorder</v>
      </c>
      <c r="N362" s="30"/>
      <c r="O362" s="3"/>
    </row>
    <row r="363" spans="1:15" x14ac:dyDescent="0.35">
      <c r="A363" s="94" t="s">
        <v>1766</v>
      </c>
      <c r="B363" s="41">
        <v>144</v>
      </c>
      <c r="C363" s="57">
        <v>0.61805555555555558</v>
      </c>
      <c r="D363">
        <v>75</v>
      </c>
      <c r="F363" s="78" t="s">
        <v>1766</v>
      </c>
      <c r="G363" s="45">
        <v>144</v>
      </c>
      <c r="H363" s="79">
        <f t="shared" si="124"/>
        <v>19</v>
      </c>
      <c r="I363" s="80">
        <f t="shared" si="125"/>
        <v>102.96000000000001</v>
      </c>
      <c r="J363" s="80">
        <f t="shared" si="126"/>
        <v>2838.96</v>
      </c>
      <c r="K363" s="87">
        <f t="shared" si="127"/>
        <v>2736</v>
      </c>
      <c r="L363" s="3">
        <v>75</v>
      </c>
      <c r="M363" s="30" t="str">
        <f t="shared" si="128"/>
        <v>Reorder</v>
      </c>
      <c r="N363" s="30"/>
      <c r="O363" s="3"/>
    </row>
    <row r="364" spans="1:15" x14ac:dyDescent="0.35">
      <c r="A364" s="14" t="s">
        <v>1081</v>
      </c>
      <c r="B364" s="41">
        <v>888</v>
      </c>
      <c r="C364" s="57">
        <v>6.6747923810645471</v>
      </c>
      <c r="D364">
        <v>332</v>
      </c>
      <c r="F364" s="72" t="s">
        <v>1081</v>
      </c>
      <c r="G364" s="73"/>
      <c r="H364" s="74"/>
      <c r="I364" s="75"/>
      <c r="J364" s="74"/>
      <c r="K364" s="79"/>
      <c r="L364" s="76">
        <v>332</v>
      </c>
      <c r="M364" s="77"/>
      <c r="N364" s="85" t="str">
        <f>IFERROR(VLOOKUP(F364,'ABC Analysis'!$E$18:$M$138,9,0),0)</f>
        <v>A</v>
      </c>
      <c r="O364" s="86">
        <f>IFERROR(VLOOKUP(F364,'ABC Analysis'!$E$18:$G$138,3,0),0)</f>
        <v>1.6249196050975662E-2</v>
      </c>
    </row>
    <row r="365" spans="1:15" x14ac:dyDescent="0.35">
      <c r="A365" s="94" t="s">
        <v>1617</v>
      </c>
      <c r="B365" s="41">
        <v>37</v>
      </c>
      <c r="C365" s="57">
        <v>2.189189189189189</v>
      </c>
      <c r="D365">
        <v>80</v>
      </c>
      <c r="F365" s="78" t="s">
        <v>1617</v>
      </c>
      <c r="G365" s="45">
        <v>37</v>
      </c>
      <c r="H365" s="79">
        <f t="shared" ref="H365:H372" si="129">ROUNDUP(VLOOKUP(F365,$A$10:$C$782,3,0),0)</f>
        <v>3</v>
      </c>
      <c r="I365" s="80">
        <f t="shared" ref="I365:I372" si="130">$H$7*$H$6*SQRT(G365)</f>
        <v>52.19010250995872</v>
      </c>
      <c r="J365" s="80">
        <f t="shared" ref="J365:J372" si="131">(H365*G365)+I365</f>
        <v>163.19010250995871</v>
      </c>
      <c r="K365" s="87">
        <f t="shared" ref="K365:K372" si="132">H365*G365</f>
        <v>111</v>
      </c>
      <c r="L365" s="3">
        <v>80</v>
      </c>
      <c r="M365" s="30" t="str">
        <f t="shared" ref="M365:M372" si="133">IF(L365&lt;J365,"Reorder",IF(L365&gt;=J365*1.5,"Overstock","Sufficient"))</f>
        <v>Reorder</v>
      </c>
      <c r="N365" s="30"/>
      <c r="O365" s="3"/>
    </row>
    <row r="366" spans="1:15" x14ac:dyDescent="0.35">
      <c r="A366" s="94" t="s">
        <v>540</v>
      </c>
      <c r="B366" s="41">
        <v>81</v>
      </c>
      <c r="C366" s="57">
        <v>1.1851851851851851</v>
      </c>
      <c r="D366">
        <v>51</v>
      </c>
      <c r="F366" s="78" t="s">
        <v>540</v>
      </c>
      <c r="G366" s="45">
        <v>81</v>
      </c>
      <c r="H366" s="79">
        <f t="shared" si="129"/>
        <v>2</v>
      </c>
      <c r="I366" s="80">
        <f t="shared" si="130"/>
        <v>77.22</v>
      </c>
      <c r="J366" s="80">
        <f t="shared" si="131"/>
        <v>239.22</v>
      </c>
      <c r="K366" s="87">
        <f t="shared" si="132"/>
        <v>162</v>
      </c>
      <c r="L366" s="3">
        <v>51</v>
      </c>
      <c r="M366" s="30" t="str">
        <f t="shared" si="133"/>
        <v>Reorder</v>
      </c>
      <c r="N366" s="30"/>
      <c r="O366" s="3"/>
    </row>
    <row r="367" spans="1:15" x14ac:dyDescent="0.35">
      <c r="A367" s="94" t="s">
        <v>2815</v>
      </c>
      <c r="B367" s="41">
        <v>178</v>
      </c>
      <c r="C367" s="57">
        <v>0.52247191011235961</v>
      </c>
      <c r="D367">
        <v>63</v>
      </c>
      <c r="F367" s="78" t="s">
        <v>2815</v>
      </c>
      <c r="G367" s="45">
        <v>178</v>
      </c>
      <c r="H367" s="79">
        <f t="shared" si="129"/>
        <v>1</v>
      </c>
      <c r="I367" s="80">
        <f t="shared" si="130"/>
        <v>114.47147767020395</v>
      </c>
      <c r="J367" s="80">
        <f t="shared" si="131"/>
        <v>292.47147767020397</v>
      </c>
      <c r="K367" s="87">
        <f t="shared" si="132"/>
        <v>178</v>
      </c>
      <c r="L367" s="3">
        <v>63</v>
      </c>
      <c r="M367" s="30" t="str">
        <f t="shared" si="133"/>
        <v>Reorder</v>
      </c>
      <c r="N367" s="30"/>
      <c r="O367" s="3"/>
    </row>
    <row r="368" spans="1:15" x14ac:dyDescent="0.35">
      <c r="A368" s="94" t="s">
        <v>778</v>
      </c>
      <c r="B368" s="41">
        <v>106</v>
      </c>
      <c r="C368" s="57">
        <v>0.86792452830188682</v>
      </c>
      <c r="D368">
        <v>26</v>
      </c>
      <c r="F368" s="78" t="s">
        <v>778</v>
      </c>
      <c r="G368" s="45">
        <v>106</v>
      </c>
      <c r="H368" s="79">
        <f t="shared" si="129"/>
        <v>1</v>
      </c>
      <c r="I368" s="80">
        <f t="shared" si="130"/>
        <v>88.336506609668461</v>
      </c>
      <c r="J368" s="80">
        <f t="shared" si="131"/>
        <v>194.33650660966845</v>
      </c>
      <c r="K368" s="87">
        <f t="shared" si="132"/>
        <v>106</v>
      </c>
      <c r="L368" s="3">
        <v>26</v>
      </c>
      <c r="M368" s="30" t="str">
        <f t="shared" si="133"/>
        <v>Reorder</v>
      </c>
      <c r="N368" s="30"/>
      <c r="O368" s="3"/>
    </row>
    <row r="369" spans="1:15" x14ac:dyDescent="0.35">
      <c r="A369" s="94" t="s">
        <v>608</v>
      </c>
      <c r="B369" s="41">
        <v>204</v>
      </c>
      <c r="C369" s="57">
        <v>0.47549019607843135</v>
      </c>
      <c r="D369">
        <v>34</v>
      </c>
      <c r="F369" s="78" t="s">
        <v>608</v>
      </c>
      <c r="G369" s="45">
        <v>204</v>
      </c>
      <c r="H369" s="79">
        <f t="shared" si="129"/>
        <v>1</v>
      </c>
      <c r="I369" s="80">
        <f t="shared" si="130"/>
        <v>122.54691183379532</v>
      </c>
      <c r="J369" s="80">
        <f t="shared" si="131"/>
        <v>326.54691183379532</v>
      </c>
      <c r="K369" s="87">
        <f t="shared" si="132"/>
        <v>204</v>
      </c>
      <c r="L369" s="3">
        <v>34</v>
      </c>
      <c r="M369" s="30" t="str">
        <f t="shared" si="133"/>
        <v>Reorder</v>
      </c>
      <c r="N369" s="30"/>
      <c r="O369" s="3"/>
    </row>
    <row r="370" spans="1:15" x14ac:dyDescent="0.35">
      <c r="A370" s="94" t="s">
        <v>1743</v>
      </c>
      <c r="B370" s="41">
        <v>107</v>
      </c>
      <c r="C370" s="57">
        <v>0.56074766355140182</v>
      </c>
      <c r="D370">
        <v>15</v>
      </c>
      <c r="F370" s="78" t="s">
        <v>1743</v>
      </c>
      <c r="G370" s="45">
        <v>107</v>
      </c>
      <c r="H370" s="79">
        <f t="shared" si="129"/>
        <v>1</v>
      </c>
      <c r="I370" s="80">
        <f t="shared" si="130"/>
        <v>88.7522101133262</v>
      </c>
      <c r="J370" s="80">
        <f t="shared" si="131"/>
        <v>195.75221011332621</v>
      </c>
      <c r="K370" s="87">
        <f t="shared" si="132"/>
        <v>107</v>
      </c>
      <c r="L370" s="3">
        <v>15</v>
      </c>
      <c r="M370" s="30" t="str">
        <f t="shared" si="133"/>
        <v>Reorder</v>
      </c>
      <c r="N370" s="30"/>
      <c r="O370" s="3"/>
    </row>
    <row r="371" spans="1:15" x14ac:dyDescent="0.35">
      <c r="A371" s="94" t="s">
        <v>962</v>
      </c>
      <c r="B371" s="41">
        <v>109</v>
      </c>
      <c r="C371" s="57">
        <v>0.44954128440366975</v>
      </c>
      <c r="D371">
        <v>24</v>
      </c>
      <c r="F371" s="78" t="s">
        <v>962</v>
      </c>
      <c r="G371" s="45">
        <v>109</v>
      </c>
      <c r="H371" s="79">
        <f t="shared" si="129"/>
        <v>1</v>
      </c>
      <c r="I371" s="80">
        <f t="shared" si="130"/>
        <v>89.577829846452531</v>
      </c>
      <c r="J371" s="80">
        <f t="shared" si="131"/>
        <v>198.57782984645252</v>
      </c>
      <c r="K371" s="87">
        <f t="shared" si="132"/>
        <v>109</v>
      </c>
      <c r="L371" s="3">
        <v>24</v>
      </c>
      <c r="M371" s="30" t="str">
        <f t="shared" si="133"/>
        <v>Reorder</v>
      </c>
      <c r="N371" s="30"/>
      <c r="O371" s="3"/>
    </row>
    <row r="372" spans="1:15" x14ac:dyDescent="0.35">
      <c r="A372" s="94" t="s">
        <v>2001</v>
      </c>
      <c r="B372" s="41">
        <v>66</v>
      </c>
      <c r="C372" s="57">
        <v>0.42424242424242425</v>
      </c>
      <c r="D372">
        <v>39</v>
      </c>
      <c r="F372" s="78" t="s">
        <v>2001</v>
      </c>
      <c r="G372" s="45">
        <v>66</v>
      </c>
      <c r="H372" s="79">
        <f t="shared" si="129"/>
        <v>2</v>
      </c>
      <c r="I372" s="80">
        <f t="shared" si="130"/>
        <v>69.704249511776538</v>
      </c>
      <c r="J372" s="80">
        <f t="shared" si="131"/>
        <v>201.70424951177654</v>
      </c>
      <c r="K372" s="87">
        <f t="shared" si="132"/>
        <v>132</v>
      </c>
      <c r="L372" s="3">
        <v>39</v>
      </c>
      <c r="M372" s="30" t="str">
        <f t="shared" si="133"/>
        <v>Reorder</v>
      </c>
      <c r="N372" s="30"/>
      <c r="O372" s="3"/>
    </row>
    <row r="373" spans="1:15" x14ac:dyDescent="0.35">
      <c r="A373" s="14" t="s">
        <v>1069</v>
      </c>
      <c r="B373" s="41">
        <v>324</v>
      </c>
      <c r="C373" s="57">
        <v>6.0138729862867795</v>
      </c>
      <c r="D373">
        <v>128</v>
      </c>
      <c r="F373" s="72" t="s">
        <v>1069</v>
      </c>
      <c r="G373" s="73"/>
      <c r="H373" s="74"/>
      <c r="I373" s="75"/>
      <c r="J373" s="74"/>
      <c r="K373" s="79"/>
      <c r="L373" s="76">
        <v>128</v>
      </c>
      <c r="M373" s="77"/>
      <c r="N373" s="85" t="str">
        <f>IFERROR(VLOOKUP(F373,'ABC Analysis'!$E$18:$M$138,9,0),0)</f>
        <v>A</v>
      </c>
      <c r="O373" s="86">
        <f>IFERROR(VLOOKUP(F373,'ABC Analysis'!$E$18:$G$138,3,0),0)</f>
        <v>5.9987915275870893E-3</v>
      </c>
    </row>
    <row r="374" spans="1:15" x14ac:dyDescent="0.35">
      <c r="A374" s="94" t="s">
        <v>1127</v>
      </c>
      <c r="B374" s="41">
        <v>111</v>
      </c>
      <c r="C374" s="57">
        <v>0.56756756756756754</v>
      </c>
      <c r="D374">
        <v>54</v>
      </c>
      <c r="F374" s="78" t="s">
        <v>1127</v>
      </c>
      <c r="G374" s="45">
        <v>111</v>
      </c>
      <c r="H374" s="79">
        <f>ROUNDUP(VLOOKUP(F374,$A$10:$C$782,3,0),0)</f>
        <v>5</v>
      </c>
      <c r="I374" s="80">
        <f>$H$7*$H$6*SQRT(G374)</f>
        <v>90.395909199476492</v>
      </c>
      <c r="J374" s="80">
        <f>(H374*G374)+I374</f>
        <v>645.39590919947648</v>
      </c>
      <c r="K374" s="87">
        <f>H374*G374</f>
        <v>555</v>
      </c>
      <c r="L374" s="3">
        <v>54</v>
      </c>
      <c r="M374" s="30" t="str">
        <f>IF(L374&lt;J374,"Reorder",IF(L374&gt;=J374*1.5,"Overstock","Sufficient"))</f>
        <v>Reorder</v>
      </c>
      <c r="N374" s="30"/>
      <c r="O374" s="3"/>
    </row>
    <row r="375" spans="1:15" x14ac:dyDescent="0.35">
      <c r="A375" s="94" t="s">
        <v>138</v>
      </c>
      <c r="B375" s="41">
        <v>10</v>
      </c>
      <c r="C375" s="57">
        <v>5.2</v>
      </c>
      <c r="D375">
        <v>58</v>
      </c>
      <c r="F375" s="78" t="s">
        <v>138</v>
      </c>
      <c r="G375" s="45">
        <v>10</v>
      </c>
      <c r="H375" s="79">
        <f>ROUNDUP(VLOOKUP(F375,$A$10:$C$782,3,0),0)</f>
        <v>1</v>
      </c>
      <c r="I375" s="80">
        <f>$H$7*$H$6*SQRT(G375)</f>
        <v>27.132342324244696</v>
      </c>
      <c r="J375" s="80">
        <f>(H375*G375)+I375</f>
        <v>37.132342324244696</v>
      </c>
      <c r="K375" s="87">
        <f>H375*G375</f>
        <v>10</v>
      </c>
      <c r="L375" s="3">
        <v>58</v>
      </c>
      <c r="M375" s="30" t="str">
        <f>IF(L375&lt;J375,"Reorder",IF(L375&gt;=J375*1.5,"Overstock","Sufficient"))</f>
        <v>Overstock</v>
      </c>
      <c r="N375" s="30"/>
      <c r="O375" s="3"/>
    </row>
    <row r="376" spans="1:15" x14ac:dyDescent="0.35">
      <c r="A376" s="94" t="s">
        <v>2077</v>
      </c>
      <c r="B376" s="41">
        <v>203</v>
      </c>
      <c r="C376" s="57">
        <v>0.24630541871921183</v>
      </c>
      <c r="D376">
        <v>16</v>
      </c>
      <c r="F376" s="78" t="s">
        <v>2077</v>
      </c>
      <c r="G376" s="45">
        <v>203</v>
      </c>
      <c r="H376" s="79">
        <f>ROUNDUP(VLOOKUP(F376,$A$10:$C$782,3,0),0)</f>
        <v>1</v>
      </c>
      <c r="I376" s="80">
        <f>$H$7*$H$6*SQRT(G376)</f>
        <v>122.24618276248955</v>
      </c>
      <c r="J376" s="80">
        <f>(H376*G376)+I376</f>
        <v>325.24618276248952</v>
      </c>
      <c r="K376" s="87">
        <f>H376*G376</f>
        <v>203</v>
      </c>
      <c r="L376" s="3">
        <v>16</v>
      </c>
      <c r="M376" s="30" t="str">
        <f>IF(L376&lt;J376,"Reorder",IF(L376&gt;=J376*1.5,"Overstock","Sufficient"))</f>
        <v>Reorder</v>
      </c>
      <c r="N376" s="30"/>
      <c r="O376" s="3"/>
    </row>
    <row r="377" spans="1:15" x14ac:dyDescent="0.35">
      <c r="A377" s="14" t="s">
        <v>165</v>
      </c>
      <c r="B377" s="41">
        <v>1095</v>
      </c>
      <c r="C377" s="57">
        <v>5.9815200396997072</v>
      </c>
      <c r="D377">
        <v>596</v>
      </c>
      <c r="F377" s="72" t="s">
        <v>165</v>
      </c>
      <c r="G377" s="73"/>
      <c r="H377" s="74"/>
      <c r="I377" s="75"/>
      <c r="J377" s="74"/>
      <c r="K377" s="79"/>
      <c r="L377" s="76">
        <v>596</v>
      </c>
      <c r="M377" s="77"/>
      <c r="N377" s="85" t="str">
        <f>IFERROR(VLOOKUP(F377,'ABC Analysis'!$E$18:$M$138,9,0),0)</f>
        <v>A</v>
      </c>
      <c r="O377" s="86">
        <f>IFERROR(VLOOKUP(F377,'ABC Analysis'!$E$18:$G$138,3,0),0)</f>
        <v>1.274583440976765E-2</v>
      </c>
    </row>
    <row r="378" spans="1:15" x14ac:dyDescent="0.35">
      <c r="A378" s="94" t="s">
        <v>3253</v>
      </c>
      <c r="B378" s="41">
        <v>95</v>
      </c>
      <c r="C378" s="57">
        <v>0.89473684210526316</v>
      </c>
      <c r="D378">
        <v>100</v>
      </c>
      <c r="F378" s="78" t="s">
        <v>3253</v>
      </c>
      <c r="G378" s="45">
        <v>95</v>
      </c>
      <c r="H378" s="79">
        <f t="shared" ref="H378:H385" si="134">ROUNDUP(VLOOKUP(F378,$A$10:$C$782,3,0),0)</f>
        <v>1</v>
      </c>
      <c r="I378" s="80">
        <f t="shared" ref="I378:I385" si="135">$H$7*$H$6*SQRT(G378)</f>
        <v>83.627495478460901</v>
      </c>
      <c r="J378" s="80">
        <f t="shared" ref="J378:J385" si="136">(H378*G378)+I378</f>
        <v>178.6274954784609</v>
      </c>
      <c r="K378" s="87">
        <f t="shared" ref="K378:K385" si="137">H378*G378</f>
        <v>95</v>
      </c>
      <c r="L378" s="3">
        <v>100</v>
      </c>
      <c r="M378" s="30" t="str">
        <f t="shared" ref="M378:M385" si="138">IF(L378&lt;J378,"Reorder",IF(L378&gt;=J378*1.5,"Overstock","Sufficient"))</f>
        <v>Reorder</v>
      </c>
      <c r="N378" s="30"/>
      <c r="O378" s="3"/>
    </row>
    <row r="379" spans="1:15" x14ac:dyDescent="0.35">
      <c r="A379" s="94" t="s">
        <v>1617</v>
      </c>
      <c r="B379" s="41">
        <v>165</v>
      </c>
      <c r="C379" s="57">
        <v>0.36969696969696969</v>
      </c>
      <c r="D379">
        <v>95</v>
      </c>
      <c r="F379" s="78" t="s">
        <v>1617</v>
      </c>
      <c r="G379" s="45">
        <v>165</v>
      </c>
      <c r="H379" s="79">
        <f t="shared" si="134"/>
        <v>3</v>
      </c>
      <c r="I379" s="80">
        <f t="shared" si="135"/>
        <v>110.2120955249468</v>
      </c>
      <c r="J379" s="80">
        <f t="shared" si="136"/>
        <v>605.21209552494679</v>
      </c>
      <c r="K379" s="87">
        <f t="shared" si="137"/>
        <v>495</v>
      </c>
      <c r="L379" s="3">
        <v>95</v>
      </c>
      <c r="M379" s="30" t="str">
        <f t="shared" si="138"/>
        <v>Reorder</v>
      </c>
      <c r="N379" s="30"/>
      <c r="O379" s="3"/>
    </row>
    <row r="380" spans="1:15" x14ac:dyDescent="0.35">
      <c r="A380" s="94" t="s">
        <v>922</v>
      </c>
      <c r="B380" s="41">
        <v>84</v>
      </c>
      <c r="C380" s="57">
        <v>0.6785714285714286</v>
      </c>
      <c r="D380">
        <v>59</v>
      </c>
      <c r="F380" s="78" t="s">
        <v>922</v>
      </c>
      <c r="G380" s="45">
        <v>84</v>
      </c>
      <c r="H380" s="79">
        <f t="shared" si="134"/>
        <v>1</v>
      </c>
      <c r="I380" s="80">
        <f t="shared" si="135"/>
        <v>78.636998925442214</v>
      </c>
      <c r="J380" s="80">
        <f t="shared" si="136"/>
        <v>162.63699892544221</v>
      </c>
      <c r="K380" s="87">
        <f t="shared" si="137"/>
        <v>84</v>
      </c>
      <c r="L380" s="3">
        <v>59</v>
      </c>
      <c r="M380" s="30" t="str">
        <f t="shared" si="138"/>
        <v>Reorder</v>
      </c>
      <c r="N380" s="30"/>
      <c r="O380" s="3"/>
    </row>
    <row r="381" spans="1:15" x14ac:dyDescent="0.35">
      <c r="A381" s="94" t="s">
        <v>171</v>
      </c>
      <c r="B381" s="41">
        <v>34</v>
      </c>
      <c r="C381" s="57">
        <v>1.911764705882353</v>
      </c>
      <c r="D381">
        <v>56</v>
      </c>
      <c r="F381" s="78" t="s">
        <v>171</v>
      </c>
      <c r="G381" s="45">
        <v>34</v>
      </c>
      <c r="H381" s="79">
        <f t="shared" si="134"/>
        <v>1</v>
      </c>
      <c r="I381" s="80">
        <f t="shared" si="135"/>
        <v>50.029567257772683</v>
      </c>
      <c r="J381" s="80">
        <f t="shared" si="136"/>
        <v>84.029567257772683</v>
      </c>
      <c r="K381" s="87">
        <f t="shared" si="137"/>
        <v>34</v>
      </c>
      <c r="L381" s="3">
        <v>56</v>
      </c>
      <c r="M381" s="30" t="str">
        <f t="shared" si="138"/>
        <v>Reorder</v>
      </c>
      <c r="N381" s="30"/>
      <c r="O381" s="3"/>
    </row>
    <row r="382" spans="1:15" x14ac:dyDescent="0.35">
      <c r="A382" s="94" t="s">
        <v>868</v>
      </c>
      <c r="B382" s="41">
        <v>132</v>
      </c>
      <c r="C382" s="57">
        <v>0.47727272727272729</v>
      </c>
      <c r="D382">
        <v>78</v>
      </c>
      <c r="F382" s="78" t="s">
        <v>868</v>
      </c>
      <c r="G382" s="45">
        <v>132</v>
      </c>
      <c r="H382" s="79">
        <f t="shared" si="134"/>
        <v>1</v>
      </c>
      <c r="I382" s="80">
        <f t="shared" si="135"/>
        <v>98.576695014592573</v>
      </c>
      <c r="J382" s="80">
        <f t="shared" si="136"/>
        <v>230.57669501459259</v>
      </c>
      <c r="K382" s="87">
        <f t="shared" si="137"/>
        <v>132</v>
      </c>
      <c r="L382" s="3">
        <v>78</v>
      </c>
      <c r="M382" s="30" t="str">
        <f t="shared" si="138"/>
        <v>Reorder</v>
      </c>
      <c r="N382" s="30"/>
      <c r="O382" s="3"/>
    </row>
    <row r="383" spans="1:15" x14ac:dyDescent="0.35">
      <c r="A383" s="94" t="s">
        <v>2893</v>
      </c>
      <c r="B383" s="41">
        <v>57</v>
      </c>
      <c r="C383" s="57">
        <v>1.263157894736842</v>
      </c>
      <c r="D383">
        <v>93</v>
      </c>
      <c r="F383" s="78" t="s">
        <v>2893</v>
      </c>
      <c r="G383" s="45">
        <v>57</v>
      </c>
      <c r="H383" s="79">
        <f t="shared" si="134"/>
        <v>2</v>
      </c>
      <c r="I383" s="80">
        <f t="shared" si="135"/>
        <v>64.777579454623037</v>
      </c>
      <c r="J383" s="80">
        <f t="shared" si="136"/>
        <v>178.77757945462304</v>
      </c>
      <c r="K383" s="87">
        <f t="shared" si="137"/>
        <v>114</v>
      </c>
      <c r="L383" s="3">
        <v>93</v>
      </c>
      <c r="M383" s="30" t="str">
        <f t="shared" si="138"/>
        <v>Reorder</v>
      </c>
      <c r="N383" s="30"/>
      <c r="O383" s="3"/>
    </row>
    <row r="384" spans="1:15" x14ac:dyDescent="0.35">
      <c r="A384" s="94" t="s">
        <v>166</v>
      </c>
      <c r="B384" s="41">
        <v>249</v>
      </c>
      <c r="C384" s="57">
        <v>0.19277108433734941</v>
      </c>
      <c r="D384">
        <v>30</v>
      </c>
      <c r="F384" s="78" t="s">
        <v>166</v>
      </c>
      <c r="G384" s="45">
        <v>249</v>
      </c>
      <c r="H384" s="79">
        <f t="shared" si="134"/>
        <v>1</v>
      </c>
      <c r="I384" s="80">
        <f t="shared" si="135"/>
        <v>135.39011633055051</v>
      </c>
      <c r="J384" s="80">
        <f t="shared" si="136"/>
        <v>384.39011633055054</v>
      </c>
      <c r="K384" s="87">
        <f t="shared" si="137"/>
        <v>249</v>
      </c>
      <c r="L384" s="3">
        <v>30</v>
      </c>
      <c r="M384" s="30" t="str">
        <f t="shared" si="138"/>
        <v>Reorder</v>
      </c>
      <c r="N384" s="30"/>
      <c r="O384" s="3"/>
    </row>
    <row r="385" spans="1:15" x14ac:dyDescent="0.35">
      <c r="A385" s="94" t="s">
        <v>2500</v>
      </c>
      <c r="B385" s="41">
        <v>279</v>
      </c>
      <c r="C385" s="57">
        <v>0.19354838709677419</v>
      </c>
      <c r="D385">
        <v>85</v>
      </c>
      <c r="F385" s="78" t="s">
        <v>2500</v>
      </c>
      <c r="G385" s="45">
        <v>279</v>
      </c>
      <c r="H385" s="79">
        <f t="shared" si="134"/>
        <v>1</v>
      </c>
      <c r="I385" s="80">
        <f t="shared" si="135"/>
        <v>143.31425469924477</v>
      </c>
      <c r="J385" s="80">
        <f t="shared" si="136"/>
        <v>422.31425469924477</v>
      </c>
      <c r="K385" s="87">
        <f t="shared" si="137"/>
        <v>279</v>
      </c>
      <c r="L385" s="3">
        <v>85</v>
      </c>
      <c r="M385" s="30" t="str">
        <f t="shared" si="138"/>
        <v>Reorder</v>
      </c>
      <c r="N385" s="30"/>
      <c r="O385" s="3"/>
    </row>
    <row r="386" spans="1:15" x14ac:dyDescent="0.35">
      <c r="A386" s="14" t="s">
        <v>59</v>
      </c>
      <c r="B386" s="41">
        <v>437</v>
      </c>
      <c r="C386" s="57">
        <v>5.8849143501697876</v>
      </c>
      <c r="D386">
        <v>377</v>
      </c>
      <c r="F386" s="72" t="s">
        <v>59</v>
      </c>
      <c r="G386" s="73"/>
      <c r="H386" s="74"/>
      <c r="I386" s="75"/>
      <c r="J386" s="74"/>
      <c r="K386" s="79"/>
      <c r="L386" s="76">
        <v>377</v>
      </c>
      <c r="M386" s="77"/>
      <c r="N386" s="85" t="str">
        <f>IFERROR(VLOOKUP(F386,'ABC Analysis'!$E$18:$M$138,9,0),0)</f>
        <v>A</v>
      </c>
      <c r="O386" s="86">
        <f>IFERROR(VLOOKUP(F386,'ABC Analysis'!$E$18:$G$138,3,0),0)</f>
        <v>1.9403412456072903E-2</v>
      </c>
    </row>
    <row r="387" spans="1:15" x14ac:dyDescent="0.35">
      <c r="A387" s="94" t="s">
        <v>504</v>
      </c>
      <c r="B387" s="41">
        <v>18</v>
      </c>
      <c r="C387" s="57">
        <v>2.7222222222222223</v>
      </c>
      <c r="D387">
        <v>64</v>
      </c>
      <c r="F387" s="78" t="s">
        <v>504</v>
      </c>
      <c r="G387" s="45">
        <v>18</v>
      </c>
      <c r="H387" s="79">
        <f>ROUNDUP(VLOOKUP(F387,$A$10:$C$782,3,0),0)</f>
        <v>3</v>
      </c>
      <c r="I387" s="80">
        <f>$H$7*$H$6*SQRT(G387)</f>
        <v>36.401857095483464</v>
      </c>
      <c r="J387" s="80">
        <f>(H387*G387)+I387</f>
        <v>90.401857095483464</v>
      </c>
      <c r="K387" s="87">
        <f>H387*G387</f>
        <v>54</v>
      </c>
      <c r="L387" s="3">
        <v>64</v>
      </c>
      <c r="M387" s="30" t="str">
        <f>IF(L387&lt;J387,"Reorder",IF(L387&gt;=J387*1.5,"Overstock","Sufficient"))</f>
        <v>Reorder</v>
      </c>
      <c r="N387" s="30"/>
      <c r="O387" s="3"/>
    </row>
    <row r="388" spans="1:15" x14ac:dyDescent="0.35">
      <c r="A388" s="94" t="s">
        <v>312</v>
      </c>
      <c r="B388" s="41">
        <v>38</v>
      </c>
      <c r="C388" s="57">
        <v>0.86842105263157898</v>
      </c>
      <c r="D388">
        <v>83</v>
      </c>
      <c r="F388" s="78" t="s">
        <v>312</v>
      </c>
      <c r="G388" s="45">
        <v>38</v>
      </c>
      <c r="H388" s="79">
        <f>ROUNDUP(VLOOKUP(F388,$A$10:$C$782,3,0),0)</f>
        <v>1</v>
      </c>
      <c r="I388" s="80">
        <f>$H$7*$H$6*SQRT(G388)</f>
        <v>52.890672145473815</v>
      </c>
      <c r="J388" s="80">
        <f>(H388*G388)+I388</f>
        <v>90.890672145473815</v>
      </c>
      <c r="K388" s="87">
        <f>H388*G388</f>
        <v>38</v>
      </c>
      <c r="L388" s="3">
        <v>83</v>
      </c>
      <c r="M388" s="30" t="str">
        <f>IF(L388&lt;J388,"Reorder",IF(L388&gt;=J388*1.5,"Overstock","Sufficient"))</f>
        <v>Reorder</v>
      </c>
      <c r="N388" s="30"/>
      <c r="O388" s="3"/>
    </row>
    <row r="389" spans="1:15" x14ac:dyDescent="0.35">
      <c r="A389" s="94" t="s">
        <v>1795</v>
      </c>
      <c r="B389" s="41">
        <v>167</v>
      </c>
      <c r="C389" s="57">
        <v>0.47904191616766467</v>
      </c>
      <c r="D389">
        <v>51</v>
      </c>
      <c r="F389" s="78" t="s">
        <v>1795</v>
      </c>
      <c r="G389" s="45">
        <v>167</v>
      </c>
      <c r="H389" s="79">
        <f>ROUNDUP(VLOOKUP(F389,$A$10:$C$782,3,0),0)</f>
        <v>2</v>
      </c>
      <c r="I389" s="80">
        <f>$H$7*$H$6*SQRT(G389)</f>
        <v>110.87803569688634</v>
      </c>
      <c r="J389" s="80">
        <f>(H389*G389)+I389</f>
        <v>444.87803569688634</v>
      </c>
      <c r="K389" s="87">
        <f>H389*G389</f>
        <v>334</v>
      </c>
      <c r="L389" s="3">
        <v>51</v>
      </c>
      <c r="M389" s="30" t="str">
        <f>IF(L389&lt;J389,"Reorder",IF(L389&gt;=J389*1.5,"Overstock","Sufficient"))</f>
        <v>Reorder</v>
      </c>
      <c r="N389" s="30"/>
      <c r="O389" s="3"/>
    </row>
    <row r="390" spans="1:15" x14ac:dyDescent="0.35">
      <c r="A390" s="94" t="s">
        <v>1374</v>
      </c>
      <c r="B390" s="41">
        <v>163</v>
      </c>
      <c r="C390" s="57">
        <v>0.22699386503067484</v>
      </c>
      <c r="D390">
        <v>86</v>
      </c>
      <c r="F390" s="78" t="s">
        <v>1374</v>
      </c>
      <c r="G390" s="45">
        <v>163</v>
      </c>
      <c r="H390" s="79">
        <f>ROUNDUP(VLOOKUP(F390,$A$10:$C$782,3,0),0)</f>
        <v>1</v>
      </c>
      <c r="I390" s="80">
        <f>$H$7*$H$6*SQRT(G390)</f>
        <v>109.54210697261578</v>
      </c>
      <c r="J390" s="80">
        <f>(H390*G390)+I390</f>
        <v>272.54210697261578</v>
      </c>
      <c r="K390" s="87">
        <f>H390*G390</f>
        <v>163</v>
      </c>
      <c r="L390" s="3">
        <v>86</v>
      </c>
      <c r="M390" s="30" t="str">
        <f>IF(L390&lt;J390,"Reorder",IF(L390&gt;=J390*1.5,"Overstock","Sufficient"))</f>
        <v>Reorder</v>
      </c>
      <c r="N390" s="30"/>
      <c r="O390" s="3"/>
    </row>
    <row r="391" spans="1:15" x14ac:dyDescent="0.35">
      <c r="A391" s="94" t="s">
        <v>2001</v>
      </c>
      <c r="B391" s="41">
        <v>51</v>
      </c>
      <c r="C391" s="57">
        <v>1.588235294117647</v>
      </c>
      <c r="D391">
        <v>93</v>
      </c>
      <c r="F391" s="78" t="s">
        <v>2001</v>
      </c>
      <c r="G391" s="45">
        <v>51</v>
      </c>
      <c r="H391" s="79">
        <f>ROUNDUP(VLOOKUP(F391,$A$10:$C$782,3,0),0)</f>
        <v>2</v>
      </c>
      <c r="I391" s="80">
        <f>$H$7*$H$6*SQRT(G391)</f>
        <v>61.27345591689766</v>
      </c>
      <c r="J391" s="80">
        <f>(H391*G391)+I391</f>
        <v>163.27345591689766</v>
      </c>
      <c r="K391" s="87">
        <f>H391*G391</f>
        <v>102</v>
      </c>
      <c r="L391" s="3">
        <v>93</v>
      </c>
      <c r="M391" s="30" t="str">
        <f>IF(L391&lt;J391,"Reorder",IF(L391&gt;=J391*1.5,"Overstock","Sufficient"))</f>
        <v>Reorder</v>
      </c>
      <c r="N391" s="30"/>
      <c r="O391" s="3"/>
    </row>
    <row r="392" spans="1:15" x14ac:dyDescent="0.35">
      <c r="A392" s="14" t="s">
        <v>193</v>
      </c>
      <c r="B392" s="41">
        <v>651</v>
      </c>
      <c r="C392" s="57">
        <v>5.8411125279245359</v>
      </c>
      <c r="D392">
        <v>233</v>
      </c>
      <c r="F392" s="72" t="s">
        <v>193</v>
      </c>
      <c r="G392" s="73"/>
      <c r="H392" s="74"/>
      <c r="I392" s="75"/>
      <c r="J392" s="74"/>
      <c r="K392" s="79"/>
      <c r="L392" s="76">
        <v>233</v>
      </c>
      <c r="M392" s="77"/>
      <c r="N392" s="85" t="str">
        <f>IFERROR(VLOOKUP(F392,'ABC Analysis'!$E$18:$M$138,9,0),0)</f>
        <v>C</v>
      </c>
      <c r="O392" s="86">
        <f>IFERROR(VLOOKUP(F392,'ABC Analysis'!$E$18:$G$138,3,0),0)</f>
        <v>2.5668855669807819E-3</v>
      </c>
    </row>
    <row r="393" spans="1:15" x14ac:dyDescent="0.35">
      <c r="A393" s="94" t="s">
        <v>235</v>
      </c>
      <c r="B393" s="41">
        <v>227</v>
      </c>
      <c r="C393" s="57">
        <v>0.44052863436123346</v>
      </c>
      <c r="D393">
        <v>14</v>
      </c>
      <c r="F393" s="78" t="s">
        <v>235</v>
      </c>
      <c r="G393" s="45">
        <v>227</v>
      </c>
      <c r="H393" s="79">
        <f t="shared" ref="H393:H398" si="139">ROUNDUP(VLOOKUP(F393,$A$10:$C$782,3,0),0)</f>
        <v>1</v>
      </c>
      <c r="I393" s="80">
        <f t="shared" ref="I393:I398" si="140">$H$7*$H$6*SQRT(G393)</f>
        <v>129.27073450708014</v>
      </c>
      <c r="J393" s="80">
        <f t="shared" ref="J393:J398" si="141">(H393*G393)+I393</f>
        <v>356.27073450708014</v>
      </c>
      <c r="K393" s="87">
        <f t="shared" ref="K393:K398" si="142">H393*G393</f>
        <v>227</v>
      </c>
      <c r="L393" s="3">
        <v>14</v>
      </c>
      <c r="M393" s="30" t="str">
        <f t="shared" ref="M393:M398" si="143">IF(L393&lt;J393,"Reorder",IF(L393&gt;=J393*1.5,"Overstock","Sufficient"))</f>
        <v>Reorder</v>
      </c>
      <c r="N393" s="30"/>
      <c r="O393" s="3"/>
    </row>
    <row r="394" spans="1:15" x14ac:dyDescent="0.35">
      <c r="A394" s="94" t="s">
        <v>194</v>
      </c>
      <c r="B394" s="41">
        <v>123</v>
      </c>
      <c r="C394" s="57">
        <v>0.43902439024390244</v>
      </c>
      <c r="D394">
        <v>18</v>
      </c>
      <c r="F394" s="78" t="s">
        <v>194</v>
      </c>
      <c r="G394" s="45">
        <v>123</v>
      </c>
      <c r="H394" s="79">
        <f t="shared" si="139"/>
        <v>1</v>
      </c>
      <c r="I394" s="80">
        <f t="shared" si="140"/>
        <v>95.1568032249928</v>
      </c>
      <c r="J394" s="80">
        <f t="shared" si="141"/>
        <v>218.15680322499281</v>
      </c>
      <c r="K394" s="87">
        <f t="shared" si="142"/>
        <v>123</v>
      </c>
      <c r="L394" s="3">
        <v>18</v>
      </c>
      <c r="M394" s="30" t="str">
        <f t="shared" si="143"/>
        <v>Reorder</v>
      </c>
      <c r="N394" s="30"/>
      <c r="O394" s="3"/>
    </row>
    <row r="395" spans="1:15" x14ac:dyDescent="0.35">
      <c r="A395" s="94" t="s">
        <v>729</v>
      </c>
      <c r="B395" s="41">
        <v>166</v>
      </c>
      <c r="C395" s="57">
        <v>0.46385542168674698</v>
      </c>
      <c r="D395">
        <v>76</v>
      </c>
      <c r="F395" s="78" t="s">
        <v>729</v>
      </c>
      <c r="G395" s="45">
        <v>166</v>
      </c>
      <c r="H395" s="79">
        <f t="shared" si="139"/>
        <v>4</v>
      </c>
      <c r="I395" s="80">
        <f t="shared" si="140"/>
        <v>110.54556707530158</v>
      </c>
      <c r="J395" s="80">
        <f t="shared" si="141"/>
        <v>774.54556707530162</v>
      </c>
      <c r="K395" s="87">
        <f t="shared" si="142"/>
        <v>664</v>
      </c>
      <c r="L395" s="3">
        <v>76</v>
      </c>
      <c r="M395" s="30" t="str">
        <f t="shared" si="143"/>
        <v>Reorder</v>
      </c>
      <c r="N395" s="30"/>
      <c r="O395" s="3"/>
    </row>
    <row r="396" spans="1:15" x14ac:dyDescent="0.35">
      <c r="A396" s="94" t="s">
        <v>1697</v>
      </c>
      <c r="B396" s="41">
        <v>49</v>
      </c>
      <c r="C396" s="57">
        <v>0.65306122448979587</v>
      </c>
      <c r="D396">
        <v>75</v>
      </c>
      <c r="F396" s="78" t="s">
        <v>1697</v>
      </c>
      <c r="G396" s="45">
        <v>49</v>
      </c>
      <c r="H396" s="79">
        <f t="shared" si="139"/>
        <v>1</v>
      </c>
      <c r="I396" s="80">
        <f t="shared" si="140"/>
        <v>60.06</v>
      </c>
      <c r="J396" s="80">
        <f t="shared" si="141"/>
        <v>109.06</v>
      </c>
      <c r="K396" s="87">
        <f t="shared" si="142"/>
        <v>49</v>
      </c>
      <c r="L396" s="3">
        <v>75</v>
      </c>
      <c r="M396" s="30" t="str">
        <f t="shared" si="143"/>
        <v>Reorder</v>
      </c>
      <c r="N396" s="30"/>
      <c r="O396" s="3"/>
    </row>
    <row r="397" spans="1:15" x14ac:dyDescent="0.35">
      <c r="A397" s="94" t="s">
        <v>1550</v>
      </c>
      <c r="B397" s="41">
        <v>70</v>
      </c>
      <c r="C397" s="57">
        <v>1.1571428571428573</v>
      </c>
      <c r="D397">
        <v>29</v>
      </c>
      <c r="F397" s="78" t="s">
        <v>1550</v>
      </c>
      <c r="G397" s="45">
        <v>70</v>
      </c>
      <c r="H397" s="79">
        <f t="shared" si="139"/>
        <v>1</v>
      </c>
      <c r="I397" s="80">
        <f t="shared" si="140"/>
        <v>71.785430276623686</v>
      </c>
      <c r="J397" s="80">
        <f t="shared" si="141"/>
        <v>141.78543027662369</v>
      </c>
      <c r="K397" s="87">
        <f t="shared" si="142"/>
        <v>70</v>
      </c>
      <c r="L397" s="3">
        <v>29</v>
      </c>
      <c r="M397" s="30" t="str">
        <f t="shared" si="143"/>
        <v>Reorder</v>
      </c>
      <c r="N397" s="30"/>
      <c r="O397" s="3"/>
    </row>
    <row r="398" spans="1:15" x14ac:dyDescent="0.35">
      <c r="A398" s="94" t="s">
        <v>166</v>
      </c>
      <c r="B398" s="41">
        <v>16</v>
      </c>
      <c r="C398" s="57">
        <v>2.6875</v>
      </c>
      <c r="D398">
        <v>21</v>
      </c>
      <c r="F398" s="78" t="s">
        <v>166</v>
      </c>
      <c r="G398" s="45">
        <v>16</v>
      </c>
      <c r="H398" s="79">
        <f t="shared" si="139"/>
        <v>1</v>
      </c>
      <c r="I398" s="80">
        <f t="shared" si="140"/>
        <v>34.32</v>
      </c>
      <c r="J398" s="80">
        <f t="shared" si="141"/>
        <v>50.32</v>
      </c>
      <c r="K398" s="87">
        <f t="shared" si="142"/>
        <v>16</v>
      </c>
      <c r="L398" s="3">
        <v>21</v>
      </c>
      <c r="M398" s="30" t="str">
        <f t="shared" si="143"/>
        <v>Reorder</v>
      </c>
      <c r="N398" s="30"/>
      <c r="O398" s="3"/>
    </row>
    <row r="399" spans="1:15" x14ac:dyDescent="0.35">
      <c r="A399" s="14" t="s">
        <v>126</v>
      </c>
      <c r="B399" s="41">
        <v>2231</v>
      </c>
      <c r="C399" s="57">
        <v>5.8315535954155457</v>
      </c>
      <c r="D399">
        <v>704</v>
      </c>
      <c r="F399" s="72" t="s">
        <v>126</v>
      </c>
      <c r="G399" s="73"/>
      <c r="H399" s="74"/>
      <c r="I399" s="75"/>
      <c r="J399" s="74"/>
      <c r="K399" s="79"/>
      <c r="L399" s="76">
        <v>704</v>
      </c>
      <c r="M399" s="77"/>
      <c r="N399" s="85" t="str">
        <f>IFERROR(VLOOKUP(F399,'ABC Analysis'!$E$18:$M$138,9,0),0)</f>
        <v>A</v>
      </c>
      <c r="O399" s="86">
        <f>IFERROR(VLOOKUP(F399,'ABC Analysis'!$E$18:$G$138,3,0),0)</f>
        <v>5.1250570265711101E-2</v>
      </c>
    </row>
    <row r="400" spans="1:15" x14ac:dyDescent="0.35">
      <c r="A400" s="94" t="s">
        <v>678</v>
      </c>
      <c r="B400" s="41">
        <v>209</v>
      </c>
      <c r="C400" s="57">
        <v>0.18660287081339713</v>
      </c>
      <c r="D400">
        <v>98</v>
      </c>
      <c r="F400" s="78" t="s">
        <v>678</v>
      </c>
      <c r="G400" s="45">
        <v>209</v>
      </c>
      <c r="H400" s="79">
        <f t="shared" ref="H400:H411" si="144">ROUNDUP(VLOOKUP(F400,$A$10:$C$782,3,0),0)</f>
        <v>1</v>
      </c>
      <c r="I400" s="80">
        <f t="shared" ref="I400:I411" si="145">$H$7*$H$6*SQRT(G400)</f>
        <v>124.03962108939224</v>
      </c>
      <c r="J400" s="80">
        <f t="shared" ref="J400:J411" si="146">(H400*G400)+I400</f>
        <v>333.03962108939226</v>
      </c>
      <c r="K400" s="87">
        <f t="shared" ref="K400:K411" si="147">H400*G400</f>
        <v>209</v>
      </c>
      <c r="L400" s="3">
        <v>98</v>
      </c>
      <c r="M400" s="30" t="str">
        <f t="shared" ref="M400:M411" si="148">IF(L400&lt;J400,"Reorder",IF(L400&gt;=J400*1.5,"Overstock","Sufficient"))</f>
        <v>Reorder</v>
      </c>
      <c r="N400" s="30"/>
      <c r="O400" s="3"/>
    </row>
    <row r="401" spans="1:15" x14ac:dyDescent="0.35">
      <c r="A401" s="94" t="s">
        <v>1000</v>
      </c>
      <c r="B401" s="41">
        <v>340</v>
      </c>
      <c r="C401" s="57">
        <v>0.2676470588235294</v>
      </c>
      <c r="D401">
        <v>36</v>
      </c>
      <c r="F401" s="78" t="s">
        <v>1000</v>
      </c>
      <c r="G401" s="45">
        <v>340</v>
      </c>
      <c r="H401" s="79">
        <f t="shared" si="144"/>
        <v>1</v>
      </c>
      <c r="I401" s="80">
        <f t="shared" si="145"/>
        <v>158.20738288714594</v>
      </c>
      <c r="J401" s="80">
        <f t="shared" si="146"/>
        <v>498.20738288714597</v>
      </c>
      <c r="K401" s="87">
        <f t="shared" si="147"/>
        <v>340</v>
      </c>
      <c r="L401" s="3">
        <v>36</v>
      </c>
      <c r="M401" s="30" t="str">
        <f t="shared" si="148"/>
        <v>Reorder</v>
      </c>
      <c r="N401" s="30"/>
      <c r="O401" s="3"/>
    </row>
    <row r="402" spans="1:15" x14ac:dyDescent="0.35">
      <c r="A402" s="94" t="s">
        <v>1739</v>
      </c>
      <c r="B402" s="41">
        <v>60</v>
      </c>
      <c r="C402" s="57">
        <v>1.1166666666666667</v>
      </c>
      <c r="D402">
        <v>13</v>
      </c>
      <c r="F402" s="78" t="s">
        <v>1739</v>
      </c>
      <c r="G402" s="45">
        <v>60</v>
      </c>
      <c r="H402" s="79">
        <f t="shared" si="144"/>
        <v>2</v>
      </c>
      <c r="I402" s="80">
        <f t="shared" si="145"/>
        <v>66.460394220919284</v>
      </c>
      <c r="J402" s="80">
        <f t="shared" si="146"/>
        <v>186.46039422091928</v>
      </c>
      <c r="K402" s="87">
        <f t="shared" si="147"/>
        <v>120</v>
      </c>
      <c r="L402" s="3">
        <v>13</v>
      </c>
      <c r="M402" s="30" t="str">
        <f t="shared" si="148"/>
        <v>Reorder</v>
      </c>
      <c r="N402" s="30"/>
      <c r="O402" s="3"/>
    </row>
    <row r="403" spans="1:15" x14ac:dyDescent="0.35">
      <c r="A403" s="94" t="s">
        <v>1926</v>
      </c>
      <c r="B403" s="41">
        <v>212</v>
      </c>
      <c r="C403" s="57">
        <v>0.34905660377358488</v>
      </c>
      <c r="D403">
        <v>97</v>
      </c>
      <c r="F403" s="78" t="s">
        <v>1926</v>
      </c>
      <c r="G403" s="45">
        <v>212</v>
      </c>
      <c r="H403" s="79">
        <f t="shared" si="144"/>
        <v>1</v>
      </c>
      <c r="I403" s="80">
        <f t="shared" si="145"/>
        <v>124.9266857000537</v>
      </c>
      <c r="J403" s="80">
        <f t="shared" si="146"/>
        <v>336.92668570005367</v>
      </c>
      <c r="K403" s="87">
        <f t="shared" si="147"/>
        <v>212</v>
      </c>
      <c r="L403" s="3">
        <v>97</v>
      </c>
      <c r="M403" s="30" t="str">
        <f t="shared" si="148"/>
        <v>Reorder</v>
      </c>
      <c r="N403" s="30"/>
      <c r="O403" s="3"/>
    </row>
    <row r="404" spans="1:15" x14ac:dyDescent="0.35">
      <c r="A404" s="94" t="s">
        <v>2167</v>
      </c>
      <c r="B404" s="41">
        <v>215</v>
      </c>
      <c r="C404" s="57">
        <v>0.16744186046511628</v>
      </c>
      <c r="D404">
        <v>45</v>
      </c>
      <c r="F404" s="78" t="s">
        <v>2167</v>
      </c>
      <c r="G404" s="45">
        <v>215</v>
      </c>
      <c r="H404" s="79">
        <f t="shared" si="144"/>
        <v>1</v>
      </c>
      <c r="I404" s="80">
        <f t="shared" si="145"/>
        <v>125.80749580211824</v>
      </c>
      <c r="J404" s="80">
        <f t="shared" si="146"/>
        <v>340.80749580211824</v>
      </c>
      <c r="K404" s="87">
        <f t="shared" si="147"/>
        <v>215</v>
      </c>
      <c r="L404" s="3">
        <v>45</v>
      </c>
      <c r="M404" s="30" t="str">
        <f t="shared" si="148"/>
        <v>Reorder</v>
      </c>
      <c r="N404" s="30"/>
      <c r="O404" s="3"/>
    </row>
    <row r="405" spans="1:15" x14ac:dyDescent="0.35">
      <c r="A405" s="94" t="s">
        <v>1599</v>
      </c>
      <c r="B405" s="41">
        <v>67</v>
      </c>
      <c r="C405" s="57">
        <v>1.4925373134328359</v>
      </c>
      <c r="D405">
        <v>74</v>
      </c>
      <c r="F405" s="78" t="s">
        <v>1599</v>
      </c>
      <c r="G405" s="45">
        <v>67</v>
      </c>
      <c r="H405" s="79">
        <f t="shared" si="144"/>
        <v>2</v>
      </c>
      <c r="I405" s="80">
        <f t="shared" si="145"/>
        <v>70.230326782665628</v>
      </c>
      <c r="J405" s="80">
        <f t="shared" si="146"/>
        <v>204.23032678266563</v>
      </c>
      <c r="K405" s="87">
        <f t="shared" si="147"/>
        <v>134</v>
      </c>
      <c r="L405" s="3">
        <v>74</v>
      </c>
      <c r="M405" s="30" t="str">
        <f t="shared" si="148"/>
        <v>Reorder</v>
      </c>
      <c r="N405" s="30"/>
      <c r="O405" s="3"/>
    </row>
    <row r="406" spans="1:15" x14ac:dyDescent="0.35">
      <c r="A406" s="94" t="s">
        <v>2713</v>
      </c>
      <c r="B406" s="41">
        <v>163</v>
      </c>
      <c r="C406" s="57">
        <v>0.2822085889570552</v>
      </c>
      <c r="D406">
        <v>55</v>
      </c>
      <c r="F406" s="78" t="s">
        <v>2713</v>
      </c>
      <c r="G406" s="45">
        <v>163</v>
      </c>
      <c r="H406" s="79">
        <f t="shared" si="144"/>
        <v>1</v>
      </c>
      <c r="I406" s="80">
        <f t="shared" si="145"/>
        <v>109.54210697261578</v>
      </c>
      <c r="J406" s="80">
        <f t="shared" si="146"/>
        <v>272.54210697261578</v>
      </c>
      <c r="K406" s="87">
        <f t="shared" si="147"/>
        <v>163</v>
      </c>
      <c r="L406" s="3">
        <v>55</v>
      </c>
      <c r="M406" s="30" t="str">
        <f t="shared" si="148"/>
        <v>Reorder</v>
      </c>
      <c r="N406" s="30"/>
      <c r="O406" s="3"/>
    </row>
    <row r="407" spans="1:15" x14ac:dyDescent="0.35">
      <c r="A407" s="94" t="s">
        <v>637</v>
      </c>
      <c r="B407" s="41">
        <v>55</v>
      </c>
      <c r="C407" s="57">
        <v>0.5636363636363636</v>
      </c>
      <c r="D407">
        <v>23</v>
      </c>
      <c r="F407" s="78" t="s">
        <v>637</v>
      </c>
      <c r="G407" s="45">
        <v>55</v>
      </c>
      <c r="H407" s="79">
        <f t="shared" si="144"/>
        <v>1</v>
      </c>
      <c r="I407" s="80">
        <f t="shared" si="145"/>
        <v>63.630983019280791</v>
      </c>
      <c r="J407" s="80">
        <f t="shared" si="146"/>
        <v>118.63098301928079</v>
      </c>
      <c r="K407" s="87">
        <f t="shared" si="147"/>
        <v>55</v>
      </c>
      <c r="L407" s="3">
        <v>23</v>
      </c>
      <c r="M407" s="30" t="str">
        <f t="shared" si="148"/>
        <v>Reorder</v>
      </c>
      <c r="N407" s="30"/>
      <c r="O407" s="3"/>
    </row>
    <row r="408" spans="1:15" x14ac:dyDescent="0.35">
      <c r="A408" s="94" t="s">
        <v>1318</v>
      </c>
      <c r="B408" s="41">
        <v>262</v>
      </c>
      <c r="C408" s="57">
        <v>0.31679389312977096</v>
      </c>
      <c r="D408">
        <v>74</v>
      </c>
      <c r="F408" s="78" t="s">
        <v>1318</v>
      </c>
      <c r="G408" s="45">
        <v>262</v>
      </c>
      <c r="H408" s="79">
        <f t="shared" si="144"/>
        <v>4</v>
      </c>
      <c r="I408" s="80">
        <f t="shared" si="145"/>
        <v>138.8794326025276</v>
      </c>
      <c r="J408" s="80">
        <f t="shared" si="146"/>
        <v>1186.8794326025277</v>
      </c>
      <c r="K408" s="87">
        <f t="shared" si="147"/>
        <v>1048</v>
      </c>
      <c r="L408" s="3">
        <v>74</v>
      </c>
      <c r="M408" s="30" t="str">
        <f t="shared" si="148"/>
        <v>Reorder</v>
      </c>
      <c r="N408" s="30"/>
      <c r="O408" s="3"/>
    </row>
    <row r="409" spans="1:15" x14ac:dyDescent="0.35">
      <c r="A409" s="94" t="s">
        <v>161</v>
      </c>
      <c r="B409" s="41">
        <v>280</v>
      </c>
      <c r="C409" s="57">
        <v>0.1</v>
      </c>
      <c r="D409">
        <v>65</v>
      </c>
      <c r="F409" s="78" t="s">
        <v>161</v>
      </c>
      <c r="G409" s="45">
        <v>280</v>
      </c>
      <c r="H409" s="79">
        <f t="shared" si="144"/>
        <v>6</v>
      </c>
      <c r="I409" s="80">
        <f t="shared" si="145"/>
        <v>143.57086055324737</v>
      </c>
      <c r="J409" s="80">
        <f t="shared" si="146"/>
        <v>1823.5708605532473</v>
      </c>
      <c r="K409" s="87">
        <f t="shared" si="147"/>
        <v>1680</v>
      </c>
      <c r="L409" s="3">
        <v>65</v>
      </c>
      <c r="M409" s="30" t="str">
        <f t="shared" si="148"/>
        <v>Reorder</v>
      </c>
      <c r="N409" s="30"/>
      <c r="O409" s="3"/>
    </row>
    <row r="410" spans="1:15" x14ac:dyDescent="0.35">
      <c r="A410" s="94" t="s">
        <v>1378</v>
      </c>
      <c r="B410" s="41">
        <v>289</v>
      </c>
      <c r="C410" s="57">
        <v>0.20415224913494809</v>
      </c>
      <c r="D410">
        <v>46</v>
      </c>
      <c r="F410" s="78" t="s">
        <v>1378</v>
      </c>
      <c r="G410" s="45">
        <v>289</v>
      </c>
      <c r="H410" s="79">
        <f t="shared" si="144"/>
        <v>1</v>
      </c>
      <c r="I410" s="80">
        <f t="shared" si="145"/>
        <v>145.86000000000001</v>
      </c>
      <c r="J410" s="80">
        <f t="shared" si="146"/>
        <v>434.86</v>
      </c>
      <c r="K410" s="87">
        <f t="shared" si="147"/>
        <v>289</v>
      </c>
      <c r="L410" s="3">
        <v>46</v>
      </c>
      <c r="M410" s="30" t="str">
        <f t="shared" si="148"/>
        <v>Reorder</v>
      </c>
      <c r="N410" s="30"/>
      <c r="O410" s="3"/>
    </row>
    <row r="411" spans="1:15" x14ac:dyDescent="0.35">
      <c r="A411" s="94" t="s">
        <v>1913</v>
      </c>
      <c r="B411" s="41">
        <v>79</v>
      </c>
      <c r="C411" s="57">
        <v>0.78481012658227844</v>
      </c>
      <c r="D411">
        <v>78</v>
      </c>
      <c r="F411" s="78" t="s">
        <v>1913</v>
      </c>
      <c r="G411" s="45">
        <v>79</v>
      </c>
      <c r="H411" s="79">
        <f t="shared" si="144"/>
        <v>1</v>
      </c>
      <c r="I411" s="80">
        <f t="shared" si="145"/>
        <v>76.260708100567754</v>
      </c>
      <c r="J411" s="80">
        <f t="shared" si="146"/>
        <v>155.26070810056774</v>
      </c>
      <c r="K411" s="87">
        <f t="shared" si="147"/>
        <v>79</v>
      </c>
      <c r="L411" s="3">
        <v>78</v>
      </c>
      <c r="M411" s="30" t="str">
        <f t="shared" si="148"/>
        <v>Reorder</v>
      </c>
      <c r="N411" s="30"/>
      <c r="O411" s="3"/>
    </row>
    <row r="412" spans="1:15" x14ac:dyDescent="0.35">
      <c r="A412" s="14" t="s">
        <v>96</v>
      </c>
      <c r="B412" s="41">
        <v>1268</v>
      </c>
      <c r="C412" s="57">
        <v>5.817568995144029</v>
      </c>
      <c r="D412">
        <v>598</v>
      </c>
      <c r="F412" s="72" t="s">
        <v>96</v>
      </c>
      <c r="G412" s="73"/>
      <c r="H412" s="74"/>
      <c r="I412" s="75"/>
      <c r="J412" s="74"/>
      <c r="K412" s="79"/>
      <c r="L412" s="76">
        <v>598</v>
      </c>
      <c r="M412" s="77"/>
      <c r="N412" s="85" t="str">
        <f>IFERROR(VLOOKUP(F412,'ABC Analysis'!$E$18:$M$138,9,0),0)</f>
        <v>A</v>
      </c>
      <c r="O412" s="86">
        <f>IFERROR(VLOOKUP(F412,'ABC Analysis'!$E$18:$G$138,3,0),0)</f>
        <v>6.6502001020480031E-3</v>
      </c>
    </row>
    <row r="413" spans="1:15" x14ac:dyDescent="0.35">
      <c r="A413" s="94" t="s">
        <v>1870</v>
      </c>
      <c r="B413" s="41">
        <v>110</v>
      </c>
      <c r="C413" s="57">
        <v>0.50909090909090904</v>
      </c>
      <c r="D413">
        <v>52</v>
      </c>
      <c r="F413" s="78" t="s">
        <v>1870</v>
      </c>
      <c r="G413" s="45">
        <v>110</v>
      </c>
      <c r="H413" s="79">
        <f t="shared" ref="H413:H422" si="149">ROUNDUP(VLOOKUP(F413,$A$10:$C$782,3,0),0)</f>
        <v>1</v>
      </c>
      <c r="I413" s="80">
        <f t="shared" ref="I413:I422" si="150">$H$7*$H$6*SQRT(G413)</f>
        <v>89.987799172999004</v>
      </c>
      <c r="J413" s="80">
        <f t="shared" ref="J413:J422" si="151">(H413*G413)+I413</f>
        <v>199.98779917299902</v>
      </c>
      <c r="K413" s="87">
        <f t="shared" ref="K413:K422" si="152">H413*G413</f>
        <v>110</v>
      </c>
      <c r="L413" s="3">
        <v>52</v>
      </c>
      <c r="M413" s="30" t="str">
        <f t="shared" ref="M413:M422" si="153">IF(L413&lt;J413,"Reorder",IF(L413&gt;=J413*1.5,"Overstock","Sufficient"))</f>
        <v>Reorder</v>
      </c>
      <c r="N413" s="30"/>
      <c r="O413" s="3"/>
    </row>
    <row r="414" spans="1:15" x14ac:dyDescent="0.35">
      <c r="A414" s="94" t="s">
        <v>725</v>
      </c>
      <c r="B414" s="41">
        <v>67</v>
      </c>
      <c r="C414" s="57">
        <v>0.95522388059701491</v>
      </c>
      <c r="D414">
        <v>77</v>
      </c>
      <c r="F414" s="78" t="s">
        <v>725</v>
      </c>
      <c r="G414" s="45">
        <v>67</v>
      </c>
      <c r="H414" s="79">
        <f t="shared" si="149"/>
        <v>1</v>
      </c>
      <c r="I414" s="80">
        <f t="shared" si="150"/>
        <v>70.230326782665628</v>
      </c>
      <c r="J414" s="80">
        <f t="shared" si="151"/>
        <v>137.23032678266563</v>
      </c>
      <c r="K414" s="87">
        <f t="shared" si="152"/>
        <v>67</v>
      </c>
      <c r="L414" s="3">
        <v>77</v>
      </c>
      <c r="M414" s="30" t="str">
        <f t="shared" si="153"/>
        <v>Reorder</v>
      </c>
      <c r="N414" s="30"/>
      <c r="O414" s="3"/>
    </row>
    <row r="415" spans="1:15" x14ac:dyDescent="0.35">
      <c r="A415" s="94" t="s">
        <v>97</v>
      </c>
      <c r="B415" s="41">
        <v>144</v>
      </c>
      <c r="C415" s="57">
        <v>0.19444444444444445</v>
      </c>
      <c r="D415">
        <v>34</v>
      </c>
      <c r="F415" s="78" t="s">
        <v>97</v>
      </c>
      <c r="G415" s="45">
        <v>144</v>
      </c>
      <c r="H415" s="79">
        <f t="shared" si="149"/>
        <v>1</v>
      </c>
      <c r="I415" s="80">
        <f t="shared" si="150"/>
        <v>102.96000000000001</v>
      </c>
      <c r="J415" s="80">
        <f t="shared" si="151"/>
        <v>246.96</v>
      </c>
      <c r="K415" s="87">
        <f t="shared" si="152"/>
        <v>144</v>
      </c>
      <c r="L415" s="3">
        <v>34</v>
      </c>
      <c r="M415" s="30" t="str">
        <f t="shared" si="153"/>
        <v>Reorder</v>
      </c>
      <c r="N415" s="30"/>
      <c r="O415" s="3"/>
    </row>
    <row r="416" spans="1:15" x14ac:dyDescent="0.35">
      <c r="A416" s="94" t="s">
        <v>138</v>
      </c>
      <c r="B416" s="41">
        <v>152</v>
      </c>
      <c r="C416" s="57">
        <v>0.46052631578947367</v>
      </c>
      <c r="D416">
        <v>19</v>
      </c>
      <c r="F416" s="78" t="s">
        <v>138</v>
      </c>
      <c r="G416" s="45">
        <v>152</v>
      </c>
      <c r="H416" s="79">
        <f t="shared" si="149"/>
        <v>1</v>
      </c>
      <c r="I416" s="80">
        <f t="shared" si="150"/>
        <v>105.78134429094763</v>
      </c>
      <c r="J416" s="80">
        <f t="shared" si="151"/>
        <v>257.78134429094763</v>
      </c>
      <c r="K416" s="87">
        <f t="shared" si="152"/>
        <v>152</v>
      </c>
      <c r="L416" s="3">
        <v>19</v>
      </c>
      <c r="M416" s="30" t="str">
        <f t="shared" si="153"/>
        <v>Reorder</v>
      </c>
      <c r="N416" s="30"/>
      <c r="O416" s="3"/>
    </row>
    <row r="417" spans="1:15" x14ac:dyDescent="0.35">
      <c r="A417" s="94" t="s">
        <v>778</v>
      </c>
      <c r="B417" s="41">
        <v>72</v>
      </c>
      <c r="C417" s="57">
        <v>1.2777777777777777</v>
      </c>
      <c r="D417">
        <v>95</v>
      </c>
      <c r="F417" s="78" t="s">
        <v>778</v>
      </c>
      <c r="G417" s="45">
        <v>72</v>
      </c>
      <c r="H417" s="79">
        <f t="shared" si="149"/>
        <v>1</v>
      </c>
      <c r="I417" s="80">
        <f t="shared" si="150"/>
        <v>72.803714190966929</v>
      </c>
      <c r="J417" s="80">
        <f t="shared" si="151"/>
        <v>144.80371419096693</v>
      </c>
      <c r="K417" s="87">
        <f t="shared" si="152"/>
        <v>72</v>
      </c>
      <c r="L417" s="3">
        <v>95</v>
      </c>
      <c r="M417" s="30" t="str">
        <f t="shared" si="153"/>
        <v>Reorder</v>
      </c>
      <c r="N417" s="30"/>
      <c r="O417" s="3"/>
    </row>
    <row r="418" spans="1:15" x14ac:dyDescent="0.35">
      <c r="A418" s="94" t="s">
        <v>1303</v>
      </c>
      <c r="B418" s="41">
        <v>139</v>
      </c>
      <c r="C418" s="57">
        <v>0.15107913669064749</v>
      </c>
      <c r="D418">
        <v>40</v>
      </c>
      <c r="F418" s="78" t="s">
        <v>1303</v>
      </c>
      <c r="G418" s="45">
        <v>139</v>
      </c>
      <c r="H418" s="79">
        <f t="shared" si="149"/>
        <v>1</v>
      </c>
      <c r="I418" s="80">
        <f t="shared" si="150"/>
        <v>101.15670813149269</v>
      </c>
      <c r="J418" s="80">
        <f t="shared" si="151"/>
        <v>240.15670813149268</v>
      </c>
      <c r="K418" s="87">
        <f t="shared" si="152"/>
        <v>139</v>
      </c>
      <c r="L418" s="3">
        <v>40</v>
      </c>
      <c r="M418" s="30" t="str">
        <f t="shared" si="153"/>
        <v>Reorder</v>
      </c>
      <c r="N418" s="30"/>
      <c r="O418" s="3"/>
    </row>
    <row r="419" spans="1:15" x14ac:dyDescent="0.35">
      <c r="A419" s="94" t="s">
        <v>254</v>
      </c>
      <c r="B419" s="41">
        <v>266</v>
      </c>
      <c r="C419" s="57">
        <v>0.31954887218045114</v>
      </c>
      <c r="D419">
        <v>66</v>
      </c>
      <c r="F419" s="78" t="s">
        <v>254</v>
      </c>
      <c r="G419" s="45">
        <v>266</v>
      </c>
      <c r="H419" s="79">
        <f t="shared" si="149"/>
        <v>2</v>
      </c>
      <c r="I419" s="80">
        <f t="shared" si="150"/>
        <v>139.93556517197476</v>
      </c>
      <c r="J419" s="80">
        <f t="shared" si="151"/>
        <v>671.93556517197476</v>
      </c>
      <c r="K419" s="87">
        <f t="shared" si="152"/>
        <v>532</v>
      </c>
      <c r="L419" s="3">
        <v>66</v>
      </c>
      <c r="M419" s="30" t="str">
        <f t="shared" si="153"/>
        <v>Reorder</v>
      </c>
      <c r="N419" s="30"/>
      <c r="O419" s="3"/>
    </row>
    <row r="420" spans="1:15" x14ac:dyDescent="0.35">
      <c r="A420" s="94" t="s">
        <v>1743</v>
      </c>
      <c r="B420" s="41">
        <v>110</v>
      </c>
      <c r="C420" s="57">
        <v>0.70909090909090911</v>
      </c>
      <c r="D420">
        <v>57</v>
      </c>
      <c r="F420" s="78" t="s">
        <v>1743</v>
      </c>
      <c r="G420" s="45">
        <v>110</v>
      </c>
      <c r="H420" s="79">
        <f t="shared" si="149"/>
        <v>1</v>
      </c>
      <c r="I420" s="80">
        <f t="shared" si="150"/>
        <v>89.987799172999004</v>
      </c>
      <c r="J420" s="80">
        <f t="shared" si="151"/>
        <v>199.98779917299902</v>
      </c>
      <c r="K420" s="87">
        <f t="shared" si="152"/>
        <v>110</v>
      </c>
      <c r="L420" s="3">
        <v>57</v>
      </c>
      <c r="M420" s="30" t="str">
        <f t="shared" si="153"/>
        <v>Reorder</v>
      </c>
      <c r="N420" s="30"/>
      <c r="O420" s="3"/>
    </row>
    <row r="421" spans="1:15" x14ac:dyDescent="0.35">
      <c r="A421" s="94" t="s">
        <v>316</v>
      </c>
      <c r="B421" s="41">
        <v>138</v>
      </c>
      <c r="C421" s="57">
        <v>0.35507246376811596</v>
      </c>
      <c r="D421">
        <v>95</v>
      </c>
      <c r="F421" s="78" t="s">
        <v>316</v>
      </c>
      <c r="G421" s="45">
        <v>138</v>
      </c>
      <c r="H421" s="79">
        <f t="shared" si="149"/>
        <v>24</v>
      </c>
      <c r="I421" s="80">
        <f t="shared" si="150"/>
        <v>100.79217826795886</v>
      </c>
      <c r="J421" s="80">
        <f t="shared" si="151"/>
        <v>3412.7921782679587</v>
      </c>
      <c r="K421" s="87">
        <f t="shared" si="152"/>
        <v>3312</v>
      </c>
      <c r="L421" s="3">
        <v>95</v>
      </c>
      <c r="M421" s="30" t="str">
        <f t="shared" si="153"/>
        <v>Reorder</v>
      </c>
      <c r="N421" s="30"/>
      <c r="O421" s="3"/>
    </row>
    <row r="422" spans="1:15" x14ac:dyDescent="0.35">
      <c r="A422" s="94" t="s">
        <v>166</v>
      </c>
      <c r="B422" s="41">
        <v>70</v>
      </c>
      <c r="C422" s="57">
        <v>0.88571428571428568</v>
      </c>
      <c r="D422">
        <v>63</v>
      </c>
      <c r="F422" s="78" t="s">
        <v>166</v>
      </c>
      <c r="G422" s="45">
        <v>70</v>
      </c>
      <c r="H422" s="79">
        <f t="shared" si="149"/>
        <v>1</v>
      </c>
      <c r="I422" s="80">
        <f t="shared" si="150"/>
        <v>71.785430276623686</v>
      </c>
      <c r="J422" s="80">
        <f t="shared" si="151"/>
        <v>141.78543027662369</v>
      </c>
      <c r="K422" s="87">
        <f t="shared" si="152"/>
        <v>70</v>
      </c>
      <c r="L422" s="3">
        <v>63</v>
      </c>
      <c r="M422" s="30" t="str">
        <f t="shared" si="153"/>
        <v>Reorder</v>
      </c>
      <c r="N422" s="30"/>
      <c r="O422" s="3"/>
    </row>
    <row r="423" spans="1:15" x14ac:dyDescent="0.35">
      <c r="A423" s="14" t="s">
        <v>1085</v>
      </c>
      <c r="B423" s="41">
        <v>589</v>
      </c>
      <c r="C423" s="57">
        <v>5.6716967804997216</v>
      </c>
      <c r="D423">
        <v>406</v>
      </c>
      <c r="F423" s="72" t="s">
        <v>1085</v>
      </c>
      <c r="G423" s="73"/>
      <c r="H423" s="74"/>
      <c r="I423" s="75"/>
      <c r="J423" s="74"/>
      <c r="K423" s="79"/>
      <c r="L423" s="76">
        <v>406</v>
      </c>
      <c r="M423" s="77"/>
      <c r="N423" s="85" t="str">
        <f>IFERROR(VLOOKUP(F423,'ABC Analysis'!$E$18:$M$138,9,0),0)</f>
        <v>A</v>
      </c>
      <c r="O423" s="86">
        <f>IFERROR(VLOOKUP(F423,'ABC Analysis'!$E$18:$G$138,3,0),0)</f>
        <v>1.4864524386632855E-2</v>
      </c>
    </row>
    <row r="424" spans="1:15" x14ac:dyDescent="0.35">
      <c r="A424" s="94" t="s">
        <v>97</v>
      </c>
      <c r="B424" s="41">
        <v>67</v>
      </c>
      <c r="C424" s="57">
        <v>0.88059701492537312</v>
      </c>
      <c r="D424">
        <v>29</v>
      </c>
      <c r="F424" s="78" t="s">
        <v>97</v>
      </c>
      <c r="G424" s="45">
        <v>67</v>
      </c>
      <c r="H424" s="79">
        <f t="shared" ref="H424:H430" si="154">ROUNDUP(VLOOKUP(F424,$A$10:$C$782,3,0),0)</f>
        <v>1</v>
      </c>
      <c r="I424" s="80">
        <f t="shared" ref="I424:I430" si="155">$H$7*$H$6*SQRT(G424)</f>
        <v>70.230326782665628</v>
      </c>
      <c r="J424" s="80">
        <f t="shared" ref="J424:J430" si="156">(H424*G424)+I424</f>
        <v>137.23032678266563</v>
      </c>
      <c r="K424" s="87">
        <f t="shared" ref="K424:K430" si="157">H424*G424</f>
        <v>67</v>
      </c>
      <c r="L424" s="3">
        <v>29</v>
      </c>
      <c r="M424" s="30" t="str">
        <f t="shared" ref="M424:M430" si="158">IF(L424&lt;J424,"Reorder",IF(L424&gt;=J424*1.5,"Overstock","Sufficient"))</f>
        <v>Reorder</v>
      </c>
      <c r="N424" s="30"/>
      <c r="O424" s="3"/>
    </row>
    <row r="425" spans="1:15" x14ac:dyDescent="0.35">
      <c r="A425" s="94" t="s">
        <v>128</v>
      </c>
      <c r="B425" s="41">
        <v>77</v>
      </c>
      <c r="C425" s="57">
        <v>1.2077922077922079</v>
      </c>
      <c r="D425">
        <v>93</v>
      </c>
      <c r="F425" s="78" t="s">
        <v>128</v>
      </c>
      <c r="G425" s="45">
        <v>77</v>
      </c>
      <c r="H425" s="79">
        <f t="shared" si="154"/>
        <v>1</v>
      </c>
      <c r="I425" s="80">
        <f t="shared" si="155"/>
        <v>75.289194443824414</v>
      </c>
      <c r="J425" s="80">
        <f t="shared" si="156"/>
        <v>152.28919444382441</v>
      </c>
      <c r="K425" s="87">
        <f t="shared" si="157"/>
        <v>77</v>
      </c>
      <c r="L425" s="3">
        <v>93</v>
      </c>
      <c r="M425" s="30" t="str">
        <f t="shared" si="158"/>
        <v>Reorder</v>
      </c>
      <c r="N425" s="30"/>
      <c r="O425" s="3"/>
    </row>
    <row r="426" spans="1:15" x14ac:dyDescent="0.35">
      <c r="A426" s="94" t="s">
        <v>364</v>
      </c>
      <c r="B426" s="41">
        <v>103</v>
      </c>
      <c r="C426" s="57">
        <v>0.40776699029126212</v>
      </c>
      <c r="D426">
        <v>50</v>
      </c>
      <c r="F426" s="78" t="s">
        <v>364</v>
      </c>
      <c r="G426" s="45">
        <v>103</v>
      </c>
      <c r="H426" s="79">
        <f t="shared" si="154"/>
        <v>2</v>
      </c>
      <c r="I426" s="80">
        <f t="shared" si="155"/>
        <v>87.077489628491236</v>
      </c>
      <c r="J426" s="80">
        <f t="shared" si="156"/>
        <v>293.07748962849121</v>
      </c>
      <c r="K426" s="87">
        <f t="shared" si="157"/>
        <v>206</v>
      </c>
      <c r="L426" s="3">
        <v>50</v>
      </c>
      <c r="M426" s="30" t="str">
        <f t="shared" si="158"/>
        <v>Reorder</v>
      </c>
      <c r="N426" s="30"/>
      <c r="O426" s="3"/>
    </row>
    <row r="427" spans="1:15" x14ac:dyDescent="0.35">
      <c r="A427" s="94" t="s">
        <v>1479</v>
      </c>
      <c r="B427" s="41">
        <v>77</v>
      </c>
      <c r="C427" s="57">
        <v>0.64935064935064934</v>
      </c>
      <c r="D427">
        <v>20</v>
      </c>
      <c r="F427" s="78" t="s">
        <v>1479</v>
      </c>
      <c r="G427" s="45">
        <v>77</v>
      </c>
      <c r="H427" s="79">
        <f t="shared" si="154"/>
        <v>1</v>
      </c>
      <c r="I427" s="80">
        <f t="shared" si="155"/>
        <v>75.289194443824414</v>
      </c>
      <c r="J427" s="80">
        <f t="shared" si="156"/>
        <v>152.28919444382441</v>
      </c>
      <c r="K427" s="87">
        <f t="shared" si="157"/>
        <v>77</v>
      </c>
      <c r="L427" s="3">
        <v>20</v>
      </c>
      <c r="M427" s="30" t="str">
        <f t="shared" si="158"/>
        <v>Reorder</v>
      </c>
      <c r="N427" s="30"/>
      <c r="O427" s="3"/>
    </row>
    <row r="428" spans="1:15" x14ac:dyDescent="0.35">
      <c r="A428" s="94" t="s">
        <v>343</v>
      </c>
      <c r="B428" s="41">
        <v>38</v>
      </c>
      <c r="C428" s="57">
        <v>1.3947368421052631</v>
      </c>
      <c r="D428">
        <v>64</v>
      </c>
      <c r="F428" s="78" t="s">
        <v>343</v>
      </c>
      <c r="G428" s="45">
        <v>38</v>
      </c>
      <c r="H428" s="79">
        <f t="shared" si="154"/>
        <v>2</v>
      </c>
      <c r="I428" s="80">
        <f t="shared" si="155"/>
        <v>52.890672145473815</v>
      </c>
      <c r="J428" s="80">
        <f t="shared" si="156"/>
        <v>128.89067214547381</v>
      </c>
      <c r="K428" s="87">
        <f t="shared" si="157"/>
        <v>76</v>
      </c>
      <c r="L428" s="3">
        <v>64</v>
      </c>
      <c r="M428" s="30" t="str">
        <f t="shared" si="158"/>
        <v>Reorder</v>
      </c>
      <c r="N428" s="30"/>
      <c r="O428" s="3"/>
    </row>
    <row r="429" spans="1:15" x14ac:dyDescent="0.35">
      <c r="A429" s="94" t="s">
        <v>388</v>
      </c>
      <c r="B429" s="41">
        <v>141</v>
      </c>
      <c r="C429" s="57">
        <v>0.50354609929078009</v>
      </c>
      <c r="D429">
        <v>70</v>
      </c>
      <c r="F429" s="78" t="s">
        <v>388</v>
      </c>
      <c r="G429" s="45">
        <v>141</v>
      </c>
      <c r="H429" s="79">
        <f t="shared" si="154"/>
        <v>4</v>
      </c>
      <c r="I429" s="80">
        <f t="shared" si="155"/>
        <v>101.88185510678532</v>
      </c>
      <c r="J429" s="80">
        <f t="shared" si="156"/>
        <v>665.88185510678534</v>
      </c>
      <c r="K429" s="87">
        <f t="shared" si="157"/>
        <v>564</v>
      </c>
      <c r="L429" s="3">
        <v>70</v>
      </c>
      <c r="M429" s="30" t="str">
        <f t="shared" si="158"/>
        <v>Reorder</v>
      </c>
      <c r="N429" s="30"/>
      <c r="O429" s="3"/>
    </row>
    <row r="430" spans="1:15" x14ac:dyDescent="0.35">
      <c r="A430" s="94" t="s">
        <v>926</v>
      </c>
      <c r="B430" s="41">
        <v>86</v>
      </c>
      <c r="C430" s="57">
        <v>0.62790697674418605</v>
      </c>
      <c r="D430">
        <v>80</v>
      </c>
      <c r="F430" s="78" t="s">
        <v>926</v>
      </c>
      <c r="G430" s="45">
        <v>86</v>
      </c>
      <c r="H430" s="79">
        <f t="shared" si="154"/>
        <v>1</v>
      </c>
      <c r="I430" s="80">
        <f t="shared" si="155"/>
        <v>79.567646691353147</v>
      </c>
      <c r="J430" s="80">
        <f t="shared" si="156"/>
        <v>165.56764669135316</v>
      </c>
      <c r="K430" s="87">
        <f t="shared" si="157"/>
        <v>86</v>
      </c>
      <c r="L430" s="3">
        <v>80</v>
      </c>
      <c r="M430" s="30" t="str">
        <f t="shared" si="158"/>
        <v>Reorder</v>
      </c>
      <c r="N430" s="30"/>
      <c r="O430" s="3"/>
    </row>
    <row r="431" spans="1:15" x14ac:dyDescent="0.35">
      <c r="A431" s="14" t="s">
        <v>24</v>
      </c>
      <c r="B431" s="41">
        <v>436</v>
      </c>
      <c r="C431" s="57">
        <v>5.6424776065590088</v>
      </c>
      <c r="D431">
        <v>242</v>
      </c>
      <c r="F431" s="72" t="s">
        <v>24</v>
      </c>
      <c r="G431" s="73"/>
      <c r="H431" s="74"/>
      <c r="I431" s="75"/>
      <c r="J431" s="74"/>
      <c r="K431" s="79"/>
      <c r="L431" s="76">
        <v>242</v>
      </c>
      <c r="M431" s="77"/>
      <c r="N431" s="85" t="str">
        <f>IFERROR(VLOOKUP(F431,'ABC Analysis'!$E$18:$M$138,9,0),0)</f>
        <v>C</v>
      </c>
      <c r="O431" s="86">
        <f>IFERROR(VLOOKUP(F431,'ABC Analysis'!$E$18:$G$138,3,0),0)</f>
        <v>2.5270911432310516E-3</v>
      </c>
    </row>
    <row r="432" spans="1:15" x14ac:dyDescent="0.35">
      <c r="A432" s="94" t="s">
        <v>1870</v>
      </c>
      <c r="B432" s="41">
        <v>25</v>
      </c>
      <c r="C432" s="57">
        <v>3.16</v>
      </c>
      <c r="D432">
        <v>75</v>
      </c>
      <c r="F432" s="78" t="s">
        <v>1870</v>
      </c>
      <c r="G432" s="45">
        <v>25</v>
      </c>
      <c r="H432" s="79">
        <f>ROUNDUP(VLOOKUP(F432,$A$10:$C$782,3,0),0)</f>
        <v>1</v>
      </c>
      <c r="I432" s="80">
        <f>$H$7*$H$6*SQRT(G432)</f>
        <v>42.9</v>
      </c>
      <c r="J432" s="80">
        <f>(H432*G432)+I432</f>
        <v>67.900000000000006</v>
      </c>
      <c r="K432" s="87">
        <f>H432*G432</f>
        <v>25</v>
      </c>
      <c r="L432" s="3">
        <v>75</v>
      </c>
      <c r="M432" s="30" t="str">
        <f>IF(L432&lt;J432,"Reorder",IF(L432&gt;=J432*1.5,"Overstock","Sufficient"))</f>
        <v>Sufficient</v>
      </c>
      <c r="N432" s="30"/>
      <c r="O432" s="3"/>
    </row>
    <row r="433" spans="1:15" x14ac:dyDescent="0.35">
      <c r="A433" s="94" t="s">
        <v>522</v>
      </c>
      <c r="B433" s="41">
        <v>99</v>
      </c>
      <c r="C433" s="57">
        <v>0.25252525252525254</v>
      </c>
      <c r="D433">
        <v>18</v>
      </c>
      <c r="F433" s="78" t="s">
        <v>522</v>
      </c>
      <c r="G433" s="45">
        <v>99</v>
      </c>
      <c r="H433" s="79">
        <f>ROUNDUP(VLOOKUP(F433,$A$10:$C$782,3,0),0)</f>
        <v>1</v>
      </c>
      <c r="I433" s="80">
        <f>$H$7*$H$6*SQRT(G433)</f>
        <v>85.369922103747996</v>
      </c>
      <c r="J433" s="80">
        <f>(H433*G433)+I433</f>
        <v>184.369922103748</v>
      </c>
      <c r="K433" s="87">
        <f>H433*G433</f>
        <v>99</v>
      </c>
      <c r="L433" s="3">
        <v>18</v>
      </c>
      <c r="M433" s="30" t="str">
        <f>IF(L433&lt;J433,"Reorder",IF(L433&gt;=J433*1.5,"Overstock","Sufficient"))</f>
        <v>Reorder</v>
      </c>
      <c r="N433" s="30"/>
      <c r="O433" s="3"/>
    </row>
    <row r="434" spans="1:15" x14ac:dyDescent="0.35">
      <c r="A434" s="94" t="s">
        <v>26</v>
      </c>
      <c r="B434" s="41">
        <v>48</v>
      </c>
      <c r="C434" s="57">
        <v>0.5</v>
      </c>
      <c r="D434">
        <v>51</v>
      </c>
      <c r="F434" s="78" t="s">
        <v>26</v>
      </c>
      <c r="G434" s="45">
        <v>48</v>
      </c>
      <c r="H434" s="79">
        <f>ROUNDUP(VLOOKUP(F434,$A$10:$C$782,3,0),0)</f>
        <v>2</v>
      </c>
      <c r="I434" s="80">
        <f>$H$7*$H$6*SQRT(G434)</f>
        <v>59.443983715763864</v>
      </c>
      <c r="J434" s="80">
        <f>(H434*G434)+I434</f>
        <v>155.44398371576386</v>
      </c>
      <c r="K434" s="87">
        <f>H434*G434</f>
        <v>96</v>
      </c>
      <c r="L434" s="3">
        <v>51</v>
      </c>
      <c r="M434" s="30" t="str">
        <f>IF(L434&lt;J434,"Reorder",IF(L434&gt;=J434*1.5,"Overstock","Sufficient"))</f>
        <v>Reorder</v>
      </c>
      <c r="N434" s="30"/>
      <c r="O434" s="3"/>
    </row>
    <row r="435" spans="1:15" x14ac:dyDescent="0.35">
      <c r="A435" s="94" t="s">
        <v>1020</v>
      </c>
      <c r="B435" s="41">
        <v>203</v>
      </c>
      <c r="C435" s="57">
        <v>0.27093596059113301</v>
      </c>
      <c r="D435">
        <v>41</v>
      </c>
      <c r="F435" s="78" t="s">
        <v>1020</v>
      </c>
      <c r="G435" s="45">
        <v>203</v>
      </c>
      <c r="H435" s="79">
        <f>ROUNDUP(VLOOKUP(F435,$A$10:$C$782,3,0),0)</f>
        <v>2</v>
      </c>
      <c r="I435" s="80">
        <f>$H$7*$H$6*SQRT(G435)</f>
        <v>122.24618276248955</v>
      </c>
      <c r="J435" s="80">
        <f>(H435*G435)+I435</f>
        <v>528.24618276248952</v>
      </c>
      <c r="K435" s="87">
        <f>H435*G435</f>
        <v>406</v>
      </c>
      <c r="L435" s="3">
        <v>41</v>
      </c>
      <c r="M435" s="30" t="str">
        <f>IF(L435&lt;J435,"Reorder",IF(L435&gt;=J435*1.5,"Overstock","Sufficient"))</f>
        <v>Reorder</v>
      </c>
      <c r="N435" s="30"/>
      <c r="O435" s="3"/>
    </row>
    <row r="436" spans="1:15" x14ac:dyDescent="0.35">
      <c r="A436" s="94" t="s">
        <v>1164</v>
      </c>
      <c r="B436" s="41">
        <v>61</v>
      </c>
      <c r="C436" s="57">
        <v>1.459016393442623</v>
      </c>
      <c r="D436">
        <v>57</v>
      </c>
      <c r="F436" s="78" t="s">
        <v>1164</v>
      </c>
      <c r="G436" s="45">
        <v>61</v>
      </c>
      <c r="H436" s="79">
        <f>ROUNDUP(VLOOKUP(F436,$A$10:$C$782,3,0),0)</f>
        <v>2</v>
      </c>
      <c r="I436" s="80">
        <f>$H$7*$H$6*SQRT(G436)</f>
        <v>67.011942219279092</v>
      </c>
      <c r="J436" s="80">
        <f>(H436*G436)+I436</f>
        <v>189.01194221927909</v>
      </c>
      <c r="K436" s="87">
        <f>H436*G436</f>
        <v>122</v>
      </c>
      <c r="L436" s="3">
        <v>57</v>
      </c>
      <c r="M436" s="30" t="str">
        <f>IF(L436&lt;J436,"Reorder",IF(L436&gt;=J436*1.5,"Overstock","Sufficient"))</f>
        <v>Reorder</v>
      </c>
      <c r="N436" s="30"/>
      <c r="O436" s="3"/>
    </row>
    <row r="437" spans="1:15" x14ac:dyDescent="0.35">
      <c r="A437" s="14" t="s">
        <v>116</v>
      </c>
      <c r="B437" s="41">
        <v>1195</v>
      </c>
      <c r="C437" s="57">
        <v>5.6201470001039926</v>
      </c>
      <c r="D437">
        <v>536</v>
      </c>
      <c r="F437" s="72" t="s">
        <v>116</v>
      </c>
      <c r="G437" s="73"/>
      <c r="H437" s="74"/>
      <c r="I437" s="75"/>
      <c r="J437" s="74"/>
      <c r="K437" s="79"/>
      <c r="L437" s="76">
        <v>536</v>
      </c>
      <c r="M437" s="77"/>
      <c r="N437" s="85" t="str">
        <f>IFERROR(VLOOKUP(F437,'ABC Analysis'!$E$18:$M$138,9,0),0)</f>
        <v>B</v>
      </c>
      <c r="O437" s="86">
        <f>IFERROR(VLOOKUP(F437,'ABC Analysis'!$E$18:$G$138,3,0),0)</f>
        <v>3.9562047552651634E-3</v>
      </c>
    </row>
    <row r="438" spans="1:15" x14ac:dyDescent="0.35">
      <c r="A438" s="94" t="s">
        <v>2332</v>
      </c>
      <c r="B438" s="41">
        <v>177</v>
      </c>
      <c r="C438" s="57">
        <v>0.2768361581920904</v>
      </c>
      <c r="D438">
        <v>17</v>
      </c>
      <c r="F438" s="78" t="s">
        <v>2332</v>
      </c>
      <c r="G438" s="45">
        <v>177</v>
      </c>
      <c r="H438" s="79">
        <f t="shared" ref="H438:H446" si="159">ROUNDUP(VLOOKUP(F438,$A$10:$C$782,3,0),0)</f>
        <v>1</v>
      </c>
      <c r="I438" s="80">
        <f t="shared" ref="I438:I446" si="160">$H$7*$H$6*SQRT(G438)</f>
        <v>114.1494756886776</v>
      </c>
      <c r="J438" s="80">
        <f t="shared" ref="J438:J446" si="161">(H438*G438)+I438</f>
        <v>291.14947568867763</v>
      </c>
      <c r="K438" s="87">
        <f t="shared" ref="K438:K446" si="162">H438*G438</f>
        <v>177</v>
      </c>
      <c r="L438" s="3">
        <v>17</v>
      </c>
      <c r="M438" s="30" t="str">
        <f t="shared" ref="M438:M446" si="163">IF(L438&lt;J438,"Reorder",IF(L438&gt;=J438*1.5,"Overstock","Sufficient"))</f>
        <v>Reorder</v>
      </c>
      <c r="N438" s="30"/>
      <c r="O438" s="3"/>
    </row>
    <row r="439" spans="1:15" x14ac:dyDescent="0.35">
      <c r="A439" s="94" t="s">
        <v>117</v>
      </c>
      <c r="B439" s="41">
        <v>61</v>
      </c>
      <c r="C439" s="57">
        <v>0.93442622950819676</v>
      </c>
      <c r="D439">
        <v>25</v>
      </c>
      <c r="F439" s="78" t="s">
        <v>117</v>
      </c>
      <c r="G439" s="45">
        <v>61</v>
      </c>
      <c r="H439" s="79">
        <f t="shared" si="159"/>
        <v>1</v>
      </c>
      <c r="I439" s="80">
        <f t="shared" si="160"/>
        <v>67.011942219279092</v>
      </c>
      <c r="J439" s="80">
        <f t="shared" si="161"/>
        <v>128.01194221927909</v>
      </c>
      <c r="K439" s="87">
        <f t="shared" si="162"/>
        <v>61</v>
      </c>
      <c r="L439" s="3">
        <v>25</v>
      </c>
      <c r="M439" s="30" t="str">
        <f t="shared" si="163"/>
        <v>Reorder</v>
      </c>
      <c r="N439" s="30"/>
      <c r="O439" s="3"/>
    </row>
    <row r="440" spans="1:15" x14ac:dyDescent="0.35">
      <c r="A440" s="94" t="s">
        <v>289</v>
      </c>
      <c r="B440" s="41">
        <v>186</v>
      </c>
      <c r="C440" s="57">
        <v>0.11827956989247312</v>
      </c>
      <c r="D440">
        <v>97</v>
      </c>
      <c r="F440" s="78" t="s">
        <v>289</v>
      </c>
      <c r="G440" s="45">
        <v>186</v>
      </c>
      <c r="H440" s="79">
        <f t="shared" si="159"/>
        <v>1</v>
      </c>
      <c r="I440" s="80">
        <f t="shared" si="160"/>
        <v>117.01559896013863</v>
      </c>
      <c r="J440" s="80">
        <f t="shared" si="161"/>
        <v>303.01559896013862</v>
      </c>
      <c r="K440" s="87">
        <f t="shared" si="162"/>
        <v>186</v>
      </c>
      <c r="L440" s="3">
        <v>97</v>
      </c>
      <c r="M440" s="30" t="str">
        <f t="shared" si="163"/>
        <v>Reorder</v>
      </c>
      <c r="N440" s="30"/>
      <c r="O440" s="3"/>
    </row>
    <row r="441" spans="1:15" x14ac:dyDescent="0.35">
      <c r="A441" s="94" t="s">
        <v>1346</v>
      </c>
      <c r="B441" s="41">
        <v>207</v>
      </c>
      <c r="C441" s="57">
        <v>0.24637681159420291</v>
      </c>
      <c r="D441">
        <v>39</v>
      </c>
      <c r="F441" s="78" t="s">
        <v>1346</v>
      </c>
      <c r="G441" s="45">
        <v>207</v>
      </c>
      <c r="H441" s="79">
        <f t="shared" si="159"/>
        <v>3</v>
      </c>
      <c r="I441" s="80">
        <f t="shared" si="160"/>
        <v>123.44470341006941</v>
      </c>
      <c r="J441" s="80">
        <f t="shared" si="161"/>
        <v>744.44470341006945</v>
      </c>
      <c r="K441" s="87">
        <f t="shared" si="162"/>
        <v>621</v>
      </c>
      <c r="L441" s="3">
        <v>39</v>
      </c>
      <c r="M441" s="30" t="str">
        <f t="shared" si="163"/>
        <v>Reorder</v>
      </c>
      <c r="N441" s="30"/>
      <c r="O441" s="3"/>
    </row>
    <row r="442" spans="1:15" x14ac:dyDescent="0.35">
      <c r="A442" s="94" t="s">
        <v>312</v>
      </c>
      <c r="B442" s="41">
        <v>30</v>
      </c>
      <c r="C442" s="57">
        <v>1.4</v>
      </c>
      <c r="D442">
        <v>91</v>
      </c>
      <c r="F442" s="78" t="s">
        <v>312</v>
      </c>
      <c r="G442" s="45">
        <v>30</v>
      </c>
      <c r="H442" s="79">
        <f t="shared" si="159"/>
        <v>1</v>
      </c>
      <c r="I442" s="80">
        <f t="shared" si="160"/>
        <v>46.994595433943253</v>
      </c>
      <c r="J442" s="80">
        <f t="shared" si="161"/>
        <v>76.99459543394326</v>
      </c>
      <c r="K442" s="87">
        <f t="shared" si="162"/>
        <v>30</v>
      </c>
      <c r="L442" s="3">
        <v>91</v>
      </c>
      <c r="M442" s="30" t="str">
        <f t="shared" si="163"/>
        <v>Sufficient</v>
      </c>
      <c r="N442" s="30"/>
      <c r="O442" s="3"/>
    </row>
    <row r="443" spans="1:15" x14ac:dyDescent="0.35">
      <c r="A443" s="94" t="s">
        <v>1249</v>
      </c>
      <c r="B443" s="41">
        <v>47</v>
      </c>
      <c r="C443" s="57">
        <v>0.82978723404255317</v>
      </c>
      <c r="D443">
        <v>47</v>
      </c>
      <c r="F443" s="78" t="s">
        <v>1249</v>
      </c>
      <c r="G443" s="45">
        <v>47</v>
      </c>
      <c r="H443" s="79">
        <f t="shared" si="159"/>
        <v>1</v>
      </c>
      <c r="I443" s="80">
        <f t="shared" si="160"/>
        <v>58.821516471440958</v>
      </c>
      <c r="J443" s="80">
        <f t="shared" si="161"/>
        <v>105.82151647144096</v>
      </c>
      <c r="K443" s="87">
        <f t="shared" si="162"/>
        <v>47</v>
      </c>
      <c r="L443" s="3">
        <v>47</v>
      </c>
      <c r="M443" s="30" t="str">
        <f t="shared" si="163"/>
        <v>Reorder</v>
      </c>
      <c r="N443" s="30"/>
      <c r="O443" s="3"/>
    </row>
    <row r="444" spans="1:15" x14ac:dyDescent="0.35">
      <c r="A444" s="94" t="s">
        <v>1743</v>
      </c>
      <c r="B444" s="41">
        <v>343</v>
      </c>
      <c r="C444" s="57">
        <v>8.4548104956268216E-2</v>
      </c>
      <c r="D444">
        <v>97</v>
      </c>
      <c r="F444" s="78" t="s">
        <v>1743</v>
      </c>
      <c r="G444" s="45">
        <v>343</v>
      </c>
      <c r="H444" s="79">
        <f t="shared" si="159"/>
        <v>1</v>
      </c>
      <c r="I444" s="80">
        <f t="shared" si="160"/>
        <v>158.90382374253932</v>
      </c>
      <c r="J444" s="80">
        <f t="shared" si="161"/>
        <v>501.90382374253932</v>
      </c>
      <c r="K444" s="87">
        <f t="shared" si="162"/>
        <v>343</v>
      </c>
      <c r="L444" s="3">
        <v>97</v>
      </c>
      <c r="M444" s="30" t="str">
        <f t="shared" si="163"/>
        <v>Reorder</v>
      </c>
      <c r="N444" s="30"/>
      <c r="O444" s="3"/>
    </row>
    <row r="445" spans="1:15" x14ac:dyDescent="0.35">
      <c r="A445" s="94" t="s">
        <v>972</v>
      </c>
      <c r="B445" s="41">
        <v>65</v>
      </c>
      <c r="C445" s="57">
        <v>1.2615384615384615</v>
      </c>
      <c r="D445">
        <v>74</v>
      </c>
      <c r="F445" s="78" t="s">
        <v>972</v>
      </c>
      <c r="G445" s="45">
        <v>65</v>
      </c>
      <c r="H445" s="79">
        <f t="shared" si="159"/>
        <v>3</v>
      </c>
      <c r="I445" s="80">
        <f t="shared" si="160"/>
        <v>69.174171480401554</v>
      </c>
      <c r="J445" s="80">
        <f t="shared" si="161"/>
        <v>264.17417148040158</v>
      </c>
      <c r="K445" s="87">
        <f t="shared" si="162"/>
        <v>195</v>
      </c>
      <c r="L445" s="3">
        <v>74</v>
      </c>
      <c r="M445" s="30" t="str">
        <f t="shared" si="163"/>
        <v>Reorder</v>
      </c>
      <c r="N445" s="30"/>
      <c r="O445" s="3"/>
    </row>
    <row r="446" spans="1:15" x14ac:dyDescent="0.35">
      <c r="A446" s="94" t="s">
        <v>670</v>
      </c>
      <c r="B446" s="41">
        <v>79</v>
      </c>
      <c r="C446" s="57">
        <v>0.46835443037974683</v>
      </c>
      <c r="D446">
        <v>49</v>
      </c>
      <c r="F446" s="78" t="s">
        <v>670</v>
      </c>
      <c r="G446" s="45">
        <v>79</v>
      </c>
      <c r="H446" s="79">
        <f t="shared" si="159"/>
        <v>1</v>
      </c>
      <c r="I446" s="80">
        <f t="shared" si="160"/>
        <v>76.260708100567754</v>
      </c>
      <c r="J446" s="80">
        <f t="shared" si="161"/>
        <v>155.26070810056774</v>
      </c>
      <c r="K446" s="87">
        <f t="shared" si="162"/>
        <v>79</v>
      </c>
      <c r="L446" s="3">
        <v>49</v>
      </c>
      <c r="M446" s="30" t="str">
        <f t="shared" si="163"/>
        <v>Reorder</v>
      </c>
      <c r="N446" s="30"/>
      <c r="O446" s="3"/>
    </row>
    <row r="447" spans="1:15" x14ac:dyDescent="0.35">
      <c r="A447" s="14" t="s">
        <v>470</v>
      </c>
      <c r="B447" s="41">
        <v>1297</v>
      </c>
      <c r="C447" s="57">
        <v>5.5524612073441215</v>
      </c>
      <c r="D447">
        <v>344</v>
      </c>
      <c r="F447" s="72" t="s">
        <v>470</v>
      </c>
      <c r="G447" s="73"/>
      <c r="H447" s="74"/>
      <c r="I447" s="75"/>
      <c r="J447" s="74"/>
      <c r="K447" s="79"/>
      <c r="L447" s="76">
        <v>344</v>
      </c>
      <c r="M447" s="77"/>
      <c r="N447" s="85" t="str">
        <f>IFERROR(VLOOKUP(F447,'ABC Analysis'!$E$18:$M$138,9,0),0)</f>
        <v>A</v>
      </c>
      <c r="O447" s="86">
        <f>IFERROR(VLOOKUP(F447,'ABC Analysis'!$E$18:$G$138,3,0),0)</f>
        <v>7.0177611517772652E-3</v>
      </c>
    </row>
    <row r="448" spans="1:15" x14ac:dyDescent="0.35">
      <c r="A448" s="94" t="s">
        <v>2332</v>
      </c>
      <c r="B448" s="41">
        <v>171</v>
      </c>
      <c r="C448" s="57">
        <v>0.43859649122807015</v>
      </c>
      <c r="D448">
        <v>73</v>
      </c>
      <c r="F448" s="78" t="s">
        <v>2332</v>
      </c>
      <c r="G448" s="45">
        <v>171</v>
      </c>
      <c r="H448" s="79">
        <f t="shared" ref="H448:H455" si="164">ROUNDUP(VLOOKUP(F448,$A$10:$C$782,3,0),0)</f>
        <v>1</v>
      </c>
      <c r="I448" s="80">
        <f t="shared" ref="I448:I455" si="165">$H$7*$H$6*SQRT(G448)</f>
        <v>112.19805880673694</v>
      </c>
      <c r="J448" s="80">
        <f t="shared" ref="J448:J455" si="166">(H448*G448)+I448</f>
        <v>283.19805880673692</v>
      </c>
      <c r="K448" s="87">
        <f t="shared" ref="K448:K455" si="167">H448*G448</f>
        <v>171</v>
      </c>
      <c r="L448" s="3">
        <v>73</v>
      </c>
      <c r="M448" s="30" t="str">
        <f t="shared" ref="M448:M455" si="168">IF(L448&lt;J448,"Reorder",IF(L448&gt;=J448*1.5,"Overstock","Sufficient"))</f>
        <v>Reorder</v>
      </c>
      <c r="N448" s="30"/>
      <c r="O448" s="3"/>
    </row>
    <row r="449" spans="1:15" x14ac:dyDescent="0.35">
      <c r="A449" s="94" t="s">
        <v>562</v>
      </c>
      <c r="B449" s="41">
        <v>163</v>
      </c>
      <c r="C449" s="57">
        <v>0.51533742331288346</v>
      </c>
      <c r="D449">
        <v>45</v>
      </c>
      <c r="F449" s="78" t="s">
        <v>562</v>
      </c>
      <c r="G449" s="45">
        <v>163</v>
      </c>
      <c r="H449" s="79">
        <f t="shared" si="164"/>
        <v>6</v>
      </c>
      <c r="I449" s="80">
        <f t="shared" si="165"/>
        <v>109.54210697261578</v>
      </c>
      <c r="J449" s="80">
        <f t="shared" si="166"/>
        <v>1087.5421069726158</v>
      </c>
      <c r="K449" s="87">
        <f t="shared" si="167"/>
        <v>978</v>
      </c>
      <c r="L449" s="3">
        <v>45</v>
      </c>
      <c r="M449" s="30" t="str">
        <f t="shared" si="168"/>
        <v>Reorder</v>
      </c>
      <c r="N449" s="30"/>
      <c r="O449" s="3"/>
    </row>
    <row r="450" spans="1:15" x14ac:dyDescent="0.35">
      <c r="A450" s="94" t="s">
        <v>1040</v>
      </c>
      <c r="B450" s="41">
        <v>79</v>
      </c>
      <c r="C450" s="57">
        <v>1.1772151898734178</v>
      </c>
      <c r="D450">
        <v>37</v>
      </c>
      <c r="F450" s="78" t="s">
        <v>1040</v>
      </c>
      <c r="G450" s="45">
        <v>79</v>
      </c>
      <c r="H450" s="79">
        <f t="shared" si="164"/>
        <v>1</v>
      </c>
      <c r="I450" s="80">
        <f t="shared" si="165"/>
        <v>76.260708100567754</v>
      </c>
      <c r="J450" s="80">
        <f t="shared" si="166"/>
        <v>155.26070810056774</v>
      </c>
      <c r="K450" s="87">
        <f t="shared" si="167"/>
        <v>79</v>
      </c>
      <c r="L450" s="3">
        <v>37</v>
      </c>
      <c r="M450" s="30" t="str">
        <f t="shared" si="168"/>
        <v>Reorder</v>
      </c>
      <c r="N450" s="30"/>
      <c r="O450" s="3"/>
    </row>
    <row r="451" spans="1:15" x14ac:dyDescent="0.35">
      <c r="A451" s="94" t="s">
        <v>540</v>
      </c>
      <c r="B451" s="41">
        <v>90</v>
      </c>
      <c r="C451" s="57">
        <v>1.0222222222222221</v>
      </c>
      <c r="D451">
        <v>40</v>
      </c>
      <c r="F451" s="78" t="s">
        <v>540</v>
      </c>
      <c r="G451" s="45">
        <v>90</v>
      </c>
      <c r="H451" s="79">
        <f t="shared" si="164"/>
        <v>2</v>
      </c>
      <c r="I451" s="80">
        <f t="shared" si="165"/>
        <v>81.397026972734082</v>
      </c>
      <c r="J451" s="80">
        <f t="shared" si="166"/>
        <v>261.39702697273407</v>
      </c>
      <c r="K451" s="87">
        <f t="shared" si="167"/>
        <v>180</v>
      </c>
      <c r="L451" s="3">
        <v>40</v>
      </c>
      <c r="M451" s="30" t="str">
        <f t="shared" si="168"/>
        <v>Reorder</v>
      </c>
      <c r="N451" s="30"/>
      <c r="O451" s="3"/>
    </row>
    <row r="452" spans="1:15" x14ac:dyDescent="0.35">
      <c r="A452" s="94" t="s">
        <v>1160</v>
      </c>
      <c r="B452" s="41">
        <v>255</v>
      </c>
      <c r="C452" s="57">
        <v>0.14509803921568629</v>
      </c>
      <c r="D452">
        <v>15</v>
      </c>
      <c r="F452" s="78" t="s">
        <v>1160</v>
      </c>
      <c r="G452" s="45">
        <v>255</v>
      </c>
      <c r="H452" s="79">
        <f t="shared" si="164"/>
        <v>1</v>
      </c>
      <c r="I452" s="80">
        <f t="shared" si="165"/>
        <v>137.01161264651986</v>
      </c>
      <c r="J452" s="80">
        <f t="shared" si="166"/>
        <v>392.01161264651989</v>
      </c>
      <c r="K452" s="87">
        <f t="shared" si="167"/>
        <v>255</v>
      </c>
      <c r="L452" s="3">
        <v>15</v>
      </c>
      <c r="M452" s="30" t="str">
        <f t="shared" si="168"/>
        <v>Reorder</v>
      </c>
      <c r="N452" s="30"/>
      <c r="O452" s="3"/>
    </row>
    <row r="453" spans="1:15" x14ac:dyDescent="0.35">
      <c r="A453" s="94" t="s">
        <v>696</v>
      </c>
      <c r="B453" s="41">
        <v>52</v>
      </c>
      <c r="C453" s="57">
        <v>1.7884615384615385</v>
      </c>
      <c r="D453">
        <v>47</v>
      </c>
      <c r="F453" s="78" t="s">
        <v>696</v>
      </c>
      <c r="G453" s="45">
        <v>52</v>
      </c>
      <c r="H453" s="79">
        <f t="shared" si="164"/>
        <v>1</v>
      </c>
      <c r="I453" s="80">
        <f t="shared" si="165"/>
        <v>61.871259886962051</v>
      </c>
      <c r="J453" s="80">
        <f t="shared" si="166"/>
        <v>113.87125988696205</v>
      </c>
      <c r="K453" s="87">
        <f t="shared" si="167"/>
        <v>52</v>
      </c>
      <c r="L453" s="3">
        <v>47</v>
      </c>
      <c r="M453" s="30" t="str">
        <f t="shared" si="168"/>
        <v>Reorder</v>
      </c>
      <c r="N453" s="30"/>
      <c r="O453" s="3"/>
    </row>
    <row r="454" spans="1:15" x14ac:dyDescent="0.35">
      <c r="A454" s="94" t="s">
        <v>429</v>
      </c>
      <c r="B454" s="41">
        <v>352</v>
      </c>
      <c r="C454" s="57">
        <v>0.19886363636363635</v>
      </c>
      <c r="D454">
        <v>40</v>
      </c>
      <c r="F454" s="78" t="s">
        <v>429</v>
      </c>
      <c r="G454" s="45">
        <v>352</v>
      </c>
      <c r="H454" s="79">
        <f t="shared" si="164"/>
        <v>9</v>
      </c>
      <c r="I454" s="80">
        <f t="shared" si="165"/>
        <v>160.9750688771401</v>
      </c>
      <c r="J454" s="80">
        <f t="shared" si="166"/>
        <v>3328.9750688771401</v>
      </c>
      <c r="K454" s="87">
        <f t="shared" si="167"/>
        <v>3168</v>
      </c>
      <c r="L454" s="3">
        <v>40</v>
      </c>
      <c r="M454" s="30" t="str">
        <f t="shared" si="168"/>
        <v>Reorder</v>
      </c>
      <c r="N454" s="30"/>
      <c r="O454" s="3"/>
    </row>
    <row r="455" spans="1:15" x14ac:dyDescent="0.35">
      <c r="A455" s="94" t="s">
        <v>434</v>
      </c>
      <c r="B455" s="41">
        <v>135</v>
      </c>
      <c r="C455" s="57">
        <v>0.26666666666666666</v>
      </c>
      <c r="D455">
        <v>47</v>
      </c>
      <c r="F455" s="78" t="s">
        <v>434</v>
      </c>
      <c r="G455" s="45">
        <v>135</v>
      </c>
      <c r="H455" s="79">
        <f t="shared" si="164"/>
        <v>6</v>
      </c>
      <c r="I455" s="80">
        <f t="shared" si="165"/>
        <v>99.690591331378911</v>
      </c>
      <c r="J455" s="80">
        <f t="shared" si="166"/>
        <v>909.69059133137887</v>
      </c>
      <c r="K455" s="87">
        <f t="shared" si="167"/>
        <v>810</v>
      </c>
      <c r="L455" s="3">
        <v>47</v>
      </c>
      <c r="M455" s="30" t="str">
        <f t="shared" si="168"/>
        <v>Reorder</v>
      </c>
      <c r="N455" s="30"/>
      <c r="O455" s="3"/>
    </row>
    <row r="456" spans="1:15" x14ac:dyDescent="0.35">
      <c r="A456" s="14" t="s">
        <v>101</v>
      </c>
      <c r="B456" s="41">
        <v>1061</v>
      </c>
      <c r="C456" s="57">
        <v>5.4330247159007952</v>
      </c>
      <c r="D456">
        <v>381</v>
      </c>
      <c r="F456" s="72" t="s">
        <v>101</v>
      </c>
      <c r="G456" s="73"/>
      <c r="H456" s="74"/>
      <c r="I456" s="75"/>
      <c r="J456" s="74"/>
      <c r="K456" s="79"/>
      <c r="L456" s="76">
        <v>381</v>
      </c>
      <c r="M456" s="77"/>
      <c r="N456" s="85" t="str">
        <f>IFERROR(VLOOKUP(F456,'ABC Analysis'!$E$18:$M$138,9,0),0)</f>
        <v>A</v>
      </c>
      <c r="O456" s="86">
        <f>IFERROR(VLOOKUP(F456,'ABC Analysis'!$E$18:$G$138,3,0),0)</f>
        <v>5.920945501565719E-3</v>
      </c>
    </row>
    <row r="457" spans="1:15" x14ac:dyDescent="0.35">
      <c r="A457" s="94" t="s">
        <v>2219</v>
      </c>
      <c r="B457" s="41">
        <v>258</v>
      </c>
      <c r="C457" s="57">
        <v>0.24031007751937986</v>
      </c>
      <c r="D457">
        <v>58</v>
      </c>
      <c r="F457" s="78" t="s">
        <v>2219</v>
      </c>
      <c r="G457" s="45">
        <v>258</v>
      </c>
      <c r="H457" s="79">
        <f t="shared" ref="H457:H463" si="169">ROUNDUP(VLOOKUP(F457,$A$10:$C$782,3,0),0)</f>
        <v>1</v>
      </c>
      <c r="I457" s="80">
        <f t="shared" ref="I457:I463" si="170">$H$7*$H$6*SQRT(G457)</f>
        <v>137.81520670811329</v>
      </c>
      <c r="J457" s="80">
        <f t="shared" ref="J457:J463" si="171">(H457*G457)+I457</f>
        <v>395.81520670811329</v>
      </c>
      <c r="K457" s="87">
        <f t="shared" ref="K457:K463" si="172">H457*G457</f>
        <v>258</v>
      </c>
      <c r="L457" s="3">
        <v>58</v>
      </c>
      <c r="M457" s="30" t="str">
        <f t="shared" ref="M457:M463" si="173">IF(L457&lt;J457,"Reorder",IF(L457&gt;=J457*1.5,"Overstock","Sufficient"))</f>
        <v>Reorder</v>
      </c>
      <c r="N457" s="30"/>
      <c r="O457" s="3"/>
    </row>
    <row r="458" spans="1:15" x14ac:dyDescent="0.35">
      <c r="A458" s="94" t="s">
        <v>268</v>
      </c>
      <c r="B458" s="41">
        <v>116</v>
      </c>
      <c r="C458" s="57">
        <v>0.26724137931034481</v>
      </c>
      <c r="D458">
        <v>29</v>
      </c>
      <c r="F458" s="78" t="s">
        <v>268</v>
      </c>
      <c r="G458" s="45">
        <v>116</v>
      </c>
      <c r="H458" s="79">
        <f t="shared" si="169"/>
        <v>1</v>
      </c>
      <c r="I458" s="80">
        <f t="shared" si="170"/>
        <v>92.409428090428079</v>
      </c>
      <c r="J458" s="80">
        <f t="shared" si="171"/>
        <v>208.40942809042809</v>
      </c>
      <c r="K458" s="87">
        <f t="shared" si="172"/>
        <v>116</v>
      </c>
      <c r="L458" s="3">
        <v>29</v>
      </c>
      <c r="M458" s="30" t="str">
        <f t="shared" si="173"/>
        <v>Reorder</v>
      </c>
      <c r="N458" s="30"/>
      <c r="O458" s="3"/>
    </row>
    <row r="459" spans="1:15" x14ac:dyDescent="0.35">
      <c r="A459" s="94" t="s">
        <v>641</v>
      </c>
      <c r="B459" s="41">
        <v>18</v>
      </c>
      <c r="C459" s="57">
        <v>3.1666666666666665</v>
      </c>
      <c r="D459">
        <v>41</v>
      </c>
      <c r="F459" s="78" t="s">
        <v>641</v>
      </c>
      <c r="G459" s="45">
        <v>18</v>
      </c>
      <c r="H459" s="79">
        <f t="shared" si="169"/>
        <v>1</v>
      </c>
      <c r="I459" s="80">
        <f t="shared" si="170"/>
        <v>36.401857095483464</v>
      </c>
      <c r="J459" s="80">
        <f t="shared" si="171"/>
        <v>54.401857095483464</v>
      </c>
      <c r="K459" s="87">
        <f t="shared" si="172"/>
        <v>18</v>
      </c>
      <c r="L459" s="3">
        <v>41</v>
      </c>
      <c r="M459" s="30" t="str">
        <f t="shared" si="173"/>
        <v>Reorder</v>
      </c>
      <c r="N459" s="30"/>
      <c r="O459" s="3"/>
    </row>
    <row r="460" spans="1:15" x14ac:dyDescent="0.35">
      <c r="A460" s="94" t="s">
        <v>54</v>
      </c>
      <c r="B460" s="41">
        <v>161</v>
      </c>
      <c r="C460" s="57">
        <v>0.5714285714285714</v>
      </c>
      <c r="D460">
        <v>26</v>
      </c>
      <c r="F460" s="78" t="s">
        <v>54</v>
      </c>
      <c r="G460" s="45">
        <v>161</v>
      </c>
      <c r="H460" s="79">
        <f t="shared" si="169"/>
        <v>5</v>
      </c>
      <c r="I460" s="80">
        <f t="shared" si="170"/>
        <v>108.86799529705688</v>
      </c>
      <c r="J460" s="80">
        <f t="shared" si="171"/>
        <v>913.86799529705684</v>
      </c>
      <c r="K460" s="87">
        <f t="shared" si="172"/>
        <v>805</v>
      </c>
      <c r="L460" s="3">
        <v>26</v>
      </c>
      <c r="M460" s="30" t="str">
        <f t="shared" si="173"/>
        <v>Reorder</v>
      </c>
      <c r="N460" s="30"/>
      <c r="O460" s="3"/>
    </row>
    <row r="461" spans="1:15" x14ac:dyDescent="0.35">
      <c r="A461" s="94" t="s">
        <v>763</v>
      </c>
      <c r="B461" s="41">
        <v>225</v>
      </c>
      <c r="C461" s="57">
        <v>0.10666666666666667</v>
      </c>
      <c r="D461">
        <v>61</v>
      </c>
      <c r="F461" s="78" t="s">
        <v>763</v>
      </c>
      <c r="G461" s="45">
        <v>225</v>
      </c>
      <c r="H461" s="79">
        <f t="shared" si="169"/>
        <v>1</v>
      </c>
      <c r="I461" s="80">
        <f t="shared" si="170"/>
        <v>128.69999999999999</v>
      </c>
      <c r="J461" s="80">
        <f t="shared" si="171"/>
        <v>353.7</v>
      </c>
      <c r="K461" s="87">
        <f t="shared" si="172"/>
        <v>225</v>
      </c>
      <c r="L461" s="3">
        <v>61</v>
      </c>
      <c r="M461" s="30" t="str">
        <f t="shared" si="173"/>
        <v>Reorder</v>
      </c>
      <c r="N461" s="30"/>
      <c r="O461" s="3"/>
    </row>
    <row r="462" spans="1:15" x14ac:dyDescent="0.35">
      <c r="A462" s="94" t="s">
        <v>1134</v>
      </c>
      <c r="B462" s="41">
        <v>215</v>
      </c>
      <c r="C462" s="57">
        <v>0.13953488372093023</v>
      </c>
      <c r="D462">
        <v>82</v>
      </c>
      <c r="F462" s="78" t="s">
        <v>1134</v>
      </c>
      <c r="G462" s="45">
        <v>215</v>
      </c>
      <c r="H462" s="79">
        <f t="shared" si="169"/>
        <v>1</v>
      </c>
      <c r="I462" s="80">
        <f t="shared" si="170"/>
        <v>125.80749580211824</v>
      </c>
      <c r="J462" s="80">
        <f t="shared" si="171"/>
        <v>340.80749580211824</v>
      </c>
      <c r="K462" s="87">
        <f t="shared" si="172"/>
        <v>215</v>
      </c>
      <c r="L462" s="3">
        <v>82</v>
      </c>
      <c r="M462" s="30" t="str">
        <f t="shared" si="173"/>
        <v>Reorder</v>
      </c>
      <c r="N462" s="30"/>
      <c r="O462" s="3"/>
    </row>
    <row r="463" spans="1:15" x14ac:dyDescent="0.35">
      <c r="A463" s="94" t="s">
        <v>1378</v>
      </c>
      <c r="B463" s="41">
        <v>68</v>
      </c>
      <c r="C463" s="57">
        <v>0.94117647058823528</v>
      </c>
      <c r="D463">
        <v>84</v>
      </c>
      <c r="F463" s="78" t="s">
        <v>1378</v>
      </c>
      <c r="G463" s="45">
        <v>68</v>
      </c>
      <c r="H463" s="79">
        <f t="shared" si="169"/>
        <v>1</v>
      </c>
      <c r="I463" s="80">
        <f t="shared" si="170"/>
        <v>70.75249253559906</v>
      </c>
      <c r="J463" s="80">
        <f t="shared" si="171"/>
        <v>138.75249253559906</v>
      </c>
      <c r="K463" s="87">
        <f t="shared" si="172"/>
        <v>68</v>
      </c>
      <c r="L463" s="3">
        <v>84</v>
      </c>
      <c r="M463" s="30" t="str">
        <f t="shared" si="173"/>
        <v>Reorder</v>
      </c>
      <c r="N463" s="30"/>
      <c r="O463" s="3"/>
    </row>
    <row r="464" spans="1:15" x14ac:dyDescent="0.35">
      <c r="A464" s="14" t="s">
        <v>1516</v>
      </c>
      <c r="B464" s="41">
        <v>308</v>
      </c>
      <c r="C464" s="57">
        <v>5.3145474680358404</v>
      </c>
      <c r="D464">
        <v>178</v>
      </c>
      <c r="F464" s="72" t="s">
        <v>1516</v>
      </c>
      <c r="G464" s="73"/>
      <c r="H464" s="74"/>
      <c r="I464" s="75"/>
      <c r="J464" s="74"/>
      <c r="K464" s="79"/>
      <c r="L464" s="76">
        <v>178</v>
      </c>
      <c r="M464" s="77"/>
      <c r="N464" s="85" t="str">
        <f>IFERROR(VLOOKUP(F464,'ABC Analysis'!$E$18:$M$138,9,0),0)</f>
        <v>A</v>
      </c>
      <c r="O464" s="86">
        <f>IFERROR(VLOOKUP(F464,'ABC Analysis'!$E$18:$G$138,3,0),0)</f>
        <v>8.3234249091133083E-3</v>
      </c>
    </row>
    <row r="465" spans="1:15" x14ac:dyDescent="0.35">
      <c r="A465" s="94" t="s">
        <v>1812</v>
      </c>
      <c r="B465" s="41">
        <v>14</v>
      </c>
      <c r="C465" s="57">
        <v>4.4285714285714288</v>
      </c>
      <c r="D465">
        <v>58</v>
      </c>
      <c r="F465" s="78" t="s">
        <v>1812</v>
      </c>
      <c r="G465" s="45">
        <v>14</v>
      </c>
      <c r="H465" s="79">
        <f>ROUNDUP(VLOOKUP(F465,$A$10:$C$782,3,0),0)</f>
        <v>5</v>
      </c>
      <c r="I465" s="80">
        <f>$H$7*$H$6*SQRT(G465)</f>
        <v>32.103420378520418</v>
      </c>
      <c r="J465" s="80">
        <f>(H465*G465)+I465</f>
        <v>102.10342037852041</v>
      </c>
      <c r="K465" s="87">
        <f>H465*G465</f>
        <v>70</v>
      </c>
      <c r="L465" s="3">
        <v>58</v>
      </c>
      <c r="M465" s="30" t="str">
        <f>IF(L465&lt;J465,"Reorder",IF(L465&gt;=J465*1.5,"Overstock","Sufficient"))</f>
        <v>Reorder</v>
      </c>
      <c r="N465" s="30"/>
      <c r="O465" s="3"/>
    </row>
    <row r="466" spans="1:15" x14ac:dyDescent="0.35">
      <c r="A466" s="94" t="s">
        <v>996</v>
      </c>
      <c r="B466" s="41">
        <v>129</v>
      </c>
      <c r="C466" s="57">
        <v>0.44961240310077522</v>
      </c>
      <c r="D466">
        <v>24</v>
      </c>
      <c r="F466" s="78" t="s">
        <v>996</v>
      </c>
      <c r="G466" s="45">
        <v>129</v>
      </c>
      <c r="H466" s="79">
        <f>ROUNDUP(VLOOKUP(F466,$A$10:$C$782,3,0),0)</f>
        <v>1</v>
      </c>
      <c r="I466" s="80">
        <f>$H$7*$H$6*SQRT(G466)</f>
        <v>97.450067213932698</v>
      </c>
      <c r="J466" s="80">
        <f>(H466*G466)+I466</f>
        <v>226.4500672139327</v>
      </c>
      <c r="K466" s="87">
        <f>H466*G466</f>
        <v>129</v>
      </c>
      <c r="L466" s="3">
        <v>24</v>
      </c>
      <c r="M466" s="30" t="str">
        <f>IF(L466&lt;J466,"Reorder",IF(L466&gt;=J466*1.5,"Overstock","Sufficient"))</f>
        <v>Reorder</v>
      </c>
      <c r="N466" s="30"/>
      <c r="O466" s="3"/>
    </row>
    <row r="467" spans="1:15" x14ac:dyDescent="0.35">
      <c r="A467" s="94" t="s">
        <v>678</v>
      </c>
      <c r="B467" s="41">
        <v>165</v>
      </c>
      <c r="C467" s="57">
        <v>0.43636363636363634</v>
      </c>
      <c r="D467">
        <v>96</v>
      </c>
      <c r="F467" s="78" t="s">
        <v>678</v>
      </c>
      <c r="G467" s="45">
        <v>165</v>
      </c>
      <c r="H467" s="79">
        <f>ROUNDUP(VLOOKUP(F467,$A$10:$C$782,3,0),0)</f>
        <v>1</v>
      </c>
      <c r="I467" s="80">
        <f>$H$7*$H$6*SQRT(G467)</f>
        <v>110.2120955249468</v>
      </c>
      <c r="J467" s="80">
        <f>(H467*G467)+I467</f>
        <v>275.21209552494679</v>
      </c>
      <c r="K467" s="87">
        <f>H467*G467</f>
        <v>165</v>
      </c>
      <c r="L467" s="3">
        <v>96</v>
      </c>
      <c r="M467" s="30" t="str">
        <f>IF(L467&lt;J467,"Reorder",IF(L467&gt;=J467*1.5,"Overstock","Sufficient"))</f>
        <v>Reorder</v>
      </c>
      <c r="N467" s="30"/>
      <c r="O467" s="3"/>
    </row>
    <row r="468" spans="1:15" x14ac:dyDescent="0.35">
      <c r="A468" s="14" t="s">
        <v>325</v>
      </c>
      <c r="B468" s="41">
        <v>663</v>
      </c>
      <c r="C468" s="57">
        <v>5.2987276354639379</v>
      </c>
      <c r="D468">
        <v>365</v>
      </c>
      <c r="F468" s="72" t="s">
        <v>325</v>
      </c>
      <c r="G468" s="73"/>
      <c r="H468" s="74"/>
      <c r="I468" s="75"/>
      <c r="J468" s="74"/>
      <c r="K468" s="79"/>
      <c r="L468" s="76">
        <v>365</v>
      </c>
      <c r="M468" s="77"/>
      <c r="N468" s="85" t="str">
        <f>IFERROR(VLOOKUP(F468,'ABC Analysis'!$E$18:$M$138,9,0),0)</f>
        <v>A</v>
      </c>
      <c r="O468" s="86">
        <f>IFERROR(VLOOKUP(F468,'ABC Analysis'!$E$18:$G$138,3,0),0)</f>
        <v>6.1547740498761778E-3</v>
      </c>
    </row>
    <row r="469" spans="1:15" x14ac:dyDescent="0.35">
      <c r="A469" s="94" t="s">
        <v>782</v>
      </c>
      <c r="B469" s="41">
        <v>62</v>
      </c>
      <c r="C469" s="57">
        <v>0.93548387096774188</v>
      </c>
      <c r="D469">
        <v>19</v>
      </c>
      <c r="F469" s="78" t="s">
        <v>782</v>
      </c>
      <c r="G469" s="45">
        <v>62</v>
      </c>
      <c r="H469" s="79">
        <f t="shared" ref="H469:H475" si="174">ROUNDUP(VLOOKUP(F469,$A$10:$C$782,3,0),0)</f>
        <v>1</v>
      </c>
      <c r="I469" s="80">
        <f t="shared" ref="I469:I475" si="175">$H$7*$H$6*SQRT(G469)</f>
        <v>67.558987559021347</v>
      </c>
      <c r="J469" s="80">
        <f t="shared" ref="J469:J475" si="176">(H469*G469)+I469</f>
        <v>129.55898755902135</v>
      </c>
      <c r="K469" s="87">
        <f t="shared" ref="K469:K475" si="177">H469*G469</f>
        <v>62</v>
      </c>
      <c r="L469" s="3">
        <v>19</v>
      </c>
      <c r="M469" s="30" t="str">
        <f t="shared" ref="M469:M475" si="178">IF(L469&lt;J469,"Reorder",IF(L469&gt;=J469*1.5,"Overstock","Sufficient"))</f>
        <v>Reorder</v>
      </c>
      <c r="N469" s="30"/>
      <c r="O469" s="3"/>
    </row>
    <row r="470" spans="1:15" x14ac:dyDescent="0.35">
      <c r="A470" s="94" t="s">
        <v>43</v>
      </c>
      <c r="B470" s="41">
        <v>119</v>
      </c>
      <c r="C470" s="57">
        <v>0.35294117647058826</v>
      </c>
      <c r="D470">
        <v>77</v>
      </c>
      <c r="F470" s="78" t="s">
        <v>43</v>
      </c>
      <c r="G470" s="45">
        <v>119</v>
      </c>
      <c r="H470" s="79">
        <f t="shared" si="174"/>
        <v>2</v>
      </c>
      <c r="I470" s="80">
        <f t="shared" si="175"/>
        <v>93.596749943574423</v>
      </c>
      <c r="J470" s="80">
        <f t="shared" si="176"/>
        <v>331.59674994357442</v>
      </c>
      <c r="K470" s="87">
        <f t="shared" si="177"/>
        <v>238</v>
      </c>
      <c r="L470" s="3">
        <v>77</v>
      </c>
      <c r="M470" s="30" t="str">
        <f t="shared" si="178"/>
        <v>Reorder</v>
      </c>
      <c r="N470" s="30"/>
      <c r="O470" s="3"/>
    </row>
    <row r="471" spans="1:15" x14ac:dyDescent="0.35">
      <c r="A471" s="94" t="s">
        <v>1203</v>
      </c>
      <c r="B471" s="41">
        <v>128</v>
      </c>
      <c r="C471" s="57">
        <v>0.2265625</v>
      </c>
      <c r="D471">
        <v>10</v>
      </c>
      <c r="F471" s="78" t="s">
        <v>1203</v>
      </c>
      <c r="G471" s="45">
        <v>128</v>
      </c>
      <c r="H471" s="79">
        <f t="shared" si="174"/>
        <v>1</v>
      </c>
      <c r="I471" s="80">
        <f t="shared" si="175"/>
        <v>97.071618921289257</v>
      </c>
      <c r="J471" s="80">
        <f t="shared" si="176"/>
        <v>225.07161892128926</v>
      </c>
      <c r="K471" s="87">
        <f t="shared" si="177"/>
        <v>128</v>
      </c>
      <c r="L471" s="3">
        <v>10</v>
      </c>
      <c r="M471" s="30" t="str">
        <f t="shared" si="178"/>
        <v>Reorder</v>
      </c>
      <c r="N471" s="30"/>
      <c r="O471" s="3"/>
    </row>
    <row r="472" spans="1:15" x14ac:dyDescent="0.35">
      <c r="A472" s="94" t="s">
        <v>1175</v>
      </c>
      <c r="B472" s="41">
        <v>192</v>
      </c>
      <c r="C472" s="57">
        <v>0.22395833333333334</v>
      </c>
      <c r="D472">
        <v>75</v>
      </c>
      <c r="F472" s="78" t="s">
        <v>1175</v>
      </c>
      <c r="G472" s="45">
        <v>192</v>
      </c>
      <c r="H472" s="79">
        <f t="shared" si="174"/>
        <v>2</v>
      </c>
      <c r="I472" s="80">
        <f t="shared" si="175"/>
        <v>118.88796743152773</v>
      </c>
      <c r="J472" s="80">
        <f t="shared" si="176"/>
        <v>502.88796743152773</v>
      </c>
      <c r="K472" s="87">
        <f t="shared" si="177"/>
        <v>384</v>
      </c>
      <c r="L472" s="3">
        <v>75</v>
      </c>
      <c r="M472" s="30" t="str">
        <f t="shared" si="178"/>
        <v>Reorder</v>
      </c>
      <c r="N472" s="30"/>
      <c r="O472" s="3"/>
    </row>
    <row r="473" spans="1:15" x14ac:dyDescent="0.35">
      <c r="A473" s="94" t="s">
        <v>1351</v>
      </c>
      <c r="B473" s="41">
        <v>25</v>
      </c>
      <c r="C473" s="57">
        <v>1.56</v>
      </c>
      <c r="D473">
        <v>84</v>
      </c>
      <c r="F473" s="78" t="s">
        <v>1351</v>
      </c>
      <c r="G473" s="45">
        <v>25</v>
      </c>
      <c r="H473" s="79">
        <f t="shared" si="174"/>
        <v>2</v>
      </c>
      <c r="I473" s="80">
        <f t="shared" si="175"/>
        <v>42.9</v>
      </c>
      <c r="J473" s="80">
        <f t="shared" si="176"/>
        <v>92.9</v>
      </c>
      <c r="K473" s="87">
        <f t="shared" si="177"/>
        <v>50</v>
      </c>
      <c r="L473" s="3">
        <v>84</v>
      </c>
      <c r="M473" s="30" t="str">
        <f t="shared" si="178"/>
        <v>Reorder</v>
      </c>
      <c r="N473" s="30"/>
      <c r="O473" s="3"/>
    </row>
    <row r="474" spans="1:15" x14ac:dyDescent="0.35">
      <c r="A474" s="94" t="s">
        <v>696</v>
      </c>
      <c r="B474" s="41">
        <v>58</v>
      </c>
      <c r="C474" s="57">
        <v>1.1896551724137931</v>
      </c>
      <c r="D474">
        <v>78</v>
      </c>
      <c r="F474" s="78" t="s">
        <v>696</v>
      </c>
      <c r="G474" s="45">
        <v>58</v>
      </c>
      <c r="H474" s="79">
        <f t="shared" si="174"/>
        <v>1</v>
      </c>
      <c r="I474" s="80">
        <f t="shared" si="175"/>
        <v>65.343333248312334</v>
      </c>
      <c r="J474" s="80">
        <f t="shared" si="176"/>
        <v>123.34333324831233</v>
      </c>
      <c r="K474" s="87">
        <f t="shared" si="177"/>
        <v>58</v>
      </c>
      <c r="L474" s="3">
        <v>78</v>
      </c>
      <c r="M474" s="30" t="str">
        <f t="shared" si="178"/>
        <v>Reorder</v>
      </c>
      <c r="N474" s="30"/>
      <c r="O474" s="3"/>
    </row>
    <row r="475" spans="1:15" x14ac:dyDescent="0.35">
      <c r="A475" s="94" t="s">
        <v>875</v>
      </c>
      <c r="B475" s="41">
        <v>79</v>
      </c>
      <c r="C475" s="57">
        <v>0.810126582278481</v>
      </c>
      <c r="D475">
        <v>22</v>
      </c>
      <c r="F475" s="78" t="s">
        <v>875</v>
      </c>
      <c r="G475" s="45">
        <v>79</v>
      </c>
      <c r="H475" s="79">
        <f t="shared" si="174"/>
        <v>1</v>
      </c>
      <c r="I475" s="80">
        <f t="shared" si="175"/>
        <v>76.260708100567754</v>
      </c>
      <c r="J475" s="80">
        <f t="shared" si="176"/>
        <v>155.26070810056774</v>
      </c>
      <c r="K475" s="87">
        <f t="shared" si="177"/>
        <v>79</v>
      </c>
      <c r="L475" s="3">
        <v>22</v>
      </c>
      <c r="M475" s="30" t="str">
        <f t="shared" si="178"/>
        <v>Reorder</v>
      </c>
      <c r="N475" s="30"/>
      <c r="O475" s="3"/>
    </row>
    <row r="476" spans="1:15" x14ac:dyDescent="0.35">
      <c r="A476" s="14" t="s">
        <v>111</v>
      </c>
      <c r="B476" s="41">
        <v>282</v>
      </c>
      <c r="C476" s="57">
        <v>5.2361524676040805</v>
      </c>
      <c r="D476">
        <v>256</v>
      </c>
      <c r="F476" s="72" t="s">
        <v>111</v>
      </c>
      <c r="G476" s="73"/>
      <c r="H476" s="74"/>
      <c r="I476" s="75"/>
      <c r="J476" s="74"/>
      <c r="K476" s="79"/>
      <c r="L476" s="76">
        <v>256</v>
      </c>
      <c r="M476" s="77"/>
      <c r="N476" s="85" t="str">
        <f>IFERROR(VLOOKUP(F476,'ABC Analysis'!$E$18:$M$138,9,0),0)</f>
        <v>A</v>
      </c>
      <c r="O476" s="86">
        <f>IFERROR(VLOOKUP(F476,'ABC Analysis'!$E$18:$G$138,3,0),0)</f>
        <v>9.0539575786795258E-3</v>
      </c>
    </row>
    <row r="477" spans="1:15" x14ac:dyDescent="0.35">
      <c r="A477" s="94" t="s">
        <v>778</v>
      </c>
      <c r="B477" s="41">
        <v>52</v>
      </c>
      <c r="C477" s="57">
        <v>0.82692307692307687</v>
      </c>
      <c r="D477">
        <v>66</v>
      </c>
      <c r="F477" s="78" t="s">
        <v>778</v>
      </c>
      <c r="G477" s="45">
        <v>52</v>
      </c>
      <c r="H477" s="79">
        <f>ROUNDUP(VLOOKUP(F477,$A$10:$C$782,3,0),0)</f>
        <v>1</v>
      </c>
      <c r="I477" s="80">
        <f>$H$7*$H$6*SQRT(G477)</f>
        <v>61.871259886962051</v>
      </c>
      <c r="J477" s="80">
        <f>(H477*G477)+I477</f>
        <v>113.87125988696205</v>
      </c>
      <c r="K477" s="87">
        <f>H477*G477</f>
        <v>52</v>
      </c>
      <c r="L477" s="3">
        <v>66</v>
      </c>
      <c r="M477" s="30" t="str">
        <f>IF(L477&lt;J477,"Reorder",IF(L477&gt;=J477*1.5,"Overstock","Sufficient"))</f>
        <v>Reorder</v>
      </c>
      <c r="N477" s="30"/>
      <c r="O477" s="3"/>
    </row>
    <row r="478" spans="1:15" x14ac:dyDescent="0.35">
      <c r="A478" s="94" t="s">
        <v>1303</v>
      </c>
      <c r="B478" s="41">
        <v>124</v>
      </c>
      <c r="C478" s="57">
        <v>0.30645161290322581</v>
      </c>
      <c r="D478">
        <v>49</v>
      </c>
      <c r="F478" s="78" t="s">
        <v>1303</v>
      </c>
      <c r="G478" s="45">
        <v>124</v>
      </c>
      <c r="H478" s="79">
        <f>ROUNDUP(VLOOKUP(F478,$A$10:$C$782,3,0),0)</f>
        <v>1</v>
      </c>
      <c r="I478" s="80">
        <f>$H$7*$H$6*SQRT(G478)</f>
        <v>95.542836466163166</v>
      </c>
      <c r="J478" s="80">
        <f>(H478*G478)+I478</f>
        <v>219.54283646616318</v>
      </c>
      <c r="K478" s="87">
        <f>H478*G478</f>
        <v>124</v>
      </c>
      <c r="L478" s="3">
        <v>49</v>
      </c>
      <c r="M478" s="30" t="str">
        <f>IF(L478&lt;J478,"Reorder",IF(L478&gt;=J478*1.5,"Overstock","Sufficient"))</f>
        <v>Reorder</v>
      </c>
      <c r="N478" s="30"/>
      <c r="O478" s="3"/>
    </row>
    <row r="479" spans="1:15" x14ac:dyDescent="0.35">
      <c r="A479" s="94" t="s">
        <v>112</v>
      </c>
      <c r="B479" s="41">
        <v>90</v>
      </c>
      <c r="C479" s="57">
        <v>0.97777777777777775</v>
      </c>
      <c r="D479">
        <v>50</v>
      </c>
      <c r="F479" s="78" t="s">
        <v>112</v>
      </c>
      <c r="G479" s="45">
        <v>90</v>
      </c>
      <c r="H479" s="79">
        <f>ROUNDUP(VLOOKUP(F479,$A$10:$C$782,3,0),0)</f>
        <v>1</v>
      </c>
      <c r="I479" s="80">
        <f>$H$7*$H$6*SQRT(G479)</f>
        <v>81.397026972734082</v>
      </c>
      <c r="J479" s="80">
        <f>(H479*G479)+I479</f>
        <v>171.39702697273407</v>
      </c>
      <c r="K479" s="87">
        <f>H479*G479</f>
        <v>90</v>
      </c>
      <c r="L479" s="3">
        <v>50</v>
      </c>
      <c r="M479" s="30" t="str">
        <f>IF(L479&lt;J479,"Reorder",IF(L479&gt;=J479*1.5,"Overstock","Sufficient"))</f>
        <v>Reorder</v>
      </c>
      <c r="N479" s="30"/>
      <c r="O479" s="3"/>
    </row>
    <row r="480" spans="1:15" x14ac:dyDescent="0.35">
      <c r="A480" s="94" t="s">
        <v>1402</v>
      </c>
      <c r="B480" s="41">
        <v>16</v>
      </c>
      <c r="C480" s="57">
        <v>3.125</v>
      </c>
      <c r="D480">
        <v>91</v>
      </c>
      <c r="F480" s="78" t="s">
        <v>1402</v>
      </c>
      <c r="G480" s="45">
        <v>16</v>
      </c>
      <c r="H480" s="79">
        <f>ROUNDUP(VLOOKUP(F480,$A$10:$C$782,3,0),0)</f>
        <v>4</v>
      </c>
      <c r="I480" s="80">
        <f>$H$7*$H$6*SQRT(G480)</f>
        <v>34.32</v>
      </c>
      <c r="J480" s="80">
        <f>(H480*G480)+I480</f>
        <v>98.32</v>
      </c>
      <c r="K480" s="87">
        <f>H480*G480</f>
        <v>64</v>
      </c>
      <c r="L480" s="3">
        <v>91</v>
      </c>
      <c r="M480" s="30" t="str">
        <f>IF(L480&lt;J480,"Reorder",IF(L480&gt;=J480*1.5,"Overstock","Sufficient"))</f>
        <v>Reorder</v>
      </c>
      <c r="N480" s="30"/>
      <c r="O480" s="3"/>
    </row>
    <row r="481" spans="1:15" x14ac:dyDescent="0.35">
      <c r="A481" s="14" t="s">
        <v>517</v>
      </c>
      <c r="B481" s="41">
        <v>1593</v>
      </c>
      <c r="C481" s="57">
        <v>5.1589169229093592</v>
      </c>
      <c r="D481">
        <v>557</v>
      </c>
      <c r="F481" s="72" t="s">
        <v>517</v>
      </c>
      <c r="G481" s="73"/>
      <c r="H481" s="74"/>
      <c r="I481" s="75"/>
      <c r="J481" s="74"/>
      <c r="K481" s="79"/>
      <c r="L481" s="76">
        <v>557</v>
      </c>
      <c r="M481" s="77"/>
      <c r="N481" s="85" t="str">
        <f>IFERROR(VLOOKUP(F481,'ABC Analysis'!$E$18:$M$138,9,0),0)</f>
        <v>A</v>
      </c>
      <c r="O481" s="86">
        <f>IFERROR(VLOOKUP(F481,'ABC Analysis'!$E$18:$G$138,3,0),0)</f>
        <v>4.6375462886122799E-2</v>
      </c>
    </row>
    <row r="482" spans="1:15" x14ac:dyDescent="0.35">
      <c r="A482" s="94" t="s">
        <v>1842</v>
      </c>
      <c r="B482" s="41">
        <v>73</v>
      </c>
      <c r="C482" s="57">
        <v>1.0136986301369864</v>
      </c>
      <c r="D482">
        <v>81</v>
      </c>
      <c r="F482" s="78" t="s">
        <v>1842</v>
      </c>
      <c r="G482" s="45">
        <v>73</v>
      </c>
      <c r="H482" s="79">
        <f t="shared" ref="H482:H490" si="179">ROUNDUP(VLOOKUP(F482,$A$10:$C$782,3,0),0)</f>
        <v>2</v>
      </c>
      <c r="I482" s="80">
        <f t="shared" ref="I482:I490" si="180">$H$7*$H$6*SQRT(G482)</f>
        <v>73.307552134824405</v>
      </c>
      <c r="J482" s="80">
        <f t="shared" ref="J482:J490" si="181">(H482*G482)+I482</f>
        <v>219.30755213482439</v>
      </c>
      <c r="K482" s="87">
        <f t="shared" ref="K482:K490" si="182">H482*G482</f>
        <v>146</v>
      </c>
      <c r="L482" s="3">
        <v>81</v>
      </c>
      <c r="M482" s="30" t="str">
        <f t="shared" ref="M482:M490" si="183">IF(L482&lt;J482,"Reorder",IF(L482&gt;=J482*1.5,"Overstock","Sufficient"))</f>
        <v>Reorder</v>
      </c>
      <c r="N482" s="30"/>
      <c r="O482" s="3"/>
    </row>
    <row r="483" spans="1:15" x14ac:dyDescent="0.35">
      <c r="A483" s="94" t="s">
        <v>1719</v>
      </c>
      <c r="B483" s="41">
        <v>41</v>
      </c>
      <c r="C483" s="57">
        <v>2.1707317073170733</v>
      </c>
      <c r="D483">
        <v>62</v>
      </c>
      <c r="F483" s="78" t="s">
        <v>1719</v>
      </c>
      <c r="G483" s="45">
        <v>41</v>
      </c>
      <c r="H483" s="79">
        <f t="shared" si="179"/>
        <v>1</v>
      </c>
      <c r="I483" s="80">
        <f t="shared" si="180"/>
        <v>54.938805957173841</v>
      </c>
      <c r="J483" s="80">
        <f t="shared" si="181"/>
        <v>95.938805957173841</v>
      </c>
      <c r="K483" s="87">
        <f t="shared" si="182"/>
        <v>41</v>
      </c>
      <c r="L483" s="3">
        <v>62</v>
      </c>
      <c r="M483" s="30" t="str">
        <f t="shared" si="183"/>
        <v>Reorder</v>
      </c>
      <c r="N483" s="30"/>
      <c r="O483" s="3"/>
    </row>
    <row r="484" spans="1:15" x14ac:dyDescent="0.35">
      <c r="A484" s="94" t="s">
        <v>518</v>
      </c>
      <c r="B484" s="41">
        <v>175</v>
      </c>
      <c r="C484" s="57">
        <v>0.36</v>
      </c>
      <c r="D484">
        <v>91</v>
      </c>
      <c r="F484" s="78" t="s">
        <v>518</v>
      </c>
      <c r="G484" s="45">
        <v>175</v>
      </c>
      <c r="H484" s="79">
        <f t="shared" si="179"/>
        <v>3</v>
      </c>
      <c r="I484" s="80">
        <f t="shared" si="180"/>
        <v>113.50273124467094</v>
      </c>
      <c r="J484" s="80">
        <f t="shared" si="181"/>
        <v>638.50273124467094</v>
      </c>
      <c r="K484" s="87">
        <f t="shared" si="182"/>
        <v>525</v>
      </c>
      <c r="L484" s="3">
        <v>91</v>
      </c>
      <c r="M484" s="30" t="str">
        <f t="shared" si="183"/>
        <v>Reorder</v>
      </c>
      <c r="N484" s="30"/>
      <c r="O484" s="3"/>
    </row>
    <row r="485" spans="1:15" x14ac:dyDescent="0.35">
      <c r="A485" s="94" t="s">
        <v>482</v>
      </c>
      <c r="B485" s="41">
        <v>315</v>
      </c>
      <c r="C485" s="57">
        <v>0.23174603174603176</v>
      </c>
      <c r="D485">
        <v>20</v>
      </c>
      <c r="F485" s="78" t="s">
        <v>482</v>
      </c>
      <c r="G485" s="45">
        <v>315</v>
      </c>
      <c r="H485" s="79">
        <f t="shared" si="179"/>
        <v>3</v>
      </c>
      <c r="I485" s="80">
        <f t="shared" si="180"/>
        <v>152.27989361698414</v>
      </c>
      <c r="J485" s="80">
        <f t="shared" si="181"/>
        <v>1097.2798936169841</v>
      </c>
      <c r="K485" s="87">
        <f t="shared" si="182"/>
        <v>945</v>
      </c>
      <c r="L485" s="3">
        <v>20</v>
      </c>
      <c r="M485" s="30" t="str">
        <f t="shared" si="183"/>
        <v>Reorder</v>
      </c>
      <c r="N485" s="30"/>
      <c r="O485" s="3"/>
    </row>
    <row r="486" spans="1:15" x14ac:dyDescent="0.35">
      <c r="A486" s="94" t="s">
        <v>904</v>
      </c>
      <c r="B486" s="41">
        <v>164</v>
      </c>
      <c r="C486" s="57">
        <v>0.17682926829268292</v>
      </c>
      <c r="D486">
        <v>50</v>
      </c>
      <c r="F486" s="78" t="s">
        <v>904</v>
      </c>
      <c r="G486" s="45">
        <v>164</v>
      </c>
      <c r="H486" s="79">
        <f t="shared" si="179"/>
        <v>1</v>
      </c>
      <c r="I486" s="80">
        <f t="shared" si="180"/>
        <v>109.87761191434768</v>
      </c>
      <c r="J486" s="80">
        <f t="shared" si="181"/>
        <v>273.87761191434765</v>
      </c>
      <c r="K486" s="87">
        <f t="shared" si="182"/>
        <v>164</v>
      </c>
      <c r="L486" s="3">
        <v>50</v>
      </c>
      <c r="M486" s="30" t="str">
        <f t="shared" si="183"/>
        <v>Reorder</v>
      </c>
      <c r="N486" s="30"/>
      <c r="O486" s="3"/>
    </row>
    <row r="487" spans="1:15" x14ac:dyDescent="0.35">
      <c r="A487" s="94" t="s">
        <v>2167</v>
      </c>
      <c r="B487" s="41">
        <v>182</v>
      </c>
      <c r="C487" s="57">
        <v>0.23626373626373626</v>
      </c>
      <c r="D487">
        <v>60</v>
      </c>
      <c r="F487" s="78" t="s">
        <v>2167</v>
      </c>
      <c r="G487" s="45">
        <v>182</v>
      </c>
      <c r="H487" s="79">
        <f t="shared" si="179"/>
        <v>1</v>
      </c>
      <c r="I487" s="80">
        <f t="shared" si="180"/>
        <v>115.75052829253092</v>
      </c>
      <c r="J487" s="80">
        <f t="shared" si="181"/>
        <v>297.75052829253093</v>
      </c>
      <c r="K487" s="87">
        <f t="shared" si="182"/>
        <v>182</v>
      </c>
      <c r="L487" s="3">
        <v>60</v>
      </c>
      <c r="M487" s="30" t="str">
        <f t="shared" si="183"/>
        <v>Reorder</v>
      </c>
      <c r="N487" s="30"/>
      <c r="O487" s="3"/>
    </row>
    <row r="488" spans="1:15" x14ac:dyDescent="0.35">
      <c r="A488" s="94" t="s">
        <v>231</v>
      </c>
      <c r="B488" s="41">
        <v>283</v>
      </c>
      <c r="C488" s="57">
        <v>0.32862190812720848</v>
      </c>
      <c r="D488">
        <v>99</v>
      </c>
      <c r="F488" s="78" t="s">
        <v>231</v>
      </c>
      <c r="G488" s="45">
        <v>283</v>
      </c>
      <c r="H488" s="79">
        <f t="shared" si="179"/>
        <v>1</v>
      </c>
      <c r="I488" s="80">
        <f t="shared" si="180"/>
        <v>144.33794095801699</v>
      </c>
      <c r="J488" s="80">
        <f t="shared" si="181"/>
        <v>427.33794095801699</v>
      </c>
      <c r="K488" s="87">
        <f t="shared" si="182"/>
        <v>283</v>
      </c>
      <c r="L488" s="3">
        <v>99</v>
      </c>
      <c r="M488" s="30" t="str">
        <f t="shared" si="183"/>
        <v>Reorder</v>
      </c>
      <c r="N488" s="30"/>
      <c r="O488" s="3"/>
    </row>
    <row r="489" spans="1:15" x14ac:dyDescent="0.35">
      <c r="A489" s="94" t="s">
        <v>555</v>
      </c>
      <c r="B489" s="41">
        <v>234</v>
      </c>
      <c r="C489" s="57">
        <v>0.36324786324786323</v>
      </c>
      <c r="D489">
        <v>58</v>
      </c>
      <c r="F489" s="78" t="s">
        <v>555</v>
      </c>
      <c r="G489" s="45">
        <v>234</v>
      </c>
      <c r="H489" s="79">
        <f t="shared" si="179"/>
        <v>1</v>
      </c>
      <c r="I489" s="80">
        <f t="shared" si="180"/>
        <v>131.24876227987829</v>
      </c>
      <c r="J489" s="80">
        <f t="shared" si="181"/>
        <v>365.24876227987829</v>
      </c>
      <c r="K489" s="87">
        <f t="shared" si="182"/>
        <v>234</v>
      </c>
      <c r="L489" s="3">
        <v>58</v>
      </c>
      <c r="M489" s="30" t="str">
        <f t="shared" si="183"/>
        <v>Reorder</v>
      </c>
      <c r="N489" s="30"/>
      <c r="O489" s="3"/>
    </row>
    <row r="490" spans="1:15" x14ac:dyDescent="0.35">
      <c r="A490" s="94" t="s">
        <v>1050</v>
      </c>
      <c r="B490" s="41">
        <v>126</v>
      </c>
      <c r="C490" s="57">
        <v>0.27777777777777779</v>
      </c>
      <c r="D490">
        <v>36</v>
      </c>
      <c r="F490" s="78" t="s">
        <v>1050</v>
      </c>
      <c r="G490" s="45">
        <v>126</v>
      </c>
      <c r="H490" s="79">
        <f t="shared" si="179"/>
        <v>1</v>
      </c>
      <c r="I490" s="80">
        <f t="shared" si="180"/>
        <v>96.310261135561248</v>
      </c>
      <c r="J490" s="80">
        <f t="shared" si="181"/>
        <v>222.31026113556123</v>
      </c>
      <c r="K490" s="87">
        <f t="shared" si="182"/>
        <v>126</v>
      </c>
      <c r="L490" s="3">
        <v>36</v>
      </c>
      <c r="M490" s="30" t="str">
        <f t="shared" si="183"/>
        <v>Reorder</v>
      </c>
      <c r="N490" s="30"/>
      <c r="O490" s="3"/>
    </row>
    <row r="491" spans="1:15" x14ac:dyDescent="0.35">
      <c r="A491" s="14" t="s">
        <v>691</v>
      </c>
      <c r="B491" s="41">
        <v>506</v>
      </c>
      <c r="C491" s="57">
        <v>5.0885179177783169</v>
      </c>
      <c r="D491">
        <v>421</v>
      </c>
      <c r="F491" s="72" t="s">
        <v>691</v>
      </c>
      <c r="G491" s="73"/>
      <c r="H491" s="74"/>
      <c r="I491" s="75"/>
      <c r="J491" s="74"/>
      <c r="K491" s="79"/>
      <c r="L491" s="76">
        <v>421</v>
      </c>
      <c r="M491" s="77"/>
      <c r="N491" s="85" t="str">
        <f>IFERROR(VLOOKUP(F491,'ABC Analysis'!$E$18:$M$138,9,0),0)</f>
        <v>A</v>
      </c>
      <c r="O491" s="86">
        <f>IFERROR(VLOOKUP(F491,'ABC Analysis'!$E$18:$G$138,3,0),0)</f>
        <v>8.3568289874433738E-3</v>
      </c>
    </row>
    <row r="492" spans="1:15" x14ac:dyDescent="0.35">
      <c r="A492" s="94" t="s">
        <v>38</v>
      </c>
      <c r="B492" s="41">
        <v>42</v>
      </c>
      <c r="C492" s="57">
        <v>1.4047619047619047</v>
      </c>
      <c r="D492">
        <v>48</v>
      </c>
      <c r="F492" s="78" t="s">
        <v>38</v>
      </c>
      <c r="G492" s="45">
        <v>42</v>
      </c>
      <c r="H492" s="79">
        <f t="shared" ref="H492:H497" si="184">ROUNDUP(VLOOKUP(F492,$A$10:$C$782,3,0),0)</f>
        <v>8</v>
      </c>
      <c r="I492" s="80">
        <f t="shared" ref="I492:I497" si="185">$H$7*$H$6*SQRT(G492)</f>
        <v>55.604755192339439</v>
      </c>
      <c r="J492" s="80">
        <f t="shared" ref="J492:J497" si="186">(H492*G492)+I492</f>
        <v>391.60475519233944</v>
      </c>
      <c r="K492" s="87">
        <f t="shared" ref="K492:K497" si="187">H492*G492</f>
        <v>336</v>
      </c>
      <c r="L492" s="3">
        <v>48</v>
      </c>
      <c r="M492" s="30" t="str">
        <f t="shared" ref="M492:M497" si="188">IF(L492&lt;J492,"Reorder",IF(L492&gt;=J492*1.5,"Overstock","Sufficient"))</f>
        <v>Reorder</v>
      </c>
      <c r="N492" s="30"/>
      <c r="O492" s="3"/>
    </row>
    <row r="493" spans="1:15" x14ac:dyDescent="0.35">
      <c r="A493" s="94" t="s">
        <v>2856</v>
      </c>
      <c r="B493" s="41">
        <v>57</v>
      </c>
      <c r="C493" s="57">
        <v>1.5087719298245614</v>
      </c>
      <c r="D493">
        <v>41</v>
      </c>
      <c r="F493" s="78" t="s">
        <v>2856</v>
      </c>
      <c r="G493" s="45">
        <v>57</v>
      </c>
      <c r="H493" s="79">
        <f t="shared" si="184"/>
        <v>1</v>
      </c>
      <c r="I493" s="80">
        <f t="shared" si="185"/>
        <v>64.777579454623037</v>
      </c>
      <c r="J493" s="80">
        <f t="shared" si="186"/>
        <v>121.77757945462304</v>
      </c>
      <c r="K493" s="87">
        <f t="shared" si="187"/>
        <v>57</v>
      </c>
      <c r="L493" s="3">
        <v>41</v>
      </c>
      <c r="M493" s="30" t="str">
        <f t="shared" si="188"/>
        <v>Reorder</v>
      </c>
      <c r="N493" s="30"/>
      <c r="O493" s="3"/>
    </row>
    <row r="494" spans="1:15" x14ac:dyDescent="0.35">
      <c r="A494" s="94" t="s">
        <v>692</v>
      </c>
      <c r="B494" s="41">
        <v>64</v>
      </c>
      <c r="C494" s="57">
        <v>0.828125</v>
      </c>
      <c r="D494">
        <v>68</v>
      </c>
      <c r="F494" s="78" t="s">
        <v>692</v>
      </c>
      <c r="G494" s="45">
        <v>64</v>
      </c>
      <c r="H494" s="79">
        <f t="shared" si="184"/>
        <v>1</v>
      </c>
      <c r="I494" s="80">
        <f t="shared" si="185"/>
        <v>68.64</v>
      </c>
      <c r="J494" s="80">
        <f t="shared" si="186"/>
        <v>132.63999999999999</v>
      </c>
      <c r="K494" s="87">
        <f t="shared" si="187"/>
        <v>64</v>
      </c>
      <c r="L494" s="3">
        <v>68</v>
      </c>
      <c r="M494" s="30" t="str">
        <f t="shared" si="188"/>
        <v>Reorder</v>
      </c>
      <c r="N494" s="30"/>
      <c r="O494" s="3"/>
    </row>
    <row r="495" spans="1:15" x14ac:dyDescent="0.35">
      <c r="A495" s="94" t="s">
        <v>203</v>
      </c>
      <c r="B495" s="41">
        <v>186</v>
      </c>
      <c r="C495" s="57">
        <v>0.39247311827956988</v>
      </c>
      <c r="D495">
        <v>67</v>
      </c>
      <c r="F495" s="78" t="s">
        <v>203</v>
      </c>
      <c r="G495" s="45">
        <v>186</v>
      </c>
      <c r="H495" s="79">
        <f t="shared" si="184"/>
        <v>1</v>
      </c>
      <c r="I495" s="80">
        <f t="shared" si="185"/>
        <v>117.01559896013863</v>
      </c>
      <c r="J495" s="80">
        <f t="shared" si="186"/>
        <v>303.01559896013862</v>
      </c>
      <c r="K495" s="87">
        <f t="shared" si="187"/>
        <v>186</v>
      </c>
      <c r="L495" s="3">
        <v>67</v>
      </c>
      <c r="M495" s="30" t="str">
        <f t="shared" si="188"/>
        <v>Reorder</v>
      </c>
      <c r="N495" s="30"/>
      <c r="O495" s="3"/>
    </row>
    <row r="496" spans="1:15" x14ac:dyDescent="0.35">
      <c r="A496" s="94" t="s">
        <v>112</v>
      </c>
      <c r="B496" s="41">
        <v>57</v>
      </c>
      <c r="C496" s="57">
        <v>0.75438596491228072</v>
      </c>
      <c r="D496">
        <v>97</v>
      </c>
      <c r="F496" s="78" t="s">
        <v>112</v>
      </c>
      <c r="G496" s="45">
        <v>57</v>
      </c>
      <c r="H496" s="79">
        <f t="shared" si="184"/>
        <v>1</v>
      </c>
      <c r="I496" s="80">
        <f t="shared" si="185"/>
        <v>64.777579454623037</v>
      </c>
      <c r="J496" s="80">
        <f t="shared" si="186"/>
        <v>121.77757945462304</v>
      </c>
      <c r="K496" s="87">
        <f t="shared" si="187"/>
        <v>57</v>
      </c>
      <c r="L496" s="3">
        <v>97</v>
      </c>
      <c r="M496" s="30" t="str">
        <f t="shared" si="188"/>
        <v>Reorder</v>
      </c>
      <c r="N496" s="30"/>
      <c r="O496" s="3"/>
    </row>
    <row r="497" spans="1:15" x14ac:dyDescent="0.35">
      <c r="A497" s="94" t="s">
        <v>1402</v>
      </c>
      <c r="B497" s="41">
        <v>100</v>
      </c>
      <c r="C497" s="57">
        <v>0.2</v>
      </c>
      <c r="D497">
        <v>100</v>
      </c>
      <c r="F497" s="78" t="s">
        <v>1402</v>
      </c>
      <c r="G497" s="45">
        <v>100</v>
      </c>
      <c r="H497" s="79">
        <f t="shared" si="184"/>
        <v>4</v>
      </c>
      <c r="I497" s="80">
        <f t="shared" si="185"/>
        <v>85.8</v>
      </c>
      <c r="J497" s="80">
        <f t="shared" si="186"/>
        <v>485.8</v>
      </c>
      <c r="K497" s="87">
        <f t="shared" si="187"/>
        <v>400</v>
      </c>
      <c r="L497" s="3">
        <v>100</v>
      </c>
      <c r="M497" s="30" t="str">
        <f t="shared" si="188"/>
        <v>Reorder</v>
      </c>
      <c r="N497" s="30"/>
      <c r="O497" s="3"/>
    </row>
    <row r="498" spans="1:15" x14ac:dyDescent="0.35">
      <c r="A498" s="14" t="s">
        <v>146</v>
      </c>
      <c r="B498" s="41">
        <v>666</v>
      </c>
      <c r="C498" s="57">
        <v>4.9512738510068273</v>
      </c>
      <c r="D498">
        <v>329</v>
      </c>
      <c r="F498" s="72" t="s">
        <v>146</v>
      </c>
      <c r="G498" s="73"/>
      <c r="H498" s="74"/>
      <c r="I498" s="75"/>
      <c r="J498" s="74"/>
      <c r="K498" s="79"/>
      <c r="L498" s="76">
        <v>329</v>
      </c>
      <c r="M498" s="77"/>
      <c r="N498" s="85" t="str">
        <f>IFERROR(VLOOKUP(F498,'ABC Analysis'!$E$18:$M$138,9,0),0)</f>
        <v>A</v>
      </c>
      <c r="O498" s="86">
        <f>IFERROR(VLOOKUP(F498,'ABC Analysis'!$E$18:$G$138,3,0),0)</f>
        <v>1.0955085341029782E-2</v>
      </c>
    </row>
    <row r="499" spans="1:15" x14ac:dyDescent="0.35">
      <c r="A499" s="94" t="s">
        <v>1105</v>
      </c>
      <c r="B499" s="41">
        <v>55</v>
      </c>
      <c r="C499" s="57">
        <v>0.65454545454545454</v>
      </c>
      <c r="D499">
        <v>46</v>
      </c>
      <c r="F499" s="78" t="s">
        <v>1105</v>
      </c>
      <c r="G499" s="45">
        <v>55</v>
      </c>
      <c r="H499" s="79">
        <f t="shared" ref="H499:H504" si="189">ROUNDUP(VLOOKUP(F499,$A$10:$C$782,3,0),0)</f>
        <v>1</v>
      </c>
      <c r="I499" s="80">
        <f t="shared" ref="I499:I504" si="190">$H$7*$H$6*SQRT(G499)</f>
        <v>63.630983019280791</v>
      </c>
      <c r="J499" s="80">
        <f t="shared" ref="J499:J504" si="191">(H499*G499)+I499</f>
        <v>118.63098301928079</v>
      </c>
      <c r="K499" s="87">
        <f t="shared" ref="K499:K504" si="192">H499*G499</f>
        <v>55</v>
      </c>
      <c r="L499" s="3">
        <v>46</v>
      </c>
      <c r="M499" s="30" t="str">
        <f t="shared" ref="M499:M504" si="193">IF(L499&lt;J499,"Reorder",IF(L499&gt;=J499*1.5,"Overstock","Sufficient"))</f>
        <v>Reorder</v>
      </c>
      <c r="N499" s="30"/>
      <c r="O499" s="3"/>
    </row>
    <row r="500" spans="1:15" x14ac:dyDescent="0.35">
      <c r="A500" s="94" t="s">
        <v>1127</v>
      </c>
      <c r="B500" s="41">
        <v>64</v>
      </c>
      <c r="C500" s="57">
        <v>1.109375</v>
      </c>
      <c r="D500">
        <v>56</v>
      </c>
      <c r="F500" s="78" t="s">
        <v>1127</v>
      </c>
      <c r="G500" s="45">
        <v>64</v>
      </c>
      <c r="H500" s="79">
        <f t="shared" si="189"/>
        <v>5</v>
      </c>
      <c r="I500" s="80">
        <f t="shared" si="190"/>
        <v>68.64</v>
      </c>
      <c r="J500" s="80">
        <f t="shared" si="191"/>
        <v>388.64</v>
      </c>
      <c r="K500" s="87">
        <f t="shared" si="192"/>
        <v>320</v>
      </c>
      <c r="L500" s="3">
        <v>56</v>
      </c>
      <c r="M500" s="30" t="str">
        <f t="shared" si="193"/>
        <v>Reorder</v>
      </c>
      <c r="N500" s="30"/>
      <c r="O500" s="3"/>
    </row>
    <row r="501" spans="1:15" x14ac:dyDescent="0.35">
      <c r="A501" s="94" t="s">
        <v>19</v>
      </c>
      <c r="B501" s="41">
        <v>101</v>
      </c>
      <c r="C501" s="57">
        <v>0.74257425742574257</v>
      </c>
      <c r="D501">
        <v>26</v>
      </c>
      <c r="F501" s="78" t="s">
        <v>19</v>
      </c>
      <c r="G501" s="45">
        <v>101</v>
      </c>
      <c r="H501" s="79">
        <f t="shared" si="189"/>
        <v>1</v>
      </c>
      <c r="I501" s="80">
        <f t="shared" si="190"/>
        <v>86.227932829217238</v>
      </c>
      <c r="J501" s="80">
        <f t="shared" si="191"/>
        <v>187.22793282921725</v>
      </c>
      <c r="K501" s="87">
        <f t="shared" si="192"/>
        <v>101</v>
      </c>
      <c r="L501" s="3">
        <v>26</v>
      </c>
      <c r="M501" s="30" t="str">
        <f t="shared" si="193"/>
        <v>Reorder</v>
      </c>
      <c r="N501" s="30"/>
      <c r="O501" s="3"/>
    </row>
    <row r="502" spans="1:15" x14ac:dyDescent="0.35">
      <c r="A502" s="94" t="s">
        <v>43</v>
      </c>
      <c r="B502" s="41">
        <v>35</v>
      </c>
      <c r="C502" s="57">
        <v>1.4571428571428571</v>
      </c>
      <c r="D502">
        <v>98</v>
      </c>
      <c r="F502" s="78" t="s">
        <v>43</v>
      </c>
      <c r="G502" s="45">
        <v>35</v>
      </c>
      <c r="H502" s="79">
        <f t="shared" si="189"/>
        <v>2</v>
      </c>
      <c r="I502" s="80">
        <f t="shared" si="190"/>
        <v>50.759964538994709</v>
      </c>
      <c r="J502" s="80">
        <f t="shared" si="191"/>
        <v>120.75996453899471</v>
      </c>
      <c r="K502" s="87">
        <f t="shared" si="192"/>
        <v>70</v>
      </c>
      <c r="L502" s="3">
        <v>98</v>
      </c>
      <c r="M502" s="30" t="str">
        <f t="shared" si="193"/>
        <v>Reorder</v>
      </c>
      <c r="N502" s="30"/>
      <c r="O502" s="3"/>
    </row>
    <row r="503" spans="1:15" x14ac:dyDescent="0.35">
      <c r="A503" s="94" t="s">
        <v>1040</v>
      </c>
      <c r="B503" s="41">
        <v>287</v>
      </c>
      <c r="C503" s="57">
        <v>0.18118466898954705</v>
      </c>
      <c r="D503">
        <v>50</v>
      </c>
      <c r="F503" s="78" t="s">
        <v>1040</v>
      </c>
      <c r="G503" s="45">
        <v>287</v>
      </c>
      <c r="H503" s="79">
        <f t="shared" si="189"/>
        <v>1</v>
      </c>
      <c r="I503" s="80">
        <f t="shared" si="190"/>
        <v>145.35441788951584</v>
      </c>
      <c r="J503" s="80">
        <f t="shared" si="191"/>
        <v>432.35441788951584</v>
      </c>
      <c r="K503" s="87">
        <f t="shared" si="192"/>
        <v>287</v>
      </c>
      <c r="L503" s="3">
        <v>50</v>
      </c>
      <c r="M503" s="30" t="str">
        <f t="shared" si="193"/>
        <v>Reorder</v>
      </c>
      <c r="N503" s="30"/>
      <c r="O503" s="3"/>
    </row>
    <row r="504" spans="1:15" x14ac:dyDescent="0.35">
      <c r="A504" s="94" t="s">
        <v>147</v>
      </c>
      <c r="B504" s="41">
        <v>124</v>
      </c>
      <c r="C504" s="57">
        <v>0.80645161290322576</v>
      </c>
      <c r="D504">
        <v>53</v>
      </c>
      <c r="F504" s="78" t="s">
        <v>147</v>
      </c>
      <c r="G504" s="45">
        <v>124</v>
      </c>
      <c r="H504" s="79">
        <f t="shared" si="189"/>
        <v>2</v>
      </c>
      <c r="I504" s="80">
        <f t="shared" si="190"/>
        <v>95.542836466163166</v>
      </c>
      <c r="J504" s="80">
        <f t="shared" si="191"/>
        <v>343.54283646616318</v>
      </c>
      <c r="K504" s="87">
        <f t="shared" si="192"/>
        <v>248</v>
      </c>
      <c r="L504" s="3">
        <v>53</v>
      </c>
      <c r="M504" s="30" t="str">
        <f t="shared" si="193"/>
        <v>Reorder</v>
      </c>
      <c r="N504" s="30"/>
      <c r="O504" s="3"/>
    </row>
    <row r="505" spans="1:15" x14ac:dyDescent="0.35">
      <c r="A505" s="14" t="s">
        <v>490</v>
      </c>
      <c r="B505" s="41">
        <v>544</v>
      </c>
      <c r="C505" s="57">
        <v>4.8874610486383965</v>
      </c>
      <c r="D505">
        <v>324</v>
      </c>
      <c r="F505" s="72" t="s">
        <v>490</v>
      </c>
      <c r="G505" s="73"/>
      <c r="H505" s="74"/>
      <c r="I505" s="75"/>
      <c r="J505" s="74"/>
      <c r="K505" s="79"/>
      <c r="L505" s="76">
        <v>324</v>
      </c>
      <c r="M505" s="77"/>
      <c r="N505" s="85" t="str">
        <f>IFERROR(VLOOKUP(F505,'ABC Analysis'!$E$18:$M$138,9,0),0)</f>
        <v>A</v>
      </c>
      <c r="O505" s="86">
        <f>IFERROR(VLOOKUP(F505,'ABC Analysis'!$E$18:$G$138,3,0),0)</f>
        <v>6.5230903222459457E-3</v>
      </c>
    </row>
    <row r="506" spans="1:15" x14ac:dyDescent="0.35">
      <c r="A506" s="94" t="s">
        <v>1286</v>
      </c>
      <c r="B506" s="41">
        <v>110</v>
      </c>
      <c r="C506" s="57">
        <v>0.89090909090909087</v>
      </c>
      <c r="D506">
        <v>22</v>
      </c>
      <c r="F506" s="78" t="s">
        <v>1286</v>
      </c>
      <c r="G506" s="45">
        <v>110</v>
      </c>
      <c r="H506" s="79">
        <f t="shared" ref="H506:H511" si="194">ROUNDUP(VLOOKUP(F506,$A$10:$C$782,3,0),0)</f>
        <v>1</v>
      </c>
      <c r="I506" s="80">
        <f t="shared" ref="I506:I511" si="195">$H$7*$H$6*SQRT(G506)</f>
        <v>89.987799172999004</v>
      </c>
      <c r="J506" s="80">
        <f t="shared" ref="J506:J511" si="196">(H506*G506)+I506</f>
        <v>199.98779917299902</v>
      </c>
      <c r="K506" s="87">
        <f t="shared" ref="K506:K511" si="197">H506*G506</f>
        <v>110</v>
      </c>
      <c r="L506" s="3">
        <v>22</v>
      </c>
      <c r="M506" s="30" t="str">
        <f t="shared" ref="M506:M511" si="198">IF(L506&lt;J506,"Reorder",IF(L506&gt;=J506*1.5,"Overstock","Sufficient"))</f>
        <v>Reorder</v>
      </c>
      <c r="N506" s="30"/>
      <c r="O506" s="3"/>
    </row>
    <row r="507" spans="1:15" x14ac:dyDescent="0.35">
      <c r="A507" s="94" t="s">
        <v>1054</v>
      </c>
      <c r="B507" s="41">
        <v>121</v>
      </c>
      <c r="C507" s="57">
        <v>0.47933884297520662</v>
      </c>
      <c r="D507">
        <v>18</v>
      </c>
      <c r="F507" s="78" t="s">
        <v>1054</v>
      </c>
      <c r="G507" s="45">
        <v>121</v>
      </c>
      <c r="H507" s="79">
        <f t="shared" si="194"/>
        <v>8</v>
      </c>
      <c r="I507" s="80">
        <f t="shared" si="195"/>
        <v>94.38</v>
      </c>
      <c r="J507" s="80">
        <f t="shared" si="196"/>
        <v>1062.3800000000001</v>
      </c>
      <c r="K507" s="87">
        <f t="shared" si="197"/>
        <v>968</v>
      </c>
      <c r="L507" s="3">
        <v>18</v>
      </c>
      <c r="M507" s="30" t="str">
        <f t="shared" si="198"/>
        <v>Reorder</v>
      </c>
      <c r="N507" s="30"/>
      <c r="O507" s="3"/>
    </row>
    <row r="508" spans="1:15" x14ac:dyDescent="0.35">
      <c r="A508" s="94" t="s">
        <v>264</v>
      </c>
      <c r="B508" s="41">
        <v>159</v>
      </c>
      <c r="C508" s="57">
        <v>0.52830188679245282</v>
      </c>
      <c r="D508">
        <v>68</v>
      </c>
      <c r="F508" s="78" t="s">
        <v>264</v>
      </c>
      <c r="G508" s="45">
        <v>159</v>
      </c>
      <c r="H508" s="79">
        <f t="shared" si="194"/>
        <v>1</v>
      </c>
      <c r="I508" s="80">
        <f t="shared" si="195"/>
        <v>108.18968342684066</v>
      </c>
      <c r="J508" s="80">
        <f t="shared" si="196"/>
        <v>267.18968342684065</v>
      </c>
      <c r="K508" s="87">
        <f t="shared" si="197"/>
        <v>159</v>
      </c>
      <c r="L508" s="3">
        <v>68</v>
      </c>
      <c r="M508" s="30" t="str">
        <f t="shared" si="198"/>
        <v>Reorder</v>
      </c>
      <c r="N508" s="30"/>
      <c r="O508" s="3"/>
    </row>
    <row r="509" spans="1:15" x14ac:dyDescent="0.35">
      <c r="A509" s="94" t="s">
        <v>1296</v>
      </c>
      <c r="B509" s="41">
        <v>53</v>
      </c>
      <c r="C509" s="57">
        <v>0.47169811320754718</v>
      </c>
      <c r="D509">
        <v>78</v>
      </c>
      <c r="F509" s="78" t="s">
        <v>1296</v>
      </c>
      <c r="G509" s="45">
        <v>53</v>
      </c>
      <c r="H509" s="79">
        <f t="shared" si="194"/>
        <v>1</v>
      </c>
      <c r="I509" s="80">
        <f t="shared" si="195"/>
        <v>62.463342850026848</v>
      </c>
      <c r="J509" s="80">
        <f t="shared" si="196"/>
        <v>115.46334285002685</v>
      </c>
      <c r="K509" s="87">
        <f t="shared" si="197"/>
        <v>53</v>
      </c>
      <c r="L509" s="3">
        <v>78</v>
      </c>
      <c r="M509" s="30" t="str">
        <f t="shared" si="198"/>
        <v>Reorder</v>
      </c>
      <c r="N509" s="30"/>
      <c r="O509" s="3"/>
    </row>
    <row r="510" spans="1:15" x14ac:dyDescent="0.35">
      <c r="A510" s="94" t="s">
        <v>491</v>
      </c>
      <c r="B510" s="41">
        <v>40</v>
      </c>
      <c r="C510" s="57">
        <v>1.55</v>
      </c>
      <c r="D510">
        <v>92</v>
      </c>
      <c r="F510" s="78" t="s">
        <v>491</v>
      </c>
      <c r="G510" s="45">
        <v>40</v>
      </c>
      <c r="H510" s="79">
        <f t="shared" si="194"/>
        <v>2</v>
      </c>
      <c r="I510" s="80">
        <f t="shared" si="195"/>
        <v>54.264684648489393</v>
      </c>
      <c r="J510" s="80">
        <f t="shared" si="196"/>
        <v>134.26468464848938</v>
      </c>
      <c r="K510" s="87">
        <f t="shared" si="197"/>
        <v>80</v>
      </c>
      <c r="L510" s="3">
        <v>92</v>
      </c>
      <c r="M510" s="30" t="str">
        <f t="shared" si="198"/>
        <v>Reorder</v>
      </c>
      <c r="N510" s="30"/>
      <c r="O510" s="3"/>
    </row>
    <row r="511" spans="1:15" x14ac:dyDescent="0.35">
      <c r="A511" s="94" t="s">
        <v>893</v>
      </c>
      <c r="B511" s="41">
        <v>61</v>
      </c>
      <c r="C511" s="57">
        <v>0.96721311475409832</v>
      </c>
      <c r="D511">
        <v>46</v>
      </c>
      <c r="F511" s="78" t="s">
        <v>893</v>
      </c>
      <c r="G511" s="45">
        <v>61</v>
      </c>
      <c r="H511" s="79">
        <f t="shared" si="194"/>
        <v>1</v>
      </c>
      <c r="I511" s="80">
        <f t="shared" si="195"/>
        <v>67.011942219279092</v>
      </c>
      <c r="J511" s="80">
        <f t="shared" si="196"/>
        <v>128.01194221927909</v>
      </c>
      <c r="K511" s="87">
        <f t="shared" si="197"/>
        <v>61</v>
      </c>
      <c r="L511" s="3">
        <v>46</v>
      </c>
      <c r="M511" s="30" t="str">
        <f t="shared" si="198"/>
        <v>Reorder</v>
      </c>
      <c r="N511" s="30"/>
      <c r="O511" s="3"/>
    </row>
    <row r="512" spans="1:15" x14ac:dyDescent="0.35">
      <c r="A512" s="14" t="s">
        <v>243</v>
      </c>
      <c r="B512" s="41">
        <v>832</v>
      </c>
      <c r="C512" s="57">
        <v>4.8372653662127352</v>
      </c>
      <c r="D512">
        <v>268</v>
      </c>
      <c r="F512" s="72" t="s">
        <v>243</v>
      </c>
      <c r="G512" s="73"/>
      <c r="H512" s="74"/>
      <c r="I512" s="75"/>
      <c r="J512" s="74"/>
      <c r="K512" s="79"/>
      <c r="L512" s="76">
        <v>268</v>
      </c>
      <c r="M512" s="77"/>
      <c r="N512" s="85" t="str">
        <f>IFERROR(VLOOKUP(F512,'ABC Analysis'!$E$18:$M$138,9,0),0)</f>
        <v>C</v>
      </c>
      <c r="O512" s="86">
        <f>IFERROR(VLOOKUP(F512,'ABC Analysis'!$E$18:$G$138,3,0),0)</f>
        <v>9.6436121787667726E-4</v>
      </c>
    </row>
    <row r="513" spans="1:15" x14ac:dyDescent="0.35">
      <c r="A513" s="94" t="s">
        <v>244</v>
      </c>
      <c r="B513" s="41">
        <v>12</v>
      </c>
      <c r="C513" s="57">
        <v>4.416666666666667</v>
      </c>
      <c r="D513">
        <v>58</v>
      </c>
      <c r="F513" s="78" t="s">
        <v>244</v>
      </c>
      <c r="G513" s="45">
        <v>12</v>
      </c>
      <c r="H513" s="79">
        <f>ROUNDUP(VLOOKUP(F513,$A$10:$C$782,3,0),0)</f>
        <v>5</v>
      </c>
      <c r="I513" s="80">
        <f>$H$7*$H$6*SQRT(G513)</f>
        <v>29.721991857881932</v>
      </c>
      <c r="J513" s="80">
        <f>(H513*G513)+I513</f>
        <v>89.721991857881932</v>
      </c>
      <c r="K513" s="87">
        <f>H513*G513</f>
        <v>60</v>
      </c>
      <c r="L513" s="3">
        <v>58</v>
      </c>
      <c r="M513" s="30" t="str">
        <f>IF(L513&lt;J513,"Reorder",IF(L513&gt;=J513*1.5,"Overstock","Sufficient"))</f>
        <v>Reorder</v>
      </c>
      <c r="N513" s="30"/>
      <c r="O513" s="3"/>
    </row>
    <row r="514" spans="1:15" x14ac:dyDescent="0.35">
      <c r="A514" s="94" t="s">
        <v>1568</v>
      </c>
      <c r="B514" s="41">
        <v>260</v>
      </c>
      <c r="C514" s="57">
        <v>0.23846153846153847</v>
      </c>
      <c r="D514">
        <v>22</v>
      </c>
      <c r="F514" s="78" t="s">
        <v>1568</v>
      </c>
      <c r="G514" s="45">
        <v>260</v>
      </c>
      <c r="H514" s="79">
        <f>ROUNDUP(VLOOKUP(F514,$A$10:$C$782,3,0),0)</f>
        <v>1</v>
      </c>
      <c r="I514" s="80">
        <f>$H$7*$H$6*SQRT(G514)</f>
        <v>138.34834296080311</v>
      </c>
      <c r="J514" s="80">
        <f>(H514*G514)+I514</f>
        <v>398.34834296080311</v>
      </c>
      <c r="K514" s="87">
        <f>H514*G514</f>
        <v>260</v>
      </c>
      <c r="L514" s="3">
        <v>22</v>
      </c>
      <c r="M514" s="30" t="str">
        <f>IF(L514&lt;J514,"Reorder",IF(L514&gt;=J514*1.5,"Overstock","Sufficient"))</f>
        <v>Reorder</v>
      </c>
      <c r="N514" s="30"/>
      <c r="O514" s="3"/>
    </row>
    <row r="515" spans="1:15" x14ac:dyDescent="0.35">
      <c r="A515" s="94" t="s">
        <v>421</v>
      </c>
      <c r="B515" s="41">
        <v>285</v>
      </c>
      <c r="C515" s="57">
        <v>9.1228070175438603E-2</v>
      </c>
      <c r="D515">
        <v>100</v>
      </c>
      <c r="F515" s="78" t="s">
        <v>421</v>
      </c>
      <c r="G515" s="45">
        <v>285</v>
      </c>
      <c r="H515" s="79">
        <f>ROUNDUP(VLOOKUP(F515,$A$10:$C$782,3,0),0)</f>
        <v>1</v>
      </c>
      <c r="I515" s="80">
        <f>$H$7*$H$6*SQRT(G515)</f>
        <v>144.84707107843087</v>
      </c>
      <c r="J515" s="80">
        <f>(H515*G515)+I515</f>
        <v>429.84707107843087</v>
      </c>
      <c r="K515" s="87">
        <f>H515*G515</f>
        <v>285</v>
      </c>
      <c r="L515" s="3">
        <v>100</v>
      </c>
      <c r="M515" s="30" t="str">
        <f>IF(L515&lt;J515,"Reorder",IF(L515&gt;=J515*1.5,"Overstock","Sufficient"))</f>
        <v>Reorder</v>
      </c>
      <c r="N515" s="30"/>
      <c r="O515" s="3"/>
    </row>
    <row r="516" spans="1:15" x14ac:dyDescent="0.35">
      <c r="A516" s="94" t="s">
        <v>1536</v>
      </c>
      <c r="B516" s="41">
        <v>275</v>
      </c>
      <c r="C516" s="57">
        <v>9.0909090909090912E-2</v>
      </c>
      <c r="D516">
        <v>88</v>
      </c>
      <c r="F516" s="78" t="s">
        <v>1536</v>
      </c>
      <c r="G516" s="45">
        <v>275</v>
      </c>
      <c r="H516" s="79">
        <f>ROUNDUP(VLOOKUP(F516,$A$10:$C$782,3,0),0)</f>
        <v>1</v>
      </c>
      <c r="I516" s="80">
        <f>$H$7*$H$6*SQRT(G516)</f>
        <v>142.28320350624668</v>
      </c>
      <c r="J516" s="80">
        <f>(H516*G516)+I516</f>
        <v>417.28320350624665</v>
      </c>
      <c r="K516" s="87">
        <f>H516*G516</f>
        <v>275</v>
      </c>
      <c r="L516" s="3">
        <v>88</v>
      </c>
      <c r="M516" s="30" t="str">
        <f>IF(L516&lt;J516,"Reorder",IF(L516&gt;=J516*1.5,"Overstock","Sufficient"))</f>
        <v>Reorder</v>
      </c>
      <c r="N516" s="30"/>
      <c r="O516" s="3"/>
    </row>
    <row r="517" spans="1:15" x14ac:dyDescent="0.35">
      <c r="A517" s="14" t="s">
        <v>248</v>
      </c>
      <c r="B517" s="41">
        <v>135</v>
      </c>
      <c r="C517" s="57">
        <v>4.748699091098314</v>
      </c>
      <c r="D517">
        <v>271</v>
      </c>
      <c r="F517" s="72" t="s">
        <v>248</v>
      </c>
      <c r="G517" s="73"/>
      <c r="H517" s="74"/>
      <c r="I517" s="75"/>
      <c r="J517" s="74"/>
      <c r="K517" s="79"/>
      <c r="L517" s="76">
        <v>271</v>
      </c>
      <c r="M517" s="77"/>
      <c r="N517" s="85" t="str">
        <f>IFERROR(VLOOKUP(F517,'ABC Analysis'!$E$18:$M$138,9,0),0)</f>
        <v>A</v>
      </c>
      <c r="O517" s="86">
        <f>IFERROR(VLOOKUP(F517,'ABC Analysis'!$E$18:$G$138,3,0),0)</f>
        <v>6.5878651871816374E-3</v>
      </c>
    </row>
    <row r="518" spans="1:15" x14ac:dyDescent="0.35">
      <c r="A518" s="94" t="s">
        <v>38</v>
      </c>
      <c r="B518" s="41">
        <v>29</v>
      </c>
      <c r="C518" s="57">
        <v>3.2758620689655173</v>
      </c>
      <c r="D518">
        <v>97</v>
      </c>
      <c r="F518" s="78" t="s">
        <v>38</v>
      </c>
      <c r="G518" s="45">
        <v>29</v>
      </c>
      <c r="H518" s="79">
        <f>ROUNDUP(VLOOKUP(F518,$A$10:$C$782,3,0),0)</f>
        <v>8</v>
      </c>
      <c r="I518" s="80">
        <f>$H$7*$H$6*SQRT(G518)</f>
        <v>46.20471404521404</v>
      </c>
      <c r="J518" s="80">
        <f>(H518*G518)+I518</f>
        <v>278.20471404521402</v>
      </c>
      <c r="K518" s="87">
        <f>H518*G518</f>
        <v>232</v>
      </c>
      <c r="L518" s="3">
        <v>97</v>
      </c>
      <c r="M518" s="30" t="str">
        <f>IF(L518&lt;J518,"Reorder",IF(L518&gt;=J518*1.5,"Overstock","Sufficient"))</f>
        <v>Reorder</v>
      </c>
      <c r="N518" s="30"/>
      <c r="O518" s="3"/>
    </row>
    <row r="519" spans="1:15" x14ac:dyDescent="0.35">
      <c r="A519" s="94" t="s">
        <v>616</v>
      </c>
      <c r="B519" s="41">
        <v>71</v>
      </c>
      <c r="C519" s="57">
        <v>0.90140845070422537</v>
      </c>
      <c r="D519">
        <v>80</v>
      </c>
      <c r="F519" s="78" t="s">
        <v>616</v>
      </c>
      <c r="G519" s="45">
        <v>71</v>
      </c>
      <c r="H519" s="79">
        <f>ROUNDUP(VLOOKUP(F519,$A$10:$C$782,3,0),0)</f>
        <v>37</v>
      </c>
      <c r="I519" s="80">
        <f>$H$7*$H$6*SQRT(G519)</f>
        <v>72.296365053853165</v>
      </c>
      <c r="J519" s="80">
        <f>(H519*G519)+I519</f>
        <v>2699.2963650538532</v>
      </c>
      <c r="K519" s="87">
        <f>H519*G519</f>
        <v>2627</v>
      </c>
      <c r="L519" s="3">
        <v>80</v>
      </c>
      <c r="M519" s="30" t="str">
        <f>IF(L519&lt;J519,"Reorder",IF(L519&gt;=J519*1.5,"Overstock","Sufficient"))</f>
        <v>Reorder</v>
      </c>
      <c r="N519" s="30"/>
      <c r="O519" s="3"/>
    </row>
    <row r="520" spans="1:15" x14ac:dyDescent="0.35">
      <c r="A520" s="94" t="s">
        <v>434</v>
      </c>
      <c r="B520" s="41">
        <v>35</v>
      </c>
      <c r="C520" s="57">
        <v>0.5714285714285714</v>
      </c>
      <c r="D520">
        <v>94</v>
      </c>
      <c r="F520" s="78" t="s">
        <v>434</v>
      </c>
      <c r="G520" s="45">
        <v>35</v>
      </c>
      <c r="H520" s="79">
        <f>ROUNDUP(VLOOKUP(F520,$A$10:$C$782,3,0),0)</f>
        <v>6</v>
      </c>
      <c r="I520" s="80">
        <f>$H$7*$H$6*SQRT(G520)</f>
        <v>50.759964538994709</v>
      </c>
      <c r="J520" s="80">
        <f>(H520*G520)+I520</f>
        <v>260.75996453899472</v>
      </c>
      <c r="K520" s="87">
        <f>H520*G520</f>
        <v>210</v>
      </c>
      <c r="L520" s="3">
        <v>94</v>
      </c>
      <c r="M520" s="30" t="str">
        <f>IF(L520&lt;J520,"Reorder",IF(L520&gt;=J520*1.5,"Overstock","Sufficient"))</f>
        <v>Reorder</v>
      </c>
      <c r="N520" s="30"/>
      <c r="O520" s="3"/>
    </row>
    <row r="521" spans="1:15" x14ac:dyDescent="0.35">
      <c r="A521" s="14" t="s">
        <v>700</v>
      </c>
      <c r="B521" s="41">
        <v>416</v>
      </c>
      <c r="C521" s="57">
        <v>4.7123706171312918</v>
      </c>
      <c r="D521">
        <v>217</v>
      </c>
      <c r="F521" s="72" t="s">
        <v>700</v>
      </c>
      <c r="G521" s="73"/>
      <c r="H521" s="74"/>
      <c r="I521" s="75"/>
      <c r="J521" s="74"/>
      <c r="K521" s="79"/>
      <c r="L521" s="76">
        <v>217</v>
      </c>
      <c r="M521" s="77"/>
      <c r="N521" s="85" t="str">
        <f>IFERROR(VLOOKUP(F521,'ABC Analysis'!$E$18:$M$138,9,0),0)</f>
        <v>C</v>
      </c>
      <c r="O521" s="86">
        <f>IFERROR(VLOOKUP(F521,'ABC Analysis'!$E$18:$G$138,3,0),0)</f>
        <v>2.5226469484619209E-3</v>
      </c>
    </row>
    <row r="522" spans="1:15" x14ac:dyDescent="0.35">
      <c r="A522" s="94" t="s">
        <v>1077</v>
      </c>
      <c r="B522" s="41">
        <v>14</v>
      </c>
      <c r="C522" s="57">
        <v>1.7857142857142858</v>
      </c>
      <c r="D522">
        <v>45</v>
      </c>
      <c r="F522" s="78" t="s">
        <v>1077</v>
      </c>
      <c r="G522" s="45">
        <v>14</v>
      </c>
      <c r="H522" s="79">
        <f>ROUNDUP(VLOOKUP(F522,$A$10:$C$782,3,0),0)</f>
        <v>2</v>
      </c>
      <c r="I522" s="80">
        <f>$H$7*$H$6*SQRT(G522)</f>
        <v>32.103420378520418</v>
      </c>
      <c r="J522" s="80">
        <f>(H522*G522)+I522</f>
        <v>60.103420378520418</v>
      </c>
      <c r="K522" s="87">
        <f>H522*G522</f>
        <v>28</v>
      </c>
      <c r="L522" s="3">
        <v>45</v>
      </c>
      <c r="M522" s="30" t="str">
        <f>IF(L522&lt;J522,"Reorder",IF(L522&gt;=J522*1.5,"Overstock","Sufficient"))</f>
        <v>Reorder</v>
      </c>
      <c r="N522" s="30"/>
      <c r="O522" s="3"/>
    </row>
    <row r="523" spans="1:15" x14ac:dyDescent="0.35">
      <c r="A523" s="94" t="s">
        <v>1557</v>
      </c>
      <c r="B523" s="41">
        <v>274</v>
      </c>
      <c r="C523" s="57">
        <v>0.34671532846715331</v>
      </c>
      <c r="D523">
        <v>23</v>
      </c>
      <c r="F523" s="78" t="s">
        <v>1557</v>
      </c>
      <c r="G523" s="45">
        <v>274</v>
      </c>
      <c r="H523" s="79">
        <f>ROUNDUP(VLOOKUP(F523,$A$10:$C$782,3,0),0)</f>
        <v>1</v>
      </c>
      <c r="I523" s="80">
        <f>$H$7*$H$6*SQRT(G523)</f>
        <v>142.02427116517796</v>
      </c>
      <c r="J523" s="80">
        <f>(H523*G523)+I523</f>
        <v>416.02427116517799</v>
      </c>
      <c r="K523" s="87">
        <f>H523*G523</f>
        <v>274</v>
      </c>
      <c r="L523" s="3">
        <v>23</v>
      </c>
      <c r="M523" s="30" t="str">
        <f>IF(L523&lt;J523,"Reorder",IF(L523&gt;=J523*1.5,"Overstock","Sufficient"))</f>
        <v>Reorder</v>
      </c>
      <c r="N523" s="30"/>
      <c r="O523" s="3"/>
    </row>
    <row r="524" spans="1:15" x14ac:dyDescent="0.35">
      <c r="A524" s="94" t="s">
        <v>207</v>
      </c>
      <c r="B524" s="41">
        <v>113</v>
      </c>
      <c r="C524" s="57">
        <v>0.51327433628318586</v>
      </c>
      <c r="D524">
        <v>88</v>
      </c>
      <c r="F524" s="78" t="s">
        <v>207</v>
      </c>
      <c r="G524" s="45">
        <v>113</v>
      </c>
      <c r="H524" s="79">
        <f>ROUNDUP(VLOOKUP(F524,$A$10:$C$782,3,0),0)</f>
        <v>1</v>
      </c>
      <c r="I524" s="80">
        <f>$H$7*$H$6*SQRT(G524)</f>
        <v>91.206651073263302</v>
      </c>
      <c r="J524" s="80">
        <f>(H524*G524)+I524</f>
        <v>204.20665107326329</v>
      </c>
      <c r="K524" s="87">
        <f>H524*G524</f>
        <v>113</v>
      </c>
      <c r="L524" s="3">
        <v>88</v>
      </c>
      <c r="M524" s="30" t="str">
        <f>IF(L524&lt;J524,"Reorder",IF(L524&gt;=J524*1.5,"Overstock","Sufficient"))</f>
        <v>Reorder</v>
      </c>
      <c r="N524" s="30"/>
      <c r="O524" s="3"/>
    </row>
    <row r="525" spans="1:15" x14ac:dyDescent="0.35">
      <c r="A525" s="94" t="s">
        <v>818</v>
      </c>
      <c r="B525" s="41">
        <v>15</v>
      </c>
      <c r="C525" s="57">
        <v>2.0666666666666669</v>
      </c>
      <c r="D525">
        <v>61</v>
      </c>
      <c r="F525" s="78" t="s">
        <v>818</v>
      </c>
      <c r="G525" s="45">
        <v>15</v>
      </c>
      <c r="H525" s="79">
        <f>ROUNDUP(VLOOKUP(F525,$A$10:$C$782,3,0),0)</f>
        <v>23</v>
      </c>
      <c r="I525" s="80">
        <f>$H$7*$H$6*SQRT(G525)</f>
        <v>33.230197110459642</v>
      </c>
      <c r="J525" s="80">
        <f>(H525*G525)+I525</f>
        <v>378.23019711045964</v>
      </c>
      <c r="K525" s="87">
        <f>H525*G525</f>
        <v>345</v>
      </c>
      <c r="L525" s="3">
        <v>61</v>
      </c>
      <c r="M525" s="30" t="str">
        <f>IF(L525&lt;J525,"Reorder",IF(L525&gt;=J525*1.5,"Overstock","Sufficient"))</f>
        <v>Reorder</v>
      </c>
      <c r="N525" s="30"/>
      <c r="O525" s="3"/>
    </row>
    <row r="526" spans="1:15" x14ac:dyDescent="0.35">
      <c r="A526" s="14" t="s">
        <v>70</v>
      </c>
      <c r="B526" s="41">
        <v>676</v>
      </c>
      <c r="C526" s="57">
        <v>4.5202593747555468</v>
      </c>
      <c r="D526">
        <v>371</v>
      </c>
      <c r="F526" s="72" t="s">
        <v>70</v>
      </c>
      <c r="G526" s="73"/>
      <c r="H526" s="74"/>
      <c r="I526" s="75"/>
      <c r="J526" s="74"/>
      <c r="K526" s="79"/>
      <c r="L526" s="76">
        <v>371</v>
      </c>
      <c r="M526" s="77"/>
      <c r="N526" s="85" t="str">
        <f>IFERROR(VLOOKUP(F526,'ABC Analysis'!$E$18:$M$138,9,0),0)</f>
        <v>C</v>
      </c>
      <c r="O526" s="86">
        <f>IFERROR(VLOOKUP(F526,'ABC Analysis'!$E$18:$G$138,3,0),0)</f>
        <v>2.6108918093025644E-3</v>
      </c>
    </row>
    <row r="527" spans="1:15" x14ac:dyDescent="0.35">
      <c r="A527" s="94" t="s">
        <v>1671</v>
      </c>
      <c r="B527" s="41">
        <v>175</v>
      </c>
      <c r="C527" s="57">
        <v>0.35428571428571426</v>
      </c>
      <c r="D527">
        <v>76</v>
      </c>
      <c r="F527" s="78" t="s">
        <v>1671</v>
      </c>
      <c r="G527" s="45">
        <v>175</v>
      </c>
      <c r="H527" s="79">
        <f t="shared" ref="H527:H532" si="199">ROUNDUP(VLOOKUP(F527,$A$10:$C$782,3,0),0)</f>
        <v>16</v>
      </c>
      <c r="I527" s="80">
        <f t="shared" ref="I527:I532" si="200">$H$7*$H$6*SQRT(G527)</f>
        <v>113.50273124467094</v>
      </c>
      <c r="J527" s="80">
        <f t="shared" ref="J527:J532" si="201">(H527*G527)+I527</f>
        <v>2913.5027312446709</v>
      </c>
      <c r="K527" s="87">
        <f t="shared" ref="K527:K532" si="202">H527*G527</f>
        <v>2800</v>
      </c>
      <c r="L527" s="3">
        <v>76</v>
      </c>
      <c r="M527" s="30" t="str">
        <f t="shared" ref="M527:M532" si="203">IF(L527&lt;J527,"Reorder",IF(L527&gt;=J527*1.5,"Overstock","Sufficient"))</f>
        <v>Reorder</v>
      </c>
      <c r="N527" s="30"/>
      <c r="O527" s="3"/>
    </row>
    <row r="528" spans="1:15" x14ac:dyDescent="0.35">
      <c r="A528" s="94" t="s">
        <v>221</v>
      </c>
      <c r="B528" s="41">
        <v>84</v>
      </c>
      <c r="C528" s="57">
        <v>0.66666666666666663</v>
      </c>
      <c r="D528">
        <v>63</v>
      </c>
      <c r="F528" s="78" t="s">
        <v>221</v>
      </c>
      <c r="G528" s="45">
        <v>84</v>
      </c>
      <c r="H528" s="79">
        <f t="shared" si="199"/>
        <v>2</v>
      </c>
      <c r="I528" s="80">
        <f t="shared" si="200"/>
        <v>78.636998925442214</v>
      </c>
      <c r="J528" s="80">
        <f t="shared" si="201"/>
        <v>246.63699892544221</v>
      </c>
      <c r="K528" s="87">
        <f t="shared" si="202"/>
        <v>168</v>
      </c>
      <c r="L528" s="3">
        <v>63</v>
      </c>
      <c r="M528" s="30" t="str">
        <f t="shared" si="203"/>
        <v>Reorder</v>
      </c>
      <c r="N528" s="30"/>
      <c r="O528" s="3"/>
    </row>
    <row r="529" spans="1:15" x14ac:dyDescent="0.35">
      <c r="A529" s="94" t="s">
        <v>71</v>
      </c>
      <c r="B529" s="41">
        <v>161</v>
      </c>
      <c r="C529" s="57">
        <v>0.38509316770186336</v>
      </c>
      <c r="D529">
        <v>55</v>
      </c>
      <c r="F529" s="78" t="s">
        <v>71</v>
      </c>
      <c r="G529" s="45">
        <v>161</v>
      </c>
      <c r="H529" s="79">
        <f t="shared" si="199"/>
        <v>1</v>
      </c>
      <c r="I529" s="80">
        <f t="shared" si="200"/>
        <v>108.86799529705688</v>
      </c>
      <c r="J529" s="80">
        <f t="shared" si="201"/>
        <v>269.86799529705689</v>
      </c>
      <c r="K529" s="87">
        <f t="shared" si="202"/>
        <v>161</v>
      </c>
      <c r="L529" s="3">
        <v>55</v>
      </c>
      <c r="M529" s="30" t="str">
        <f t="shared" si="203"/>
        <v>Reorder</v>
      </c>
      <c r="N529" s="30"/>
      <c r="O529" s="3"/>
    </row>
    <row r="530" spans="1:15" x14ac:dyDescent="0.35">
      <c r="A530" s="94" t="s">
        <v>486</v>
      </c>
      <c r="B530" s="41">
        <v>19</v>
      </c>
      <c r="C530" s="57">
        <v>2.5789473684210527</v>
      </c>
      <c r="D530">
        <v>85</v>
      </c>
      <c r="F530" s="78" t="s">
        <v>486</v>
      </c>
      <c r="G530" s="45">
        <v>19</v>
      </c>
      <c r="H530" s="79">
        <f t="shared" si="199"/>
        <v>3</v>
      </c>
      <c r="I530" s="80">
        <f t="shared" si="200"/>
        <v>37.399352935578982</v>
      </c>
      <c r="J530" s="80">
        <f t="shared" si="201"/>
        <v>94.399352935578975</v>
      </c>
      <c r="K530" s="87">
        <f t="shared" si="202"/>
        <v>57</v>
      </c>
      <c r="L530" s="3">
        <v>85</v>
      </c>
      <c r="M530" s="30" t="str">
        <f t="shared" si="203"/>
        <v>Reorder</v>
      </c>
      <c r="N530" s="30"/>
      <c r="O530" s="3"/>
    </row>
    <row r="531" spans="1:15" x14ac:dyDescent="0.35">
      <c r="A531" s="94" t="s">
        <v>3309</v>
      </c>
      <c r="B531" s="41">
        <v>116</v>
      </c>
      <c r="C531" s="57">
        <v>0.35344827586206895</v>
      </c>
      <c r="D531">
        <v>80</v>
      </c>
      <c r="F531" s="78" t="s">
        <v>3309</v>
      </c>
      <c r="G531" s="45">
        <v>116</v>
      </c>
      <c r="H531" s="79">
        <f t="shared" si="199"/>
        <v>1</v>
      </c>
      <c r="I531" s="80">
        <f t="shared" si="200"/>
        <v>92.409428090428079</v>
      </c>
      <c r="J531" s="80">
        <f t="shared" si="201"/>
        <v>208.40942809042809</v>
      </c>
      <c r="K531" s="87">
        <f t="shared" si="202"/>
        <v>116</v>
      </c>
      <c r="L531" s="3">
        <v>80</v>
      </c>
      <c r="M531" s="30" t="str">
        <f t="shared" si="203"/>
        <v>Reorder</v>
      </c>
      <c r="N531" s="30"/>
      <c r="O531" s="3"/>
    </row>
    <row r="532" spans="1:15" x14ac:dyDescent="0.35">
      <c r="A532" s="94" t="s">
        <v>334</v>
      </c>
      <c r="B532" s="41">
        <v>121</v>
      </c>
      <c r="C532" s="57">
        <v>0.18181818181818182</v>
      </c>
      <c r="D532">
        <v>12</v>
      </c>
      <c r="F532" s="78" t="s">
        <v>334</v>
      </c>
      <c r="G532" s="45">
        <v>121</v>
      </c>
      <c r="H532" s="79">
        <f t="shared" si="199"/>
        <v>1</v>
      </c>
      <c r="I532" s="80">
        <f t="shared" si="200"/>
        <v>94.38</v>
      </c>
      <c r="J532" s="80">
        <f t="shared" si="201"/>
        <v>215.38</v>
      </c>
      <c r="K532" s="87">
        <f t="shared" si="202"/>
        <v>121</v>
      </c>
      <c r="L532" s="3">
        <v>12</v>
      </c>
      <c r="M532" s="30" t="str">
        <f t="shared" si="203"/>
        <v>Reorder</v>
      </c>
      <c r="N532" s="30"/>
      <c r="O532" s="3"/>
    </row>
    <row r="533" spans="1:15" x14ac:dyDescent="0.35">
      <c r="A533" s="14" t="s">
        <v>198</v>
      </c>
      <c r="B533" s="41">
        <v>720</v>
      </c>
      <c r="C533" s="57">
        <v>4.4289132336683963</v>
      </c>
      <c r="D533">
        <v>189</v>
      </c>
      <c r="F533" s="72" t="s">
        <v>198</v>
      </c>
      <c r="G533" s="73"/>
      <c r="H533" s="74"/>
      <c r="I533" s="75"/>
      <c r="J533" s="74"/>
      <c r="K533" s="79"/>
      <c r="L533" s="76">
        <v>189</v>
      </c>
      <c r="M533" s="77"/>
      <c r="N533" s="85" t="str">
        <f>IFERROR(VLOOKUP(F533,'ABC Analysis'!$E$18:$M$138,9,0),0)</f>
        <v>C</v>
      </c>
      <c r="O533" s="86">
        <f>IFERROR(VLOOKUP(F533,'ABC Analysis'!$E$18:$G$138,3,0),0)</f>
        <v>2.416712449618661E-3</v>
      </c>
    </row>
    <row r="534" spans="1:15" x14ac:dyDescent="0.35">
      <c r="A534" s="94" t="s">
        <v>1394</v>
      </c>
      <c r="B534" s="41">
        <v>14</v>
      </c>
      <c r="C534" s="57">
        <v>1.7142857142857142</v>
      </c>
      <c r="D534">
        <v>25</v>
      </c>
      <c r="F534" s="78" t="s">
        <v>1394</v>
      </c>
      <c r="G534" s="45">
        <v>14</v>
      </c>
      <c r="H534" s="79">
        <f t="shared" ref="H534:H539" si="204">ROUNDUP(VLOOKUP(F534,$A$10:$C$782,3,0),0)</f>
        <v>1</v>
      </c>
      <c r="I534" s="80">
        <f t="shared" ref="I534:I539" si="205">$H$7*$H$6*SQRT(G534)</f>
        <v>32.103420378520418</v>
      </c>
      <c r="J534" s="80">
        <f t="shared" ref="J534:J539" si="206">(H534*G534)+I534</f>
        <v>46.103420378520418</v>
      </c>
      <c r="K534" s="87">
        <f t="shared" ref="K534:K539" si="207">H534*G534</f>
        <v>14</v>
      </c>
      <c r="L534" s="3">
        <v>25</v>
      </c>
      <c r="M534" s="30" t="str">
        <f t="shared" ref="M534:M539" si="208">IF(L534&lt;J534,"Reorder",IF(L534&gt;=J534*1.5,"Overstock","Sufficient"))</f>
        <v>Reorder</v>
      </c>
      <c r="N534" s="30"/>
      <c r="O534" s="3"/>
    </row>
    <row r="535" spans="1:15" x14ac:dyDescent="0.35">
      <c r="A535" s="94" t="s">
        <v>1926</v>
      </c>
      <c r="B535" s="41">
        <v>91</v>
      </c>
      <c r="C535" s="57">
        <v>1.043956043956044</v>
      </c>
      <c r="D535">
        <v>52</v>
      </c>
      <c r="F535" s="78" t="s">
        <v>1926</v>
      </c>
      <c r="G535" s="45">
        <v>91</v>
      </c>
      <c r="H535" s="79">
        <f t="shared" si="204"/>
        <v>1</v>
      </c>
      <c r="I535" s="80">
        <f t="shared" si="205"/>
        <v>81.847983481573934</v>
      </c>
      <c r="J535" s="80">
        <f t="shared" si="206"/>
        <v>172.84798348157392</v>
      </c>
      <c r="K535" s="87">
        <f t="shared" si="207"/>
        <v>91</v>
      </c>
      <c r="L535" s="3">
        <v>52</v>
      </c>
      <c r="M535" s="30" t="str">
        <f t="shared" si="208"/>
        <v>Reorder</v>
      </c>
      <c r="N535" s="30"/>
      <c r="O535" s="3"/>
    </row>
    <row r="536" spans="1:15" x14ac:dyDescent="0.35">
      <c r="A536" s="94" t="s">
        <v>778</v>
      </c>
      <c r="B536" s="41">
        <v>152</v>
      </c>
      <c r="C536" s="57">
        <v>0.59210526315789469</v>
      </c>
      <c r="D536">
        <v>15</v>
      </c>
      <c r="F536" s="78" t="s">
        <v>778</v>
      </c>
      <c r="G536" s="45">
        <v>152</v>
      </c>
      <c r="H536" s="79">
        <f t="shared" si="204"/>
        <v>1</v>
      </c>
      <c r="I536" s="80">
        <f t="shared" si="205"/>
        <v>105.78134429094763</v>
      </c>
      <c r="J536" s="80">
        <f t="shared" si="206"/>
        <v>257.78134429094763</v>
      </c>
      <c r="K536" s="87">
        <f t="shared" si="207"/>
        <v>152</v>
      </c>
      <c r="L536" s="3">
        <v>15</v>
      </c>
      <c r="M536" s="30" t="str">
        <f t="shared" si="208"/>
        <v>Reorder</v>
      </c>
      <c r="N536" s="30"/>
      <c r="O536" s="3"/>
    </row>
    <row r="537" spans="1:15" x14ac:dyDescent="0.35">
      <c r="A537" s="94" t="s">
        <v>199</v>
      </c>
      <c r="B537" s="41">
        <v>237</v>
      </c>
      <c r="C537" s="57">
        <v>0.41350210970464135</v>
      </c>
      <c r="D537">
        <v>24</v>
      </c>
      <c r="F537" s="78" t="s">
        <v>199</v>
      </c>
      <c r="G537" s="45">
        <v>237</v>
      </c>
      <c r="H537" s="79">
        <f t="shared" si="204"/>
        <v>69</v>
      </c>
      <c r="I537" s="80">
        <f t="shared" si="205"/>
        <v>132.08742105136281</v>
      </c>
      <c r="J537" s="80">
        <f t="shared" si="206"/>
        <v>16485.087421051361</v>
      </c>
      <c r="K537" s="87">
        <f t="shared" si="207"/>
        <v>16353</v>
      </c>
      <c r="L537" s="3">
        <v>24</v>
      </c>
      <c r="M537" s="30" t="str">
        <f t="shared" si="208"/>
        <v>Reorder</v>
      </c>
      <c r="N537" s="30"/>
      <c r="O537" s="3"/>
    </row>
    <row r="538" spans="1:15" x14ac:dyDescent="0.35">
      <c r="A538" s="94" t="s">
        <v>972</v>
      </c>
      <c r="B538" s="41">
        <v>96</v>
      </c>
      <c r="C538" s="57">
        <v>0.39583333333333331</v>
      </c>
      <c r="D538">
        <v>31</v>
      </c>
      <c r="F538" s="78" t="s">
        <v>972</v>
      </c>
      <c r="G538" s="45">
        <v>96</v>
      </c>
      <c r="H538" s="79">
        <f t="shared" si="204"/>
        <v>3</v>
      </c>
      <c r="I538" s="80">
        <f t="shared" si="205"/>
        <v>84.066487972318669</v>
      </c>
      <c r="J538" s="80">
        <f t="shared" si="206"/>
        <v>372.06648797231867</v>
      </c>
      <c r="K538" s="87">
        <f t="shared" si="207"/>
        <v>288</v>
      </c>
      <c r="L538" s="3">
        <v>31</v>
      </c>
      <c r="M538" s="30" t="str">
        <f t="shared" si="208"/>
        <v>Reorder</v>
      </c>
      <c r="N538" s="30"/>
      <c r="O538" s="3"/>
    </row>
    <row r="539" spans="1:15" x14ac:dyDescent="0.35">
      <c r="A539" s="94" t="s">
        <v>1609</v>
      </c>
      <c r="B539" s="41">
        <v>130</v>
      </c>
      <c r="C539" s="57">
        <v>0.26923076923076922</v>
      </c>
      <c r="D539">
        <v>42</v>
      </c>
      <c r="F539" s="78" t="s">
        <v>1609</v>
      </c>
      <c r="G539" s="45">
        <v>130</v>
      </c>
      <c r="H539" s="79">
        <f t="shared" si="204"/>
        <v>13</v>
      </c>
      <c r="I539" s="80">
        <f t="shared" si="205"/>
        <v>97.827051473506032</v>
      </c>
      <c r="J539" s="80">
        <f t="shared" si="206"/>
        <v>1787.8270514735061</v>
      </c>
      <c r="K539" s="87">
        <f t="shared" si="207"/>
        <v>1690</v>
      </c>
      <c r="L539" s="3">
        <v>42</v>
      </c>
      <c r="M539" s="30" t="str">
        <f t="shared" si="208"/>
        <v>Reorder</v>
      </c>
      <c r="N539" s="30"/>
      <c r="O539" s="3"/>
    </row>
    <row r="540" spans="1:15" x14ac:dyDescent="0.35">
      <c r="A540" s="14" t="s">
        <v>707</v>
      </c>
      <c r="B540" s="41">
        <v>489</v>
      </c>
      <c r="C540" s="57">
        <v>4.3995792495792498</v>
      </c>
      <c r="D540">
        <v>238</v>
      </c>
      <c r="F540" s="72" t="s">
        <v>707</v>
      </c>
      <c r="G540" s="73"/>
      <c r="H540" s="74"/>
      <c r="I540" s="75"/>
      <c r="J540" s="74"/>
      <c r="K540" s="79"/>
      <c r="L540" s="76">
        <v>238</v>
      </c>
      <c r="M540" s="77"/>
      <c r="N540" s="85" t="str">
        <f>IFERROR(VLOOKUP(F540,'ABC Analysis'!$E$18:$M$138,9,0),0)</f>
        <v>B</v>
      </c>
      <c r="O540" s="86">
        <f>IFERROR(VLOOKUP(F540,'ABC Analysis'!$E$18:$G$138,3,0),0)</f>
        <v>3.9550428742797699E-3</v>
      </c>
    </row>
    <row r="541" spans="1:15" x14ac:dyDescent="0.35">
      <c r="A541" s="94" t="s">
        <v>989</v>
      </c>
      <c r="B541" s="41">
        <v>210</v>
      </c>
      <c r="C541" s="57">
        <v>0.37619047619047619</v>
      </c>
      <c r="D541">
        <v>69</v>
      </c>
      <c r="F541" s="78" t="s">
        <v>989</v>
      </c>
      <c r="G541" s="45">
        <v>210</v>
      </c>
      <c r="H541" s="79">
        <f>ROUNDUP(VLOOKUP(F541,$A$10:$C$782,3,0),0)</f>
        <v>1</v>
      </c>
      <c r="I541" s="80">
        <f>$H$7*$H$6*SQRT(G541)</f>
        <v>124.33601248230538</v>
      </c>
      <c r="J541" s="80">
        <f>(H541*G541)+I541</f>
        <v>334.33601248230536</v>
      </c>
      <c r="K541" s="87">
        <f>H541*G541</f>
        <v>210</v>
      </c>
      <c r="L541" s="3">
        <v>69</v>
      </c>
      <c r="M541" s="30" t="str">
        <f>IF(L541&lt;J541,"Reorder",IF(L541&gt;=J541*1.5,"Overstock","Sufficient"))</f>
        <v>Reorder</v>
      </c>
      <c r="N541" s="30"/>
      <c r="O541" s="3"/>
    </row>
    <row r="542" spans="1:15" x14ac:dyDescent="0.35">
      <c r="A542" s="94" t="s">
        <v>755</v>
      </c>
      <c r="B542" s="41">
        <v>12</v>
      </c>
      <c r="C542" s="57">
        <v>2.75</v>
      </c>
      <c r="D542">
        <v>19</v>
      </c>
      <c r="F542" s="78" t="s">
        <v>755</v>
      </c>
      <c r="G542" s="45">
        <v>12</v>
      </c>
      <c r="H542" s="79">
        <f>ROUNDUP(VLOOKUP(F542,$A$10:$C$782,3,0),0)</f>
        <v>1</v>
      </c>
      <c r="I542" s="80">
        <f>$H$7*$H$6*SQRT(G542)</f>
        <v>29.721991857881932</v>
      </c>
      <c r="J542" s="80">
        <f>(H542*G542)+I542</f>
        <v>41.721991857881932</v>
      </c>
      <c r="K542" s="87">
        <f>H542*G542</f>
        <v>12</v>
      </c>
      <c r="L542" s="3">
        <v>19</v>
      </c>
      <c r="M542" s="30" t="str">
        <f>IF(L542&lt;J542,"Reorder",IF(L542&gt;=J542*1.5,"Overstock","Sufficient"))</f>
        <v>Reorder</v>
      </c>
      <c r="N542" s="30"/>
      <c r="O542" s="3"/>
    </row>
    <row r="543" spans="1:15" x14ac:dyDescent="0.35">
      <c r="A543" s="94" t="s">
        <v>259</v>
      </c>
      <c r="B543" s="41">
        <v>111</v>
      </c>
      <c r="C543" s="57">
        <v>0.74774774774774777</v>
      </c>
      <c r="D543">
        <v>53</v>
      </c>
      <c r="F543" s="78" t="s">
        <v>259</v>
      </c>
      <c r="G543" s="45">
        <v>111</v>
      </c>
      <c r="H543" s="79">
        <f>ROUNDUP(VLOOKUP(F543,$A$10:$C$782,3,0),0)</f>
        <v>14</v>
      </c>
      <c r="I543" s="80">
        <f>$H$7*$H$6*SQRT(G543)</f>
        <v>90.395909199476492</v>
      </c>
      <c r="J543" s="80">
        <f>(H543*G543)+I543</f>
        <v>1644.3959091994766</v>
      </c>
      <c r="K543" s="87">
        <f>H543*G543</f>
        <v>1554</v>
      </c>
      <c r="L543" s="3">
        <v>53</v>
      </c>
      <c r="M543" s="30" t="str">
        <f>IF(L543&lt;J543,"Reorder",IF(L543&gt;=J543*1.5,"Overstock","Sufficient"))</f>
        <v>Reorder</v>
      </c>
      <c r="N543" s="30"/>
      <c r="O543" s="3"/>
    </row>
    <row r="544" spans="1:15" x14ac:dyDescent="0.35">
      <c r="A544" s="94" t="s">
        <v>393</v>
      </c>
      <c r="B544" s="41">
        <v>156</v>
      </c>
      <c r="C544" s="57">
        <v>0.52564102564102566</v>
      </c>
      <c r="D544">
        <v>97</v>
      </c>
      <c r="F544" s="78" t="s">
        <v>393</v>
      </c>
      <c r="G544" s="45">
        <v>156</v>
      </c>
      <c r="H544" s="79">
        <f>ROUNDUP(VLOOKUP(F544,$A$10:$C$782,3,0),0)</f>
        <v>1</v>
      </c>
      <c r="I544" s="80">
        <f>$H$7*$H$6*SQRT(G544)</f>
        <v>107.16416565251652</v>
      </c>
      <c r="J544" s="80">
        <f>(H544*G544)+I544</f>
        <v>263.16416565251654</v>
      </c>
      <c r="K544" s="87">
        <f>H544*G544</f>
        <v>156</v>
      </c>
      <c r="L544" s="3">
        <v>97</v>
      </c>
      <c r="M544" s="30" t="str">
        <f>IF(L544&lt;J544,"Reorder",IF(L544&gt;=J544*1.5,"Overstock","Sufficient"))</f>
        <v>Reorder</v>
      </c>
      <c r="N544" s="30"/>
      <c r="O544" s="3"/>
    </row>
    <row r="545" spans="1:15" x14ac:dyDescent="0.35">
      <c r="A545" s="14" t="s">
        <v>90</v>
      </c>
      <c r="B545" s="41">
        <v>845</v>
      </c>
      <c r="C545" s="57">
        <v>4.3200396322322039</v>
      </c>
      <c r="D545">
        <v>280</v>
      </c>
      <c r="F545" s="72" t="s">
        <v>90</v>
      </c>
      <c r="G545" s="73"/>
      <c r="H545" s="74"/>
      <c r="I545" s="75"/>
      <c r="J545" s="74"/>
      <c r="K545" s="79"/>
      <c r="L545" s="76">
        <v>280</v>
      </c>
      <c r="M545" s="77"/>
      <c r="N545" s="85" t="str">
        <f>IFERROR(VLOOKUP(F545,'ABC Analysis'!$E$18:$M$138,9,0),0)</f>
        <v>A</v>
      </c>
      <c r="O545" s="86">
        <f>IFERROR(VLOOKUP(F545,'ABC Analysis'!$E$18:$G$138,3,0),0)</f>
        <v>8.0866916583393639E-3</v>
      </c>
    </row>
    <row r="546" spans="1:15" x14ac:dyDescent="0.35">
      <c r="A546" s="94" t="s">
        <v>33</v>
      </c>
      <c r="B546" s="41">
        <v>272</v>
      </c>
      <c r="C546" s="57">
        <v>0.20955882352941177</v>
      </c>
      <c r="D546">
        <v>97</v>
      </c>
      <c r="F546" s="78" t="s">
        <v>33</v>
      </c>
      <c r="G546" s="45">
        <v>272</v>
      </c>
      <c r="H546" s="79">
        <f>ROUNDUP(VLOOKUP(F546,$A$10:$C$782,3,0),0)</f>
        <v>2</v>
      </c>
      <c r="I546" s="80">
        <f>$H$7*$H$6*SQRT(G546)</f>
        <v>141.50498507119812</v>
      </c>
      <c r="J546" s="80">
        <f>(H546*G546)+I546</f>
        <v>685.50498507119812</v>
      </c>
      <c r="K546" s="87">
        <f>H546*G546</f>
        <v>544</v>
      </c>
      <c r="L546" s="3">
        <v>97</v>
      </c>
      <c r="M546" s="30" t="str">
        <f>IF(L546&lt;J546,"Reorder",IF(L546&gt;=J546*1.5,"Overstock","Sufficient"))</f>
        <v>Reorder</v>
      </c>
      <c r="N546" s="30"/>
      <c r="O546" s="3"/>
    </row>
    <row r="547" spans="1:15" x14ac:dyDescent="0.35">
      <c r="A547" s="94" t="s">
        <v>92</v>
      </c>
      <c r="B547" s="41">
        <v>168</v>
      </c>
      <c r="C547" s="57">
        <v>0.36904761904761907</v>
      </c>
      <c r="D547">
        <v>77</v>
      </c>
      <c r="F547" s="78" t="s">
        <v>92</v>
      </c>
      <c r="G547" s="45">
        <v>168</v>
      </c>
      <c r="H547" s="79">
        <f>ROUNDUP(VLOOKUP(F547,$A$10:$C$782,3,0),0)</f>
        <v>1</v>
      </c>
      <c r="I547" s="80">
        <f>$H$7*$H$6*SQRT(G547)</f>
        <v>111.20951038467888</v>
      </c>
      <c r="J547" s="80">
        <f>(H547*G547)+I547</f>
        <v>279.20951038467888</v>
      </c>
      <c r="K547" s="87">
        <f>H547*G547</f>
        <v>168</v>
      </c>
      <c r="L547" s="3">
        <v>77</v>
      </c>
      <c r="M547" s="30" t="str">
        <f>IF(L547&lt;J547,"Reorder",IF(L547&gt;=J547*1.5,"Overstock","Sufficient"))</f>
        <v>Reorder</v>
      </c>
      <c r="N547" s="30"/>
      <c r="O547" s="3"/>
    </row>
    <row r="548" spans="1:15" x14ac:dyDescent="0.35">
      <c r="A548" s="94" t="s">
        <v>425</v>
      </c>
      <c r="B548" s="41">
        <v>256</v>
      </c>
      <c r="C548" s="57">
        <v>0.3828125</v>
      </c>
      <c r="D548">
        <v>39</v>
      </c>
      <c r="F548" s="78" t="s">
        <v>425</v>
      </c>
      <c r="G548" s="45">
        <v>256</v>
      </c>
      <c r="H548" s="79">
        <f>ROUNDUP(VLOOKUP(F548,$A$10:$C$782,3,0),0)</f>
        <v>2</v>
      </c>
      <c r="I548" s="80">
        <f>$H$7*$H$6*SQRT(G548)</f>
        <v>137.28</v>
      </c>
      <c r="J548" s="80">
        <f>(H548*G548)+I548</f>
        <v>649.28</v>
      </c>
      <c r="K548" s="87">
        <f>H548*G548</f>
        <v>512</v>
      </c>
      <c r="L548" s="3">
        <v>39</v>
      </c>
      <c r="M548" s="30" t="str">
        <f>IF(L548&lt;J548,"Reorder",IF(L548&gt;=J548*1.5,"Overstock","Sufficient"))</f>
        <v>Reorder</v>
      </c>
      <c r="N548" s="30"/>
      <c r="O548" s="3"/>
    </row>
    <row r="549" spans="1:15" x14ac:dyDescent="0.35">
      <c r="A549" s="94" t="s">
        <v>181</v>
      </c>
      <c r="B549" s="41">
        <v>120</v>
      </c>
      <c r="C549" s="57">
        <v>0.6</v>
      </c>
      <c r="D549">
        <v>38</v>
      </c>
      <c r="F549" s="78" t="s">
        <v>181</v>
      </c>
      <c r="G549" s="45">
        <v>120</v>
      </c>
      <c r="H549" s="79">
        <f>ROUNDUP(VLOOKUP(F549,$A$10:$C$782,3,0),0)</f>
        <v>1</v>
      </c>
      <c r="I549" s="80">
        <f>$H$7*$H$6*SQRT(G549)</f>
        <v>93.989190867886506</v>
      </c>
      <c r="J549" s="80">
        <f>(H549*G549)+I549</f>
        <v>213.98919086788652</v>
      </c>
      <c r="K549" s="87">
        <f>H549*G549</f>
        <v>120</v>
      </c>
      <c r="L549" s="3">
        <v>38</v>
      </c>
      <c r="M549" s="30" t="str">
        <f>IF(L549&lt;J549,"Reorder",IF(L549&gt;=J549*1.5,"Overstock","Sufficient"))</f>
        <v>Reorder</v>
      </c>
      <c r="N549" s="30"/>
      <c r="O549" s="3"/>
    </row>
    <row r="550" spans="1:15" x14ac:dyDescent="0.35">
      <c r="A550" s="94" t="s">
        <v>61</v>
      </c>
      <c r="B550" s="41">
        <v>29</v>
      </c>
      <c r="C550" s="57">
        <v>2.7586206896551726</v>
      </c>
      <c r="D550">
        <v>29</v>
      </c>
      <c r="F550" s="78" t="s">
        <v>61</v>
      </c>
      <c r="G550" s="45">
        <v>29</v>
      </c>
      <c r="H550" s="79">
        <f>ROUNDUP(VLOOKUP(F550,$A$10:$C$782,3,0),0)</f>
        <v>12</v>
      </c>
      <c r="I550" s="80">
        <f>$H$7*$H$6*SQRT(G550)</f>
        <v>46.20471404521404</v>
      </c>
      <c r="J550" s="80">
        <f>(H550*G550)+I550</f>
        <v>394.20471404521402</v>
      </c>
      <c r="K550" s="87">
        <f>H550*G550</f>
        <v>348</v>
      </c>
      <c r="L550" s="3">
        <v>29</v>
      </c>
      <c r="M550" s="30" t="str">
        <f>IF(L550&lt;J550,"Reorder",IF(L550&gt;=J550*1.5,"Overstock","Sufficient"))</f>
        <v>Reorder</v>
      </c>
      <c r="N550" s="30"/>
      <c r="O550" s="3"/>
    </row>
    <row r="551" spans="1:15" x14ac:dyDescent="0.35">
      <c r="A551" s="14" t="s">
        <v>333</v>
      </c>
      <c r="B551" s="41">
        <v>639</v>
      </c>
      <c r="C551" s="57">
        <v>4.1321201839105965</v>
      </c>
      <c r="D551">
        <v>288</v>
      </c>
      <c r="F551" s="72" t="s">
        <v>333</v>
      </c>
      <c r="G551" s="73"/>
      <c r="H551" s="74"/>
      <c r="I551" s="75"/>
      <c r="J551" s="74"/>
      <c r="K551" s="79"/>
      <c r="L551" s="76">
        <v>288</v>
      </c>
      <c r="M551" s="77"/>
      <c r="N551" s="85" t="str">
        <f>IFERROR(VLOOKUP(F551,'ABC Analysis'!$E$18:$M$138,9,0),0)</f>
        <v>A</v>
      </c>
      <c r="O551" s="86">
        <f>IFERROR(VLOOKUP(F551,'ABC Analysis'!$E$18:$G$138,3,0),0)</f>
        <v>1.395419063457698E-2</v>
      </c>
    </row>
    <row r="552" spans="1:15" x14ac:dyDescent="0.35">
      <c r="A552" s="94" t="s">
        <v>952</v>
      </c>
      <c r="B552" s="41">
        <v>85</v>
      </c>
      <c r="C552" s="57">
        <v>0.88235294117647056</v>
      </c>
      <c r="D552">
        <v>58</v>
      </c>
      <c r="F552" s="78" t="s">
        <v>952</v>
      </c>
      <c r="G552" s="45">
        <v>85</v>
      </c>
      <c r="H552" s="79">
        <f>ROUNDUP(VLOOKUP(F552,$A$10:$C$782,3,0),0)</f>
        <v>6</v>
      </c>
      <c r="I552" s="80">
        <f>$H$7*$H$6*SQRT(G552)</f>
        <v>79.10369144357297</v>
      </c>
      <c r="J552" s="80">
        <f>(H552*G552)+I552</f>
        <v>589.10369144357298</v>
      </c>
      <c r="K552" s="87">
        <f>H552*G552</f>
        <v>510</v>
      </c>
      <c r="L552" s="3">
        <v>58</v>
      </c>
      <c r="M552" s="30" t="str">
        <f>IF(L552&lt;J552,"Reorder",IF(L552&gt;=J552*1.5,"Overstock","Sufficient"))</f>
        <v>Reorder</v>
      </c>
      <c r="N552" s="30"/>
      <c r="O552" s="3"/>
    </row>
    <row r="553" spans="1:15" x14ac:dyDescent="0.35">
      <c r="A553" s="94" t="s">
        <v>338</v>
      </c>
      <c r="B553" s="41">
        <v>25</v>
      </c>
      <c r="C553" s="57">
        <v>2.04</v>
      </c>
      <c r="D553">
        <v>72</v>
      </c>
      <c r="F553" s="78" t="s">
        <v>338</v>
      </c>
      <c r="G553" s="45">
        <v>25</v>
      </c>
      <c r="H553" s="79">
        <f>ROUNDUP(VLOOKUP(F553,$A$10:$C$782,3,0),0)</f>
        <v>3</v>
      </c>
      <c r="I553" s="80">
        <f>$H$7*$H$6*SQRT(G553)</f>
        <v>42.9</v>
      </c>
      <c r="J553" s="80">
        <f>(H553*G553)+I553</f>
        <v>117.9</v>
      </c>
      <c r="K553" s="87">
        <f>H553*G553</f>
        <v>75</v>
      </c>
      <c r="L553" s="3">
        <v>72</v>
      </c>
      <c r="M553" s="30" t="str">
        <f>IF(L553&lt;J553,"Reorder",IF(L553&gt;=J553*1.5,"Overstock","Sufficient"))</f>
        <v>Reorder</v>
      </c>
      <c r="N553" s="30"/>
      <c r="O553" s="3"/>
    </row>
    <row r="554" spans="1:15" x14ac:dyDescent="0.35">
      <c r="A554" s="94" t="s">
        <v>657</v>
      </c>
      <c r="B554" s="41">
        <v>203</v>
      </c>
      <c r="C554" s="57">
        <v>0.45812807881773399</v>
      </c>
      <c r="D554">
        <v>41</v>
      </c>
      <c r="F554" s="78" t="s">
        <v>657</v>
      </c>
      <c r="G554" s="45">
        <v>203</v>
      </c>
      <c r="H554" s="79">
        <f>ROUNDUP(VLOOKUP(F554,$A$10:$C$782,3,0),0)</f>
        <v>1</v>
      </c>
      <c r="I554" s="80">
        <f>$H$7*$H$6*SQRT(G554)</f>
        <v>122.24618276248955</v>
      </c>
      <c r="J554" s="80">
        <f>(H554*G554)+I554</f>
        <v>325.24618276248952</v>
      </c>
      <c r="K554" s="87">
        <f>H554*G554</f>
        <v>203</v>
      </c>
      <c r="L554" s="3">
        <v>41</v>
      </c>
      <c r="M554" s="30" t="str">
        <f>IF(L554&lt;J554,"Reorder",IF(L554&gt;=J554*1.5,"Overstock","Sufficient"))</f>
        <v>Reorder</v>
      </c>
      <c r="N554" s="30"/>
      <c r="O554" s="3"/>
    </row>
    <row r="555" spans="1:15" x14ac:dyDescent="0.35">
      <c r="A555" s="94" t="s">
        <v>451</v>
      </c>
      <c r="B555" s="41">
        <v>101</v>
      </c>
      <c r="C555" s="57">
        <v>0.61386138613861385</v>
      </c>
      <c r="D555">
        <v>19</v>
      </c>
      <c r="F555" s="78" t="s">
        <v>451</v>
      </c>
      <c r="G555" s="45">
        <v>101</v>
      </c>
      <c r="H555" s="79">
        <f>ROUNDUP(VLOOKUP(F555,$A$10:$C$782,3,0),0)</f>
        <v>1</v>
      </c>
      <c r="I555" s="80">
        <f>$H$7*$H$6*SQRT(G555)</f>
        <v>86.227932829217238</v>
      </c>
      <c r="J555" s="80">
        <f>(H555*G555)+I555</f>
        <v>187.22793282921725</v>
      </c>
      <c r="K555" s="87">
        <f>H555*G555</f>
        <v>101</v>
      </c>
      <c r="L555" s="3">
        <v>19</v>
      </c>
      <c r="M555" s="30" t="str">
        <f>IF(L555&lt;J555,"Reorder",IF(L555&gt;=J555*1.5,"Overstock","Sufficient"))</f>
        <v>Reorder</v>
      </c>
      <c r="N555" s="30"/>
      <c r="O555" s="3"/>
    </row>
    <row r="556" spans="1:15" x14ac:dyDescent="0.35">
      <c r="A556" s="94" t="s">
        <v>2008</v>
      </c>
      <c r="B556" s="41">
        <v>225</v>
      </c>
      <c r="C556" s="57">
        <v>0.13777777777777778</v>
      </c>
      <c r="D556">
        <v>98</v>
      </c>
      <c r="F556" s="78" t="s">
        <v>2008</v>
      </c>
      <c r="G556" s="45">
        <v>225</v>
      </c>
      <c r="H556" s="79">
        <f>ROUNDUP(VLOOKUP(F556,$A$10:$C$782,3,0),0)</f>
        <v>1</v>
      </c>
      <c r="I556" s="80">
        <f>$H$7*$H$6*SQRT(G556)</f>
        <v>128.69999999999999</v>
      </c>
      <c r="J556" s="80">
        <f>(H556*G556)+I556</f>
        <v>353.7</v>
      </c>
      <c r="K556" s="87">
        <f>H556*G556</f>
        <v>225</v>
      </c>
      <c r="L556" s="3">
        <v>98</v>
      </c>
      <c r="M556" s="30" t="str">
        <f>IF(L556&lt;J556,"Reorder",IF(L556&gt;=J556*1.5,"Overstock","Sufficient"))</f>
        <v>Reorder</v>
      </c>
      <c r="N556" s="30"/>
      <c r="O556" s="3"/>
    </row>
    <row r="557" spans="1:15" x14ac:dyDescent="0.35">
      <c r="A557" s="14" t="s">
        <v>549</v>
      </c>
      <c r="B557" s="41">
        <v>1566</v>
      </c>
      <c r="C557" s="57">
        <v>4.1228377138599068</v>
      </c>
      <c r="D557">
        <v>394</v>
      </c>
      <c r="F557" s="72" t="s">
        <v>549</v>
      </c>
      <c r="G557" s="73"/>
      <c r="H557" s="74"/>
      <c r="I557" s="75"/>
      <c r="J557" s="74"/>
      <c r="K557" s="79"/>
      <c r="L557" s="76">
        <v>394</v>
      </c>
      <c r="M557" s="77"/>
      <c r="N557" s="85" t="str">
        <f>IFERROR(VLOOKUP(F557,'ABC Analysis'!$E$18:$M$138,9,0),0)</f>
        <v>B</v>
      </c>
      <c r="O557" s="86">
        <f>IFERROR(VLOOKUP(F557,'ABC Analysis'!$E$18:$G$138,3,0),0)</f>
        <v>5.5587291043692694E-3</v>
      </c>
    </row>
    <row r="558" spans="1:15" x14ac:dyDescent="0.35">
      <c r="A558" s="94" t="s">
        <v>1127</v>
      </c>
      <c r="B558" s="41">
        <v>185</v>
      </c>
      <c r="C558" s="57">
        <v>0.41081081081081083</v>
      </c>
      <c r="D558">
        <v>40</v>
      </c>
      <c r="F558" s="78" t="s">
        <v>1127</v>
      </c>
      <c r="G558" s="45">
        <v>185</v>
      </c>
      <c r="H558" s="79">
        <f t="shared" ref="H558:H565" si="209">ROUNDUP(VLOOKUP(F558,$A$10:$C$782,3,0),0)</f>
        <v>5</v>
      </c>
      <c r="I558" s="80">
        <f t="shared" ref="I558:I565" si="210">$H$7*$H$6*SQRT(G558)</f>
        <v>116.70061696495011</v>
      </c>
      <c r="J558" s="80">
        <f t="shared" ref="J558:J565" si="211">(H558*G558)+I558</f>
        <v>1041.7006169649501</v>
      </c>
      <c r="K558" s="87">
        <f t="shared" ref="K558:K565" si="212">H558*G558</f>
        <v>925</v>
      </c>
      <c r="L558" s="3">
        <v>40</v>
      </c>
      <c r="M558" s="30" t="str">
        <f t="shared" ref="M558:M565" si="213">IF(L558&lt;J558,"Reorder",IF(L558&gt;=J558*1.5,"Overstock","Sufficient"))</f>
        <v>Reorder</v>
      </c>
      <c r="N558" s="30"/>
      <c r="O558" s="3"/>
    </row>
    <row r="559" spans="1:15" x14ac:dyDescent="0.35">
      <c r="A559" s="94" t="s">
        <v>550</v>
      </c>
      <c r="B559" s="41">
        <v>91</v>
      </c>
      <c r="C559" s="57">
        <v>0.84615384615384615</v>
      </c>
      <c r="D559">
        <v>60</v>
      </c>
      <c r="F559" s="78" t="s">
        <v>550</v>
      </c>
      <c r="G559" s="45">
        <v>91</v>
      </c>
      <c r="H559" s="79">
        <f t="shared" si="209"/>
        <v>1</v>
      </c>
      <c r="I559" s="80">
        <f t="shared" si="210"/>
        <v>81.847983481573934</v>
      </c>
      <c r="J559" s="80">
        <f t="shared" si="211"/>
        <v>172.84798348157392</v>
      </c>
      <c r="K559" s="87">
        <f t="shared" si="212"/>
        <v>91</v>
      </c>
      <c r="L559" s="3">
        <v>60</v>
      </c>
      <c r="M559" s="30" t="str">
        <f t="shared" si="213"/>
        <v>Reorder</v>
      </c>
      <c r="N559" s="30"/>
      <c r="O559" s="3"/>
    </row>
    <row r="560" spans="1:15" x14ac:dyDescent="0.35">
      <c r="A560" s="94" t="s">
        <v>641</v>
      </c>
      <c r="B560" s="41">
        <v>315</v>
      </c>
      <c r="C560" s="57">
        <v>0.24761904761904763</v>
      </c>
      <c r="D560">
        <v>50</v>
      </c>
      <c r="F560" s="78" t="s">
        <v>641</v>
      </c>
      <c r="G560" s="45">
        <v>315</v>
      </c>
      <c r="H560" s="79">
        <f t="shared" si="209"/>
        <v>1</v>
      </c>
      <c r="I560" s="80">
        <f t="shared" si="210"/>
        <v>152.27989361698414</v>
      </c>
      <c r="J560" s="80">
        <f t="shared" si="211"/>
        <v>467.27989361698417</v>
      </c>
      <c r="K560" s="87">
        <f t="shared" si="212"/>
        <v>315</v>
      </c>
      <c r="L560" s="3">
        <v>50</v>
      </c>
      <c r="M560" s="30" t="str">
        <f t="shared" si="213"/>
        <v>Reorder</v>
      </c>
      <c r="N560" s="30"/>
      <c r="O560" s="3"/>
    </row>
    <row r="561" spans="1:15" x14ac:dyDescent="0.35">
      <c r="A561" s="94" t="s">
        <v>294</v>
      </c>
      <c r="B561" s="41">
        <v>183</v>
      </c>
      <c r="C561" s="57">
        <v>0.36065573770491804</v>
      </c>
      <c r="D561">
        <v>65</v>
      </c>
      <c r="F561" s="78" t="s">
        <v>294</v>
      </c>
      <c r="G561" s="45">
        <v>183</v>
      </c>
      <c r="H561" s="79">
        <f t="shared" si="209"/>
        <v>1</v>
      </c>
      <c r="I561" s="80">
        <f t="shared" si="210"/>
        <v>116.0680886376613</v>
      </c>
      <c r="J561" s="80">
        <f t="shared" si="211"/>
        <v>299.06808863766128</v>
      </c>
      <c r="K561" s="87">
        <f t="shared" si="212"/>
        <v>183</v>
      </c>
      <c r="L561" s="3">
        <v>65</v>
      </c>
      <c r="M561" s="30" t="str">
        <f t="shared" si="213"/>
        <v>Reorder</v>
      </c>
      <c r="N561" s="30"/>
      <c r="O561" s="3"/>
    </row>
    <row r="562" spans="1:15" x14ac:dyDescent="0.35">
      <c r="A562" s="94" t="s">
        <v>199</v>
      </c>
      <c r="B562" s="41">
        <v>297</v>
      </c>
      <c r="C562" s="57">
        <v>0.19865319865319866</v>
      </c>
      <c r="D562">
        <v>14</v>
      </c>
      <c r="F562" s="78" t="s">
        <v>199</v>
      </c>
      <c r="G562" s="45">
        <v>297</v>
      </c>
      <c r="H562" s="79">
        <f t="shared" si="209"/>
        <v>69</v>
      </c>
      <c r="I562" s="80">
        <f t="shared" si="210"/>
        <v>147.86504252188885</v>
      </c>
      <c r="J562" s="80">
        <f t="shared" si="211"/>
        <v>20640.865042521888</v>
      </c>
      <c r="K562" s="87">
        <f t="shared" si="212"/>
        <v>20493</v>
      </c>
      <c r="L562" s="3">
        <v>14</v>
      </c>
      <c r="M562" s="30" t="str">
        <f t="shared" si="213"/>
        <v>Reorder</v>
      </c>
      <c r="N562" s="30"/>
      <c r="O562" s="3"/>
    </row>
    <row r="563" spans="1:15" x14ac:dyDescent="0.35">
      <c r="A563" s="94" t="s">
        <v>1156</v>
      </c>
      <c r="B563" s="41">
        <v>275</v>
      </c>
      <c r="C563" s="57">
        <v>0.13090909090909092</v>
      </c>
      <c r="D563">
        <v>72</v>
      </c>
      <c r="F563" s="78" t="s">
        <v>1156</v>
      </c>
      <c r="G563" s="45">
        <v>275</v>
      </c>
      <c r="H563" s="79">
        <f t="shared" si="209"/>
        <v>2</v>
      </c>
      <c r="I563" s="80">
        <f t="shared" si="210"/>
        <v>142.28320350624668</v>
      </c>
      <c r="J563" s="80">
        <f t="shared" si="211"/>
        <v>692.28320350624665</v>
      </c>
      <c r="K563" s="87">
        <f t="shared" si="212"/>
        <v>550</v>
      </c>
      <c r="L563" s="3">
        <v>72</v>
      </c>
      <c r="M563" s="30" t="str">
        <f t="shared" si="213"/>
        <v>Reorder</v>
      </c>
      <c r="N563" s="30"/>
      <c r="O563" s="3"/>
    </row>
    <row r="564" spans="1:15" x14ac:dyDescent="0.35">
      <c r="A564" s="94" t="s">
        <v>1805</v>
      </c>
      <c r="B564" s="41">
        <v>46</v>
      </c>
      <c r="C564" s="57">
        <v>1.6521739130434783</v>
      </c>
      <c r="D564">
        <v>50</v>
      </c>
      <c r="F564" s="78" t="s">
        <v>1805</v>
      </c>
      <c r="G564" s="45">
        <v>46</v>
      </c>
      <c r="H564" s="79">
        <f t="shared" si="209"/>
        <v>2</v>
      </c>
      <c r="I564" s="80">
        <f t="shared" si="210"/>
        <v>58.192391255214801</v>
      </c>
      <c r="J564" s="80">
        <f t="shared" si="211"/>
        <v>150.1923912552148</v>
      </c>
      <c r="K564" s="87">
        <f t="shared" si="212"/>
        <v>92</v>
      </c>
      <c r="L564" s="3">
        <v>50</v>
      </c>
      <c r="M564" s="30" t="str">
        <f t="shared" si="213"/>
        <v>Reorder</v>
      </c>
      <c r="N564" s="30"/>
      <c r="O564" s="3"/>
    </row>
    <row r="565" spans="1:15" x14ac:dyDescent="0.35">
      <c r="A565" s="94" t="s">
        <v>933</v>
      </c>
      <c r="B565" s="41">
        <v>174</v>
      </c>
      <c r="C565" s="57">
        <v>0.27586206896551724</v>
      </c>
      <c r="D565">
        <v>43</v>
      </c>
      <c r="F565" s="78" t="s">
        <v>933</v>
      </c>
      <c r="G565" s="45">
        <v>174</v>
      </c>
      <c r="H565" s="79">
        <f t="shared" si="209"/>
        <v>1</v>
      </c>
      <c r="I565" s="80">
        <f t="shared" si="210"/>
        <v>113.17797312198165</v>
      </c>
      <c r="J565" s="80">
        <f t="shared" si="211"/>
        <v>287.17797312198167</v>
      </c>
      <c r="K565" s="87">
        <f t="shared" si="212"/>
        <v>174</v>
      </c>
      <c r="L565" s="3">
        <v>43</v>
      </c>
      <c r="M565" s="30" t="str">
        <f t="shared" si="213"/>
        <v>Reorder</v>
      </c>
      <c r="N565" s="30"/>
      <c r="O565" s="3"/>
    </row>
    <row r="566" spans="1:15" x14ac:dyDescent="0.35">
      <c r="A566" s="14" t="s">
        <v>320</v>
      </c>
      <c r="B566" s="41">
        <v>1018</v>
      </c>
      <c r="C566" s="57">
        <v>4.1003311206917719</v>
      </c>
      <c r="D566">
        <v>329</v>
      </c>
      <c r="F566" s="72" t="s">
        <v>320</v>
      </c>
      <c r="G566" s="73"/>
      <c r="H566" s="74"/>
      <c r="I566" s="75"/>
      <c r="J566" s="74"/>
      <c r="K566" s="79"/>
      <c r="L566" s="76">
        <v>329</v>
      </c>
      <c r="M566" s="77"/>
      <c r="N566" s="85" t="str">
        <f>IFERROR(VLOOKUP(F566,'ABC Analysis'!$E$18:$M$138,9,0),0)</f>
        <v>A</v>
      </c>
      <c r="O566" s="86">
        <f>IFERROR(VLOOKUP(F566,'ABC Analysis'!$E$18:$G$138,3,0),0)</f>
        <v>7.0181968571467867E-3</v>
      </c>
    </row>
    <row r="567" spans="1:15" x14ac:dyDescent="0.35">
      <c r="A567" s="94" t="s">
        <v>536</v>
      </c>
      <c r="B567" s="41">
        <v>118</v>
      </c>
      <c r="C567" s="57">
        <v>0.50847457627118642</v>
      </c>
      <c r="D567">
        <v>64</v>
      </c>
      <c r="F567" s="78" t="s">
        <v>536</v>
      </c>
      <c r="G567" s="45">
        <v>118</v>
      </c>
      <c r="H567" s="79">
        <f t="shared" ref="H567:H573" si="214">ROUNDUP(VLOOKUP(F567,$A$10:$C$782,3,0),0)</f>
        <v>1</v>
      </c>
      <c r="I567" s="80">
        <f t="shared" ref="I567:I573" si="215">$H$7*$H$6*SQRT(G567)</f>
        <v>93.202656614497855</v>
      </c>
      <c r="J567" s="80">
        <f t="shared" ref="J567:J573" si="216">(H567*G567)+I567</f>
        <v>211.20265661449787</v>
      </c>
      <c r="K567" s="87">
        <f t="shared" ref="K567:K573" si="217">H567*G567</f>
        <v>118</v>
      </c>
      <c r="L567" s="3">
        <v>64</v>
      </c>
      <c r="M567" s="30" t="str">
        <f t="shared" ref="M567:M573" si="218">IF(L567&lt;J567,"Reorder",IF(L567&gt;=J567*1.5,"Overstock","Sufficient"))</f>
        <v>Reorder</v>
      </c>
      <c r="N567" s="30"/>
      <c r="O567" s="3"/>
    </row>
    <row r="568" spans="1:15" x14ac:dyDescent="0.35">
      <c r="A568" s="94" t="s">
        <v>1307</v>
      </c>
      <c r="B568" s="41">
        <v>187</v>
      </c>
      <c r="C568" s="57">
        <v>0.25133689839572193</v>
      </c>
      <c r="D568">
        <v>26</v>
      </c>
      <c r="F568" s="78" t="s">
        <v>1307</v>
      </c>
      <c r="G568" s="45">
        <v>187</v>
      </c>
      <c r="H568" s="79">
        <f t="shared" si="214"/>
        <v>3</v>
      </c>
      <c r="I568" s="80">
        <f t="shared" si="215"/>
        <v>117.3297353615016</v>
      </c>
      <c r="J568" s="80">
        <f t="shared" si="216"/>
        <v>678.32973536150166</v>
      </c>
      <c r="K568" s="87">
        <f t="shared" si="217"/>
        <v>561</v>
      </c>
      <c r="L568" s="3">
        <v>26</v>
      </c>
      <c r="M568" s="30" t="str">
        <f t="shared" si="218"/>
        <v>Reorder</v>
      </c>
      <c r="N568" s="30"/>
      <c r="O568" s="3"/>
    </row>
    <row r="569" spans="1:15" x14ac:dyDescent="0.35">
      <c r="A569" s="94" t="s">
        <v>356</v>
      </c>
      <c r="B569" s="41">
        <v>41</v>
      </c>
      <c r="C569" s="57">
        <v>1.4146341463414633</v>
      </c>
      <c r="D569">
        <v>85</v>
      </c>
      <c r="F569" s="78" t="s">
        <v>356</v>
      </c>
      <c r="G569" s="45">
        <v>41</v>
      </c>
      <c r="H569" s="79">
        <f t="shared" si="214"/>
        <v>5</v>
      </c>
      <c r="I569" s="80">
        <f t="shared" si="215"/>
        <v>54.938805957173841</v>
      </c>
      <c r="J569" s="80">
        <f t="shared" si="216"/>
        <v>259.93880595717383</v>
      </c>
      <c r="K569" s="87">
        <f t="shared" si="217"/>
        <v>205</v>
      </c>
      <c r="L569" s="3">
        <v>85</v>
      </c>
      <c r="M569" s="30" t="str">
        <f t="shared" si="218"/>
        <v>Reorder</v>
      </c>
      <c r="N569" s="30"/>
      <c r="O569" s="3"/>
    </row>
    <row r="570" spans="1:15" x14ac:dyDescent="0.35">
      <c r="A570" s="94" t="s">
        <v>2496</v>
      </c>
      <c r="B570" s="41">
        <v>271</v>
      </c>
      <c r="C570" s="57">
        <v>0.14760147601476015</v>
      </c>
      <c r="D570">
        <v>11</v>
      </c>
      <c r="F570" s="78" t="s">
        <v>2496</v>
      </c>
      <c r="G570" s="45">
        <v>271</v>
      </c>
      <c r="H570" s="79">
        <f t="shared" si="214"/>
        <v>32</v>
      </c>
      <c r="I570" s="80">
        <f t="shared" si="215"/>
        <v>141.24462609246416</v>
      </c>
      <c r="J570" s="80">
        <f t="shared" si="216"/>
        <v>8813.2446260924644</v>
      </c>
      <c r="K570" s="87">
        <f t="shared" si="217"/>
        <v>8672</v>
      </c>
      <c r="L570" s="3">
        <v>11</v>
      </c>
      <c r="M570" s="30" t="str">
        <f t="shared" si="218"/>
        <v>Reorder</v>
      </c>
      <c r="N570" s="30"/>
      <c r="O570" s="3"/>
    </row>
    <row r="571" spans="1:15" x14ac:dyDescent="0.35">
      <c r="A571" s="94" t="s">
        <v>321</v>
      </c>
      <c r="B571" s="41">
        <v>100</v>
      </c>
      <c r="C571" s="57">
        <v>0.62</v>
      </c>
      <c r="D571">
        <v>37</v>
      </c>
      <c r="F571" s="78" t="s">
        <v>321</v>
      </c>
      <c r="G571" s="45">
        <v>100</v>
      </c>
      <c r="H571" s="79">
        <f t="shared" si="214"/>
        <v>1</v>
      </c>
      <c r="I571" s="80">
        <f t="shared" si="215"/>
        <v>85.8</v>
      </c>
      <c r="J571" s="80">
        <f t="shared" si="216"/>
        <v>185.8</v>
      </c>
      <c r="K571" s="87">
        <f t="shared" si="217"/>
        <v>100</v>
      </c>
      <c r="L571" s="3">
        <v>37</v>
      </c>
      <c r="M571" s="30" t="str">
        <f t="shared" si="218"/>
        <v>Reorder</v>
      </c>
      <c r="N571" s="30"/>
      <c r="O571" s="3"/>
    </row>
    <row r="572" spans="1:15" x14ac:dyDescent="0.35">
      <c r="A572" s="94" t="s">
        <v>478</v>
      </c>
      <c r="B572" s="41">
        <v>169</v>
      </c>
      <c r="C572" s="57">
        <v>0.40828402366863903</v>
      </c>
      <c r="D572">
        <v>95</v>
      </c>
      <c r="F572" s="78" t="s">
        <v>478</v>
      </c>
      <c r="G572" s="45">
        <v>169</v>
      </c>
      <c r="H572" s="79">
        <f t="shared" si="214"/>
        <v>1</v>
      </c>
      <c r="I572" s="80">
        <f t="shared" si="215"/>
        <v>111.54</v>
      </c>
      <c r="J572" s="80">
        <f t="shared" si="216"/>
        <v>280.54000000000002</v>
      </c>
      <c r="K572" s="87">
        <f t="shared" si="217"/>
        <v>169</v>
      </c>
      <c r="L572" s="3">
        <v>95</v>
      </c>
      <c r="M572" s="30" t="str">
        <f t="shared" si="218"/>
        <v>Reorder</v>
      </c>
      <c r="N572" s="30"/>
      <c r="O572" s="3"/>
    </row>
    <row r="573" spans="1:15" x14ac:dyDescent="0.35">
      <c r="A573" s="94" t="s">
        <v>2206</v>
      </c>
      <c r="B573" s="41">
        <v>132</v>
      </c>
      <c r="C573" s="57">
        <v>0.75</v>
      </c>
      <c r="D573">
        <v>11</v>
      </c>
      <c r="F573" s="78" t="s">
        <v>2206</v>
      </c>
      <c r="G573" s="45">
        <v>132</v>
      </c>
      <c r="H573" s="79">
        <f t="shared" si="214"/>
        <v>1</v>
      </c>
      <c r="I573" s="80">
        <f t="shared" si="215"/>
        <v>98.576695014592573</v>
      </c>
      <c r="J573" s="80">
        <f t="shared" si="216"/>
        <v>230.57669501459259</v>
      </c>
      <c r="K573" s="87">
        <f t="shared" si="217"/>
        <v>132</v>
      </c>
      <c r="L573" s="3">
        <v>11</v>
      </c>
      <c r="M573" s="30" t="str">
        <f t="shared" si="218"/>
        <v>Reorder</v>
      </c>
      <c r="N573" s="30"/>
      <c r="O573" s="3"/>
    </row>
    <row r="574" spans="1:15" x14ac:dyDescent="0.35">
      <c r="A574" s="14" t="s">
        <v>1445</v>
      </c>
      <c r="B574" s="41">
        <v>905</v>
      </c>
      <c r="C574" s="57">
        <v>4.0358894875725158</v>
      </c>
      <c r="D574">
        <v>299</v>
      </c>
      <c r="F574" s="72" t="s">
        <v>1445</v>
      </c>
      <c r="G574" s="73"/>
      <c r="H574" s="74"/>
      <c r="I574" s="75"/>
      <c r="J574" s="74"/>
      <c r="K574" s="79"/>
      <c r="L574" s="76">
        <v>299</v>
      </c>
      <c r="M574" s="77"/>
      <c r="N574" s="85" t="str">
        <f>IFERROR(VLOOKUP(F574,'ABC Analysis'!$E$18:$M$138,9,0),0)</f>
        <v>A</v>
      </c>
      <c r="O574" s="86">
        <f>IFERROR(VLOOKUP(F574,'ABC Analysis'!$E$18:$G$138,3,0),0)</f>
        <v>1.2025468198823625E-2</v>
      </c>
    </row>
    <row r="575" spans="1:15" x14ac:dyDescent="0.35">
      <c r="A575" s="94" t="s">
        <v>1509</v>
      </c>
      <c r="B575" s="41">
        <v>189</v>
      </c>
      <c r="C575" s="57">
        <v>0.19576719576719576</v>
      </c>
      <c r="D575">
        <v>42</v>
      </c>
      <c r="F575" s="78" t="s">
        <v>1509</v>
      </c>
      <c r="G575" s="45">
        <v>189</v>
      </c>
      <c r="H575" s="79">
        <f t="shared" ref="H575:H580" si="219">ROUNDUP(VLOOKUP(F575,$A$10:$C$782,3,0),0)</f>
        <v>1</v>
      </c>
      <c r="I575" s="80">
        <f t="shared" ref="I575:I580" si="220">$H$7*$H$6*SQRT(G575)</f>
        <v>117.95549838816332</v>
      </c>
      <c r="J575" s="80">
        <f t="shared" ref="J575:J580" si="221">(H575*G575)+I575</f>
        <v>306.95549838816333</v>
      </c>
      <c r="K575" s="87">
        <f t="shared" ref="K575:K580" si="222">H575*G575</f>
        <v>189</v>
      </c>
      <c r="L575" s="3">
        <v>42</v>
      </c>
      <c r="M575" s="30" t="str">
        <f t="shared" ref="M575:M580" si="223">IF(L575&lt;J575,"Reorder",IF(L575&gt;=J575*1.5,"Overstock","Sufficient"))</f>
        <v>Reorder</v>
      </c>
      <c r="N575" s="30"/>
      <c r="O575" s="3"/>
    </row>
    <row r="576" spans="1:15" x14ac:dyDescent="0.35">
      <c r="A576" s="94" t="s">
        <v>996</v>
      </c>
      <c r="B576" s="41">
        <v>179</v>
      </c>
      <c r="C576" s="57">
        <v>0.26815642458100558</v>
      </c>
      <c r="D576">
        <v>28</v>
      </c>
      <c r="F576" s="78" t="s">
        <v>996</v>
      </c>
      <c r="G576" s="45">
        <v>179</v>
      </c>
      <c r="H576" s="79">
        <f t="shared" si="219"/>
        <v>1</v>
      </c>
      <c r="I576" s="80">
        <f t="shared" si="220"/>
        <v>114.79257641502781</v>
      </c>
      <c r="J576" s="80">
        <f t="shared" si="221"/>
        <v>293.79257641502784</v>
      </c>
      <c r="K576" s="87">
        <f t="shared" si="222"/>
        <v>179</v>
      </c>
      <c r="L576" s="3">
        <v>28</v>
      </c>
      <c r="M576" s="30" t="str">
        <f t="shared" si="223"/>
        <v>Reorder</v>
      </c>
      <c r="N576" s="30"/>
      <c r="O576" s="3"/>
    </row>
    <row r="577" spans="1:15" x14ac:dyDescent="0.35">
      <c r="A577" s="94" t="s">
        <v>1365</v>
      </c>
      <c r="B577" s="41">
        <v>216</v>
      </c>
      <c r="C577" s="57">
        <v>0.25462962962962965</v>
      </c>
      <c r="D577">
        <v>87</v>
      </c>
      <c r="F577" s="78" t="s">
        <v>1365</v>
      </c>
      <c r="G577" s="45">
        <v>216</v>
      </c>
      <c r="H577" s="79">
        <f t="shared" si="219"/>
        <v>1</v>
      </c>
      <c r="I577" s="80">
        <f t="shared" si="220"/>
        <v>126.09973195847802</v>
      </c>
      <c r="J577" s="80">
        <f t="shared" si="221"/>
        <v>342.099731958478</v>
      </c>
      <c r="K577" s="87">
        <f t="shared" si="222"/>
        <v>216</v>
      </c>
      <c r="L577" s="3">
        <v>87</v>
      </c>
      <c r="M577" s="30" t="str">
        <f t="shared" si="223"/>
        <v>Reorder</v>
      </c>
      <c r="N577" s="30"/>
      <c r="O577" s="3"/>
    </row>
    <row r="578" spans="1:15" x14ac:dyDescent="0.35">
      <c r="A578" s="94" t="s">
        <v>1253</v>
      </c>
      <c r="B578" s="41">
        <v>115</v>
      </c>
      <c r="C578" s="57">
        <v>0.20869565217391303</v>
      </c>
      <c r="D578">
        <v>66</v>
      </c>
      <c r="F578" s="78" t="s">
        <v>1253</v>
      </c>
      <c r="G578" s="45">
        <v>115</v>
      </c>
      <c r="H578" s="79">
        <f t="shared" si="219"/>
        <v>6</v>
      </c>
      <c r="I578" s="80">
        <f t="shared" si="220"/>
        <v>92.010249429071749</v>
      </c>
      <c r="J578" s="80">
        <f t="shared" si="221"/>
        <v>782.01024942907179</v>
      </c>
      <c r="K578" s="87">
        <f t="shared" si="222"/>
        <v>690</v>
      </c>
      <c r="L578" s="3">
        <v>66</v>
      </c>
      <c r="M578" s="30" t="str">
        <f t="shared" si="223"/>
        <v>Reorder</v>
      </c>
      <c r="N578" s="30"/>
      <c r="O578" s="3"/>
    </row>
    <row r="579" spans="1:15" x14ac:dyDescent="0.35">
      <c r="A579" s="94" t="s">
        <v>692</v>
      </c>
      <c r="B579" s="41">
        <v>19</v>
      </c>
      <c r="C579" s="57">
        <v>2.8947368421052633</v>
      </c>
      <c r="D579">
        <v>53</v>
      </c>
      <c r="F579" s="78" t="s">
        <v>692</v>
      </c>
      <c r="G579" s="45">
        <v>19</v>
      </c>
      <c r="H579" s="79">
        <f t="shared" si="219"/>
        <v>1</v>
      </c>
      <c r="I579" s="80">
        <f t="shared" si="220"/>
        <v>37.399352935578982</v>
      </c>
      <c r="J579" s="80">
        <f t="shared" si="221"/>
        <v>56.399352935578982</v>
      </c>
      <c r="K579" s="87">
        <f t="shared" si="222"/>
        <v>19</v>
      </c>
      <c r="L579" s="3">
        <v>53</v>
      </c>
      <c r="M579" s="30" t="str">
        <f t="shared" si="223"/>
        <v>Reorder</v>
      </c>
      <c r="N579" s="30"/>
      <c r="O579" s="3"/>
    </row>
    <row r="580" spans="1:15" x14ac:dyDescent="0.35">
      <c r="A580" s="94" t="s">
        <v>1175</v>
      </c>
      <c r="B580" s="41">
        <v>187</v>
      </c>
      <c r="C580" s="57">
        <v>0.21390374331550802</v>
      </c>
      <c r="D580">
        <v>23</v>
      </c>
      <c r="F580" s="78" t="s">
        <v>1175</v>
      </c>
      <c r="G580" s="45">
        <v>187</v>
      </c>
      <c r="H580" s="79">
        <f t="shared" si="219"/>
        <v>2</v>
      </c>
      <c r="I580" s="80">
        <f t="shared" si="220"/>
        <v>117.3297353615016</v>
      </c>
      <c r="J580" s="80">
        <f t="shared" si="221"/>
        <v>491.3297353615016</v>
      </c>
      <c r="K580" s="87">
        <f t="shared" si="222"/>
        <v>374</v>
      </c>
      <c r="L580" s="3">
        <v>23</v>
      </c>
      <c r="M580" s="30" t="str">
        <f t="shared" si="223"/>
        <v>Reorder</v>
      </c>
      <c r="N580" s="30"/>
      <c r="O580" s="3"/>
    </row>
    <row r="581" spans="1:15" x14ac:dyDescent="0.35">
      <c r="A581" s="14" t="s">
        <v>47</v>
      </c>
      <c r="B581" s="41">
        <v>657</v>
      </c>
      <c r="C581" s="57">
        <v>4.0310458450697659</v>
      </c>
      <c r="D581">
        <v>444</v>
      </c>
      <c r="F581" s="72" t="s">
        <v>47</v>
      </c>
      <c r="G581" s="73"/>
      <c r="H581" s="74"/>
      <c r="I581" s="75"/>
      <c r="J581" s="74"/>
      <c r="K581" s="79"/>
      <c r="L581" s="76">
        <v>444</v>
      </c>
      <c r="M581" s="77"/>
      <c r="N581" s="85" t="str">
        <f>IFERROR(VLOOKUP(F581,'ABC Analysis'!$E$18:$M$138,9,0),0)</f>
        <v>B</v>
      </c>
      <c r="O581" s="86">
        <f>IFERROR(VLOOKUP(F581,'ABC Analysis'!$E$18:$G$138,3,0),0)</f>
        <v>3.3483957647811435E-3</v>
      </c>
    </row>
    <row r="582" spans="1:15" x14ac:dyDescent="0.35">
      <c r="A582" s="94" t="s">
        <v>2163</v>
      </c>
      <c r="B582" s="41">
        <v>219</v>
      </c>
      <c r="C582" s="57">
        <v>0.15068493150684931</v>
      </c>
      <c r="D582">
        <v>63</v>
      </c>
      <c r="F582" s="78" t="s">
        <v>2163</v>
      </c>
      <c r="G582" s="45">
        <v>219</v>
      </c>
      <c r="H582" s="79">
        <f t="shared" ref="H582:H587" si="224">ROUNDUP(VLOOKUP(F582,$A$10:$C$782,3,0),0)</f>
        <v>1</v>
      </c>
      <c r="I582" s="80">
        <f t="shared" ref="I582:I587" si="225">$H$7*$H$6*SQRT(G582)</f>
        <v>126.97240487602021</v>
      </c>
      <c r="J582" s="80">
        <f t="shared" ref="J582:J587" si="226">(H582*G582)+I582</f>
        <v>345.97240487602022</v>
      </c>
      <c r="K582" s="87">
        <f t="shared" ref="K582:K587" si="227">H582*G582</f>
        <v>219</v>
      </c>
      <c r="L582" s="3">
        <v>63</v>
      </c>
      <c r="M582" s="30" t="str">
        <f t="shared" ref="M582:M587" si="228">IF(L582&lt;J582,"Reorder",IF(L582&gt;=J582*1.5,"Overstock","Sufficient"))</f>
        <v>Reorder</v>
      </c>
      <c r="N582" s="30"/>
      <c r="O582" s="3"/>
    </row>
    <row r="583" spans="1:15" x14ac:dyDescent="0.35">
      <c r="A583" s="94" t="s">
        <v>532</v>
      </c>
      <c r="B583" s="41">
        <v>92</v>
      </c>
      <c r="C583" s="57">
        <v>0.77173913043478259</v>
      </c>
      <c r="D583">
        <v>90</v>
      </c>
      <c r="F583" s="78" t="s">
        <v>532</v>
      </c>
      <c r="G583" s="45">
        <v>92</v>
      </c>
      <c r="H583" s="79">
        <f t="shared" si="224"/>
        <v>1</v>
      </c>
      <c r="I583" s="80">
        <f t="shared" si="225"/>
        <v>82.296468940046267</v>
      </c>
      <c r="J583" s="80">
        <f t="shared" si="226"/>
        <v>174.29646894004628</v>
      </c>
      <c r="K583" s="87">
        <f t="shared" si="227"/>
        <v>92</v>
      </c>
      <c r="L583" s="3">
        <v>90</v>
      </c>
      <c r="M583" s="30" t="str">
        <f t="shared" si="228"/>
        <v>Reorder</v>
      </c>
      <c r="N583" s="30"/>
      <c r="O583" s="3"/>
    </row>
    <row r="584" spans="1:15" x14ac:dyDescent="0.35">
      <c r="A584" s="94" t="s">
        <v>1394</v>
      </c>
      <c r="B584" s="41">
        <v>69</v>
      </c>
      <c r="C584" s="57">
        <v>1.2898550724637681</v>
      </c>
      <c r="D584">
        <v>65</v>
      </c>
      <c r="F584" s="78" t="s">
        <v>1394</v>
      </c>
      <c r="G584" s="45">
        <v>69</v>
      </c>
      <c r="H584" s="79">
        <f t="shared" si="224"/>
        <v>1</v>
      </c>
      <c r="I584" s="80">
        <f t="shared" si="225"/>
        <v>71.270832743837076</v>
      </c>
      <c r="J584" s="80">
        <f t="shared" si="226"/>
        <v>140.27083274383708</v>
      </c>
      <c r="K584" s="87">
        <f t="shared" si="227"/>
        <v>69</v>
      </c>
      <c r="L584" s="3">
        <v>65</v>
      </c>
      <c r="M584" s="30" t="str">
        <f t="shared" si="228"/>
        <v>Reorder</v>
      </c>
      <c r="N584" s="30"/>
      <c r="O584" s="3"/>
    </row>
    <row r="585" spans="1:15" x14ac:dyDescent="0.35">
      <c r="A585" s="94" t="s">
        <v>405</v>
      </c>
      <c r="B585" s="41">
        <v>45</v>
      </c>
      <c r="C585" s="57">
        <v>1.2444444444444445</v>
      </c>
      <c r="D585">
        <v>63</v>
      </c>
      <c r="F585" s="78" t="s">
        <v>405</v>
      </c>
      <c r="G585" s="45">
        <v>45</v>
      </c>
      <c r="H585" s="79">
        <f t="shared" si="224"/>
        <v>1</v>
      </c>
      <c r="I585" s="80">
        <f t="shared" si="225"/>
        <v>57.556389740844587</v>
      </c>
      <c r="J585" s="80">
        <f t="shared" si="226"/>
        <v>102.55638974084459</v>
      </c>
      <c r="K585" s="87">
        <f t="shared" si="227"/>
        <v>45</v>
      </c>
      <c r="L585" s="3">
        <v>63</v>
      </c>
      <c r="M585" s="30" t="str">
        <f t="shared" si="228"/>
        <v>Reorder</v>
      </c>
      <c r="N585" s="30"/>
      <c r="O585" s="3"/>
    </row>
    <row r="586" spans="1:15" x14ac:dyDescent="0.35">
      <c r="A586" s="94" t="s">
        <v>670</v>
      </c>
      <c r="B586" s="41">
        <v>134</v>
      </c>
      <c r="C586" s="57">
        <v>0.18656716417910449</v>
      </c>
      <c r="D586">
        <v>72</v>
      </c>
      <c r="F586" s="78" t="s">
        <v>670</v>
      </c>
      <c r="G586" s="45">
        <v>134</v>
      </c>
      <c r="H586" s="79">
        <f t="shared" si="224"/>
        <v>1</v>
      </c>
      <c r="I586" s="80">
        <f t="shared" si="225"/>
        <v>99.320680625940142</v>
      </c>
      <c r="J586" s="80">
        <f t="shared" si="226"/>
        <v>233.32068062594016</v>
      </c>
      <c r="K586" s="87">
        <f t="shared" si="227"/>
        <v>134</v>
      </c>
      <c r="L586" s="3">
        <v>72</v>
      </c>
      <c r="M586" s="30" t="str">
        <f t="shared" si="228"/>
        <v>Reorder</v>
      </c>
      <c r="N586" s="30"/>
      <c r="O586" s="3"/>
    </row>
    <row r="587" spans="1:15" x14ac:dyDescent="0.35">
      <c r="A587" s="94" t="s">
        <v>48</v>
      </c>
      <c r="B587" s="41">
        <v>98</v>
      </c>
      <c r="C587" s="57">
        <v>0.38775510204081631</v>
      </c>
      <c r="D587">
        <v>91</v>
      </c>
      <c r="F587" s="78" t="s">
        <v>48</v>
      </c>
      <c r="G587" s="45">
        <v>98</v>
      </c>
      <c r="H587" s="79">
        <f t="shared" si="224"/>
        <v>1</v>
      </c>
      <c r="I587" s="80">
        <f t="shared" si="225"/>
        <v>84.937666556128093</v>
      </c>
      <c r="J587" s="80">
        <f t="shared" si="226"/>
        <v>182.93766655612808</v>
      </c>
      <c r="K587" s="87">
        <f t="shared" si="227"/>
        <v>98</v>
      </c>
      <c r="L587" s="3">
        <v>91</v>
      </c>
      <c r="M587" s="30" t="str">
        <f t="shared" si="228"/>
        <v>Reorder</v>
      </c>
      <c r="N587" s="30"/>
      <c r="O587" s="3"/>
    </row>
    <row r="588" spans="1:15" x14ac:dyDescent="0.35">
      <c r="A588" s="14" t="s">
        <v>574</v>
      </c>
      <c r="B588" s="41">
        <v>1225</v>
      </c>
      <c r="C588" s="57">
        <v>3.9382235762417159</v>
      </c>
      <c r="D588">
        <v>336</v>
      </c>
      <c r="F588" s="72" t="s">
        <v>574</v>
      </c>
      <c r="G588" s="73"/>
      <c r="H588" s="74"/>
      <c r="I588" s="75"/>
      <c r="J588" s="74"/>
      <c r="K588" s="79"/>
      <c r="L588" s="76">
        <v>336</v>
      </c>
      <c r="M588" s="77"/>
      <c r="N588" s="85" t="str">
        <f>IFERROR(VLOOKUP(F588,'ABC Analysis'!$E$18:$M$138,9,0),0)</f>
        <v>B</v>
      </c>
      <c r="O588" s="86">
        <f>IFERROR(VLOOKUP(F588,'ABC Analysis'!$E$18:$G$138,3,0),0)</f>
        <v>3.3404078330065631E-3</v>
      </c>
    </row>
    <row r="589" spans="1:15" x14ac:dyDescent="0.35">
      <c r="A589" s="94" t="s">
        <v>176</v>
      </c>
      <c r="B589" s="41">
        <v>175</v>
      </c>
      <c r="C589" s="57">
        <v>0.11428571428571428</v>
      </c>
      <c r="D589">
        <v>24</v>
      </c>
      <c r="F589" s="78" t="s">
        <v>176</v>
      </c>
      <c r="G589" s="45">
        <v>175</v>
      </c>
      <c r="H589" s="79">
        <f t="shared" ref="H589:H596" si="229">ROUNDUP(VLOOKUP(F589,$A$10:$C$782,3,0),0)</f>
        <v>1</v>
      </c>
      <c r="I589" s="80">
        <f t="shared" ref="I589:I596" si="230">$H$7*$H$6*SQRT(G589)</f>
        <v>113.50273124467094</v>
      </c>
      <c r="J589" s="80">
        <f t="shared" ref="J589:J596" si="231">(H589*G589)+I589</f>
        <v>288.50273124467094</v>
      </c>
      <c r="K589" s="87">
        <f t="shared" ref="K589:K596" si="232">H589*G589</f>
        <v>175</v>
      </c>
      <c r="L589" s="3">
        <v>24</v>
      </c>
      <c r="M589" s="30" t="str">
        <f t="shared" ref="M589:M596" si="233">IF(L589&lt;J589,"Reorder",IF(L589&gt;=J589*1.5,"Overstock","Sufficient"))</f>
        <v>Reorder</v>
      </c>
      <c r="N589" s="30"/>
      <c r="O589" s="3"/>
    </row>
    <row r="590" spans="1:15" x14ac:dyDescent="0.35">
      <c r="A590" s="94" t="s">
        <v>1286</v>
      </c>
      <c r="B590" s="41">
        <v>120</v>
      </c>
      <c r="C590" s="57">
        <v>0.48333333333333334</v>
      </c>
      <c r="D590">
        <v>29</v>
      </c>
      <c r="F590" s="78" t="s">
        <v>1286</v>
      </c>
      <c r="G590" s="45">
        <v>120</v>
      </c>
      <c r="H590" s="79">
        <f t="shared" si="229"/>
        <v>1</v>
      </c>
      <c r="I590" s="80">
        <f t="shared" si="230"/>
        <v>93.989190867886506</v>
      </c>
      <c r="J590" s="80">
        <f t="shared" si="231"/>
        <v>213.98919086788652</v>
      </c>
      <c r="K590" s="87">
        <f t="shared" si="232"/>
        <v>120</v>
      </c>
      <c r="L590" s="3">
        <v>29</v>
      </c>
      <c r="M590" s="30" t="str">
        <f t="shared" si="233"/>
        <v>Reorder</v>
      </c>
      <c r="N590" s="30"/>
      <c r="O590" s="3"/>
    </row>
    <row r="591" spans="1:15" x14ac:dyDescent="0.35">
      <c r="A591" s="94" t="s">
        <v>886</v>
      </c>
      <c r="B591" s="41">
        <v>253</v>
      </c>
      <c r="C591" s="57">
        <v>0.11462450592885376</v>
      </c>
      <c r="D591">
        <v>65</v>
      </c>
      <c r="F591" s="78" t="s">
        <v>886</v>
      </c>
      <c r="G591" s="45">
        <v>253</v>
      </c>
      <c r="H591" s="79">
        <f t="shared" si="229"/>
        <v>1</v>
      </c>
      <c r="I591" s="80">
        <f t="shared" si="230"/>
        <v>136.4732545226353</v>
      </c>
      <c r="J591" s="80">
        <f t="shared" si="231"/>
        <v>389.47325452263533</v>
      </c>
      <c r="K591" s="87">
        <f t="shared" si="232"/>
        <v>253</v>
      </c>
      <c r="L591" s="3">
        <v>65</v>
      </c>
      <c r="M591" s="30" t="str">
        <f t="shared" si="233"/>
        <v>Reorder</v>
      </c>
      <c r="N591" s="30"/>
      <c r="O591" s="3"/>
    </row>
    <row r="592" spans="1:15" x14ac:dyDescent="0.35">
      <c r="A592" s="94" t="s">
        <v>578</v>
      </c>
      <c r="B592" s="41">
        <v>125</v>
      </c>
      <c r="C592" s="57">
        <v>0.23200000000000001</v>
      </c>
      <c r="D592">
        <v>47</v>
      </c>
      <c r="F592" s="78" t="s">
        <v>578</v>
      </c>
      <c r="G592" s="45">
        <v>125</v>
      </c>
      <c r="H592" s="79">
        <f t="shared" si="229"/>
        <v>1</v>
      </c>
      <c r="I592" s="80">
        <f t="shared" si="230"/>
        <v>95.927316234740985</v>
      </c>
      <c r="J592" s="80">
        <f t="shared" si="231"/>
        <v>220.927316234741</v>
      </c>
      <c r="K592" s="87">
        <f t="shared" si="232"/>
        <v>125</v>
      </c>
      <c r="L592" s="3">
        <v>47</v>
      </c>
      <c r="M592" s="30" t="str">
        <f t="shared" si="233"/>
        <v>Reorder</v>
      </c>
      <c r="N592" s="30"/>
      <c r="O592" s="3"/>
    </row>
    <row r="593" spans="1:15" x14ac:dyDescent="0.35">
      <c r="A593" s="94" t="s">
        <v>281</v>
      </c>
      <c r="B593" s="41">
        <v>142</v>
      </c>
      <c r="C593" s="57">
        <v>0.27464788732394368</v>
      </c>
      <c r="D593">
        <v>14</v>
      </c>
      <c r="F593" s="78" t="s">
        <v>281</v>
      </c>
      <c r="G593" s="45">
        <v>142</v>
      </c>
      <c r="H593" s="79">
        <f t="shared" si="229"/>
        <v>1</v>
      </c>
      <c r="I593" s="80">
        <f t="shared" si="230"/>
        <v>102.24249996943541</v>
      </c>
      <c r="J593" s="80">
        <f t="shared" si="231"/>
        <v>244.24249996943541</v>
      </c>
      <c r="K593" s="87">
        <f t="shared" si="232"/>
        <v>142</v>
      </c>
      <c r="L593" s="3">
        <v>14</v>
      </c>
      <c r="M593" s="30" t="str">
        <f t="shared" si="233"/>
        <v>Reorder</v>
      </c>
      <c r="N593" s="30"/>
      <c r="O593" s="3"/>
    </row>
    <row r="594" spans="1:15" x14ac:dyDescent="0.35">
      <c r="A594" s="94" t="s">
        <v>1505</v>
      </c>
      <c r="B594" s="41">
        <v>105</v>
      </c>
      <c r="C594" s="57">
        <v>0.54285714285714282</v>
      </c>
      <c r="D594">
        <v>27</v>
      </c>
      <c r="F594" s="78" t="s">
        <v>1505</v>
      </c>
      <c r="G594" s="45">
        <v>105</v>
      </c>
      <c r="H594" s="79">
        <f t="shared" si="229"/>
        <v>3</v>
      </c>
      <c r="I594" s="80">
        <f t="shared" si="230"/>
        <v>87.918837571933352</v>
      </c>
      <c r="J594" s="80">
        <f t="shared" si="231"/>
        <v>402.91883757193335</v>
      </c>
      <c r="K594" s="87">
        <f t="shared" si="232"/>
        <v>315</v>
      </c>
      <c r="L594" s="3">
        <v>27</v>
      </c>
      <c r="M594" s="30" t="str">
        <f t="shared" si="233"/>
        <v>Reorder</v>
      </c>
      <c r="N594" s="30"/>
      <c r="O594" s="3"/>
    </row>
    <row r="595" spans="1:15" x14ac:dyDescent="0.35">
      <c r="A595" s="94" t="s">
        <v>2223</v>
      </c>
      <c r="B595" s="41">
        <v>252</v>
      </c>
      <c r="C595" s="57">
        <v>0.28968253968253971</v>
      </c>
      <c r="D595">
        <v>39</v>
      </c>
      <c r="F595" s="78" t="s">
        <v>2223</v>
      </c>
      <c r="G595" s="45">
        <v>252</v>
      </c>
      <c r="H595" s="79">
        <f t="shared" si="229"/>
        <v>1</v>
      </c>
      <c r="I595" s="80">
        <f t="shared" si="230"/>
        <v>136.20327749360513</v>
      </c>
      <c r="J595" s="80">
        <f t="shared" si="231"/>
        <v>388.20327749360513</v>
      </c>
      <c r="K595" s="87">
        <f t="shared" si="232"/>
        <v>252</v>
      </c>
      <c r="L595" s="3">
        <v>39</v>
      </c>
      <c r="M595" s="30" t="str">
        <f t="shared" si="233"/>
        <v>Reorder</v>
      </c>
      <c r="N595" s="30"/>
      <c r="O595" s="3"/>
    </row>
    <row r="596" spans="1:15" x14ac:dyDescent="0.35">
      <c r="A596" s="94" t="s">
        <v>1756</v>
      </c>
      <c r="B596" s="41">
        <v>53</v>
      </c>
      <c r="C596" s="57">
        <v>1.8867924528301887</v>
      </c>
      <c r="D596">
        <v>91</v>
      </c>
      <c r="F596" s="78" t="s">
        <v>1756</v>
      </c>
      <c r="G596" s="45">
        <v>53</v>
      </c>
      <c r="H596" s="79">
        <f t="shared" si="229"/>
        <v>2</v>
      </c>
      <c r="I596" s="80">
        <f t="shared" si="230"/>
        <v>62.463342850026848</v>
      </c>
      <c r="J596" s="80">
        <f t="shared" si="231"/>
        <v>168.46334285002683</v>
      </c>
      <c r="K596" s="87">
        <f t="shared" si="232"/>
        <v>106</v>
      </c>
      <c r="L596" s="3">
        <v>91</v>
      </c>
      <c r="M596" s="30" t="str">
        <f t="shared" si="233"/>
        <v>Reorder</v>
      </c>
      <c r="N596" s="30"/>
      <c r="O596" s="3"/>
    </row>
    <row r="597" spans="1:15" x14ac:dyDescent="0.35">
      <c r="A597" s="14" t="s">
        <v>225</v>
      </c>
      <c r="B597" s="41">
        <v>1053</v>
      </c>
      <c r="C597" s="57">
        <v>3.8805124556819672</v>
      </c>
      <c r="D597">
        <v>498</v>
      </c>
      <c r="F597" s="72" t="s">
        <v>225</v>
      </c>
      <c r="G597" s="73"/>
      <c r="H597" s="74"/>
      <c r="I597" s="75"/>
      <c r="J597" s="74"/>
      <c r="K597" s="79"/>
      <c r="L597" s="76">
        <v>498</v>
      </c>
      <c r="M597" s="77"/>
      <c r="N597" s="85" t="str">
        <f>IFERROR(VLOOKUP(F597,'ABC Analysis'!$E$18:$M$138,9,0),0)</f>
        <v>A</v>
      </c>
      <c r="O597" s="86">
        <f>IFERROR(VLOOKUP(F597,'ABC Analysis'!$E$18:$G$138,3,0),0)</f>
        <v>8.6850603658170621E-3</v>
      </c>
    </row>
    <row r="598" spans="1:15" x14ac:dyDescent="0.35">
      <c r="A598" s="94" t="s">
        <v>482</v>
      </c>
      <c r="B598" s="41">
        <v>47</v>
      </c>
      <c r="C598" s="57">
        <v>1.4893617021276595</v>
      </c>
      <c r="D598">
        <v>68</v>
      </c>
      <c r="F598" s="78" t="s">
        <v>482</v>
      </c>
      <c r="G598" s="45">
        <v>47</v>
      </c>
      <c r="H598" s="79">
        <f t="shared" ref="H598:H604" si="234">ROUNDUP(VLOOKUP(F598,$A$10:$C$782,3,0),0)</f>
        <v>3</v>
      </c>
      <c r="I598" s="80">
        <f t="shared" ref="I598:I604" si="235">$H$7*$H$6*SQRT(G598)</f>
        <v>58.821516471440958</v>
      </c>
      <c r="J598" s="80">
        <f t="shared" ref="J598:J604" si="236">(H598*G598)+I598</f>
        <v>199.82151647144096</v>
      </c>
      <c r="K598" s="87">
        <f t="shared" ref="K598:K604" si="237">H598*G598</f>
        <v>141</v>
      </c>
      <c r="L598" s="3">
        <v>68</v>
      </c>
      <c r="M598" s="30" t="str">
        <f t="shared" ref="M598:M604" si="238">IF(L598&lt;J598,"Reorder",IF(L598&gt;=J598*1.5,"Overstock","Sufficient"))</f>
        <v>Reorder</v>
      </c>
      <c r="N598" s="30"/>
      <c r="O598" s="3"/>
    </row>
    <row r="599" spans="1:15" x14ac:dyDescent="0.35">
      <c r="A599" s="94" t="s">
        <v>536</v>
      </c>
      <c r="B599" s="41">
        <v>225</v>
      </c>
      <c r="C599" s="57">
        <v>0.28888888888888886</v>
      </c>
      <c r="D599">
        <v>99</v>
      </c>
      <c r="F599" s="78" t="s">
        <v>536</v>
      </c>
      <c r="G599" s="45">
        <v>225</v>
      </c>
      <c r="H599" s="79">
        <f t="shared" si="234"/>
        <v>1</v>
      </c>
      <c r="I599" s="80">
        <f t="shared" si="235"/>
        <v>128.69999999999999</v>
      </c>
      <c r="J599" s="80">
        <f t="shared" si="236"/>
        <v>353.7</v>
      </c>
      <c r="K599" s="87">
        <f t="shared" si="237"/>
        <v>225</v>
      </c>
      <c r="L599" s="3">
        <v>99</v>
      </c>
      <c r="M599" s="30" t="str">
        <f t="shared" si="238"/>
        <v>Reorder</v>
      </c>
      <c r="N599" s="30"/>
      <c r="O599" s="3"/>
    </row>
    <row r="600" spans="1:15" x14ac:dyDescent="0.35">
      <c r="A600" s="94" t="s">
        <v>578</v>
      </c>
      <c r="B600" s="41">
        <v>100</v>
      </c>
      <c r="C600" s="57">
        <v>0.35</v>
      </c>
      <c r="D600">
        <v>37</v>
      </c>
      <c r="F600" s="78" t="s">
        <v>578</v>
      </c>
      <c r="G600" s="45">
        <v>100</v>
      </c>
      <c r="H600" s="79">
        <f t="shared" si="234"/>
        <v>1</v>
      </c>
      <c r="I600" s="80">
        <f t="shared" si="235"/>
        <v>85.8</v>
      </c>
      <c r="J600" s="80">
        <f t="shared" si="236"/>
        <v>185.8</v>
      </c>
      <c r="K600" s="87">
        <f t="shared" si="237"/>
        <v>100</v>
      </c>
      <c r="L600" s="3">
        <v>37</v>
      </c>
      <c r="M600" s="30" t="str">
        <f t="shared" si="238"/>
        <v>Reorder</v>
      </c>
      <c r="N600" s="30"/>
      <c r="O600" s="3"/>
    </row>
    <row r="601" spans="1:15" x14ac:dyDescent="0.35">
      <c r="A601" s="94" t="s">
        <v>458</v>
      </c>
      <c r="B601" s="41">
        <v>214</v>
      </c>
      <c r="C601" s="57">
        <v>0.2102803738317757</v>
      </c>
      <c r="D601">
        <v>96</v>
      </c>
      <c r="F601" s="78" t="s">
        <v>458</v>
      </c>
      <c r="G601" s="45">
        <v>214</v>
      </c>
      <c r="H601" s="79">
        <f t="shared" si="234"/>
        <v>1</v>
      </c>
      <c r="I601" s="80">
        <f t="shared" si="235"/>
        <v>125.51457923285247</v>
      </c>
      <c r="J601" s="80">
        <f t="shared" si="236"/>
        <v>339.5145792328525</v>
      </c>
      <c r="K601" s="87">
        <f t="shared" si="237"/>
        <v>214</v>
      </c>
      <c r="L601" s="3">
        <v>96</v>
      </c>
      <c r="M601" s="30" t="str">
        <f t="shared" si="238"/>
        <v>Reorder</v>
      </c>
      <c r="N601" s="30"/>
      <c r="O601" s="3"/>
    </row>
    <row r="602" spans="1:15" x14ac:dyDescent="0.35">
      <c r="A602" s="94" t="s">
        <v>962</v>
      </c>
      <c r="B602" s="41">
        <v>223</v>
      </c>
      <c r="C602" s="57">
        <v>0.3094170403587444</v>
      </c>
      <c r="D602">
        <v>75</v>
      </c>
      <c r="F602" s="78" t="s">
        <v>962</v>
      </c>
      <c r="G602" s="45">
        <v>223</v>
      </c>
      <c r="H602" s="79">
        <f t="shared" si="234"/>
        <v>1</v>
      </c>
      <c r="I602" s="80">
        <f t="shared" si="235"/>
        <v>128.1267232079241</v>
      </c>
      <c r="J602" s="80">
        <f t="shared" si="236"/>
        <v>351.1267232079241</v>
      </c>
      <c r="K602" s="87">
        <f t="shared" si="237"/>
        <v>223</v>
      </c>
      <c r="L602" s="3">
        <v>75</v>
      </c>
      <c r="M602" s="30" t="str">
        <f t="shared" si="238"/>
        <v>Reorder</v>
      </c>
      <c r="N602" s="30"/>
      <c r="O602" s="3"/>
    </row>
    <row r="603" spans="1:15" x14ac:dyDescent="0.35">
      <c r="A603" s="94" t="s">
        <v>381</v>
      </c>
      <c r="B603" s="41">
        <v>110</v>
      </c>
      <c r="C603" s="57">
        <v>0.88181818181818183</v>
      </c>
      <c r="D603">
        <v>23</v>
      </c>
      <c r="F603" s="78" t="s">
        <v>381</v>
      </c>
      <c r="G603" s="45">
        <v>110</v>
      </c>
      <c r="H603" s="79">
        <f t="shared" si="234"/>
        <v>1</v>
      </c>
      <c r="I603" s="80">
        <f t="shared" si="235"/>
        <v>89.987799172999004</v>
      </c>
      <c r="J603" s="80">
        <f t="shared" si="236"/>
        <v>199.98779917299902</v>
      </c>
      <c r="K603" s="87">
        <f t="shared" si="237"/>
        <v>110</v>
      </c>
      <c r="L603" s="3">
        <v>23</v>
      </c>
      <c r="M603" s="30" t="str">
        <f t="shared" si="238"/>
        <v>Reorder</v>
      </c>
      <c r="N603" s="30"/>
      <c r="O603" s="3"/>
    </row>
    <row r="604" spans="1:15" x14ac:dyDescent="0.35">
      <c r="A604" s="94" t="s">
        <v>226</v>
      </c>
      <c r="B604" s="41">
        <v>134</v>
      </c>
      <c r="C604" s="57">
        <v>0.35074626865671643</v>
      </c>
      <c r="D604">
        <v>100</v>
      </c>
      <c r="F604" s="78" t="s">
        <v>226</v>
      </c>
      <c r="G604" s="45">
        <v>134</v>
      </c>
      <c r="H604" s="79">
        <f t="shared" si="234"/>
        <v>1</v>
      </c>
      <c r="I604" s="80">
        <f t="shared" si="235"/>
        <v>99.320680625940142</v>
      </c>
      <c r="J604" s="80">
        <f t="shared" si="236"/>
        <v>233.32068062594016</v>
      </c>
      <c r="K604" s="87">
        <f t="shared" si="237"/>
        <v>134</v>
      </c>
      <c r="L604" s="3">
        <v>100</v>
      </c>
      <c r="M604" s="30" t="str">
        <f t="shared" si="238"/>
        <v>Reorder</v>
      </c>
      <c r="N604" s="30"/>
      <c r="O604" s="3"/>
    </row>
    <row r="605" spans="1:15" x14ac:dyDescent="0.35">
      <c r="A605" s="14" t="s">
        <v>137</v>
      </c>
      <c r="B605" s="41">
        <v>866</v>
      </c>
      <c r="C605" s="57">
        <v>3.8426093188726167</v>
      </c>
      <c r="D605">
        <v>516</v>
      </c>
      <c r="F605" s="72" t="s">
        <v>137</v>
      </c>
      <c r="G605" s="73"/>
      <c r="H605" s="74"/>
      <c r="I605" s="75"/>
      <c r="J605" s="74"/>
      <c r="K605" s="79"/>
      <c r="L605" s="76">
        <v>516</v>
      </c>
      <c r="M605" s="77"/>
      <c r="N605" s="85" t="str">
        <f>IFERROR(VLOOKUP(F605,'ABC Analysis'!$E$18:$M$138,9,0),0)</f>
        <v>A</v>
      </c>
      <c r="O605" s="86">
        <f>IFERROR(VLOOKUP(F605,'ABC Analysis'!$E$18:$G$138,3,0),0)</f>
        <v>7.8824910751564437E-3</v>
      </c>
    </row>
    <row r="606" spans="1:15" x14ac:dyDescent="0.35">
      <c r="A606" s="94" t="s">
        <v>221</v>
      </c>
      <c r="B606" s="41">
        <v>235</v>
      </c>
      <c r="C606" s="57">
        <v>0.17446808510638298</v>
      </c>
      <c r="D606">
        <v>53</v>
      </c>
      <c r="F606" s="78" t="s">
        <v>221</v>
      </c>
      <c r="G606" s="45">
        <v>235</v>
      </c>
      <c r="H606" s="79">
        <f t="shared" ref="H606:H611" si="239">ROUNDUP(VLOOKUP(F606,$A$10:$C$782,3,0),0)</f>
        <v>2</v>
      </c>
      <c r="I606" s="80">
        <f t="shared" ref="I606:I611" si="240">$H$7*$H$6*SQRT(G606)</f>
        <v>131.52890936976556</v>
      </c>
      <c r="J606" s="80">
        <f t="shared" ref="J606:J611" si="241">(H606*G606)+I606</f>
        <v>601.52890936976553</v>
      </c>
      <c r="K606" s="87">
        <f t="shared" ref="K606:K611" si="242">H606*G606</f>
        <v>470</v>
      </c>
      <c r="L606" s="3">
        <v>53</v>
      </c>
      <c r="M606" s="30" t="str">
        <f t="shared" ref="M606:M611" si="243">IF(L606&lt;J606,"Reorder",IF(L606&gt;=J606*1.5,"Overstock","Sufficient"))</f>
        <v>Reorder</v>
      </c>
      <c r="N606" s="30"/>
      <c r="O606" s="3"/>
    </row>
    <row r="607" spans="1:15" x14ac:dyDescent="0.35">
      <c r="A607" s="94" t="s">
        <v>138</v>
      </c>
      <c r="B607" s="41">
        <v>216</v>
      </c>
      <c r="C607" s="57">
        <v>0.95028409090909094</v>
      </c>
      <c r="D607">
        <v>188</v>
      </c>
      <c r="F607" s="78" t="s">
        <v>138</v>
      </c>
      <c r="G607" s="45">
        <v>216</v>
      </c>
      <c r="H607" s="79">
        <f t="shared" si="239"/>
        <v>1</v>
      </c>
      <c r="I607" s="80">
        <f t="shared" si="240"/>
        <v>126.09973195847802</v>
      </c>
      <c r="J607" s="80">
        <f t="shared" si="241"/>
        <v>342.099731958478</v>
      </c>
      <c r="K607" s="87">
        <f t="shared" si="242"/>
        <v>216</v>
      </c>
      <c r="L607" s="3">
        <v>188</v>
      </c>
      <c r="M607" s="30" t="str">
        <f t="shared" si="243"/>
        <v>Reorder</v>
      </c>
      <c r="N607" s="30"/>
      <c r="O607" s="3"/>
    </row>
    <row r="608" spans="1:15" x14ac:dyDescent="0.35">
      <c r="A608" s="94" t="s">
        <v>2403</v>
      </c>
      <c r="B608" s="41">
        <v>140</v>
      </c>
      <c r="C608" s="57">
        <v>0.6071428571428571</v>
      </c>
      <c r="D608">
        <v>58</v>
      </c>
      <c r="F608" s="78" t="s">
        <v>2403</v>
      </c>
      <c r="G608" s="45">
        <v>140</v>
      </c>
      <c r="H608" s="79">
        <f t="shared" si="239"/>
        <v>1</v>
      </c>
      <c r="I608" s="80">
        <f t="shared" si="240"/>
        <v>101.51992907798942</v>
      </c>
      <c r="J608" s="80">
        <f t="shared" si="241"/>
        <v>241.51992907798942</v>
      </c>
      <c r="K608" s="87">
        <f t="shared" si="242"/>
        <v>140</v>
      </c>
      <c r="L608" s="3">
        <v>58</v>
      </c>
      <c r="M608" s="30" t="str">
        <f t="shared" si="243"/>
        <v>Reorder</v>
      </c>
      <c r="N608" s="30"/>
      <c r="O608" s="3"/>
    </row>
    <row r="609" spans="1:15" x14ac:dyDescent="0.35">
      <c r="A609" s="94" t="s">
        <v>1160</v>
      </c>
      <c r="B609" s="41">
        <v>80</v>
      </c>
      <c r="C609" s="57">
        <v>0.32500000000000001</v>
      </c>
      <c r="D609">
        <v>60</v>
      </c>
      <c r="F609" s="78" t="s">
        <v>1160</v>
      </c>
      <c r="G609" s="45">
        <v>80</v>
      </c>
      <c r="H609" s="79">
        <f t="shared" si="239"/>
        <v>1</v>
      </c>
      <c r="I609" s="80">
        <f t="shared" si="240"/>
        <v>76.741852987792782</v>
      </c>
      <c r="J609" s="80">
        <f t="shared" si="241"/>
        <v>156.74185298779278</v>
      </c>
      <c r="K609" s="87">
        <f t="shared" si="242"/>
        <v>80</v>
      </c>
      <c r="L609" s="3">
        <v>60</v>
      </c>
      <c r="M609" s="30" t="str">
        <f t="shared" si="243"/>
        <v>Reorder</v>
      </c>
      <c r="N609" s="30"/>
      <c r="O609" s="3"/>
    </row>
    <row r="610" spans="1:15" x14ac:dyDescent="0.35">
      <c r="A610" s="94" t="s">
        <v>608</v>
      </c>
      <c r="B610" s="41">
        <v>175</v>
      </c>
      <c r="C610" s="57">
        <v>0.2857142857142857</v>
      </c>
      <c r="D610">
        <v>73</v>
      </c>
      <c r="F610" s="78" t="s">
        <v>608</v>
      </c>
      <c r="G610" s="45">
        <v>175</v>
      </c>
      <c r="H610" s="79">
        <f t="shared" si="239"/>
        <v>1</v>
      </c>
      <c r="I610" s="80">
        <f t="shared" si="240"/>
        <v>113.50273124467094</v>
      </c>
      <c r="J610" s="80">
        <f t="shared" si="241"/>
        <v>288.50273124467094</v>
      </c>
      <c r="K610" s="87">
        <f t="shared" si="242"/>
        <v>175</v>
      </c>
      <c r="L610" s="3">
        <v>73</v>
      </c>
      <c r="M610" s="30" t="str">
        <f t="shared" si="243"/>
        <v>Reorder</v>
      </c>
      <c r="N610" s="30"/>
      <c r="O610" s="3"/>
    </row>
    <row r="611" spans="1:15" x14ac:dyDescent="0.35">
      <c r="A611" s="94" t="s">
        <v>759</v>
      </c>
      <c r="B611" s="41">
        <v>20</v>
      </c>
      <c r="C611" s="57">
        <v>1.5</v>
      </c>
      <c r="D611">
        <v>84</v>
      </c>
      <c r="F611" s="78" t="s">
        <v>759</v>
      </c>
      <c r="G611" s="45">
        <v>20</v>
      </c>
      <c r="H611" s="79">
        <f t="shared" si="239"/>
        <v>2</v>
      </c>
      <c r="I611" s="80">
        <f t="shared" si="240"/>
        <v>38.370926493896391</v>
      </c>
      <c r="J611" s="80">
        <f t="shared" si="241"/>
        <v>78.370926493896391</v>
      </c>
      <c r="K611" s="87">
        <f t="shared" si="242"/>
        <v>40</v>
      </c>
      <c r="L611" s="3">
        <v>84</v>
      </c>
      <c r="M611" s="30" t="str">
        <f t="shared" si="243"/>
        <v>Sufficient</v>
      </c>
      <c r="N611" s="30"/>
      <c r="O611" s="3"/>
    </row>
    <row r="612" spans="1:15" x14ac:dyDescent="0.35">
      <c r="A612" s="14" t="s">
        <v>397</v>
      </c>
      <c r="B612" s="41">
        <v>279</v>
      </c>
      <c r="C612" s="57">
        <v>3.7329054673551125</v>
      </c>
      <c r="D612">
        <v>143</v>
      </c>
      <c r="F612" s="72" t="s">
        <v>397</v>
      </c>
      <c r="G612" s="73"/>
      <c r="H612" s="74"/>
      <c r="I612" s="75"/>
      <c r="J612" s="74"/>
      <c r="K612" s="79"/>
      <c r="L612" s="76">
        <v>143</v>
      </c>
      <c r="M612" s="77"/>
      <c r="N612" s="85" t="str">
        <f>IFERROR(VLOOKUP(F612,'ABC Analysis'!$E$18:$M$138,9,0),0)</f>
        <v>B</v>
      </c>
      <c r="O612" s="86">
        <f>IFERROR(VLOOKUP(F612,'ABC Analysis'!$E$18:$G$138,3,0),0)</f>
        <v>3.4275489069110813E-3</v>
      </c>
    </row>
    <row r="613" spans="1:15" x14ac:dyDescent="0.35">
      <c r="A613" s="94" t="s">
        <v>376</v>
      </c>
      <c r="B613" s="41">
        <v>159</v>
      </c>
      <c r="C613" s="57">
        <v>0.52830188679245282</v>
      </c>
      <c r="D613">
        <v>39</v>
      </c>
      <c r="F613" s="78" t="s">
        <v>376</v>
      </c>
      <c r="G613" s="45">
        <v>159</v>
      </c>
      <c r="H613" s="79">
        <f>ROUNDUP(VLOOKUP(F613,$A$10:$C$782,3,0),0)</f>
        <v>1</v>
      </c>
      <c r="I613" s="80">
        <f>$H$7*$H$6*SQRT(G613)</f>
        <v>108.18968342684066</v>
      </c>
      <c r="J613" s="80">
        <f>(H613*G613)+I613</f>
        <v>267.18968342684065</v>
      </c>
      <c r="K613" s="87">
        <f>H613*G613</f>
        <v>159</v>
      </c>
      <c r="L613" s="3">
        <v>39</v>
      </c>
      <c r="M613" s="30" t="str">
        <f>IF(L613&lt;J613,"Reorder",IF(L613&gt;=J613*1.5,"Overstock","Sufficient"))</f>
        <v>Reorder</v>
      </c>
      <c r="N613" s="30"/>
      <c r="O613" s="3"/>
    </row>
    <row r="614" spans="1:15" x14ac:dyDescent="0.35">
      <c r="A614" s="94" t="s">
        <v>1438</v>
      </c>
      <c r="B614" s="41">
        <v>69</v>
      </c>
      <c r="C614" s="57">
        <v>1.4202898550724639</v>
      </c>
      <c r="D614">
        <v>80</v>
      </c>
      <c r="F614" s="78" t="s">
        <v>1438</v>
      </c>
      <c r="G614" s="45">
        <v>69</v>
      </c>
      <c r="H614" s="79">
        <f>ROUNDUP(VLOOKUP(F614,$A$10:$C$782,3,0),0)</f>
        <v>2</v>
      </c>
      <c r="I614" s="80">
        <f>$H$7*$H$6*SQRT(G614)</f>
        <v>71.270832743837076</v>
      </c>
      <c r="J614" s="80">
        <f>(H614*G614)+I614</f>
        <v>209.27083274383708</v>
      </c>
      <c r="K614" s="87">
        <f>H614*G614</f>
        <v>138</v>
      </c>
      <c r="L614" s="3">
        <v>80</v>
      </c>
      <c r="M614" s="30" t="str">
        <f>IF(L614&lt;J614,"Reorder",IF(L614&gt;=J614*1.5,"Overstock","Sufficient"))</f>
        <v>Reorder</v>
      </c>
      <c r="N614" s="30"/>
      <c r="O614" s="3"/>
    </row>
    <row r="615" spans="1:15" x14ac:dyDescent="0.35">
      <c r="A615" s="94" t="s">
        <v>398</v>
      </c>
      <c r="B615" s="41">
        <v>51</v>
      </c>
      <c r="C615" s="57">
        <v>1.7843137254901962</v>
      </c>
      <c r="D615">
        <v>24</v>
      </c>
      <c r="F615" s="78" t="s">
        <v>398</v>
      </c>
      <c r="G615" s="45">
        <v>51</v>
      </c>
      <c r="H615" s="79">
        <f>ROUNDUP(VLOOKUP(F615,$A$10:$C$782,3,0),0)</f>
        <v>2</v>
      </c>
      <c r="I615" s="80">
        <f>$H$7*$H$6*SQRT(G615)</f>
        <v>61.27345591689766</v>
      </c>
      <c r="J615" s="80">
        <f>(H615*G615)+I615</f>
        <v>163.27345591689766</v>
      </c>
      <c r="K615" s="87">
        <f>H615*G615</f>
        <v>102</v>
      </c>
      <c r="L615" s="3">
        <v>24</v>
      </c>
      <c r="M615" s="30" t="str">
        <f>IF(L615&lt;J615,"Reorder",IF(L615&gt;=J615*1.5,"Overstock","Sufficient"))</f>
        <v>Reorder</v>
      </c>
      <c r="N615" s="30"/>
      <c r="O615" s="3"/>
    </row>
    <row r="616" spans="1:15" x14ac:dyDescent="0.35">
      <c r="A616" s="14" t="s">
        <v>446</v>
      </c>
      <c r="B616" s="41">
        <v>863</v>
      </c>
      <c r="C616" s="57">
        <v>3.7295889284769537</v>
      </c>
      <c r="D616">
        <v>418</v>
      </c>
      <c r="F616" s="72" t="s">
        <v>446</v>
      </c>
      <c r="G616" s="73"/>
      <c r="H616" s="74"/>
      <c r="I616" s="75"/>
      <c r="J616" s="74"/>
      <c r="K616" s="79"/>
      <c r="L616" s="76">
        <v>418</v>
      </c>
      <c r="M616" s="77"/>
      <c r="N616" s="85" t="str">
        <f>IFERROR(VLOOKUP(F616,'ABC Analysis'!$E$18:$M$138,9,0),0)</f>
        <v>A</v>
      </c>
      <c r="O616" s="86">
        <f>IFERROR(VLOOKUP(F616,'ABC Analysis'!$E$18:$G$138,3,0),0)</f>
        <v>1.1175842728254566E-2</v>
      </c>
    </row>
    <row r="617" spans="1:15" x14ac:dyDescent="0.35">
      <c r="A617" s="94" t="s">
        <v>277</v>
      </c>
      <c r="B617" s="41">
        <v>74</v>
      </c>
      <c r="C617" s="57">
        <v>0.32432432432432434</v>
      </c>
      <c r="D617">
        <v>13</v>
      </c>
      <c r="F617" s="78" t="s">
        <v>277</v>
      </c>
      <c r="G617" s="45">
        <v>74</v>
      </c>
      <c r="H617" s="79">
        <f t="shared" ref="H617:H624" si="244">ROUNDUP(VLOOKUP(F617,$A$10:$C$782,3,0),0)</f>
        <v>1</v>
      </c>
      <c r="I617" s="80">
        <f t="shared" ref="I617:I624" si="245">$H$7*$H$6*SQRT(G617)</f>
        <v>73.807950791225736</v>
      </c>
      <c r="J617" s="80">
        <f t="shared" ref="J617:J624" si="246">(H617*G617)+I617</f>
        <v>147.80795079122572</v>
      </c>
      <c r="K617" s="87">
        <f t="shared" ref="K617:K624" si="247">H617*G617</f>
        <v>74</v>
      </c>
      <c r="L617" s="3">
        <v>13</v>
      </c>
      <c r="M617" s="30" t="str">
        <f t="shared" ref="M617:M624" si="248">IF(L617&lt;J617,"Reorder",IF(L617&gt;=J617*1.5,"Overstock","Sufficient"))</f>
        <v>Reorder</v>
      </c>
      <c r="N617" s="30"/>
      <c r="O617" s="3"/>
    </row>
    <row r="618" spans="1:15" x14ac:dyDescent="0.35">
      <c r="A618" s="94" t="s">
        <v>235</v>
      </c>
      <c r="B618" s="41">
        <v>86</v>
      </c>
      <c r="C618" s="57">
        <v>0.31395348837209303</v>
      </c>
      <c r="D618">
        <v>77</v>
      </c>
      <c r="F618" s="78" t="s">
        <v>235</v>
      </c>
      <c r="G618" s="45">
        <v>86</v>
      </c>
      <c r="H618" s="79">
        <f t="shared" si="244"/>
        <v>1</v>
      </c>
      <c r="I618" s="80">
        <f t="shared" si="245"/>
        <v>79.567646691353147</v>
      </c>
      <c r="J618" s="80">
        <f t="shared" si="246"/>
        <v>165.56764669135316</v>
      </c>
      <c r="K618" s="87">
        <f t="shared" si="247"/>
        <v>86</v>
      </c>
      <c r="L618" s="3">
        <v>77</v>
      </c>
      <c r="M618" s="30" t="str">
        <f t="shared" si="248"/>
        <v>Reorder</v>
      </c>
      <c r="N618" s="30"/>
      <c r="O618" s="3"/>
    </row>
    <row r="619" spans="1:15" x14ac:dyDescent="0.35">
      <c r="A619" s="94" t="s">
        <v>19</v>
      </c>
      <c r="B619" s="41">
        <v>35</v>
      </c>
      <c r="C619" s="57">
        <v>1.2285714285714286</v>
      </c>
      <c r="D619">
        <v>75</v>
      </c>
      <c r="F619" s="78" t="s">
        <v>19</v>
      </c>
      <c r="G619" s="45">
        <v>35</v>
      </c>
      <c r="H619" s="79">
        <f t="shared" si="244"/>
        <v>1</v>
      </c>
      <c r="I619" s="80">
        <f t="shared" si="245"/>
        <v>50.759964538994709</v>
      </c>
      <c r="J619" s="80">
        <f t="shared" si="246"/>
        <v>85.759964538994709</v>
      </c>
      <c r="K619" s="87">
        <f t="shared" si="247"/>
        <v>35</v>
      </c>
      <c r="L619" s="3">
        <v>75</v>
      </c>
      <c r="M619" s="30" t="str">
        <f t="shared" si="248"/>
        <v>Reorder</v>
      </c>
      <c r="N619" s="30"/>
      <c r="O619" s="3"/>
    </row>
    <row r="620" spans="1:15" x14ac:dyDescent="0.35">
      <c r="A620" s="94" t="s">
        <v>588</v>
      </c>
      <c r="B620" s="41">
        <v>169</v>
      </c>
      <c r="C620" s="57">
        <v>0.35502958579881655</v>
      </c>
      <c r="D620">
        <v>54</v>
      </c>
      <c r="F620" s="78" t="s">
        <v>588</v>
      </c>
      <c r="G620" s="45">
        <v>169</v>
      </c>
      <c r="H620" s="79">
        <f t="shared" si="244"/>
        <v>1</v>
      </c>
      <c r="I620" s="80">
        <f t="shared" si="245"/>
        <v>111.54</v>
      </c>
      <c r="J620" s="80">
        <f t="shared" si="246"/>
        <v>280.54000000000002</v>
      </c>
      <c r="K620" s="87">
        <f t="shared" si="247"/>
        <v>169</v>
      </c>
      <c r="L620" s="3">
        <v>54</v>
      </c>
      <c r="M620" s="30" t="str">
        <f t="shared" si="248"/>
        <v>Reorder</v>
      </c>
      <c r="N620" s="30"/>
      <c r="O620" s="3"/>
    </row>
    <row r="621" spans="1:15" x14ac:dyDescent="0.35">
      <c r="A621" s="94" t="s">
        <v>207</v>
      </c>
      <c r="B621" s="41">
        <v>221</v>
      </c>
      <c r="C621" s="57">
        <v>0.25339366515837103</v>
      </c>
      <c r="D621">
        <v>12</v>
      </c>
      <c r="F621" s="78" t="s">
        <v>207</v>
      </c>
      <c r="G621" s="45">
        <v>221</v>
      </c>
      <c r="H621" s="79">
        <f t="shared" si="244"/>
        <v>1</v>
      </c>
      <c r="I621" s="80">
        <f t="shared" si="245"/>
        <v>127.55086985199279</v>
      </c>
      <c r="J621" s="80">
        <f t="shared" si="246"/>
        <v>348.55086985199279</v>
      </c>
      <c r="K621" s="87">
        <f t="shared" si="247"/>
        <v>221</v>
      </c>
      <c r="L621" s="3">
        <v>12</v>
      </c>
      <c r="M621" s="30" t="str">
        <f t="shared" si="248"/>
        <v>Reorder</v>
      </c>
      <c r="N621" s="30"/>
      <c r="O621" s="3"/>
    </row>
    <row r="622" spans="1:15" x14ac:dyDescent="0.35">
      <c r="A622" s="94" t="s">
        <v>1402</v>
      </c>
      <c r="B622" s="41">
        <v>150</v>
      </c>
      <c r="C622" s="57">
        <v>0.16</v>
      </c>
      <c r="D622">
        <v>74</v>
      </c>
      <c r="F622" s="78" t="s">
        <v>1402</v>
      </c>
      <c r="G622" s="45">
        <v>150</v>
      </c>
      <c r="H622" s="79">
        <f t="shared" si="244"/>
        <v>4</v>
      </c>
      <c r="I622" s="80">
        <f t="shared" si="245"/>
        <v>105.08310996539834</v>
      </c>
      <c r="J622" s="80">
        <f t="shared" si="246"/>
        <v>705.08310996539831</v>
      </c>
      <c r="K622" s="87">
        <f t="shared" si="247"/>
        <v>600</v>
      </c>
      <c r="L622" s="3">
        <v>74</v>
      </c>
      <c r="M622" s="30" t="str">
        <f t="shared" si="248"/>
        <v>Reorder</v>
      </c>
      <c r="N622" s="30"/>
      <c r="O622" s="3"/>
    </row>
    <row r="623" spans="1:15" x14ac:dyDescent="0.35">
      <c r="A623" s="94" t="s">
        <v>1271</v>
      </c>
      <c r="B623" s="41">
        <v>93</v>
      </c>
      <c r="C623" s="57">
        <v>0.40860215053763443</v>
      </c>
      <c r="D623">
        <v>37</v>
      </c>
      <c r="F623" s="78" t="s">
        <v>1271</v>
      </c>
      <c r="G623" s="45">
        <v>93</v>
      </c>
      <c r="H623" s="79">
        <f t="shared" si="244"/>
        <v>6</v>
      </c>
      <c r="I623" s="80">
        <f t="shared" si="245"/>
        <v>82.742523529319556</v>
      </c>
      <c r="J623" s="80">
        <f t="shared" si="246"/>
        <v>640.74252352931956</v>
      </c>
      <c r="K623" s="87">
        <f t="shared" si="247"/>
        <v>558</v>
      </c>
      <c r="L623" s="3">
        <v>37</v>
      </c>
      <c r="M623" s="30" t="str">
        <f t="shared" si="248"/>
        <v>Reorder</v>
      </c>
      <c r="N623" s="30"/>
      <c r="O623" s="3"/>
    </row>
    <row r="624" spans="1:15" x14ac:dyDescent="0.35">
      <c r="A624" s="94" t="s">
        <v>447</v>
      </c>
      <c r="B624" s="41">
        <v>35</v>
      </c>
      <c r="C624" s="57">
        <v>0.68571428571428572</v>
      </c>
      <c r="D624">
        <v>76</v>
      </c>
      <c r="F624" s="78" t="s">
        <v>447</v>
      </c>
      <c r="G624" s="45">
        <v>35</v>
      </c>
      <c r="H624" s="79">
        <f t="shared" si="244"/>
        <v>1</v>
      </c>
      <c r="I624" s="80">
        <f t="shared" si="245"/>
        <v>50.759964538994709</v>
      </c>
      <c r="J624" s="80">
        <f t="shared" si="246"/>
        <v>85.759964538994709</v>
      </c>
      <c r="K624" s="87">
        <f t="shared" si="247"/>
        <v>35</v>
      </c>
      <c r="L624" s="3">
        <v>76</v>
      </c>
      <c r="M624" s="30" t="str">
        <f t="shared" si="248"/>
        <v>Reorder</v>
      </c>
      <c r="N624" s="30"/>
      <c r="O624" s="3"/>
    </row>
    <row r="625" spans="1:15" x14ac:dyDescent="0.35">
      <c r="A625" s="14" t="s">
        <v>151</v>
      </c>
      <c r="B625" s="41">
        <v>694</v>
      </c>
      <c r="C625" s="57">
        <v>3.6848240079662542</v>
      </c>
      <c r="D625">
        <v>268</v>
      </c>
      <c r="F625" s="72" t="s">
        <v>151</v>
      </c>
      <c r="G625" s="73"/>
      <c r="H625" s="74"/>
      <c r="I625" s="75"/>
      <c r="J625" s="74"/>
      <c r="K625" s="79"/>
      <c r="L625" s="76">
        <v>268</v>
      </c>
      <c r="M625" s="77"/>
      <c r="N625" s="85" t="str">
        <f>IFERROR(VLOOKUP(F625,'ABC Analysis'!$E$18:$M$138,9,0),0)</f>
        <v>A</v>
      </c>
      <c r="O625" s="86">
        <f>IFERROR(VLOOKUP(F625,'ABC Analysis'!$E$18:$G$138,3,0),0)</f>
        <v>7.3457020599046047E-3</v>
      </c>
    </row>
    <row r="626" spans="1:15" x14ac:dyDescent="0.35">
      <c r="A626" s="94" t="s">
        <v>308</v>
      </c>
      <c r="B626" s="41">
        <v>227</v>
      </c>
      <c r="C626" s="57">
        <v>0.33039647577092512</v>
      </c>
      <c r="D626">
        <v>12</v>
      </c>
      <c r="F626" s="78" t="s">
        <v>308</v>
      </c>
      <c r="G626" s="45">
        <v>227</v>
      </c>
      <c r="H626" s="79">
        <f t="shared" ref="H626:H631" si="249">ROUNDUP(VLOOKUP(F626,$A$10:$C$782,3,0),0)</f>
        <v>1</v>
      </c>
      <c r="I626" s="80">
        <f t="shared" ref="I626:I631" si="250">$H$7*$H$6*SQRT(G626)</f>
        <v>129.27073450708014</v>
      </c>
      <c r="J626" s="80">
        <f t="shared" ref="J626:J631" si="251">(H626*G626)+I626</f>
        <v>356.27073450708014</v>
      </c>
      <c r="K626" s="87">
        <f t="shared" ref="K626:K631" si="252">H626*G626</f>
        <v>227</v>
      </c>
      <c r="L626" s="3">
        <v>12</v>
      </c>
      <c r="M626" s="30" t="str">
        <f t="shared" ref="M626:M631" si="253">IF(L626&lt;J626,"Reorder",IF(L626&gt;=J626*1.5,"Overstock","Sufficient"))</f>
        <v>Reorder</v>
      </c>
      <c r="N626" s="30"/>
      <c r="O626" s="3"/>
    </row>
    <row r="627" spans="1:15" x14ac:dyDescent="0.35">
      <c r="A627" s="94" t="s">
        <v>532</v>
      </c>
      <c r="B627" s="41">
        <v>61</v>
      </c>
      <c r="C627" s="57">
        <v>0.68852459016393441</v>
      </c>
      <c r="D627">
        <v>41</v>
      </c>
      <c r="F627" s="78" t="s">
        <v>532</v>
      </c>
      <c r="G627" s="45">
        <v>61</v>
      </c>
      <c r="H627" s="79">
        <f t="shared" si="249"/>
        <v>1</v>
      </c>
      <c r="I627" s="80">
        <f t="shared" si="250"/>
        <v>67.011942219279092</v>
      </c>
      <c r="J627" s="80">
        <f t="shared" si="251"/>
        <v>128.01194221927909</v>
      </c>
      <c r="K627" s="87">
        <f t="shared" si="252"/>
        <v>61</v>
      </c>
      <c r="L627" s="3">
        <v>41</v>
      </c>
      <c r="M627" s="30" t="str">
        <f t="shared" si="253"/>
        <v>Reorder</v>
      </c>
      <c r="N627" s="30"/>
      <c r="O627" s="3"/>
    </row>
    <row r="628" spans="1:15" x14ac:dyDescent="0.35">
      <c r="A628" s="94" t="s">
        <v>641</v>
      </c>
      <c r="B628" s="41">
        <v>33</v>
      </c>
      <c r="C628" s="57">
        <v>1.4242424242424243</v>
      </c>
      <c r="D628">
        <v>94</v>
      </c>
      <c r="F628" s="78" t="s">
        <v>641</v>
      </c>
      <c r="G628" s="45">
        <v>33</v>
      </c>
      <c r="H628" s="79">
        <f t="shared" si="249"/>
        <v>1</v>
      </c>
      <c r="I628" s="80">
        <f t="shared" si="250"/>
        <v>49.288347507296287</v>
      </c>
      <c r="J628" s="80">
        <f t="shared" si="251"/>
        <v>82.288347507296294</v>
      </c>
      <c r="K628" s="87">
        <f t="shared" si="252"/>
        <v>33</v>
      </c>
      <c r="L628" s="3">
        <v>94</v>
      </c>
      <c r="M628" s="30" t="str">
        <f t="shared" si="253"/>
        <v>Sufficient</v>
      </c>
      <c r="N628" s="30"/>
      <c r="O628" s="3"/>
    </row>
    <row r="629" spans="1:15" x14ac:dyDescent="0.35">
      <c r="A629" s="94" t="s">
        <v>138</v>
      </c>
      <c r="B629" s="41">
        <v>122</v>
      </c>
      <c r="C629" s="57">
        <v>0.50819672131147542</v>
      </c>
      <c r="D629">
        <v>22</v>
      </c>
      <c r="F629" s="78" t="s">
        <v>138</v>
      </c>
      <c r="G629" s="45">
        <v>122</v>
      </c>
      <c r="H629" s="79">
        <f t="shared" si="249"/>
        <v>1</v>
      </c>
      <c r="I629" s="80">
        <f t="shared" si="250"/>
        <v>94.769197527466702</v>
      </c>
      <c r="J629" s="80">
        <f t="shared" si="251"/>
        <v>216.7691975274667</v>
      </c>
      <c r="K629" s="87">
        <f t="shared" si="252"/>
        <v>122</v>
      </c>
      <c r="L629" s="3">
        <v>22</v>
      </c>
      <c r="M629" s="30" t="str">
        <f t="shared" si="253"/>
        <v>Reorder</v>
      </c>
      <c r="N629" s="30"/>
      <c r="O629" s="3"/>
    </row>
    <row r="630" spans="1:15" x14ac:dyDescent="0.35">
      <c r="A630" s="94" t="s">
        <v>203</v>
      </c>
      <c r="B630" s="41">
        <v>105</v>
      </c>
      <c r="C630" s="57">
        <v>0.51428571428571423</v>
      </c>
      <c r="D630">
        <v>40</v>
      </c>
      <c r="F630" s="78" t="s">
        <v>203</v>
      </c>
      <c r="G630" s="45">
        <v>105</v>
      </c>
      <c r="H630" s="79">
        <f t="shared" si="249"/>
        <v>1</v>
      </c>
      <c r="I630" s="80">
        <f t="shared" si="250"/>
        <v>87.918837571933352</v>
      </c>
      <c r="J630" s="80">
        <f t="shared" si="251"/>
        <v>192.91883757193335</v>
      </c>
      <c r="K630" s="87">
        <f t="shared" si="252"/>
        <v>105</v>
      </c>
      <c r="L630" s="3">
        <v>40</v>
      </c>
      <c r="M630" s="30" t="str">
        <f t="shared" si="253"/>
        <v>Reorder</v>
      </c>
      <c r="N630" s="30"/>
      <c r="O630" s="3"/>
    </row>
    <row r="631" spans="1:15" x14ac:dyDescent="0.35">
      <c r="A631" s="94" t="s">
        <v>360</v>
      </c>
      <c r="B631" s="41">
        <v>146</v>
      </c>
      <c r="C631" s="57">
        <v>0.21917808219178081</v>
      </c>
      <c r="D631">
        <v>59</v>
      </c>
      <c r="F631" s="78" t="s">
        <v>360</v>
      </c>
      <c r="G631" s="45">
        <v>146</v>
      </c>
      <c r="H631" s="79">
        <f t="shared" si="249"/>
        <v>1</v>
      </c>
      <c r="I631" s="80">
        <f t="shared" si="250"/>
        <v>103.67253445344143</v>
      </c>
      <c r="J631" s="80">
        <f t="shared" si="251"/>
        <v>249.67253445344141</v>
      </c>
      <c r="K631" s="87">
        <f t="shared" si="252"/>
        <v>146</v>
      </c>
      <c r="L631" s="3">
        <v>59</v>
      </c>
      <c r="M631" s="30" t="str">
        <f t="shared" si="253"/>
        <v>Reorder</v>
      </c>
      <c r="N631" s="30"/>
      <c r="O631" s="3"/>
    </row>
    <row r="632" spans="1:15" x14ac:dyDescent="0.35">
      <c r="A632" s="14" t="s">
        <v>566</v>
      </c>
      <c r="B632" s="41">
        <v>726</v>
      </c>
      <c r="C632" s="57">
        <v>3.5147843978531821</v>
      </c>
      <c r="D632">
        <v>337</v>
      </c>
      <c r="F632" s="72" t="s">
        <v>566</v>
      </c>
      <c r="G632" s="73"/>
      <c r="H632" s="74"/>
      <c r="I632" s="75"/>
      <c r="J632" s="74"/>
      <c r="K632" s="79"/>
      <c r="L632" s="76">
        <v>337</v>
      </c>
      <c r="M632" s="77"/>
      <c r="N632" s="85" t="str">
        <f>IFERROR(VLOOKUP(F632,'ABC Analysis'!$E$18:$M$138,9,0),0)</f>
        <v>A</v>
      </c>
      <c r="O632" s="86">
        <f>IFERROR(VLOOKUP(F632,'ABC Analysis'!$E$18:$G$138,3,0),0)</f>
        <v>2.8983121180643029E-2</v>
      </c>
    </row>
    <row r="633" spans="1:15" x14ac:dyDescent="0.35">
      <c r="A633" s="94" t="s">
        <v>26</v>
      </c>
      <c r="B633" s="41">
        <v>94</v>
      </c>
      <c r="C633" s="57">
        <v>0.57446808510638303</v>
      </c>
      <c r="D633">
        <v>78</v>
      </c>
      <c r="F633" s="78" t="s">
        <v>26</v>
      </c>
      <c r="G633" s="45">
        <v>94</v>
      </c>
      <c r="H633" s="79">
        <f t="shared" ref="H633:H638" si="254">ROUNDUP(VLOOKUP(F633,$A$10:$C$782,3,0),0)</f>
        <v>2</v>
      </c>
      <c r="I633" s="80">
        <f t="shared" ref="I633:I638" si="255">$H$7*$H$6*SQRT(G633)</f>
        <v>83.186186353264219</v>
      </c>
      <c r="J633" s="80">
        <f t="shared" ref="J633:J638" si="256">(H633*G633)+I633</f>
        <v>271.18618635326425</v>
      </c>
      <c r="K633" s="87">
        <f t="shared" ref="K633:K638" si="257">H633*G633</f>
        <v>188</v>
      </c>
      <c r="L633" s="3">
        <v>78</v>
      </c>
      <c r="M633" s="30" t="str">
        <f t="shared" ref="M633:M638" si="258">IF(L633&lt;J633,"Reorder",IF(L633&gt;=J633*1.5,"Overstock","Sufficient"))</f>
        <v>Reorder</v>
      </c>
      <c r="N633" s="30"/>
      <c r="O633" s="3"/>
    </row>
    <row r="634" spans="1:15" x14ac:dyDescent="0.35">
      <c r="A634" s="94" t="s">
        <v>1536</v>
      </c>
      <c r="B634" s="41">
        <v>216</v>
      </c>
      <c r="C634" s="57">
        <v>0.43518518518518517</v>
      </c>
      <c r="D634">
        <v>37</v>
      </c>
      <c r="F634" s="78" t="s">
        <v>1536</v>
      </c>
      <c r="G634" s="45">
        <v>216</v>
      </c>
      <c r="H634" s="79">
        <f t="shared" si="254"/>
        <v>1</v>
      </c>
      <c r="I634" s="80">
        <f t="shared" si="255"/>
        <v>126.09973195847802</v>
      </c>
      <c r="J634" s="80">
        <f t="shared" si="256"/>
        <v>342.099731958478</v>
      </c>
      <c r="K634" s="87">
        <f t="shared" si="257"/>
        <v>216</v>
      </c>
      <c r="L634" s="3">
        <v>37</v>
      </c>
      <c r="M634" s="30" t="str">
        <f t="shared" si="258"/>
        <v>Reorder</v>
      </c>
      <c r="N634" s="30"/>
      <c r="O634" s="3"/>
    </row>
    <row r="635" spans="1:15" x14ac:dyDescent="0.35">
      <c r="A635" s="94" t="s">
        <v>583</v>
      </c>
      <c r="B635" s="41">
        <v>53</v>
      </c>
      <c r="C635" s="57">
        <v>0.47169811320754718</v>
      </c>
      <c r="D635">
        <v>84</v>
      </c>
      <c r="F635" s="78" t="s">
        <v>583</v>
      </c>
      <c r="G635" s="45">
        <v>53</v>
      </c>
      <c r="H635" s="79">
        <f t="shared" si="254"/>
        <v>1</v>
      </c>
      <c r="I635" s="80">
        <f t="shared" si="255"/>
        <v>62.463342850026848</v>
      </c>
      <c r="J635" s="80">
        <f t="shared" si="256"/>
        <v>115.46334285002685</v>
      </c>
      <c r="K635" s="87">
        <f t="shared" si="257"/>
        <v>53</v>
      </c>
      <c r="L635" s="3">
        <v>84</v>
      </c>
      <c r="M635" s="30" t="str">
        <f t="shared" si="258"/>
        <v>Reorder</v>
      </c>
      <c r="N635" s="30"/>
      <c r="O635" s="3"/>
    </row>
    <row r="636" spans="1:15" x14ac:dyDescent="0.35">
      <c r="A636" s="94" t="s">
        <v>157</v>
      </c>
      <c r="B636" s="41">
        <v>48</v>
      </c>
      <c r="C636" s="57">
        <v>0.6875</v>
      </c>
      <c r="D636">
        <v>40</v>
      </c>
      <c r="F636" s="78" t="s">
        <v>157</v>
      </c>
      <c r="G636" s="45">
        <v>48</v>
      </c>
      <c r="H636" s="79">
        <f t="shared" si="254"/>
        <v>1</v>
      </c>
      <c r="I636" s="80">
        <f t="shared" si="255"/>
        <v>59.443983715763864</v>
      </c>
      <c r="J636" s="80">
        <f t="shared" si="256"/>
        <v>107.44398371576386</v>
      </c>
      <c r="K636" s="87">
        <f t="shared" si="257"/>
        <v>48</v>
      </c>
      <c r="L636" s="3">
        <v>40</v>
      </c>
      <c r="M636" s="30" t="str">
        <f t="shared" si="258"/>
        <v>Reorder</v>
      </c>
      <c r="N636" s="30"/>
      <c r="O636" s="3"/>
    </row>
    <row r="637" spans="1:15" x14ac:dyDescent="0.35">
      <c r="A637" s="94" t="s">
        <v>1578</v>
      </c>
      <c r="B637" s="41">
        <v>220</v>
      </c>
      <c r="C637" s="57">
        <v>0.40909090909090912</v>
      </c>
      <c r="D637">
        <v>87</v>
      </c>
      <c r="F637" s="78" t="s">
        <v>1578</v>
      </c>
      <c r="G637" s="45">
        <v>220</v>
      </c>
      <c r="H637" s="79">
        <f t="shared" si="254"/>
        <v>1</v>
      </c>
      <c r="I637" s="80">
        <f t="shared" si="255"/>
        <v>127.26196603856158</v>
      </c>
      <c r="J637" s="80">
        <f t="shared" si="256"/>
        <v>347.26196603856158</v>
      </c>
      <c r="K637" s="87">
        <f t="shared" si="257"/>
        <v>220</v>
      </c>
      <c r="L637" s="3">
        <v>87</v>
      </c>
      <c r="M637" s="30" t="str">
        <f t="shared" si="258"/>
        <v>Reorder</v>
      </c>
      <c r="N637" s="30"/>
      <c r="O637" s="3"/>
    </row>
    <row r="638" spans="1:15" x14ac:dyDescent="0.35">
      <c r="A638" s="94" t="s">
        <v>434</v>
      </c>
      <c r="B638" s="41">
        <v>95</v>
      </c>
      <c r="C638" s="57">
        <v>0.93684210526315792</v>
      </c>
      <c r="D638">
        <v>11</v>
      </c>
      <c r="F638" s="78" t="s">
        <v>434</v>
      </c>
      <c r="G638" s="45">
        <v>95</v>
      </c>
      <c r="H638" s="79">
        <f t="shared" si="254"/>
        <v>6</v>
      </c>
      <c r="I638" s="80">
        <f t="shared" si="255"/>
        <v>83.627495478460901</v>
      </c>
      <c r="J638" s="80">
        <f t="shared" si="256"/>
        <v>653.6274954784609</v>
      </c>
      <c r="K638" s="87">
        <f t="shared" si="257"/>
        <v>570</v>
      </c>
      <c r="L638" s="3">
        <v>11</v>
      </c>
      <c r="M638" s="30" t="str">
        <f t="shared" si="258"/>
        <v>Reorder</v>
      </c>
      <c r="N638" s="30"/>
      <c r="O638" s="3"/>
    </row>
    <row r="639" spans="1:15" x14ac:dyDescent="0.35">
      <c r="A639" s="14" t="s">
        <v>1109</v>
      </c>
      <c r="B639" s="41">
        <v>701</v>
      </c>
      <c r="C639" s="57">
        <v>3.2705709946591117</v>
      </c>
      <c r="D639">
        <v>283</v>
      </c>
      <c r="F639" s="72" t="s">
        <v>1109</v>
      </c>
      <c r="G639" s="73"/>
      <c r="H639" s="74"/>
      <c r="I639" s="75"/>
      <c r="J639" s="74"/>
      <c r="K639" s="79"/>
      <c r="L639" s="76">
        <v>283</v>
      </c>
      <c r="M639" s="77"/>
      <c r="N639" s="85" t="str">
        <f>IFERROR(VLOOKUP(F639,'ABC Analysis'!$E$18:$M$138,9,0),0)</f>
        <v>B</v>
      </c>
      <c r="O639" s="86">
        <f>IFERROR(VLOOKUP(F639,'ABC Analysis'!$E$18:$G$138,3,0),0)</f>
        <v>3.4638576877046314E-3</v>
      </c>
    </row>
    <row r="640" spans="1:15" x14ac:dyDescent="0.35">
      <c r="A640" s="94" t="s">
        <v>1127</v>
      </c>
      <c r="B640" s="41">
        <v>239</v>
      </c>
      <c r="C640" s="57">
        <v>9.2050209205020925E-2</v>
      </c>
      <c r="D640">
        <v>43</v>
      </c>
      <c r="F640" s="78" t="s">
        <v>1127</v>
      </c>
      <c r="G640" s="45">
        <v>239</v>
      </c>
      <c r="H640" s="79">
        <f>ROUNDUP(VLOOKUP(F640,$A$10:$C$782,3,0),0)</f>
        <v>5</v>
      </c>
      <c r="I640" s="80">
        <f>$H$7*$H$6*SQRT(G640)</f>
        <v>132.64358107349184</v>
      </c>
      <c r="J640" s="80">
        <f>(H640*G640)+I640</f>
        <v>1327.6435810734918</v>
      </c>
      <c r="K640" s="87">
        <f>H640*G640</f>
        <v>1195</v>
      </c>
      <c r="L640" s="3">
        <v>43</v>
      </c>
      <c r="M640" s="30" t="str">
        <f>IF(L640&lt;J640,"Reorder",IF(L640&gt;=J640*1.5,"Overstock","Sufficient"))</f>
        <v>Reorder</v>
      </c>
      <c r="N640" s="30"/>
      <c r="O640" s="3"/>
    </row>
    <row r="641" spans="1:15" x14ac:dyDescent="0.35">
      <c r="A641" s="94" t="s">
        <v>1054</v>
      </c>
      <c r="B641" s="41">
        <v>120</v>
      </c>
      <c r="C641" s="57">
        <v>0.45</v>
      </c>
      <c r="D641">
        <v>59</v>
      </c>
      <c r="F641" s="78" t="s">
        <v>1054</v>
      </c>
      <c r="G641" s="45">
        <v>120</v>
      </c>
      <c r="H641" s="79">
        <f>ROUNDUP(VLOOKUP(F641,$A$10:$C$782,3,0),0)</f>
        <v>8</v>
      </c>
      <c r="I641" s="80">
        <f>$H$7*$H$6*SQRT(G641)</f>
        <v>93.989190867886506</v>
      </c>
      <c r="J641" s="80">
        <f>(H641*G641)+I641</f>
        <v>1053.9891908678865</v>
      </c>
      <c r="K641" s="87">
        <f>H641*G641</f>
        <v>960</v>
      </c>
      <c r="L641" s="3">
        <v>59</v>
      </c>
      <c r="M641" s="30" t="str">
        <f>IF(L641&lt;J641,"Reorder",IF(L641&gt;=J641*1.5,"Overstock","Sufficient"))</f>
        <v>Reorder</v>
      </c>
      <c r="N641" s="30"/>
      <c r="O641" s="3"/>
    </row>
    <row r="642" spans="1:15" x14ac:dyDescent="0.35">
      <c r="A642" s="94" t="s">
        <v>43</v>
      </c>
      <c r="B642" s="41">
        <v>23</v>
      </c>
      <c r="C642" s="57">
        <v>2.3043478260869565</v>
      </c>
      <c r="D642">
        <v>29</v>
      </c>
      <c r="F642" s="78" t="s">
        <v>43</v>
      </c>
      <c r="G642" s="45">
        <v>23</v>
      </c>
      <c r="H642" s="79">
        <f>ROUNDUP(VLOOKUP(F642,$A$10:$C$782,3,0),0)</f>
        <v>2</v>
      </c>
      <c r="I642" s="80">
        <f>$H$7*$H$6*SQRT(G642)</f>
        <v>41.148234470023134</v>
      </c>
      <c r="J642" s="80">
        <f>(H642*G642)+I642</f>
        <v>87.148234470023141</v>
      </c>
      <c r="K642" s="87">
        <f>H642*G642</f>
        <v>46</v>
      </c>
      <c r="L642" s="3">
        <v>29</v>
      </c>
      <c r="M642" s="30" t="str">
        <f>IF(L642&lt;J642,"Reorder",IF(L642&gt;=J642*1.5,"Overstock","Sufficient"))</f>
        <v>Reorder</v>
      </c>
      <c r="N642" s="30"/>
      <c r="O642" s="3"/>
    </row>
    <row r="643" spans="1:15" x14ac:dyDescent="0.35">
      <c r="A643" s="94" t="s">
        <v>1110</v>
      </c>
      <c r="B643" s="41">
        <v>103</v>
      </c>
      <c r="C643" s="57">
        <v>0.26213592233009708</v>
      </c>
      <c r="D643">
        <v>89</v>
      </c>
      <c r="F643" s="78" t="s">
        <v>1110</v>
      </c>
      <c r="G643" s="45">
        <v>103</v>
      </c>
      <c r="H643" s="79">
        <f>ROUNDUP(VLOOKUP(F643,$A$10:$C$782,3,0),0)</f>
        <v>1</v>
      </c>
      <c r="I643" s="80">
        <f>$H$7*$H$6*SQRT(G643)</f>
        <v>87.077489628491236</v>
      </c>
      <c r="J643" s="80">
        <f>(H643*G643)+I643</f>
        <v>190.07748962849124</v>
      </c>
      <c r="K643" s="87">
        <f>H643*G643</f>
        <v>103</v>
      </c>
      <c r="L643" s="3">
        <v>89</v>
      </c>
      <c r="M643" s="30" t="str">
        <f>IF(L643&lt;J643,"Reorder",IF(L643&gt;=J643*1.5,"Overstock","Sufficient"))</f>
        <v>Reorder</v>
      </c>
      <c r="N643" s="30"/>
      <c r="O643" s="3"/>
    </row>
    <row r="644" spans="1:15" x14ac:dyDescent="0.35">
      <c r="A644" s="94" t="s">
        <v>912</v>
      </c>
      <c r="B644" s="41">
        <v>216</v>
      </c>
      <c r="C644" s="57">
        <v>0.16203703703703703</v>
      </c>
      <c r="D644">
        <v>63</v>
      </c>
      <c r="F644" s="78" t="s">
        <v>912</v>
      </c>
      <c r="G644" s="45">
        <v>216</v>
      </c>
      <c r="H644" s="79">
        <f>ROUNDUP(VLOOKUP(F644,$A$10:$C$782,3,0),0)</f>
        <v>1</v>
      </c>
      <c r="I644" s="80">
        <f>$H$7*$H$6*SQRT(G644)</f>
        <v>126.09973195847802</v>
      </c>
      <c r="J644" s="80">
        <f>(H644*G644)+I644</f>
        <v>342.099731958478</v>
      </c>
      <c r="K644" s="87">
        <f>H644*G644</f>
        <v>216</v>
      </c>
      <c r="L644" s="3">
        <v>63</v>
      </c>
      <c r="M644" s="30" t="str">
        <f>IF(L644&lt;J644,"Reorder",IF(L644&gt;=J644*1.5,"Overstock","Sufficient"))</f>
        <v>Reorder</v>
      </c>
      <c r="N644" s="30"/>
      <c r="O644" s="3"/>
    </row>
    <row r="645" spans="1:15" x14ac:dyDescent="0.35">
      <c r="A645" s="14" t="s">
        <v>587</v>
      </c>
      <c r="B645" s="41">
        <v>475</v>
      </c>
      <c r="C645" s="57">
        <v>3.2516365023230014</v>
      </c>
      <c r="D645">
        <v>195</v>
      </c>
      <c r="F645" s="72" t="s">
        <v>587</v>
      </c>
      <c r="G645" s="73"/>
      <c r="H645" s="74"/>
      <c r="I645" s="75"/>
      <c r="J645" s="74"/>
      <c r="K645" s="79"/>
      <c r="L645" s="76">
        <v>195</v>
      </c>
      <c r="M645" s="77"/>
      <c r="N645" s="85" t="str">
        <f>IFERROR(VLOOKUP(F645,'ABC Analysis'!$E$18:$M$138,9,0),0)</f>
        <v>A</v>
      </c>
      <c r="O645" s="86">
        <f>IFERROR(VLOOKUP(F645,'ABC Analysis'!$E$18:$G$138,3,0),0)</f>
        <v>2.9375256013213363E-2</v>
      </c>
    </row>
    <row r="646" spans="1:15" x14ac:dyDescent="0.35">
      <c r="A646" s="94" t="s">
        <v>1671</v>
      </c>
      <c r="B646" s="41">
        <v>115</v>
      </c>
      <c r="C646" s="57">
        <v>0.60869565217391308</v>
      </c>
      <c r="D646">
        <v>48</v>
      </c>
      <c r="F646" s="78" t="s">
        <v>1671</v>
      </c>
      <c r="G646" s="45">
        <v>115</v>
      </c>
      <c r="H646" s="79">
        <f>ROUNDUP(VLOOKUP(F646,$A$10:$C$782,3,0),0)</f>
        <v>16</v>
      </c>
      <c r="I646" s="80">
        <f>$H$7*$H$6*SQRT(G646)</f>
        <v>92.010249429071749</v>
      </c>
      <c r="J646" s="80">
        <f>(H646*G646)+I646</f>
        <v>1932.0102494290718</v>
      </c>
      <c r="K646" s="87">
        <f>H646*G646</f>
        <v>1840</v>
      </c>
      <c r="L646" s="3">
        <v>48</v>
      </c>
      <c r="M646" s="30" t="str">
        <f>IF(L646&lt;J646,"Reorder",IF(L646&gt;=J646*1.5,"Overstock","Sufficient"))</f>
        <v>Reorder</v>
      </c>
      <c r="N646" s="30"/>
      <c r="O646" s="3"/>
    </row>
    <row r="647" spans="1:15" x14ac:dyDescent="0.35">
      <c r="A647" s="94" t="s">
        <v>2568</v>
      </c>
      <c r="B647" s="41">
        <v>115</v>
      </c>
      <c r="C647" s="57">
        <v>0.29565217391304349</v>
      </c>
      <c r="D647">
        <v>27</v>
      </c>
      <c r="F647" s="78" t="s">
        <v>2568</v>
      </c>
      <c r="G647" s="45">
        <v>115</v>
      </c>
      <c r="H647" s="79">
        <f>ROUNDUP(VLOOKUP(F647,$A$10:$C$782,3,0),0)</f>
        <v>1</v>
      </c>
      <c r="I647" s="80">
        <f>$H$7*$H$6*SQRT(G647)</f>
        <v>92.010249429071749</v>
      </c>
      <c r="J647" s="80">
        <f>(H647*G647)+I647</f>
        <v>207.01024942907173</v>
      </c>
      <c r="K647" s="87">
        <f>H647*G647</f>
        <v>115</v>
      </c>
      <c r="L647" s="3">
        <v>27</v>
      </c>
      <c r="M647" s="30" t="str">
        <f>IF(L647&lt;J647,"Reorder",IF(L647&gt;=J647*1.5,"Overstock","Sufficient"))</f>
        <v>Reorder</v>
      </c>
      <c r="N647" s="30"/>
      <c r="O647" s="3"/>
    </row>
    <row r="648" spans="1:15" x14ac:dyDescent="0.35">
      <c r="A648" s="94" t="s">
        <v>740</v>
      </c>
      <c r="B648" s="41">
        <v>209</v>
      </c>
      <c r="C648" s="57">
        <v>0.43062200956937802</v>
      </c>
      <c r="D648">
        <v>61</v>
      </c>
      <c r="F648" s="78" t="s">
        <v>740</v>
      </c>
      <c r="G648" s="45">
        <v>209</v>
      </c>
      <c r="H648" s="79">
        <f>ROUNDUP(VLOOKUP(F648,$A$10:$C$782,3,0),0)</f>
        <v>1</v>
      </c>
      <c r="I648" s="80">
        <f>$H$7*$H$6*SQRT(G648)</f>
        <v>124.03962108939224</v>
      </c>
      <c r="J648" s="80">
        <f>(H648*G648)+I648</f>
        <v>333.03962108939226</v>
      </c>
      <c r="K648" s="87">
        <f>H648*G648</f>
        <v>209</v>
      </c>
      <c r="L648" s="3">
        <v>61</v>
      </c>
      <c r="M648" s="30" t="str">
        <f>IF(L648&lt;J648,"Reorder",IF(L648&gt;=J648*1.5,"Overstock","Sufficient"))</f>
        <v>Reorder</v>
      </c>
      <c r="N648" s="30"/>
      <c r="O648" s="3"/>
    </row>
    <row r="649" spans="1:15" x14ac:dyDescent="0.35">
      <c r="A649" s="94" t="s">
        <v>2008</v>
      </c>
      <c r="B649" s="41">
        <v>36</v>
      </c>
      <c r="C649" s="57">
        <v>1.9166666666666667</v>
      </c>
      <c r="D649">
        <v>59</v>
      </c>
      <c r="F649" s="78" t="s">
        <v>2008</v>
      </c>
      <c r="G649" s="45">
        <v>36</v>
      </c>
      <c r="H649" s="79">
        <f>ROUNDUP(VLOOKUP(F649,$A$10:$C$782,3,0),0)</f>
        <v>1</v>
      </c>
      <c r="I649" s="80">
        <f>$H$7*$H$6*SQRT(G649)</f>
        <v>51.480000000000004</v>
      </c>
      <c r="J649" s="80">
        <f>(H649*G649)+I649</f>
        <v>87.48</v>
      </c>
      <c r="K649" s="87">
        <f>H649*G649</f>
        <v>36</v>
      </c>
      <c r="L649" s="3">
        <v>59</v>
      </c>
      <c r="M649" s="30" t="str">
        <f>IF(L649&lt;J649,"Reorder",IF(L649&gt;=J649*1.5,"Overstock","Sufficient"))</f>
        <v>Reorder</v>
      </c>
      <c r="N649" s="30"/>
      <c r="O649" s="3"/>
    </row>
    <row r="650" spans="1:15" x14ac:dyDescent="0.35">
      <c r="A650" s="14" t="s">
        <v>416</v>
      </c>
      <c r="B650" s="41">
        <v>339</v>
      </c>
      <c r="C650" s="57">
        <v>3.2363202116346312</v>
      </c>
      <c r="D650">
        <v>183</v>
      </c>
      <c r="F650" s="72" t="s">
        <v>416</v>
      </c>
      <c r="G650" s="73"/>
      <c r="H650" s="74"/>
      <c r="I650" s="75"/>
      <c r="J650" s="74"/>
      <c r="K650" s="79"/>
      <c r="L650" s="76">
        <v>183</v>
      </c>
      <c r="M650" s="77"/>
      <c r="N650" s="85" t="str">
        <f>IFERROR(VLOOKUP(F650,'ABC Analysis'!$E$18:$M$138,9,0),0)</f>
        <v>B</v>
      </c>
      <c r="O650" s="86">
        <f>IFERROR(VLOOKUP(F650,'ABC Analysis'!$E$18:$G$138,3,0),0)</f>
        <v>3.6424968892088952E-3</v>
      </c>
    </row>
    <row r="651" spans="1:15" x14ac:dyDescent="0.35">
      <c r="A651" s="94" t="s">
        <v>1143</v>
      </c>
      <c r="B651" s="41">
        <v>48</v>
      </c>
      <c r="C651" s="57">
        <v>1.4166666666666667</v>
      </c>
      <c r="D651">
        <v>22</v>
      </c>
      <c r="F651" s="78" t="s">
        <v>1143</v>
      </c>
      <c r="G651" s="45">
        <v>48</v>
      </c>
      <c r="H651" s="79">
        <f>ROUNDUP(VLOOKUP(F651,$A$10:$C$782,3,0),0)</f>
        <v>2</v>
      </c>
      <c r="I651" s="80">
        <f>$H$7*$H$6*SQRT(G651)</f>
        <v>59.443983715763864</v>
      </c>
      <c r="J651" s="80">
        <f>(H651*G651)+I651</f>
        <v>155.44398371576386</v>
      </c>
      <c r="K651" s="87">
        <f>H651*G651</f>
        <v>96</v>
      </c>
      <c r="L651" s="3">
        <v>22</v>
      </c>
      <c r="M651" s="30" t="str">
        <f>IF(L651&lt;J651,"Reorder",IF(L651&gt;=J651*1.5,"Overstock","Sufficient"))</f>
        <v>Reorder</v>
      </c>
      <c r="N651" s="30"/>
      <c r="O651" s="3"/>
    </row>
    <row r="652" spans="1:15" x14ac:dyDescent="0.35">
      <c r="A652" s="94" t="s">
        <v>43</v>
      </c>
      <c r="B652" s="41">
        <v>92</v>
      </c>
      <c r="C652" s="57">
        <v>0.41304347826086957</v>
      </c>
      <c r="D652">
        <v>41</v>
      </c>
      <c r="F652" s="78" t="s">
        <v>43</v>
      </c>
      <c r="G652" s="45">
        <v>92</v>
      </c>
      <c r="H652" s="79">
        <f>ROUNDUP(VLOOKUP(F652,$A$10:$C$782,3,0),0)</f>
        <v>2</v>
      </c>
      <c r="I652" s="80">
        <f>$H$7*$H$6*SQRT(G652)</f>
        <v>82.296468940046267</v>
      </c>
      <c r="J652" s="80">
        <f>(H652*G652)+I652</f>
        <v>266.29646894004628</v>
      </c>
      <c r="K652" s="87">
        <f>H652*G652</f>
        <v>184</v>
      </c>
      <c r="L652" s="3">
        <v>41</v>
      </c>
      <c r="M652" s="30" t="str">
        <f>IF(L652&lt;J652,"Reorder",IF(L652&gt;=J652*1.5,"Overstock","Sufficient"))</f>
        <v>Reorder</v>
      </c>
      <c r="N652" s="30"/>
      <c r="O652" s="3"/>
    </row>
    <row r="653" spans="1:15" x14ac:dyDescent="0.35">
      <c r="A653" s="94" t="s">
        <v>199</v>
      </c>
      <c r="B653" s="41">
        <v>97</v>
      </c>
      <c r="C653" s="57">
        <v>0.49484536082474229</v>
      </c>
      <c r="D653">
        <v>64</v>
      </c>
      <c r="F653" s="78" t="s">
        <v>199</v>
      </c>
      <c r="G653" s="45">
        <v>97</v>
      </c>
      <c r="H653" s="79">
        <f>ROUNDUP(VLOOKUP(F653,$A$10:$C$782,3,0),0)</f>
        <v>69</v>
      </c>
      <c r="I653" s="80">
        <f>$H$7*$H$6*SQRT(G653)</f>
        <v>84.503199939410578</v>
      </c>
      <c r="J653" s="80">
        <f>(H653*G653)+I653</f>
        <v>6777.5031999394105</v>
      </c>
      <c r="K653" s="87">
        <f>H653*G653</f>
        <v>6693</v>
      </c>
      <c r="L653" s="3">
        <v>64</v>
      </c>
      <c r="M653" s="30" t="str">
        <f>IF(L653&lt;J653,"Reorder",IF(L653&gt;=J653*1.5,"Overstock","Sufficient"))</f>
        <v>Reorder</v>
      </c>
      <c r="N653" s="30"/>
      <c r="O653" s="3"/>
    </row>
    <row r="654" spans="1:15" x14ac:dyDescent="0.35">
      <c r="A654" s="94" t="s">
        <v>1743</v>
      </c>
      <c r="B654" s="41">
        <v>102</v>
      </c>
      <c r="C654" s="57">
        <v>0.91176470588235292</v>
      </c>
      <c r="D654">
        <v>56</v>
      </c>
      <c r="F654" s="78" t="s">
        <v>1743</v>
      </c>
      <c r="G654" s="45">
        <v>102</v>
      </c>
      <c r="H654" s="79">
        <f>ROUNDUP(VLOOKUP(F654,$A$10:$C$782,3,0),0)</f>
        <v>1</v>
      </c>
      <c r="I654" s="80">
        <f>$H$7*$H$6*SQRT(G654)</f>
        <v>86.653752371146624</v>
      </c>
      <c r="J654" s="80">
        <f>(H654*G654)+I654</f>
        <v>188.65375237114662</v>
      </c>
      <c r="K654" s="87">
        <f>H654*G654</f>
        <v>102</v>
      </c>
      <c r="L654" s="3">
        <v>56</v>
      </c>
      <c r="M654" s="30" t="str">
        <f>IF(L654&lt;J654,"Reorder",IF(L654&gt;=J654*1.5,"Overstock","Sufficient"))</f>
        <v>Reorder</v>
      </c>
      <c r="N654" s="30"/>
      <c r="O654" s="3"/>
    </row>
    <row r="655" spans="1:15" x14ac:dyDescent="0.35">
      <c r="A655" s="14" t="s">
        <v>37</v>
      </c>
      <c r="B655" s="41">
        <v>538</v>
      </c>
      <c r="C655" s="57">
        <v>3.2033218589360182</v>
      </c>
      <c r="D655">
        <v>264</v>
      </c>
      <c r="F655" s="72" t="s">
        <v>37</v>
      </c>
      <c r="G655" s="73"/>
      <c r="H655" s="74"/>
      <c r="I655" s="75"/>
      <c r="J655" s="74"/>
      <c r="K655" s="79"/>
      <c r="L655" s="76">
        <v>264</v>
      </c>
      <c r="M655" s="77"/>
      <c r="N655" s="85" t="str">
        <f>IFERROR(VLOOKUP(F655,'ABC Analysis'!$E$18:$M$138,9,0),0)</f>
        <v>C</v>
      </c>
      <c r="O655" s="86">
        <f>IFERROR(VLOOKUP(F655,'ABC Analysis'!$E$18:$G$138,3,0),0)</f>
        <v>1.6710753272423263E-3</v>
      </c>
    </row>
    <row r="656" spans="1:15" x14ac:dyDescent="0.35">
      <c r="A656" s="94" t="s">
        <v>364</v>
      </c>
      <c r="B656" s="41">
        <v>65</v>
      </c>
      <c r="C656" s="57">
        <v>0.67692307692307696</v>
      </c>
      <c r="D656">
        <v>18</v>
      </c>
      <c r="F656" s="78" t="s">
        <v>364</v>
      </c>
      <c r="G656" s="45">
        <v>65</v>
      </c>
      <c r="H656" s="79">
        <f>ROUNDUP(VLOOKUP(F656,$A$10:$C$782,3,0),0)</f>
        <v>2</v>
      </c>
      <c r="I656" s="80">
        <f>$H$7*$H$6*SQRT(G656)</f>
        <v>69.174171480401554</v>
      </c>
      <c r="J656" s="80">
        <f>(H656*G656)+I656</f>
        <v>199.17417148040155</v>
      </c>
      <c r="K656" s="87">
        <f>H656*G656</f>
        <v>130</v>
      </c>
      <c r="L656" s="3">
        <v>18</v>
      </c>
      <c r="M656" s="30" t="str">
        <f>IF(L656&lt;J656,"Reorder",IF(L656&gt;=J656*1.5,"Overstock","Sufficient"))</f>
        <v>Reorder</v>
      </c>
      <c r="N656" s="30"/>
      <c r="O656" s="3"/>
    </row>
    <row r="657" spans="1:15" x14ac:dyDescent="0.35">
      <c r="A657" s="94" t="s">
        <v>641</v>
      </c>
      <c r="B657" s="41">
        <v>347</v>
      </c>
      <c r="C657" s="57">
        <v>0.26224783861671469</v>
      </c>
      <c r="D657">
        <v>74</v>
      </c>
      <c r="F657" s="78" t="s">
        <v>641</v>
      </c>
      <c r="G657" s="45">
        <v>347</v>
      </c>
      <c r="H657" s="79">
        <f>ROUNDUP(VLOOKUP(F657,$A$10:$C$782,3,0),0)</f>
        <v>1</v>
      </c>
      <c r="I657" s="80">
        <f>$H$7*$H$6*SQRT(G657)</f>
        <v>159.82769096749161</v>
      </c>
      <c r="J657" s="80">
        <f>(H657*G657)+I657</f>
        <v>506.82769096749161</v>
      </c>
      <c r="K657" s="87">
        <f>H657*G657</f>
        <v>347</v>
      </c>
      <c r="L657" s="3">
        <v>74</v>
      </c>
      <c r="M657" s="30" t="str">
        <f>IF(L657&lt;J657,"Reorder",IF(L657&gt;=J657*1.5,"Overstock","Sufficient"))</f>
        <v>Reorder</v>
      </c>
      <c r="N657" s="30"/>
      <c r="O657" s="3"/>
    </row>
    <row r="658" spans="1:15" x14ac:dyDescent="0.35">
      <c r="A658" s="94" t="s">
        <v>2413</v>
      </c>
      <c r="B658" s="41">
        <v>106</v>
      </c>
      <c r="C658" s="57">
        <v>0.76415094339622647</v>
      </c>
      <c r="D658">
        <v>80</v>
      </c>
      <c r="F658" s="78" t="s">
        <v>2413</v>
      </c>
      <c r="G658" s="45">
        <v>106</v>
      </c>
      <c r="H658" s="79">
        <f>ROUNDUP(VLOOKUP(F658,$A$10:$C$782,3,0),0)</f>
        <v>37</v>
      </c>
      <c r="I658" s="80">
        <f>$H$7*$H$6*SQRT(G658)</f>
        <v>88.336506609668461</v>
      </c>
      <c r="J658" s="80">
        <f>(H658*G658)+I658</f>
        <v>4010.3365066096685</v>
      </c>
      <c r="K658" s="87">
        <f>H658*G658</f>
        <v>3922</v>
      </c>
      <c r="L658" s="3">
        <v>80</v>
      </c>
      <c r="M658" s="30" t="str">
        <f>IF(L658&lt;J658,"Reorder",IF(L658&gt;=J658*1.5,"Overstock","Sufficient"))</f>
        <v>Reorder</v>
      </c>
      <c r="N658" s="30"/>
      <c r="O658" s="3"/>
    </row>
    <row r="659" spans="1:15" x14ac:dyDescent="0.35">
      <c r="A659" s="94" t="s">
        <v>1877</v>
      </c>
      <c r="B659" s="41">
        <v>20</v>
      </c>
      <c r="C659" s="57">
        <v>1.5</v>
      </c>
      <c r="D659">
        <v>92</v>
      </c>
      <c r="F659" s="78" t="s">
        <v>1877</v>
      </c>
      <c r="G659" s="45">
        <v>20</v>
      </c>
      <c r="H659" s="79">
        <f>ROUNDUP(VLOOKUP(F659,$A$10:$C$782,3,0),0)</f>
        <v>2</v>
      </c>
      <c r="I659" s="80">
        <f>$H$7*$H$6*SQRT(G659)</f>
        <v>38.370926493896391</v>
      </c>
      <c r="J659" s="80">
        <f>(H659*G659)+I659</f>
        <v>78.370926493896391</v>
      </c>
      <c r="K659" s="87">
        <f>H659*G659</f>
        <v>40</v>
      </c>
      <c r="L659" s="3">
        <v>92</v>
      </c>
      <c r="M659" s="30" t="str">
        <f>IF(L659&lt;J659,"Reorder",IF(L659&gt;=J659*1.5,"Overstock","Sufficient"))</f>
        <v>Sufficient</v>
      </c>
      <c r="N659" s="30"/>
      <c r="O659" s="3"/>
    </row>
    <row r="660" spans="1:15" x14ac:dyDescent="0.35">
      <c r="A660" s="14" t="s">
        <v>984</v>
      </c>
      <c r="B660" s="41">
        <v>529</v>
      </c>
      <c r="C660" s="57">
        <v>3.010578034107446</v>
      </c>
      <c r="D660">
        <v>246</v>
      </c>
      <c r="F660" s="72" t="s">
        <v>984</v>
      </c>
      <c r="G660" s="73"/>
      <c r="H660" s="74"/>
      <c r="I660" s="75"/>
      <c r="J660" s="74"/>
      <c r="K660" s="79"/>
      <c r="L660" s="76">
        <v>246</v>
      </c>
      <c r="M660" s="77"/>
      <c r="N660" s="85" t="str">
        <f>IFERROR(VLOOKUP(F660,'ABC Analysis'!$E$18:$M$138,9,0),0)</f>
        <v>A</v>
      </c>
      <c r="O660" s="86">
        <f>IFERROR(VLOOKUP(F660,'ABC Analysis'!$E$18:$G$138,3,0),0)</f>
        <v>8.4352559539574417E-3</v>
      </c>
    </row>
    <row r="661" spans="1:15" x14ac:dyDescent="0.35">
      <c r="A661" s="94" t="s">
        <v>152</v>
      </c>
      <c r="B661" s="41">
        <v>119</v>
      </c>
      <c r="C661" s="57">
        <v>0.78151260504201681</v>
      </c>
      <c r="D661">
        <v>89</v>
      </c>
      <c r="F661" s="78" t="s">
        <v>152</v>
      </c>
      <c r="G661" s="45">
        <v>119</v>
      </c>
      <c r="H661" s="79">
        <f>ROUNDUP(VLOOKUP(F661,$A$10:$C$782,3,0),0)</f>
        <v>1</v>
      </c>
      <c r="I661" s="80">
        <f>$H$7*$H$6*SQRT(G661)</f>
        <v>93.596749943574423</v>
      </c>
      <c r="J661" s="80">
        <f>(H661*G661)+I661</f>
        <v>212.59674994357442</v>
      </c>
      <c r="K661" s="87">
        <f>H661*G661</f>
        <v>119</v>
      </c>
      <c r="L661" s="3">
        <v>89</v>
      </c>
      <c r="M661" s="30" t="str">
        <f>IF(L661&lt;J661,"Reorder",IF(L661&gt;=J661*1.5,"Overstock","Sufficient"))</f>
        <v>Reorder</v>
      </c>
      <c r="N661" s="30"/>
      <c r="O661" s="3"/>
    </row>
    <row r="662" spans="1:15" x14ac:dyDescent="0.35">
      <c r="A662" s="94" t="s">
        <v>1599</v>
      </c>
      <c r="B662" s="41">
        <v>270</v>
      </c>
      <c r="C662" s="57">
        <v>0.2814814814814815</v>
      </c>
      <c r="D662">
        <v>47</v>
      </c>
      <c r="F662" s="78" t="s">
        <v>1599</v>
      </c>
      <c r="G662" s="45">
        <v>270</v>
      </c>
      <c r="H662" s="79">
        <f>ROUNDUP(VLOOKUP(F662,$A$10:$C$782,3,0),0)</f>
        <v>2</v>
      </c>
      <c r="I662" s="80">
        <f>$H$7*$H$6*SQRT(G662)</f>
        <v>140.98378630182975</v>
      </c>
      <c r="J662" s="80">
        <f>(H662*G662)+I662</f>
        <v>680.9837863018297</v>
      </c>
      <c r="K662" s="87">
        <f>H662*G662</f>
        <v>540</v>
      </c>
      <c r="L662" s="3">
        <v>47</v>
      </c>
      <c r="M662" s="30" t="str">
        <f>IF(L662&lt;J662,"Reorder",IF(L662&gt;=J662*1.5,"Overstock","Sufficient"))</f>
        <v>Reorder</v>
      </c>
      <c r="N662" s="30"/>
      <c r="O662" s="3"/>
    </row>
    <row r="663" spans="1:15" x14ac:dyDescent="0.35">
      <c r="A663" s="94" t="s">
        <v>1184</v>
      </c>
      <c r="B663" s="41">
        <v>66</v>
      </c>
      <c r="C663" s="57">
        <v>1.0151515151515151</v>
      </c>
      <c r="D663">
        <v>79</v>
      </c>
      <c r="F663" s="78" t="s">
        <v>1184</v>
      </c>
      <c r="G663" s="45">
        <v>66</v>
      </c>
      <c r="H663" s="79">
        <f>ROUNDUP(VLOOKUP(F663,$A$10:$C$782,3,0),0)</f>
        <v>2</v>
      </c>
      <c r="I663" s="80">
        <f>$H$7*$H$6*SQRT(G663)</f>
        <v>69.704249511776538</v>
      </c>
      <c r="J663" s="80">
        <f>(H663*G663)+I663</f>
        <v>201.70424951177654</v>
      </c>
      <c r="K663" s="87">
        <f>H663*G663</f>
        <v>132</v>
      </c>
      <c r="L663" s="3">
        <v>79</v>
      </c>
      <c r="M663" s="30" t="str">
        <f>IF(L663&lt;J663,"Reorder",IF(L663&gt;=J663*1.5,"Overstock","Sufficient"))</f>
        <v>Reorder</v>
      </c>
      <c r="N663" s="30"/>
      <c r="O663" s="3"/>
    </row>
    <row r="664" spans="1:15" x14ac:dyDescent="0.35">
      <c r="A664" s="94" t="s">
        <v>2001</v>
      </c>
      <c r="B664" s="41">
        <v>74</v>
      </c>
      <c r="C664" s="57">
        <v>0.93243243243243246</v>
      </c>
      <c r="D664">
        <v>31</v>
      </c>
      <c r="F664" s="78" t="s">
        <v>2001</v>
      </c>
      <c r="G664" s="45">
        <v>74</v>
      </c>
      <c r="H664" s="79">
        <f>ROUNDUP(VLOOKUP(F664,$A$10:$C$782,3,0),0)</f>
        <v>2</v>
      </c>
      <c r="I664" s="80">
        <f>$H$7*$H$6*SQRT(G664)</f>
        <v>73.807950791225736</v>
      </c>
      <c r="J664" s="80">
        <f>(H664*G664)+I664</f>
        <v>221.80795079122572</v>
      </c>
      <c r="K664" s="87">
        <f>H664*G664</f>
        <v>148</v>
      </c>
      <c r="L664" s="3">
        <v>31</v>
      </c>
      <c r="M664" s="30" t="str">
        <f>IF(L664&lt;J664,"Reorder",IF(L664&gt;=J664*1.5,"Overstock","Sufficient"))</f>
        <v>Reorder</v>
      </c>
      <c r="N664" s="30"/>
      <c r="O664" s="3"/>
    </row>
    <row r="665" spans="1:15" x14ac:dyDescent="0.35">
      <c r="A665" s="14" t="s">
        <v>142</v>
      </c>
      <c r="B665" s="41">
        <v>462</v>
      </c>
      <c r="C665" s="57">
        <v>2.8876628095477668</v>
      </c>
      <c r="D665">
        <v>264</v>
      </c>
      <c r="F665" s="72" t="s">
        <v>142</v>
      </c>
      <c r="G665" s="73"/>
      <c r="H665" s="74"/>
      <c r="I665" s="75"/>
      <c r="J665" s="74"/>
      <c r="K665" s="79"/>
      <c r="L665" s="76">
        <v>264</v>
      </c>
      <c r="M665" s="77"/>
      <c r="N665" s="85" t="str">
        <f>IFERROR(VLOOKUP(F665,'ABC Analysis'!$E$18:$M$138,9,0),0)</f>
        <v>C</v>
      </c>
      <c r="O665" s="86">
        <f>IFERROR(VLOOKUP(F665,'ABC Analysis'!$E$18:$G$138,3,0),0)</f>
        <v>2.9163212733379035E-3</v>
      </c>
    </row>
    <row r="666" spans="1:15" x14ac:dyDescent="0.35">
      <c r="A666" s="94" t="s">
        <v>117</v>
      </c>
      <c r="B666" s="41">
        <v>134</v>
      </c>
      <c r="C666" s="57">
        <v>0.19402985074626866</v>
      </c>
      <c r="D666">
        <v>47</v>
      </c>
      <c r="F666" s="78" t="s">
        <v>117</v>
      </c>
      <c r="G666" s="45">
        <v>134</v>
      </c>
      <c r="H666" s="79">
        <f>ROUNDUP(VLOOKUP(F666,$A$10:$C$782,3,0),0)</f>
        <v>1</v>
      </c>
      <c r="I666" s="80">
        <f>$H$7*$H$6*SQRT(G666)</f>
        <v>99.320680625940142</v>
      </c>
      <c r="J666" s="80">
        <f>(H666*G666)+I666</f>
        <v>233.32068062594016</v>
      </c>
      <c r="K666" s="87">
        <f>H666*G666</f>
        <v>134</v>
      </c>
      <c r="L666" s="3">
        <v>47</v>
      </c>
      <c r="M666" s="30" t="str">
        <f>IF(L666&lt;J666,"Reorder",IF(L666&gt;=J666*1.5,"Overstock","Sufficient"))</f>
        <v>Reorder</v>
      </c>
      <c r="N666" s="30"/>
      <c r="O666" s="3"/>
    </row>
    <row r="667" spans="1:15" x14ac:dyDescent="0.35">
      <c r="A667" s="94" t="s">
        <v>518</v>
      </c>
      <c r="B667" s="41">
        <v>178</v>
      </c>
      <c r="C667" s="57">
        <v>0.42696629213483145</v>
      </c>
      <c r="D667">
        <v>61</v>
      </c>
      <c r="F667" s="78" t="s">
        <v>518</v>
      </c>
      <c r="G667" s="45">
        <v>178</v>
      </c>
      <c r="H667" s="79">
        <f>ROUNDUP(VLOOKUP(F667,$A$10:$C$782,3,0),0)</f>
        <v>3</v>
      </c>
      <c r="I667" s="80">
        <f>$H$7*$H$6*SQRT(G667)</f>
        <v>114.47147767020395</v>
      </c>
      <c r="J667" s="80">
        <f>(H667*G667)+I667</f>
        <v>648.47147767020397</v>
      </c>
      <c r="K667" s="87">
        <f>H667*G667</f>
        <v>534</v>
      </c>
      <c r="L667" s="3">
        <v>61</v>
      </c>
      <c r="M667" s="30" t="str">
        <f>IF(L667&lt;J667,"Reorder",IF(L667&gt;=J667*1.5,"Overstock","Sufficient"))</f>
        <v>Reorder</v>
      </c>
      <c r="N667" s="30"/>
      <c r="O667" s="3"/>
    </row>
    <row r="668" spans="1:15" x14ac:dyDescent="0.35">
      <c r="A668" s="94" t="s">
        <v>782</v>
      </c>
      <c r="B668" s="41">
        <v>120</v>
      </c>
      <c r="C668" s="57">
        <v>0.66666666666666663</v>
      </c>
      <c r="D668">
        <v>79</v>
      </c>
      <c r="F668" s="78" t="s">
        <v>782</v>
      </c>
      <c r="G668" s="45">
        <v>120</v>
      </c>
      <c r="H668" s="79">
        <f>ROUNDUP(VLOOKUP(F668,$A$10:$C$782,3,0),0)</f>
        <v>1</v>
      </c>
      <c r="I668" s="80">
        <f>$H$7*$H$6*SQRT(G668)</f>
        <v>93.989190867886506</v>
      </c>
      <c r="J668" s="80">
        <f>(H668*G668)+I668</f>
        <v>213.98919086788652</v>
      </c>
      <c r="K668" s="87">
        <f>H668*G668</f>
        <v>120</v>
      </c>
      <c r="L668" s="3">
        <v>79</v>
      </c>
      <c r="M668" s="30" t="str">
        <f>IF(L668&lt;J668,"Reorder",IF(L668&gt;=J668*1.5,"Overstock","Sufficient"))</f>
        <v>Reorder</v>
      </c>
      <c r="N668" s="30"/>
      <c r="O668" s="3"/>
    </row>
    <row r="669" spans="1:15" x14ac:dyDescent="0.35">
      <c r="A669" s="94" t="s">
        <v>770</v>
      </c>
      <c r="B669" s="41">
        <v>30</v>
      </c>
      <c r="C669" s="57">
        <v>1.6</v>
      </c>
      <c r="D669">
        <v>77</v>
      </c>
      <c r="F669" s="78" t="s">
        <v>770</v>
      </c>
      <c r="G669" s="45">
        <v>30</v>
      </c>
      <c r="H669" s="79">
        <f>ROUNDUP(VLOOKUP(F669,$A$10:$C$782,3,0),0)</f>
        <v>5</v>
      </c>
      <c r="I669" s="80">
        <f>$H$7*$H$6*SQRT(G669)</f>
        <v>46.994595433943253</v>
      </c>
      <c r="J669" s="80">
        <f>(H669*G669)+I669</f>
        <v>196.99459543394326</v>
      </c>
      <c r="K669" s="87">
        <f>H669*G669</f>
        <v>150</v>
      </c>
      <c r="L669" s="3">
        <v>77</v>
      </c>
      <c r="M669" s="30" t="str">
        <f>IF(L669&lt;J669,"Reorder",IF(L669&gt;=J669*1.5,"Overstock","Sufficient"))</f>
        <v>Reorder</v>
      </c>
      <c r="N669" s="30"/>
      <c r="O669" s="3"/>
    </row>
    <row r="670" spans="1:15" x14ac:dyDescent="0.35">
      <c r="A670" s="14" t="s">
        <v>433</v>
      </c>
      <c r="B670" s="41">
        <v>274</v>
      </c>
      <c r="C670" s="57">
        <v>2.7324009324009326</v>
      </c>
      <c r="D670">
        <v>177</v>
      </c>
      <c r="F670" s="72" t="s">
        <v>433</v>
      </c>
      <c r="G670" s="73"/>
      <c r="H670" s="74"/>
      <c r="I670" s="75"/>
      <c r="J670" s="74"/>
      <c r="K670" s="79"/>
      <c r="L670" s="76">
        <v>177</v>
      </c>
      <c r="M670" s="77"/>
      <c r="N670" s="85" t="str">
        <f>IFERROR(VLOOKUP(F670,'ABC Analysis'!$E$18:$M$138,9,0),0)</f>
        <v>A</v>
      </c>
      <c r="O670" s="86">
        <f>IFERROR(VLOOKUP(F670,'ABC Analysis'!$E$18:$G$138,3,0),0)</f>
        <v>2.9388850020742464E-2</v>
      </c>
    </row>
    <row r="671" spans="1:15" x14ac:dyDescent="0.35">
      <c r="A671" s="94" t="s">
        <v>2525</v>
      </c>
      <c r="B671" s="41">
        <v>110</v>
      </c>
      <c r="C671" s="57">
        <v>0.52727272727272723</v>
      </c>
      <c r="D671">
        <v>39</v>
      </c>
      <c r="F671" s="78" t="s">
        <v>2525</v>
      </c>
      <c r="G671" s="45">
        <v>110</v>
      </c>
      <c r="H671" s="79">
        <f>ROUNDUP(VLOOKUP(F671,$A$10:$C$782,3,0),0)</f>
        <v>1</v>
      </c>
      <c r="I671" s="80">
        <f>$H$7*$H$6*SQRT(G671)</f>
        <v>89.987799172999004</v>
      </c>
      <c r="J671" s="80">
        <f>(H671*G671)+I671</f>
        <v>199.98779917299902</v>
      </c>
      <c r="K671" s="87">
        <f>H671*G671</f>
        <v>110</v>
      </c>
      <c r="L671" s="3">
        <v>39</v>
      </c>
      <c r="M671" s="30" t="str">
        <f>IF(L671&lt;J671,"Reorder",IF(L671&gt;=J671*1.5,"Overstock","Sufficient"))</f>
        <v>Reorder</v>
      </c>
      <c r="N671" s="30"/>
      <c r="O671" s="3"/>
    </row>
    <row r="672" spans="1:15" x14ac:dyDescent="0.35">
      <c r="A672" s="94" t="s">
        <v>254</v>
      </c>
      <c r="B672" s="41">
        <v>143</v>
      </c>
      <c r="C672" s="57">
        <v>0.53846153846153844</v>
      </c>
      <c r="D672">
        <v>82</v>
      </c>
      <c r="F672" s="78" t="s">
        <v>254</v>
      </c>
      <c r="G672" s="45">
        <v>143</v>
      </c>
      <c r="H672" s="79">
        <f>ROUNDUP(VLOOKUP(F672,$A$10:$C$782,3,0),0)</f>
        <v>2</v>
      </c>
      <c r="I672" s="80">
        <f>$H$7*$H$6*SQRT(G672)</f>
        <v>102.60187717581</v>
      </c>
      <c r="J672" s="80">
        <f>(H672*G672)+I672</f>
        <v>388.60187717580999</v>
      </c>
      <c r="K672" s="87">
        <f>H672*G672</f>
        <v>286</v>
      </c>
      <c r="L672" s="3">
        <v>82</v>
      </c>
      <c r="M672" s="30" t="str">
        <f>IF(L672&lt;J672,"Reorder",IF(L672&gt;=J672*1.5,"Overstock","Sufficient"))</f>
        <v>Reorder</v>
      </c>
      <c r="N672" s="30"/>
      <c r="O672" s="3"/>
    </row>
    <row r="673" spans="1:15" x14ac:dyDescent="0.35">
      <c r="A673" s="94" t="s">
        <v>166</v>
      </c>
      <c r="B673" s="41">
        <v>21</v>
      </c>
      <c r="C673" s="57">
        <v>1.6666666666666667</v>
      </c>
      <c r="D673">
        <v>56</v>
      </c>
      <c r="F673" s="78" t="s">
        <v>166</v>
      </c>
      <c r="G673" s="45">
        <v>21</v>
      </c>
      <c r="H673" s="79">
        <f>ROUNDUP(VLOOKUP(F673,$A$10:$C$782,3,0),0)</f>
        <v>1</v>
      </c>
      <c r="I673" s="80">
        <f>$H$7*$H$6*SQRT(G673)</f>
        <v>39.318499462721107</v>
      </c>
      <c r="J673" s="80">
        <f>(H673*G673)+I673</f>
        <v>60.318499462721107</v>
      </c>
      <c r="K673" s="87">
        <f>H673*G673</f>
        <v>21</v>
      </c>
      <c r="L673" s="3">
        <v>56</v>
      </c>
      <c r="M673" s="30" t="str">
        <f>IF(L673&lt;J673,"Reorder",IF(L673&gt;=J673*1.5,"Overstock","Sufficient"))</f>
        <v>Reorder</v>
      </c>
      <c r="N673" s="30"/>
      <c r="O673" s="3"/>
    </row>
    <row r="674" spans="1:15" x14ac:dyDescent="0.35">
      <c r="A674" s="14" t="s">
        <v>465</v>
      </c>
      <c r="B674" s="41">
        <v>390</v>
      </c>
      <c r="C674" s="57">
        <v>2.7196953146105689</v>
      </c>
      <c r="D674">
        <v>184</v>
      </c>
      <c r="F674" s="72" t="s">
        <v>465</v>
      </c>
      <c r="G674" s="73"/>
      <c r="H674" s="74"/>
      <c r="I674" s="75"/>
      <c r="J674" s="74"/>
      <c r="K674" s="79"/>
      <c r="L674" s="76">
        <v>184</v>
      </c>
      <c r="M674" s="77"/>
      <c r="N674" s="85" t="str">
        <f>IFERROR(VLOOKUP(F674,'ABC Analysis'!$E$18:$M$138,9,0),0)</f>
        <v>A</v>
      </c>
      <c r="O674" s="86">
        <f>IFERROR(VLOOKUP(F674,'ABC Analysis'!$E$18:$G$138,3,0),0)</f>
        <v>2.1772139220994809E-2</v>
      </c>
    </row>
    <row r="675" spans="1:15" x14ac:dyDescent="0.35">
      <c r="A675" s="94" t="s">
        <v>308</v>
      </c>
      <c r="B675" s="41">
        <v>118</v>
      </c>
      <c r="C675" s="57">
        <v>0.21186440677966101</v>
      </c>
      <c r="D675">
        <v>26</v>
      </c>
      <c r="F675" s="78" t="s">
        <v>308</v>
      </c>
      <c r="G675" s="45">
        <v>118</v>
      </c>
      <c r="H675" s="79">
        <f>ROUNDUP(VLOOKUP(F675,$A$10:$C$782,3,0),0)</f>
        <v>1</v>
      </c>
      <c r="I675" s="80">
        <f>$H$7*$H$6*SQRT(G675)</f>
        <v>93.202656614497855</v>
      </c>
      <c r="J675" s="80">
        <f>(H675*G675)+I675</f>
        <v>211.20265661449787</v>
      </c>
      <c r="K675" s="87">
        <f>H675*G675</f>
        <v>118</v>
      </c>
      <c r="L675" s="3">
        <v>26</v>
      </c>
      <c r="M675" s="30" t="str">
        <f>IF(L675&lt;J675,"Reorder",IF(L675&gt;=J675*1.5,"Overstock","Sufficient"))</f>
        <v>Reorder</v>
      </c>
      <c r="N675" s="30"/>
      <c r="O675" s="3"/>
    </row>
    <row r="676" spans="1:15" x14ac:dyDescent="0.35">
      <c r="A676" s="94" t="s">
        <v>1012</v>
      </c>
      <c r="B676" s="41">
        <v>48</v>
      </c>
      <c r="C676" s="57">
        <v>1</v>
      </c>
      <c r="D676">
        <v>28</v>
      </c>
      <c r="F676" s="78" t="s">
        <v>1012</v>
      </c>
      <c r="G676" s="45">
        <v>48</v>
      </c>
      <c r="H676" s="79">
        <f>ROUNDUP(VLOOKUP(F676,$A$10:$C$782,3,0),0)</f>
        <v>1</v>
      </c>
      <c r="I676" s="80">
        <f>$H$7*$H$6*SQRT(G676)</f>
        <v>59.443983715763864</v>
      </c>
      <c r="J676" s="80">
        <f>(H676*G676)+I676</f>
        <v>107.44398371576386</v>
      </c>
      <c r="K676" s="87">
        <f>H676*G676</f>
        <v>48</v>
      </c>
      <c r="L676" s="3">
        <v>28</v>
      </c>
      <c r="M676" s="30" t="str">
        <f>IF(L676&lt;J676,"Reorder",IF(L676&gt;=J676*1.5,"Overstock","Sufficient"))</f>
        <v>Reorder</v>
      </c>
      <c r="N676" s="30"/>
      <c r="O676" s="3"/>
    </row>
    <row r="677" spans="1:15" x14ac:dyDescent="0.35">
      <c r="A677" s="94" t="s">
        <v>1303</v>
      </c>
      <c r="B677" s="41">
        <v>39</v>
      </c>
      <c r="C677" s="57">
        <v>1.2051282051282051</v>
      </c>
      <c r="D677">
        <v>39</v>
      </c>
      <c r="F677" s="78" t="s">
        <v>1303</v>
      </c>
      <c r="G677" s="45">
        <v>39</v>
      </c>
      <c r="H677" s="79">
        <f>ROUNDUP(VLOOKUP(F677,$A$10:$C$782,3,0),0)</f>
        <v>1</v>
      </c>
      <c r="I677" s="80">
        <f>$H$7*$H$6*SQRT(G677)</f>
        <v>53.582082826258258</v>
      </c>
      <c r="J677" s="80">
        <f>(H677*G677)+I677</f>
        <v>92.582082826258258</v>
      </c>
      <c r="K677" s="87">
        <f>H677*G677</f>
        <v>39</v>
      </c>
      <c r="L677" s="3">
        <v>39</v>
      </c>
      <c r="M677" s="30" t="str">
        <f>IF(L677&lt;J677,"Reorder",IF(L677&gt;=J677*1.5,"Overstock","Sufficient"))</f>
        <v>Reorder</v>
      </c>
      <c r="N677" s="30"/>
      <c r="O677" s="3"/>
    </row>
    <row r="678" spans="1:15" x14ac:dyDescent="0.35">
      <c r="A678" s="94" t="s">
        <v>466</v>
      </c>
      <c r="B678" s="41">
        <v>185</v>
      </c>
      <c r="C678" s="57">
        <v>0.30270270270270272</v>
      </c>
      <c r="D678">
        <v>91</v>
      </c>
      <c r="F678" s="78" t="s">
        <v>466</v>
      </c>
      <c r="G678" s="45">
        <v>185</v>
      </c>
      <c r="H678" s="79">
        <f>ROUNDUP(VLOOKUP(F678,$A$10:$C$782,3,0),0)</f>
        <v>1</v>
      </c>
      <c r="I678" s="80">
        <f>$H$7*$H$6*SQRT(G678)</f>
        <v>116.70061696495011</v>
      </c>
      <c r="J678" s="80">
        <f>(H678*G678)+I678</f>
        <v>301.70061696495009</v>
      </c>
      <c r="K678" s="87">
        <f>H678*G678</f>
        <v>185</v>
      </c>
      <c r="L678" s="3">
        <v>91</v>
      </c>
      <c r="M678" s="30" t="str">
        <f>IF(L678&lt;J678,"Reorder",IF(L678&gt;=J678*1.5,"Overstock","Sufficient"))</f>
        <v>Reorder</v>
      </c>
      <c r="N678" s="30"/>
      <c r="O678" s="3"/>
    </row>
    <row r="679" spans="1:15" x14ac:dyDescent="0.35">
      <c r="A679" s="14" t="s">
        <v>665</v>
      </c>
      <c r="B679" s="41">
        <v>17</v>
      </c>
      <c r="C679" s="57">
        <v>2.5882352941176472</v>
      </c>
      <c r="D679">
        <v>45</v>
      </c>
      <c r="F679" s="72" t="s">
        <v>665</v>
      </c>
      <c r="G679" s="73"/>
      <c r="H679" s="74"/>
      <c r="I679" s="75"/>
      <c r="J679" s="74"/>
      <c r="K679" s="79"/>
      <c r="L679" s="76">
        <v>45</v>
      </c>
      <c r="M679" s="77"/>
      <c r="N679" s="85" t="str">
        <f>IFERROR(VLOOKUP(F679,'ABC Analysis'!$E$18:$M$138,9,0),0)</f>
        <v>B</v>
      </c>
      <c r="O679" s="86">
        <f>IFERROR(VLOOKUP(F679,'ABC Analysis'!$E$18:$G$138,3,0),0)</f>
        <v>5.2403737143714253E-3</v>
      </c>
    </row>
    <row r="680" spans="1:15" x14ac:dyDescent="0.35">
      <c r="A680" s="94" t="s">
        <v>1617</v>
      </c>
      <c r="B680" s="41">
        <v>17</v>
      </c>
      <c r="C680" s="57">
        <v>2.5882352941176472</v>
      </c>
      <c r="D680">
        <v>45</v>
      </c>
      <c r="F680" s="78" t="s">
        <v>1617</v>
      </c>
      <c r="G680" s="45">
        <v>17</v>
      </c>
      <c r="H680" s="79">
        <f>ROUNDUP(VLOOKUP(F680,$A$10:$C$782,3,0),0)</f>
        <v>3</v>
      </c>
      <c r="I680" s="80">
        <f>$H$7*$H$6*SQRT(G680)</f>
        <v>35.37624626779953</v>
      </c>
      <c r="J680" s="80">
        <f>(H680*G680)+I680</f>
        <v>86.37624626779953</v>
      </c>
      <c r="K680" s="87">
        <f>H680*G680</f>
        <v>51</v>
      </c>
      <c r="L680" s="3">
        <v>45</v>
      </c>
      <c r="M680" s="30" t="str">
        <f>IF(L680&lt;J680,"Reorder",IF(L680&gt;=J680*1.5,"Overstock","Sufficient"))</f>
        <v>Reorder</v>
      </c>
      <c r="N680" s="30"/>
      <c r="O680" s="3"/>
    </row>
    <row r="681" spans="1:15" x14ac:dyDescent="0.35">
      <c r="A681" s="14" t="s">
        <v>220</v>
      </c>
      <c r="B681" s="41">
        <v>603</v>
      </c>
      <c r="C681" s="57">
        <v>2.5627708978328174</v>
      </c>
      <c r="D681">
        <v>260</v>
      </c>
      <c r="F681" s="72" t="s">
        <v>220</v>
      </c>
      <c r="G681" s="73"/>
      <c r="H681" s="74"/>
      <c r="I681" s="75"/>
      <c r="J681" s="74"/>
      <c r="K681" s="79"/>
      <c r="L681" s="76">
        <v>260</v>
      </c>
      <c r="M681" s="77"/>
      <c r="N681" s="85" t="str">
        <f>IFERROR(VLOOKUP(F681,'ABC Analysis'!$E$18:$M$138,9,0),0)</f>
        <v>A</v>
      </c>
      <c r="O681" s="86">
        <f>IFERROR(VLOOKUP(F681,'ABC Analysis'!$E$18:$G$138,3,0),0)</f>
        <v>1.2153275107216919E-2</v>
      </c>
    </row>
    <row r="682" spans="1:15" x14ac:dyDescent="0.35">
      <c r="A682" s="94" t="s">
        <v>620</v>
      </c>
      <c r="B682" s="41">
        <v>78</v>
      </c>
      <c r="C682" s="57">
        <v>0.5</v>
      </c>
      <c r="D682">
        <v>68</v>
      </c>
      <c r="F682" s="78" t="s">
        <v>620</v>
      </c>
      <c r="G682" s="45">
        <v>78</v>
      </c>
      <c r="H682" s="79">
        <f>ROUNDUP(VLOOKUP(F682,$A$10:$C$782,3,0),0)</f>
        <v>1</v>
      </c>
      <c r="I682" s="80">
        <f>$H$7*$H$6*SQRT(G682)</f>
        <v>75.77650823309294</v>
      </c>
      <c r="J682" s="80">
        <f>(H682*G682)+I682</f>
        <v>153.77650823309295</v>
      </c>
      <c r="K682" s="87">
        <f>H682*G682</f>
        <v>78</v>
      </c>
      <c r="L682" s="3">
        <v>68</v>
      </c>
      <c r="M682" s="30" t="str">
        <f>IF(L682&lt;J682,"Reorder",IF(L682&gt;=J682*1.5,"Overstock","Sufficient"))</f>
        <v>Reorder</v>
      </c>
      <c r="N682" s="30"/>
      <c r="O682" s="3"/>
    </row>
    <row r="683" spans="1:15" x14ac:dyDescent="0.35">
      <c r="A683" s="94" t="s">
        <v>43</v>
      </c>
      <c r="B683" s="41">
        <v>57</v>
      </c>
      <c r="C683" s="57">
        <v>1.5789473684210527</v>
      </c>
      <c r="D683">
        <v>59</v>
      </c>
      <c r="F683" s="78" t="s">
        <v>43</v>
      </c>
      <c r="G683" s="45">
        <v>57</v>
      </c>
      <c r="H683" s="79">
        <f>ROUNDUP(VLOOKUP(F683,$A$10:$C$782,3,0),0)</f>
        <v>2</v>
      </c>
      <c r="I683" s="80">
        <f>$H$7*$H$6*SQRT(G683)</f>
        <v>64.777579454623037</v>
      </c>
      <c r="J683" s="80">
        <f>(H683*G683)+I683</f>
        <v>178.77757945462304</v>
      </c>
      <c r="K683" s="87">
        <f>H683*G683</f>
        <v>114</v>
      </c>
      <c r="L683" s="3">
        <v>59</v>
      </c>
      <c r="M683" s="30" t="str">
        <f>IF(L683&lt;J683,"Reorder",IF(L683&gt;=J683*1.5,"Overstock","Sufficient"))</f>
        <v>Reorder</v>
      </c>
      <c r="N683" s="30"/>
      <c r="O683" s="3"/>
    </row>
    <row r="684" spans="1:15" x14ac:dyDescent="0.35">
      <c r="A684" s="94" t="s">
        <v>2363</v>
      </c>
      <c r="B684" s="41">
        <v>340</v>
      </c>
      <c r="C684" s="57">
        <v>0.10882352941176471</v>
      </c>
      <c r="D684">
        <v>74</v>
      </c>
      <c r="F684" s="78" t="s">
        <v>2363</v>
      </c>
      <c r="G684" s="45">
        <v>340</v>
      </c>
      <c r="H684" s="79">
        <f>ROUNDUP(VLOOKUP(F684,$A$10:$C$782,3,0),0)</f>
        <v>1</v>
      </c>
      <c r="I684" s="80">
        <f>$H$7*$H$6*SQRT(G684)</f>
        <v>158.20738288714594</v>
      </c>
      <c r="J684" s="80">
        <f>(H684*G684)+I684</f>
        <v>498.20738288714597</v>
      </c>
      <c r="K684" s="87">
        <f>H684*G684</f>
        <v>340</v>
      </c>
      <c r="L684" s="3">
        <v>74</v>
      </c>
      <c r="M684" s="30" t="str">
        <f>IF(L684&lt;J684,"Reorder",IF(L684&gt;=J684*1.5,"Overstock","Sufficient"))</f>
        <v>Reorder</v>
      </c>
      <c r="N684" s="30"/>
      <c r="O684" s="3"/>
    </row>
    <row r="685" spans="1:15" x14ac:dyDescent="0.35">
      <c r="A685" s="94" t="s">
        <v>3109</v>
      </c>
      <c r="B685" s="41">
        <v>128</v>
      </c>
      <c r="C685" s="57">
        <v>0.375</v>
      </c>
      <c r="D685">
        <v>59</v>
      </c>
      <c r="F685" s="78" t="s">
        <v>3109</v>
      </c>
      <c r="G685" s="45">
        <v>128</v>
      </c>
      <c r="H685" s="79">
        <f>ROUNDUP(VLOOKUP(F685,$A$10:$C$782,3,0),0)</f>
        <v>16</v>
      </c>
      <c r="I685" s="80">
        <f>$H$7*$H$6*SQRT(G685)</f>
        <v>97.071618921289257</v>
      </c>
      <c r="J685" s="80">
        <f>(H685*G685)+I685</f>
        <v>2145.0716189212894</v>
      </c>
      <c r="K685" s="87">
        <f>H685*G685</f>
        <v>2048</v>
      </c>
      <c r="L685" s="3">
        <v>59</v>
      </c>
      <c r="M685" s="30" t="str">
        <f>IF(L685&lt;J685,"Reorder",IF(L685&gt;=J685*1.5,"Overstock","Sufficient"))</f>
        <v>Reorder</v>
      </c>
      <c r="N685" s="30"/>
      <c r="O685" s="3"/>
    </row>
    <row r="686" spans="1:15" x14ac:dyDescent="0.35">
      <c r="A686" s="14" t="s">
        <v>817</v>
      </c>
      <c r="B686" s="41">
        <v>863</v>
      </c>
      <c r="C686" s="57">
        <v>2.5306618821131908</v>
      </c>
      <c r="D686">
        <v>334</v>
      </c>
      <c r="F686" s="72" t="s">
        <v>817</v>
      </c>
      <c r="G686" s="73"/>
      <c r="H686" s="74"/>
      <c r="I686" s="75"/>
      <c r="J686" s="74"/>
      <c r="K686" s="79"/>
      <c r="L686" s="76">
        <v>334</v>
      </c>
      <c r="M686" s="77"/>
      <c r="N686" s="85" t="str">
        <f>IFERROR(VLOOKUP(F686,'ABC Analysis'!$E$18:$M$138,9,0),0)</f>
        <v>B</v>
      </c>
      <c r="O686" s="86">
        <f>IFERROR(VLOOKUP(F686,'ABC Analysis'!$E$18:$G$138,3,0),0)</f>
        <v>3.581498137475732E-3</v>
      </c>
    </row>
    <row r="687" spans="1:15" x14ac:dyDescent="0.35">
      <c r="A687" s="94" t="s">
        <v>3384</v>
      </c>
      <c r="B687" s="41">
        <v>129</v>
      </c>
      <c r="C687" s="57">
        <v>0.39534883720930231</v>
      </c>
      <c r="D687">
        <v>48</v>
      </c>
      <c r="F687" s="78" t="s">
        <v>3384</v>
      </c>
      <c r="G687" s="45">
        <v>129</v>
      </c>
      <c r="H687" s="79">
        <f>ROUNDUP(VLOOKUP(F687,$A$10:$C$782,3,0),0)</f>
        <v>1</v>
      </c>
      <c r="I687" s="80">
        <f>$H$7*$H$6*SQRT(G687)</f>
        <v>97.450067213932698</v>
      </c>
      <c r="J687" s="80">
        <f>(H687*G687)+I687</f>
        <v>226.4500672139327</v>
      </c>
      <c r="K687" s="87">
        <f>H687*G687</f>
        <v>129</v>
      </c>
      <c r="L687" s="3">
        <v>48</v>
      </c>
      <c r="M687" s="30" t="str">
        <f>IF(L687&lt;J687,"Reorder",IF(L687&gt;=J687*1.5,"Overstock","Sufficient"))</f>
        <v>Reorder</v>
      </c>
      <c r="N687" s="30"/>
      <c r="O687" s="3"/>
    </row>
    <row r="688" spans="1:15" x14ac:dyDescent="0.35">
      <c r="A688" s="94" t="s">
        <v>2067</v>
      </c>
      <c r="B688" s="41">
        <v>45</v>
      </c>
      <c r="C688" s="57">
        <v>1.1111111111111112</v>
      </c>
      <c r="D688">
        <v>99</v>
      </c>
      <c r="F688" s="78" t="s">
        <v>2067</v>
      </c>
      <c r="G688" s="45">
        <v>45</v>
      </c>
      <c r="H688" s="79">
        <f>ROUNDUP(VLOOKUP(F688,$A$10:$C$782,3,0),0)</f>
        <v>2</v>
      </c>
      <c r="I688" s="80">
        <f>$H$7*$H$6*SQRT(G688)</f>
        <v>57.556389740844587</v>
      </c>
      <c r="J688" s="80">
        <f>(H688*G688)+I688</f>
        <v>147.55638974084459</v>
      </c>
      <c r="K688" s="87">
        <f>H688*G688</f>
        <v>90</v>
      </c>
      <c r="L688" s="3">
        <v>99</v>
      </c>
      <c r="M688" s="30" t="str">
        <f>IF(L688&lt;J688,"Reorder",IF(L688&gt;=J688*1.5,"Overstock","Sufficient"))</f>
        <v>Reorder</v>
      </c>
      <c r="N688" s="30"/>
      <c r="O688" s="3"/>
    </row>
    <row r="689" spans="1:15" x14ac:dyDescent="0.35">
      <c r="A689" s="94" t="s">
        <v>1906</v>
      </c>
      <c r="B689" s="41">
        <v>191</v>
      </c>
      <c r="C689" s="57">
        <v>0.50261780104712039</v>
      </c>
      <c r="D689">
        <v>75</v>
      </c>
      <c r="F689" s="78" t="s">
        <v>1906</v>
      </c>
      <c r="G689" s="45">
        <v>191</v>
      </c>
      <c r="H689" s="79">
        <f>ROUNDUP(VLOOKUP(F689,$A$10:$C$782,3,0),0)</f>
        <v>1</v>
      </c>
      <c r="I689" s="80">
        <f>$H$7*$H$6*SQRT(G689)</f>
        <v>118.57795916611147</v>
      </c>
      <c r="J689" s="80">
        <f>(H689*G689)+I689</f>
        <v>309.57795916611144</v>
      </c>
      <c r="K689" s="87">
        <f>H689*G689</f>
        <v>191</v>
      </c>
      <c r="L689" s="3">
        <v>75</v>
      </c>
      <c r="M689" s="30" t="str">
        <f>IF(L689&lt;J689,"Reorder",IF(L689&gt;=J689*1.5,"Overstock","Sufficient"))</f>
        <v>Reorder</v>
      </c>
      <c r="N689" s="30"/>
      <c r="O689" s="3"/>
    </row>
    <row r="690" spans="1:15" x14ac:dyDescent="0.35">
      <c r="A690" s="94" t="s">
        <v>2723</v>
      </c>
      <c r="B690" s="41">
        <v>232</v>
      </c>
      <c r="C690" s="57">
        <v>0.19827586206896552</v>
      </c>
      <c r="D690">
        <v>12</v>
      </c>
      <c r="F690" s="78" t="s">
        <v>2723</v>
      </c>
      <c r="G690" s="45">
        <v>232</v>
      </c>
      <c r="H690" s="79">
        <f>ROUNDUP(VLOOKUP(F690,$A$10:$C$782,3,0),0)</f>
        <v>1</v>
      </c>
      <c r="I690" s="80">
        <f>$H$7*$H$6*SQRT(G690)</f>
        <v>130.68666649662467</v>
      </c>
      <c r="J690" s="80">
        <f>(H690*G690)+I690</f>
        <v>362.68666649662464</v>
      </c>
      <c r="K690" s="87">
        <f>H690*G690</f>
        <v>232</v>
      </c>
      <c r="L690" s="3">
        <v>12</v>
      </c>
      <c r="M690" s="30" t="str">
        <f>IF(L690&lt;J690,"Reorder",IF(L690&gt;=J690*1.5,"Overstock","Sufficient"))</f>
        <v>Reorder</v>
      </c>
      <c r="N690" s="30"/>
      <c r="O690" s="3"/>
    </row>
    <row r="691" spans="1:15" x14ac:dyDescent="0.35">
      <c r="A691" s="94" t="s">
        <v>818</v>
      </c>
      <c r="B691" s="41">
        <v>266</v>
      </c>
      <c r="C691" s="57">
        <v>0.32330827067669171</v>
      </c>
      <c r="D691">
        <v>100</v>
      </c>
      <c r="F691" s="78" t="s">
        <v>818</v>
      </c>
      <c r="G691" s="45">
        <v>266</v>
      </c>
      <c r="H691" s="79">
        <f>ROUNDUP(VLOOKUP(F691,$A$10:$C$782,3,0),0)</f>
        <v>23</v>
      </c>
      <c r="I691" s="80">
        <f>$H$7*$H$6*SQRT(G691)</f>
        <v>139.93556517197476</v>
      </c>
      <c r="J691" s="80">
        <f>(H691*G691)+I691</f>
        <v>6257.9355651719743</v>
      </c>
      <c r="K691" s="87">
        <f>H691*G691</f>
        <v>6118</v>
      </c>
      <c r="L691" s="3">
        <v>100</v>
      </c>
      <c r="M691" s="30" t="str">
        <f>IF(L691&lt;J691,"Reorder",IF(L691&gt;=J691*1.5,"Overstock","Sufficient"))</f>
        <v>Reorder</v>
      </c>
      <c r="N691" s="30"/>
      <c r="O691" s="3"/>
    </row>
    <row r="692" spans="1:15" x14ac:dyDescent="0.35">
      <c r="A692" s="14" t="s">
        <v>170</v>
      </c>
      <c r="B692" s="41">
        <v>454</v>
      </c>
      <c r="C692" s="57">
        <v>2.4544485957529432</v>
      </c>
      <c r="D692">
        <v>236</v>
      </c>
      <c r="F692" s="72" t="s">
        <v>170</v>
      </c>
      <c r="G692" s="73"/>
      <c r="H692" s="74"/>
      <c r="I692" s="75"/>
      <c r="J692" s="74"/>
      <c r="K692" s="79"/>
      <c r="L692" s="76">
        <v>236</v>
      </c>
      <c r="M692" s="77"/>
      <c r="N692" s="85" t="str">
        <f>IFERROR(VLOOKUP(F692,'ABC Analysis'!$E$18:$M$138,9,0),0)</f>
        <v>B</v>
      </c>
      <c r="O692" s="86">
        <f>IFERROR(VLOOKUP(F692,'ABC Analysis'!$E$18:$G$138,3,0),0)</f>
        <v>4.025917614388779E-3</v>
      </c>
    </row>
    <row r="693" spans="1:15" x14ac:dyDescent="0.35">
      <c r="A693" s="94" t="s">
        <v>81</v>
      </c>
      <c r="B693" s="41">
        <v>111</v>
      </c>
      <c r="C693" s="57">
        <v>0.5495495495495496</v>
      </c>
      <c r="D693">
        <v>56</v>
      </c>
      <c r="F693" s="78" t="s">
        <v>81</v>
      </c>
      <c r="G693" s="45">
        <v>111</v>
      </c>
      <c r="H693" s="79">
        <f>ROUNDUP(VLOOKUP(F693,$A$10:$C$782,3,0),0)</f>
        <v>1</v>
      </c>
      <c r="I693" s="80">
        <f>$H$7*$H$6*SQRT(G693)</f>
        <v>90.395909199476492</v>
      </c>
      <c r="J693" s="80">
        <f>(H693*G693)+I693</f>
        <v>201.39590919947648</v>
      </c>
      <c r="K693" s="87">
        <f>H693*G693</f>
        <v>111</v>
      </c>
      <c r="L693" s="3">
        <v>56</v>
      </c>
      <c r="M693" s="30" t="str">
        <f>IF(L693&lt;J693,"Reorder",IF(L693&gt;=J693*1.5,"Overstock","Sufficient"))</f>
        <v>Reorder</v>
      </c>
      <c r="N693" s="30"/>
      <c r="O693" s="3"/>
    </row>
    <row r="694" spans="1:15" x14ac:dyDescent="0.35">
      <c r="A694" s="94" t="s">
        <v>1987</v>
      </c>
      <c r="B694" s="41">
        <v>78</v>
      </c>
      <c r="C694" s="57">
        <v>0.9358974358974359</v>
      </c>
      <c r="D694">
        <v>51</v>
      </c>
      <c r="F694" s="78" t="s">
        <v>1987</v>
      </c>
      <c r="G694" s="45">
        <v>78</v>
      </c>
      <c r="H694" s="79">
        <f>ROUNDUP(VLOOKUP(F694,$A$10:$C$782,3,0),0)</f>
        <v>1</v>
      </c>
      <c r="I694" s="80">
        <f>$H$7*$H$6*SQRT(G694)</f>
        <v>75.77650823309294</v>
      </c>
      <c r="J694" s="80">
        <f>(H694*G694)+I694</f>
        <v>153.77650823309295</v>
      </c>
      <c r="K694" s="87">
        <f>H694*G694</f>
        <v>78</v>
      </c>
      <c r="L694" s="3">
        <v>51</v>
      </c>
      <c r="M694" s="30" t="str">
        <f>IF(L694&lt;J694,"Reorder",IF(L694&gt;=J694*1.5,"Overstock","Sufficient"))</f>
        <v>Reorder</v>
      </c>
      <c r="N694" s="30"/>
      <c r="O694" s="3"/>
    </row>
    <row r="695" spans="1:15" x14ac:dyDescent="0.35">
      <c r="A695" s="94" t="s">
        <v>171</v>
      </c>
      <c r="B695" s="41">
        <v>184</v>
      </c>
      <c r="C695" s="57">
        <v>0.22826086956521738</v>
      </c>
      <c r="D695">
        <v>34</v>
      </c>
      <c r="F695" s="78" t="s">
        <v>171</v>
      </c>
      <c r="G695" s="45">
        <v>184</v>
      </c>
      <c r="H695" s="79">
        <f>ROUNDUP(VLOOKUP(F695,$A$10:$C$782,3,0),0)</f>
        <v>1</v>
      </c>
      <c r="I695" s="80">
        <f>$H$7*$H$6*SQRT(G695)</f>
        <v>116.3847825104296</v>
      </c>
      <c r="J695" s="80">
        <f>(H695*G695)+I695</f>
        <v>300.3847825104296</v>
      </c>
      <c r="K695" s="87">
        <f>H695*G695</f>
        <v>184</v>
      </c>
      <c r="L695" s="3">
        <v>34</v>
      </c>
      <c r="M695" s="30" t="str">
        <f>IF(L695&lt;J695,"Reorder",IF(L695&gt;=J695*1.5,"Overstock","Sufficient"))</f>
        <v>Reorder</v>
      </c>
      <c r="N695" s="30"/>
      <c r="O695" s="3"/>
    </row>
    <row r="696" spans="1:15" x14ac:dyDescent="0.35">
      <c r="A696" s="94" t="s">
        <v>1328</v>
      </c>
      <c r="B696" s="41">
        <v>81</v>
      </c>
      <c r="C696" s="57">
        <v>0.7407407407407407</v>
      </c>
      <c r="D696">
        <v>95</v>
      </c>
      <c r="F696" s="78" t="s">
        <v>1328</v>
      </c>
      <c r="G696" s="45">
        <v>81</v>
      </c>
      <c r="H696" s="79">
        <f>ROUNDUP(VLOOKUP(F696,$A$10:$C$782,3,0),0)</f>
        <v>1</v>
      </c>
      <c r="I696" s="80">
        <f>$H$7*$H$6*SQRT(G696)</f>
        <v>77.22</v>
      </c>
      <c r="J696" s="80">
        <f>(H696*G696)+I696</f>
        <v>158.22</v>
      </c>
      <c r="K696" s="87">
        <f>H696*G696</f>
        <v>81</v>
      </c>
      <c r="L696" s="3">
        <v>95</v>
      </c>
      <c r="M696" s="30" t="str">
        <f>IF(L696&lt;J696,"Reorder",IF(L696&gt;=J696*1.5,"Overstock","Sufficient"))</f>
        <v>Reorder</v>
      </c>
      <c r="N696" s="30"/>
      <c r="O696" s="3"/>
    </row>
    <row r="697" spans="1:15" x14ac:dyDescent="0.35">
      <c r="A697" s="14" t="s">
        <v>947</v>
      </c>
      <c r="B697" s="41">
        <v>637</v>
      </c>
      <c r="C697" s="57">
        <v>2.4249148153196129</v>
      </c>
      <c r="D697">
        <v>168</v>
      </c>
      <c r="F697" s="72" t="s">
        <v>947</v>
      </c>
      <c r="G697" s="73"/>
      <c r="H697" s="74"/>
      <c r="I697" s="75"/>
      <c r="J697" s="74"/>
      <c r="K697" s="79"/>
      <c r="L697" s="76">
        <v>168</v>
      </c>
      <c r="M697" s="77"/>
      <c r="N697" s="85" t="str">
        <f>IFERROR(VLOOKUP(F697,'ABC Analysis'!$E$18:$M$138,9,0),0)</f>
        <v>C</v>
      </c>
      <c r="O697" s="86">
        <f>IFERROR(VLOOKUP(F697,'ABC Analysis'!$E$18:$G$138,3,0),0)</f>
        <v>1.1049488171093011E-3</v>
      </c>
    </row>
    <row r="698" spans="1:15" x14ac:dyDescent="0.35">
      <c r="A698" s="94" t="s">
        <v>189</v>
      </c>
      <c r="B698" s="41">
        <v>110</v>
      </c>
      <c r="C698" s="57">
        <v>0.87272727272727268</v>
      </c>
      <c r="D698">
        <v>72</v>
      </c>
      <c r="F698" s="78" t="s">
        <v>189</v>
      </c>
      <c r="G698" s="45">
        <v>110</v>
      </c>
      <c r="H698" s="79">
        <f>ROUNDUP(VLOOKUP(F698,$A$10:$C$782,3,0),0)</f>
        <v>1</v>
      </c>
      <c r="I698" s="80">
        <f>$H$7*$H$6*SQRT(G698)</f>
        <v>89.987799172999004</v>
      </c>
      <c r="J698" s="80">
        <f>(H698*G698)+I698</f>
        <v>199.98779917299902</v>
      </c>
      <c r="K698" s="87">
        <f>H698*G698</f>
        <v>110</v>
      </c>
      <c r="L698" s="3">
        <v>72</v>
      </c>
      <c r="M698" s="30" t="str">
        <f>IF(L698&lt;J698,"Reorder",IF(L698&gt;=J698*1.5,"Overstock","Sufficient"))</f>
        <v>Reorder</v>
      </c>
      <c r="N698" s="30"/>
      <c r="O698" s="3"/>
    </row>
    <row r="699" spans="1:15" x14ac:dyDescent="0.35">
      <c r="A699" s="94" t="s">
        <v>1599</v>
      </c>
      <c r="B699" s="41">
        <v>319</v>
      </c>
      <c r="C699" s="57">
        <v>0.13479623824451412</v>
      </c>
      <c r="D699">
        <v>42</v>
      </c>
      <c r="F699" s="78" t="s">
        <v>1599</v>
      </c>
      <c r="G699" s="45">
        <v>319</v>
      </c>
      <c r="H699" s="79">
        <f>ROUNDUP(VLOOKUP(F699,$A$10:$C$782,3,0),0)</f>
        <v>2</v>
      </c>
      <c r="I699" s="80">
        <f>$H$7*$H$6*SQRT(G699)</f>
        <v>153.24370003363921</v>
      </c>
      <c r="J699" s="80">
        <f>(H699*G699)+I699</f>
        <v>791.24370003363924</v>
      </c>
      <c r="K699" s="87">
        <f>H699*G699</f>
        <v>638</v>
      </c>
      <c r="L699" s="3">
        <v>42</v>
      </c>
      <c r="M699" s="30" t="str">
        <f>IF(L699&lt;J699,"Reorder",IF(L699&gt;=J699*1.5,"Overstock","Sufficient"))</f>
        <v>Reorder</v>
      </c>
      <c r="N699" s="30"/>
      <c r="O699" s="3"/>
    </row>
    <row r="700" spans="1:15" x14ac:dyDescent="0.35">
      <c r="A700" s="94" t="s">
        <v>1020</v>
      </c>
      <c r="B700" s="41">
        <v>138</v>
      </c>
      <c r="C700" s="57">
        <v>0.21739130434782608</v>
      </c>
      <c r="D700">
        <v>28</v>
      </c>
      <c r="F700" s="78" t="s">
        <v>1020</v>
      </c>
      <c r="G700" s="45">
        <v>138</v>
      </c>
      <c r="H700" s="79">
        <f>ROUNDUP(VLOOKUP(F700,$A$10:$C$782,3,0),0)</f>
        <v>2</v>
      </c>
      <c r="I700" s="80">
        <f>$H$7*$H$6*SQRT(G700)</f>
        <v>100.79217826795886</v>
      </c>
      <c r="J700" s="80">
        <f>(H700*G700)+I700</f>
        <v>376.79217826795889</v>
      </c>
      <c r="K700" s="87">
        <f>H700*G700</f>
        <v>276</v>
      </c>
      <c r="L700" s="3">
        <v>28</v>
      </c>
      <c r="M700" s="30" t="str">
        <f>IF(L700&lt;J700,"Reorder",IF(L700&gt;=J700*1.5,"Overstock","Sufficient"))</f>
        <v>Reorder</v>
      </c>
      <c r="N700" s="30"/>
      <c r="O700" s="3"/>
    </row>
    <row r="701" spans="1:15" x14ac:dyDescent="0.35">
      <c r="A701" s="94" t="s">
        <v>948</v>
      </c>
      <c r="B701" s="41">
        <v>70</v>
      </c>
      <c r="C701" s="57">
        <v>1.2</v>
      </c>
      <c r="D701">
        <v>26</v>
      </c>
      <c r="F701" s="78" t="s">
        <v>948</v>
      </c>
      <c r="G701" s="45">
        <v>70</v>
      </c>
      <c r="H701" s="79">
        <f>ROUNDUP(VLOOKUP(F701,$A$10:$C$782,3,0),0)</f>
        <v>2</v>
      </c>
      <c r="I701" s="80">
        <f>$H$7*$H$6*SQRT(G701)</f>
        <v>71.785430276623686</v>
      </c>
      <c r="J701" s="80">
        <f>(H701*G701)+I701</f>
        <v>211.78543027662369</v>
      </c>
      <c r="K701" s="87">
        <f>H701*G701</f>
        <v>140</v>
      </c>
      <c r="L701" s="3">
        <v>26</v>
      </c>
      <c r="M701" s="30" t="str">
        <f>IF(L701&lt;J701,"Reorder",IF(L701&gt;=J701*1.5,"Overstock","Sufficient"))</f>
        <v>Reorder</v>
      </c>
      <c r="N701" s="30"/>
      <c r="O701" s="3"/>
    </row>
    <row r="702" spans="1:15" x14ac:dyDescent="0.35">
      <c r="A702" s="14" t="s">
        <v>736</v>
      </c>
      <c r="B702" s="41">
        <v>632</v>
      </c>
      <c r="C702" s="57">
        <v>2.4053151709401712</v>
      </c>
      <c r="D702">
        <v>173</v>
      </c>
      <c r="F702" s="72" t="s">
        <v>736</v>
      </c>
      <c r="G702" s="73"/>
      <c r="H702" s="74"/>
      <c r="I702" s="75"/>
      <c r="J702" s="74"/>
      <c r="K702" s="79"/>
      <c r="L702" s="76">
        <v>173</v>
      </c>
      <c r="M702" s="77"/>
      <c r="N702" s="85" t="str">
        <f>IFERROR(VLOOKUP(F702,'ABC Analysis'!$E$18:$M$138,9,0),0)</f>
        <v>B</v>
      </c>
      <c r="O702" s="86">
        <f>IFERROR(VLOOKUP(F702,'ABC Analysis'!$E$18:$G$138,3,0),0)</f>
        <v>4.3861007198607912E-3</v>
      </c>
    </row>
    <row r="703" spans="1:15" x14ac:dyDescent="0.35">
      <c r="A703" s="94" t="s">
        <v>2856</v>
      </c>
      <c r="B703" s="41">
        <v>36</v>
      </c>
      <c r="C703" s="57">
        <v>1.3888888888888888</v>
      </c>
      <c r="D703">
        <v>16</v>
      </c>
      <c r="F703" s="78" t="s">
        <v>2856</v>
      </c>
      <c r="G703" s="45">
        <v>36</v>
      </c>
      <c r="H703" s="79">
        <f>ROUNDUP(VLOOKUP(F703,$A$10:$C$782,3,0),0)</f>
        <v>1</v>
      </c>
      <c r="I703" s="80">
        <f>$H$7*$H$6*SQRT(G703)</f>
        <v>51.480000000000004</v>
      </c>
      <c r="J703" s="80">
        <f>(H703*G703)+I703</f>
        <v>87.48</v>
      </c>
      <c r="K703" s="87">
        <f>H703*G703</f>
        <v>36</v>
      </c>
      <c r="L703" s="3">
        <v>16</v>
      </c>
      <c r="M703" s="30" t="str">
        <f>IF(L703&lt;J703,"Reorder",IF(L703&gt;=J703*1.5,"Overstock","Sufficient"))</f>
        <v>Reorder</v>
      </c>
      <c r="N703" s="30"/>
      <c r="O703" s="3"/>
    </row>
    <row r="704" spans="1:15" x14ac:dyDescent="0.35">
      <c r="A704" s="94" t="s">
        <v>633</v>
      </c>
      <c r="B704" s="41">
        <v>300</v>
      </c>
      <c r="C704" s="57">
        <v>0.16666666666666666</v>
      </c>
      <c r="D704">
        <v>41</v>
      </c>
      <c r="F704" s="78" t="s">
        <v>633</v>
      </c>
      <c r="G704" s="45">
        <v>300</v>
      </c>
      <c r="H704" s="79">
        <f>ROUNDUP(VLOOKUP(F704,$A$10:$C$782,3,0),0)</f>
        <v>1</v>
      </c>
      <c r="I704" s="80">
        <f>$H$7*$H$6*SQRT(G704)</f>
        <v>148.60995928940969</v>
      </c>
      <c r="J704" s="80">
        <f>(H704*G704)+I704</f>
        <v>448.60995928940969</v>
      </c>
      <c r="K704" s="87">
        <f>H704*G704</f>
        <v>300</v>
      </c>
      <c r="L704" s="3">
        <v>41</v>
      </c>
      <c r="M704" s="30" t="str">
        <f>IF(L704&lt;J704,"Reorder",IF(L704&gt;=J704*1.5,"Overstock","Sufficient"))</f>
        <v>Reorder</v>
      </c>
      <c r="N704" s="30"/>
      <c r="O704" s="3"/>
    </row>
    <row r="705" spans="1:15" x14ac:dyDescent="0.35">
      <c r="A705" s="94" t="s">
        <v>1214</v>
      </c>
      <c r="B705" s="41">
        <v>104</v>
      </c>
      <c r="C705" s="57">
        <v>0.74038461538461542</v>
      </c>
      <c r="D705">
        <v>34</v>
      </c>
      <c r="F705" s="78" t="s">
        <v>1214</v>
      </c>
      <c r="G705" s="45">
        <v>104</v>
      </c>
      <c r="H705" s="79">
        <f>ROUNDUP(VLOOKUP(F705,$A$10:$C$782,3,0),0)</f>
        <v>1</v>
      </c>
      <c r="I705" s="80">
        <f>$H$7*$H$6*SQRT(G705)</f>
        <v>87.499174853252185</v>
      </c>
      <c r="J705" s="80">
        <f>(H705*G705)+I705</f>
        <v>191.49917485325219</v>
      </c>
      <c r="K705" s="87">
        <f>H705*G705</f>
        <v>104</v>
      </c>
      <c r="L705" s="3">
        <v>34</v>
      </c>
      <c r="M705" s="30" t="str">
        <f>IF(L705&lt;J705,"Reorder",IF(L705&gt;=J705*1.5,"Overstock","Sufficient"))</f>
        <v>Reorder</v>
      </c>
      <c r="N705" s="30"/>
      <c r="O705" s="3"/>
    </row>
    <row r="706" spans="1:15" x14ac:dyDescent="0.35">
      <c r="A706" s="94" t="s">
        <v>458</v>
      </c>
      <c r="B706" s="41">
        <v>192</v>
      </c>
      <c r="C706" s="57">
        <v>0.109375</v>
      </c>
      <c r="D706">
        <v>82</v>
      </c>
      <c r="F706" s="78" t="s">
        <v>458</v>
      </c>
      <c r="G706" s="45">
        <v>192</v>
      </c>
      <c r="H706" s="79">
        <f>ROUNDUP(VLOOKUP(F706,$A$10:$C$782,3,0),0)</f>
        <v>1</v>
      </c>
      <c r="I706" s="80">
        <f>$H$7*$H$6*SQRT(G706)</f>
        <v>118.88796743152773</v>
      </c>
      <c r="J706" s="80">
        <f>(H706*G706)+I706</f>
        <v>310.88796743152773</v>
      </c>
      <c r="K706" s="87">
        <f>H706*G706</f>
        <v>192</v>
      </c>
      <c r="L706" s="3">
        <v>82</v>
      </c>
      <c r="M706" s="30" t="str">
        <f>IF(L706&lt;J706,"Reorder",IF(L706&gt;=J706*1.5,"Overstock","Sufficient"))</f>
        <v>Reorder</v>
      </c>
      <c r="N706" s="30"/>
      <c r="O706" s="3"/>
    </row>
    <row r="707" spans="1:15" x14ac:dyDescent="0.35">
      <c r="A707" s="14" t="s">
        <v>380</v>
      </c>
      <c r="B707" s="41">
        <v>1110</v>
      </c>
      <c r="C707" s="57">
        <v>2.1335897915904694</v>
      </c>
      <c r="D707">
        <v>272</v>
      </c>
      <c r="F707" s="72" t="s">
        <v>380</v>
      </c>
      <c r="G707" s="73"/>
      <c r="H707" s="74"/>
      <c r="I707" s="75"/>
      <c r="J707" s="74"/>
      <c r="K707" s="79"/>
      <c r="L707" s="76">
        <v>272</v>
      </c>
      <c r="M707" s="77"/>
      <c r="N707" s="85" t="str">
        <f>IFERROR(VLOOKUP(F707,'ABC Analysis'!$E$18:$M$138,9,0),0)</f>
        <v>B</v>
      </c>
      <c r="O707" s="86">
        <f>IFERROR(VLOOKUP(F707,'ABC Analysis'!$E$18:$G$138,3,0),0)</f>
        <v>4.8592767511623294E-3</v>
      </c>
    </row>
    <row r="708" spans="1:15" x14ac:dyDescent="0.35">
      <c r="A708" s="94" t="s">
        <v>536</v>
      </c>
      <c r="B708" s="41">
        <v>246</v>
      </c>
      <c r="C708" s="57">
        <v>0.36585365853658536</v>
      </c>
      <c r="D708">
        <v>14</v>
      </c>
      <c r="F708" s="78" t="s">
        <v>536</v>
      </c>
      <c r="G708" s="45">
        <v>246</v>
      </c>
      <c r="H708" s="79">
        <f>ROUNDUP(VLOOKUP(F708,$A$10:$C$782,3,0),0)</f>
        <v>1</v>
      </c>
      <c r="I708" s="80">
        <f>$H$7*$H$6*SQRT(G708)</f>
        <v>134.57204167285269</v>
      </c>
      <c r="J708" s="80">
        <f>(H708*G708)+I708</f>
        <v>380.57204167285272</v>
      </c>
      <c r="K708" s="87">
        <f>H708*G708</f>
        <v>246</v>
      </c>
      <c r="L708" s="3">
        <v>14</v>
      </c>
      <c r="M708" s="30" t="str">
        <f>IF(L708&lt;J708,"Reorder",IF(L708&gt;=J708*1.5,"Overstock","Sufficient"))</f>
        <v>Reorder</v>
      </c>
      <c r="N708" s="30"/>
      <c r="O708" s="3"/>
    </row>
    <row r="709" spans="1:15" x14ac:dyDescent="0.35">
      <c r="A709" s="94" t="s">
        <v>904</v>
      </c>
      <c r="B709" s="41">
        <v>223</v>
      </c>
      <c r="C709" s="57">
        <v>0.26905829596412556</v>
      </c>
      <c r="D709">
        <v>29</v>
      </c>
      <c r="F709" s="78" t="s">
        <v>904</v>
      </c>
      <c r="G709" s="45">
        <v>223</v>
      </c>
      <c r="H709" s="79">
        <f>ROUNDUP(VLOOKUP(F709,$A$10:$C$782,3,0),0)</f>
        <v>1</v>
      </c>
      <c r="I709" s="80">
        <f>$H$7*$H$6*SQRT(G709)</f>
        <v>128.1267232079241</v>
      </c>
      <c r="J709" s="80">
        <f>(H709*G709)+I709</f>
        <v>351.1267232079241</v>
      </c>
      <c r="K709" s="87">
        <f>H709*G709</f>
        <v>223</v>
      </c>
      <c r="L709" s="3">
        <v>29</v>
      </c>
      <c r="M709" s="30" t="str">
        <f>IF(L709&lt;J709,"Reorder",IF(L709&gt;=J709*1.5,"Overstock","Sufficient"))</f>
        <v>Reorder</v>
      </c>
      <c r="N709" s="30"/>
      <c r="O709" s="3"/>
    </row>
    <row r="710" spans="1:15" x14ac:dyDescent="0.35">
      <c r="A710" s="94" t="s">
        <v>1770</v>
      </c>
      <c r="B710" s="41">
        <v>72</v>
      </c>
      <c r="C710" s="57">
        <v>0.95833333333333337</v>
      </c>
      <c r="D710">
        <v>55</v>
      </c>
      <c r="F710" s="78" t="s">
        <v>1770</v>
      </c>
      <c r="G710" s="45">
        <v>72</v>
      </c>
      <c r="H710" s="79">
        <f>ROUNDUP(VLOOKUP(F710,$A$10:$C$782,3,0),0)</f>
        <v>1</v>
      </c>
      <c r="I710" s="80">
        <f>$H$7*$H$6*SQRT(G710)</f>
        <v>72.803714190966929</v>
      </c>
      <c r="J710" s="80">
        <f>(H710*G710)+I710</f>
        <v>144.80371419096693</v>
      </c>
      <c r="K710" s="87">
        <f>H710*G710</f>
        <v>72</v>
      </c>
      <c r="L710" s="3">
        <v>55</v>
      </c>
      <c r="M710" s="30" t="str">
        <f>IF(L710&lt;J710,"Reorder",IF(L710&gt;=J710*1.5,"Overstock","Sufficient"))</f>
        <v>Reorder</v>
      </c>
      <c r="N710" s="30"/>
      <c r="O710" s="3"/>
    </row>
    <row r="711" spans="1:15" x14ac:dyDescent="0.35">
      <c r="A711" s="94" t="s">
        <v>808</v>
      </c>
      <c r="B711" s="41">
        <v>288</v>
      </c>
      <c r="C711" s="57">
        <v>0.30902777777777779</v>
      </c>
      <c r="D711">
        <v>98</v>
      </c>
      <c r="F711" s="78" t="s">
        <v>808</v>
      </c>
      <c r="G711" s="45">
        <v>288</v>
      </c>
      <c r="H711" s="79">
        <f>ROUNDUP(VLOOKUP(F711,$A$10:$C$782,3,0),0)</f>
        <v>1</v>
      </c>
      <c r="I711" s="80">
        <f>$H$7*$H$6*SQRT(G711)</f>
        <v>145.60742838193386</v>
      </c>
      <c r="J711" s="80">
        <f>(H711*G711)+I711</f>
        <v>433.60742838193386</v>
      </c>
      <c r="K711" s="87">
        <f>H711*G711</f>
        <v>288</v>
      </c>
      <c r="L711" s="3">
        <v>98</v>
      </c>
      <c r="M711" s="30" t="str">
        <f>IF(L711&lt;J711,"Reorder",IF(L711&gt;=J711*1.5,"Overstock","Sufficient"))</f>
        <v>Reorder</v>
      </c>
      <c r="N711" s="30"/>
      <c r="O711" s="3"/>
    </row>
    <row r="712" spans="1:15" x14ac:dyDescent="0.35">
      <c r="A712" s="94" t="s">
        <v>381</v>
      </c>
      <c r="B712" s="41">
        <v>281</v>
      </c>
      <c r="C712" s="57">
        <v>0.23131672597864769</v>
      </c>
      <c r="D712">
        <v>76</v>
      </c>
      <c r="F712" s="78" t="s">
        <v>381</v>
      </c>
      <c r="G712" s="45">
        <v>281</v>
      </c>
      <c r="H712" s="79">
        <f>ROUNDUP(VLOOKUP(F712,$A$10:$C$782,3,0),0)</f>
        <v>1</v>
      </c>
      <c r="I712" s="80">
        <f>$H$7*$H$6*SQRT(G712)</f>
        <v>143.82700859018101</v>
      </c>
      <c r="J712" s="80">
        <f>(H712*G712)+I712</f>
        <v>424.82700859018098</v>
      </c>
      <c r="K712" s="87">
        <f>H712*G712</f>
        <v>281</v>
      </c>
      <c r="L712" s="3">
        <v>76</v>
      </c>
      <c r="M712" s="30" t="str">
        <f>IF(L712&lt;J712,"Reorder",IF(L712&gt;=J712*1.5,"Overstock","Sufficient"))</f>
        <v>Reorder</v>
      </c>
      <c r="N712" s="30"/>
      <c r="O712" s="3"/>
    </row>
    <row r="713" spans="1:15" x14ac:dyDescent="0.35">
      <c r="A713" s="14" t="s">
        <v>980</v>
      </c>
      <c r="B713" s="41">
        <v>776</v>
      </c>
      <c r="C713" s="57">
        <v>2.0491724057237013</v>
      </c>
      <c r="D713">
        <v>351</v>
      </c>
      <c r="F713" s="72" t="s">
        <v>980</v>
      </c>
      <c r="G713" s="73"/>
      <c r="H713" s="74"/>
      <c r="I713" s="75"/>
      <c r="J713" s="74"/>
      <c r="K713" s="79"/>
      <c r="L713" s="76">
        <v>351</v>
      </c>
      <c r="M713" s="77"/>
      <c r="N713" s="85" t="str">
        <f>IFERROR(VLOOKUP(F713,'ABC Analysis'!$E$18:$M$138,9,0),0)</f>
        <v>A</v>
      </c>
      <c r="O713" s="86">
        <f>IFERROR(VLOOKUP(F713,'ABC Analysis'!$E$18:$G$138,3,0),0)</f>
        <v>2.156741579136846E-2</v>
      </c>
    </row>
    <row r="714" spans="1:15" x14ac:dyDescent="0.35">
      <c r="A714" s="94" t="s">
        <v>1704</v>
      </c>
      <c r="B714" s="41">
        <v>197</v>
      </c>
      <c r="C714" s="57">
        <v>0.21827411167512689</v>
      </c>
      <c r="D714">
        <v>52</v>
      </c>
      <c r="F714" s="78" t="s">
        <v>1704</v>
      </c>
      <c r="G714" s="45">
        <v>197</v>
      </c>
      <c r="H714" s="79">
        <f>ROUNDUP(VLOOKUP(F714,$A$10:$C$782,3,0),0)</f>
        <v>4</v>
      </c>
      <c r="I714" s="80">
        <f>$H$7*$H$6*SQRT(G714)</f>
        <v>120.42603871256415</v>
      </c>
      <c r="J714" s="80">
        <f>(H714*G714)+I714</f>
        <v>908.42603871256415</v>
      </c>
      <c r="K714" s="87">
        <f>H714*G714</f>
        <v>788</v>
      </c>
      <c r="L714" s="3">
        <v>52</v>
      </c>
      <c r="M714" s="30" t="str">
        <f>IF(L714&lt;J714,"Reorder",IF(L714&gt;=J714*1.5,"Overstock","Sufficient"))</f>
        <v>Reorder</v>
      </c>
      <c r="N714" s="30"/>
      <c r="O714" s="3"/>
    </row>
    <row r="715" spans="1:15" x14ac:dyDescent="0.35">
      <c r="A715" s="94" t="s">
        <v>3371</v>
      </c>
      <c r="B715" s="41">
        <v>99</v>
      </c>
      <c r="C715" s="57">
        <v>0.89898989898989901</v>
      </c>
      <c r="D715">
        <v>73</v>
      </c>
      <c r="F715" s="78" t="s">
        <v>3371</v>
      </c>
      <c r="G715" s="45">
        <v>99</v>
      </c>
      <c r="H715" s="79">
        <f>ROUNDUP(VLOOKUP(F715,$A$10:$C$782,3,0),0)</f>
        <v>1</v>
      </c>
      <c r="I715" s="80">
        <f>$H$7*$H$6*SQRT(G715)</f>
        <v>85.369922103747996</v>
      </c>
      <c r="J715" s="80">
        <f>(H715*G715)+I715</f>
        <v>184.369922103748</v>
      </c>
      <c r="K715" s="87">
        <f>H715*G715</f>
        <v>99</v>
      </c>
      <c r="L715" s="3">
        <v>73</v>
      </c>
      <c r="M715" s="30" t="str">
        <f>IF(L715&lt;J715,"Reorder",IF(L715&gt;=J715*1.5,"Overstock","Sufficient"))</f>
        <v>Reorder</v>
      </c>
      <c r="N715" s="30"/>
      <c r="O715" s="3"/>
    </row>
    <row r="716" spans="1:15" x14ac:dyDescent="0.35">
      <c r="A716" s="94" t="s">
        <v>1595</v>
      </c>
      <c r="B716" s="41">
        <v>204</v>
      </c>
      <c r="C716" s="57">
        <v>0.47058823529411764</v>
      </c>
      <c r="D716">
        <v>49</v>
      </c>
      <c r="F716" s="78" t="s">
        <v>1595</v>
      </c>
      <c r="G716" s="45">
        <v>204</v>
      </c>
      <c r="H716" s="79">
        <f>ROUNDUP(VLOOKUP(F716,$A$10:$C$782,3,0),0)</f>
        <v>3</v>
      </c>
      <c r="I716" s="80">
        <f>$H$7*$H$6*SQRT(G716)</f>
        <v>122.54691183379532</v>
      </c>
      <c r="J716" s="80">
        <f>(H716*G716)+I716</f>
        <v>734.54691183379532</v>
      </c>
      <c r="K716" s="87">
        <f>H716*G716</f>
        <v>612</v>
      </c>
      <c r="L716" s="3">
        <v>49</v>
      </c>
      <c r="M716" s="30" t="str">
        <f>IF(L716&lt;J716,"Reorder",IF(L716&gt;=J716*1.5,"Overstock","Sufficient"))</f>
        <v>Reorder</v>
      </c>
      <c r="N716" s="30"/>
      <c r="O716" s="3"/>
    </row>
    <row r="717" spans="1:15" x14ac:dyDescent="0.35">
      <c r="A717" s="94" t="s">
        <v>692</v>
      </c>
      <c r="B717" s="41">
        <v>142</v>
      </c>
      <c r="C717" s="57">
        <v>0.14788732394366197</v>
      </c>
      <c r="D717">
        <v>98</v>
      </c>
      <c r="F717" s="78" t="s">
        <v>692</v>
      </c>
      <c r="G717" s="45">
        <v>142</v>
      </c>
      <c r="H717" s="79">
        <f>ROUNDUP(VLOOKUP(F717,$A$10:$C$782,3,0),0)</f>
        <v>1</v>
      </c>
      <c r="I717" s="80">
        <f>$H$7*$H$6*SQRT(G717)</f>
        <v>102.24249996943541</v>
      </c>
      <c r="J717" s="80">
        <f>(H717*G717)+I717</f>
        <v>244.24249996943541</v>
      </c>
      <c r="K717" s="87">
        <f>H717*G717</f>
        <v>142</v>
      </c>
      <c r="L717" s="3">
        <v>98</v>
      </c>
      <c r="M717" s="30" t="str">
        <f>IF(L717&lt;J717,"Reorder",IF(L717&gt;=J717*1.5,"Overstock","Sufficient"))</f>
        <v>Reorder</v>
      </c>
      <c r="N717" s="30"/>
      <c r="O717" s="3"/>
    </row>
    <row r="718" spans="1:15" x14ac:dyDescent="0.35">
      <c r="A718" s="94" t="s">
        <v>1332</v>
      </c>
      <c r="B718" s="41">
        <v>134</v>
      </c>
      <c r="C718" s="57">
        <v>0.31343283582089554</v>
      </c>
      <c r="D718">
        <v>79</v>
      </c>
      <c r="F718" s="78" t="s">
        <v>1332</v>
      </c>
      <c r="G718" s="45">
        <v>134</v>
      </c>
      <c r="H718" s="79">
        <f>ROUNDUP(VLOOKUP(F718,$A$10:$C$782,3,0),0)</f>
        <v>1</v>
      </c>
      <c r="I718" s="80">
        <f>$H$7*$H$6*SQRT(G718)</f>
        <v>99.320680625940142</v>
      </c>
      <c r="J718" s="80">
        <f>(H718*G718)+I718</f>
        <v>233.32068062594016</v>
      </c>
      <c r="K718" s="87">
        <f>H718*G718</f>
        <v>134</v>
      </c>
      <c r="L718" s="3">
        <v>79</v>
      </c>
      <c r="M718" s="30" t="str">
        <f>IF(L718&lt;J718,"Reorder",IF(L718&gt;=J718*1.5,"Overstock","Sufficient"))</f>
        <v>Reorder</v>
      </c>
      <c r="N718" s="30"/>
      <c r="O718" s="3"/>
    </row>
    <row r="719" spans="1:15" x14ac:dyDescent="0.35">
      <c r="A719" s="14" t="s">
        <v>600</v>
      </c>
      <c r="B719" s="41">
        <v>379</v>
      </c>
      <c r="C719" s="57">
        <v>1.9368913709652662</v>
      </c>
      <c r="D719">
        <v>210</v>
      </c>
      <c r="F719" s="72" t="s">
        <v>600</v>
      </c>
      <c r="G719" s="73"/>
      <c r="H719" s="74"/>
      <c r="I719" s="75"/>
      <c r="J719" s="74"/>
      <c r="K719" s="79"/>
      <c r="L719" s="76">
        <v>210</v>
      </c>
      <c r="M719" s="77"/>
      <c r="N719" s="85" t="str">
        <f>IFERROR(VLOOKUP(F719,'ABC Analysis'!$E$18:$M$138,9,0),0)</f>
        <v>C</v>
      </c>
      <c r="O719" s="86">
        <f>IFERROR(VLOOKUP(F719,'ABC Analysis'!$E$18:$G$138,3,0),0)</f>
        <v>2.2248568519055447E-3</v>
      </c>
    </row>
    <row r="720" spans="1:15" x14ac:dyDescent="0.35">
      <c r="A720" s="94" t="s">
        <v>504</v>
      </c>
      <c r="B720" s="41">
        <v>74</v>
      </c>
      <c r="C720" s="57">
        <v>0.28378378378378377</v>
      </c>
      <c r="D720">
        <v>52</v>
      </c>
      <c r="F720" s="78" t="s">
        <v>504</v>
      </c>
      <c r="G720" s="45">
        <v>74</v>
      </c>
      <c r="H720" s="79">
        <f>ROUNDUP(VLOOKUP(F720,$A$10:$C$782,3,0),0)</f>
        <v>3</v>
      </c>
      <c r="I720" s="80">
        <f>$H$7*$H$6*SQRT(G720)</f>
        <v>73.807950791225736</v>
      </c>
      <c r="J720" s="80">
        <f>(H720*G720)+I720</f>
        <v>295.80795079122572</v>
      </c>
      <c r="K720" s="87">
        <f>H720*G720</f>
        <v>222</v>
      </c>
      <c r="L720" s="3">
        <v>52</v>
      </c>
      <c r="M720" s="30" t="str">
        <f>IF(L720&lt;J720,"Reorder",IF(L720&gt;=J720*1.5,"Overstock","Sufficient"))</f>
        <v>Reorder</v>
      </c>
      <c r="N720" s="30"/>
      <c r="O720" s="3"/>
    </row>
    <row r="721" spans="1:15" x14ac:dyDescent="0.35">
      <c r="A721" s="94" t="s">
        <v>1271</v>
      </c>
      <c r="B721" s="41">
        <v>81</v>
      </c>
      <c r="C721" s="57">
        <v>0.51851851851851849</v>
      </c>
      <c r="D721">
        <v>60</v>
      </c>
      <c r="F721" s="78" t="s">
        <v>1271</v>
      </c>
      <c r="G721" s="45">
        <v>81</v>
      </c>
      <c r="H721" s="79">
        <f>ROUNDUP(VLOOKUP(F721,$A$10:$C$782,3,0),0)</f>
        <v>6</v>
      </c>
      <c r="I721" s="80">
        <f>$H$7*$H$6*SQRT(G721)</f>
        <v>77.22</v>
      </c>
      <c r="J721" s="80">
        <f>(H721*G721)+I721</f>
        <v>563.22</v>
      </c>
      <c r="K721" s="87">
        <f>H721*G721</f>
        <v>486</v>
      </c>
      <c r="L721" s="3">
        <v>60</v>
      </c>
      <c r="M721" s="30" t="str">
        <f>IF(L721&lt;J721,"Reorder",IF(L721&gt;=J721*1.5,"Overstock","Sufficient"))</f>
        <v>Reorder</v>
      </c>
      <c r="N721" s="30"/>
      <c r="O721" s="3"/>
    </row>
    <row r="722" spans="1:15" x14ac:dyDescent="0.35">
      <c r="A722" s="94" t="s">
        <v>334</v>
      </c>
      <c r="B722" s="41">
        <v>123</v>
      </c>
      <c r="C722" s="57">
        <v>0.38211382113821141</v>
      </c>
      <c r="D722">
        <v>70</v>
      </c>
      <c r="F722" s="78" t="s">
        <v>334</v>
      </c>
      <c r="G722" s="45">
        <v>123</v>
      </c>
      <c r="H722" s="79">
        <f>ROUNDUP(VLOOKUP(F722,$A$10:$C$782,3,0),0)</f>
        <v>1</v>
      </c>
      <c r="I722" s="80">
        <f>$H$7*$H$6*SQRT(G722)</f>
        <v>95.1568032249928</v>
      </c>
      <c r="J722" s="80">
        <f>(H722*G722)+I722</f>
        <v>218.15680322499281</v>
      </c>
      <c r="K722" s="87">
        <f>H722*G722</f>
        <v>123</v>
      </c>
      <c r="L722" s="3">
        <v>70</v>
      </c>
      <c r="M722" s="30" t="str">
        <f>IF(L722&lt;J722,"Reorder",IF(L722&gt;=J722*1.5,"Overstock","Sufficient"))</f>
        <v>Reorder</v>
      </c>
      <c r="N722" s="30"/>
      <c r="O722" s="3"/>
    </row>
    <row r="723" spans="1:15" x14ac:dyDescent="0.35">
      <c r="A723" s="94" t="s">
        <v>601</v>
      </c>
      <c r="B723" s="41">
        <v>101</v>
      </c>
      <c r="C723" s="57">
        <v>0.75247524752475248</v>
      </c>
      <c r="D723">
        <v>28</v>
      </c>
      <c r="F723" s="78" t="s">
        <v>601</v>
      </c>
      <c r="G723" s="45">
        <v>101</v>
      </c>
      <c r="H723" s="79">
        <f>ROUNDUP(VLOOKUP(F723,$A$10:$C$782,3,0),0)</f>
        <v>5</v>
      </c>
      <c r="I723" s="80">
        <f>$H$7*$H$6*SQRT(G723)</f>
        <v>86.227932829217238</v>
      </c>
      <c r="J723" s="80">
        <f>(H723*G723)+I723</f>
        <v>591.22793282921725</v>
      </c>
      <c r="K723" s="87">
        <f>H723*G723</f>
        <v>505</v>
      </c>
      <c r="L723" s="3">
        <v>28</v>
      </c>
      <c r="M723" s="30" t="str">
        <f>IF(L723&lt;J723,"Reorder",IF(L723&gt;=J723*1.5,"Overstock","Sufficient"))</f>
        <v>Reorder</v>
      </c>
      <c r="N723" s="30"/>
      <c r="O723" s="3"/>
    </row>
    <row r="724" spans="1:15" x14ac:dyDescent="0.35">
      <c r="A724" s="14" t="s">
        <v>263</v>
      </c>
      <c r="B724" s="41">
        <v>380</v>
      </c>
      <c r="C724" s="57">
        <v>1.8078531734425272</v>
      </c>
      <c r="D724">
        <v>211</v>
      </c>
      <c r="F724" s="72" t="s">
        <v>263</v>
      </c>
      <c r="G724" s="73"/>
      <c r="H724" s="74"/>
      <c r="I724" s="75"/>
      <c r="J724" s="74"/>
      <c r="K724" s="79"/>
      <c r="L724" s="76">
        <v>211</v>
      </c>
      <c r="M724" s="77"/>
      <c r="N724" s="85" t="str">
        <f>IFERROR(VLOOKUP(F724,'ABC Analysis'!$E$18:$M$138,9,0),0)</f>
        <v>A</v>
      </c>
      <c r="O724" s="86">
        <f>IFERROR(VLOOKUP(F724,'ABC Analysis'!$E$18:$G$138,3,0),0)</f>
        <v>6.7098626906479646E-3</v>
      </c>
    </row>
    <row r="725" spans="1:15" x14ac:dyDescent="0.35">
      <c r="A725" s="94" t="s">
        <v>1812</v>
      </c>
      <c r="B725" s="41">
        <v>65</v>
      </c>
      <c r="C725" s="57">
        <v>0.58461538461538465</v>
      </c>
      <c r="D725">
        <v>28</v>
      </c>
      <c r="F725" s="78" t="s">
        <v>1812</v>
      </c>
      <c r="G725" s="45">
        <v>65</v>
      </c>
      <c r="H725" s="79">
        <f>ROUNDUP(VLOOKUP(F725,$A$10:$C$782,3,0),0)</f>
        <v>5</v>
      </c>
      <c r="I725" s="80">
        <f>$H$7*$H$6*SQRT(G725)</f>
        <v>69.174171480401554</v>
      </c>
      <c r="J725" s="80">
        <f>(H725*G725)+I725</f>
        <v>394.17417148040158</v>
      </c>
      <c r="K725" s="87">
        <f>H725*G725</f>
        <v>325</v>
      </c>
      <c r="L725" s="3">
        <v>28</v>
      </c>
      <c r="M725" s="30" t="str">
        <f>IF(L725&lt;J725,"Reorder",IF(L725&gt;=J725*1.5,"Overstock","Sufficient"))</f>
        <v>Reorder</v>
      </c>
      <c r="N725" s="30"/>
      <c r="O725" s="3"/>
    </row>
    <row r="726" spans="1:15" x14ac:dyDescent="0.35">
      <c r="A726" s="94" t="s">
        <v>1735</v>
      </c>
      <c r="B726" s="41">
        <v>52</v>
      </c>
      <c r="C726" s="57">
        <v>0.90384615384615385</v>
      </c>
      <c r="D726">
        <v>83</v>
      </c>
      <c r="F726" s="78" t="s">
        <v>1735</v>
      </c>
      <c r="G726" s="45">
        <v>52</v>
      </c>
      <c r="H726" s="79">
        <f>ROUNDUP(VLOOKUP(F726,$A$10:$C$782,3,0),0)</f>
        <v>1</v>
      </c>
      <c r="I726" s="80">
        <f>$H$7*$H$6*SQRT(G726)</f>
        <v>61.871259886962051</v>
      </c>
      <c r="J726" s="80">
        <f>(H726*G726)+I726</f>
        <v>113.87125988696205</v>
      </c>
      <c r="K726" s="87">
        <f>H726*G726</f>
        <v>52</v>
      </c>
      <c r="L726" s="3">
        <v>83</v>
      </c>
      <c r="M726" s="30" t="str">
        <f>IF(L726&lt;J726,"Reorder",IF(L726&gt;=J726*1.5,"Overstock","Sufficient"))</f>
        <v>Reorder</v>
      </c>
      <c r="N726" s="30"/>
      <c r="O726" s="3"/>
    </row>
    <row r="727" spans="1:15" x14ac:dyDescent="0.35">
      <c r="A727" s="94" t="s">
        <v>513</v>
      </c>
      <c r="B727" s="41">
        <v>263</v>
      </c>
      <c r="C727" s="57">
        <v>0.3193916349809886</v>
      </c>
      <c r="D727">
        <v>100</v>
      </c>
      <c r="F727" s="78" t="s">
        <v>513</v>
      </c>
      <c r="G727" s="45">
        <v>263</v>
      </c>
      <c r="H727" s="79">
        <f>ROUNDUP(VLOOKUP(F727,$A$10:$C$782,3,0),0)</f>
        <v>1</v>
      </c>
      <c r="I727" s="80">
        <f>$H$7*$H$6*SQRT(G727)</f>
        <v>139.14421727114643</v>
      </c>
      <c r="J727" s="80">
        <f>(H727*G727)+I727</f>
        <v>402.14421727114643</v>
      </c>
      <c r="K727" s="87">
        <f>H727*G727</f>
        <v>263</v>
      </c>
      <c r="L727" s="3">
        <v>100</v>
      </c>
      <c r="M727" s="30" t="str">
        <f>IF(L727&lt;J727,"Reorder",IF(L727&gt;=J727*1.5,"Overstock","Sufficient"))</f>
        <v>Reorder</v>
      </c>
      <c r="N727" s="30"/>
      <c r="O727" s="3"/>
    </row>
    <row r="728" spans="1:15" x14ac:dyDescent="0.35">
      <c r="A728" s="14" t="s">
        <v>188</v>
      </c>
      <c r="B728" s="41">
        <v>296</v>
      </c>
      <c r="C728" s="57">
        <v>1.759833916083916</v>
      </c>
      <c r="D728">
        <v>43</v>
      </c>
      <c r="F728" s="72" t="s">
        <v>188</v>
      </c>
      <c r="G728" s="73"/>
      <c r="H728" s="74"/>
      <c r="I728" s="75"/>
      <c r="J728" s="74"/>
      <c r="K728" s="79"/>
      <c r="L728" s="76">
        <v>43</v>
      </c>
      <c r="M728" s="77"/>
      <c r="N728" s="85" t="str">
        <f>IFERROR(VLOOKUP(F728,'ABC Analysis'!$E$18:$M$138,9,0),0)</f>
        <v>C</v>
      </c>
      <c r="O728" s="86">
        <f>IFERROR(VLOOKUP(F728,'ABC Analysis'!$E$18:$G$138,3,0),0)</f>
        <v>7.3605160424683729E-4</v>
      </c>
    </row>
    <row r="729" spans="1:15" x14ac:dyDescent="0.35">
      <c r="A729" s="94" t="s">
        <v>189</v>
      </c>
      <c r="B729" s="41">
        <v>156</v>
      </c>
      <c r="C729" s="57">
        <v>0.29487179487179488</v>
      </c>
      <c r="D729">
        <v>13</v>
      </c>
      <c r="F729" s="78" t="s">
        <v>189</v>
      </c>
      <c r="G729" s="45">
        <v>156</v>
      </c>
      <c r="H729" s="79">
        <f>ROUNDUP(VLOOKUP(F729,$A$10:$C$782,3,0),0)</f>
        <v>1</v>
      </c>
      <c r="I729" s="80">
        <f>$H$7*$H$6*SQRT(G729)</f>
        <v>107.16416565251652</v>
      </c>
      <c r="J729" s="80">
        <f>(H729*G729)+I729</f>
        <v>263.16416565251654</v>
      </c>
      <c r="K729" s="87">
        <f>H729*G729</f>
        <v>156</v>
      </c>
      <c r="L729" s="3">
        <v>13</v>
      </c>
      <c r="M729" s="30" t="str">
        <f>IF(L729&lt;J729,"Reorder",IF(L729&gt;=J729*1.5,"Overstock","Sufficient"))</f>
        <v>Reorder</v>
      </c>
      <c r="N729" s="30"/>
      <c r="O729" s="3"/>
    </row>
    <row r="730" spans="1:15" x14ac:dyDescent="0.35">
      <c r="A730" s="94" t="s">
        <v>3105</v>
      </c>
      <c r="B730" s="41">
        <v>96</v>
      </c>
      <c r="C730" s="57">
        <v>0.76041666666666663</v>
      </c>
      <c r="D730">
        <v>18</v>
      </c>
      <c r="F730" s="78" t="s">
        <v>3105</v>
      </c>
      <c r="G730" s="45">
        <v>96</v>
      </c>
      <c r="H730" s="79">
        <f>ROUNDUP(VLOOKUP(F730,$A$10:$C$782,3,0),0)</f>
        <v>1</v>
      </c>
      <c r="I730" s="80">
        <f>$H$7*$H$6*SQRT(G730)</f>
        <v>84.066487972318669</v>
      </c>
      <c r="J730" s="80">
        <f>(H730*G730)+I730</f>
        <v>180.06648797231867</v>
      </c>
      <c r="K730" s="87">
        <f>H730*G730</f>
        <v>96</v>
      </c>
      <c r="L730" s="3">
        <v>18</v>
      </c>
      <c r="M730" s="30" t="str">
        <f>IF(L730&lt;J730,"Reorder",IF(L730&gt;=J730*1.5,"Overstock","Sufficient"))</f>
        <v>Reorder</v>
      </c>
      <c r="N730" s="30"/>
      <c r="O730" s="3"/>
    </row>
    <row r="731" spans="1:15" x14ac:dyDescent="0.35">
      <c r="A731" s="94" t="s">
        <v>504</v>
      </c>
      <c r="B731" s="41">
        <v>44</v>
      </c>
      <c r="C731" s="57">
        <v>0.70454545454545459</v>
      </c>
      <c r="D731">
        <v>12</v>
      </c>
      <c r="F731" s="78" t="s">
        <v>504</v>
      </c>
      <c r="G731" s="45">
        <v>44</v>
      </c>
      <c r="H731" s="79">
        <f>ROUNDUP(VLOOKUP(F731,$A$10:$C$782,3,0),0)</f>
        <v>3</v>
      </c>
      <c r="I731" s="80">
        <f>$H$7*$H$6*SQRT(G731)</f>
        <v>56.913281402498662</v>
      </c>
      <c r="J731" s="80">
        <f>(H731*G731)+I731</f>
        <v>188.91328140249865</v>
      </c>
      <c r="K731" s="87">
        <f>H731*G731</f>
        <v>132</v>
      </c>
      <c r="L731" s="3">
        <v>12</v>
      </c>
      <c r="M731" s="30" t="str">
        <f>IF(L731&lt;J731,"Reorder",IF(L731&gt;=J731*1.5,"Overstock","Sufficient"))</f>
        <v>Reorder</v>
      </c>
      <c r="N731" s="30"/>
      <c r="O731" s="3"/>
    </row>
    <row r="732" spans="1:15" x14ac:dyDescent="0.35">
      <c r="A732" s="14" t="s">
        <v>156</v>
      </c>
      <c r="B732" s="41">
        <v>1448</v>
      </c>
      <c r="C732" s="57">
        <v>1.5815249916350078</v>
      </c>
      <c r="D732">
        <v>305</v>
      </c>
      <c r="F732" s="72" t="s">
        <v>156</v>
      </c>
      <c r="G732" s="73"/>
      <c r="H732" s="74"/>
      <c r="I732" s="75"/>
      <c r="J732" s="74"/>
      <c r="K732" s="79"/>
      <c r="L732" s="76">
        <v>305</v>
      </c>
      <c r="M732" s="77"/>
      <c r="N732" s="85" t="str">
        <f>IFERROR(VLOOKUP(F732,'ABC Analysis'!$E$18:$M$138,9,0),0)</f>
        <v>A</v>
      </c>
      <c r="O732" s="86">
        <f>IFERROR(VLOOKUP(F732,'ABC Analysis'!$E$18:$G$138,3,0),0)</f>
        <v>1.7126125724701471E-2</v>
      </c>
    </row>
    <row r="733" spans="1:15" x14ac:dyDescent="0.35">
      <c r="A733" s="94" t="s">
        <v>1236</v>
      </c>
      <c r="B733" s="41">
        <v>337</v>
      </c>
      <c r="C733" s="57">
        <v>0.10385756676557864</v>
      </c>
      <c r="D733">
        <v>62</v>
      </c>
      <c r="F733" s="78" t="s">
        <v>1236</v>
      </c>
      <c r="G733" s="45">
        <v>337</v>
      </c>
      <c r="H733" s="79">
        <f t="shared" ref="H733:H738" si="259">ROUNDUP(VLOOKUP(F733,$A$10:$C$782,3,0),0)</f>
        <v>12</v>
      </c>
      <c r="I733" s="80">
        <f t="shared" ref="I733:I738" si="260">$H$7*$H$6*SQRT(G733)</f>
        <v>157.50786266088434</v>
      </c>
      <c r="J733" s="80">
        <f t="shared" ref="J733:J738" si="261">(H733*G733)+I733</f>
        <v>4201.5078626608847</v>
      </c>
      <c r="K733" s="87">
        <f t="shared" ref="K733:K738" si="262">H733*G733</f>
        <v>4044</v>
      </c>
      <c r="L733" s="3">
        <v>62</v>
      </c>
      <c r="M733" s="30" t="str">
        <f t="shared" ref="M733:M738" si="263">IF(L733&lt;J733,"Reorder",IF(L733&gt;=J733*1.5,"Overstock","Sufficient"))</f>
        <v>Reorder</v>
      </c>
      <c r="N733" s="30"/>
      <c r="O733" s="3"/>
    </row>
    <row r="734" spans="1:15" x14ac:dyDescent="0.35">
      <c r="A734" s="94" t="s">
        <v>356</v>
      </c>
      <c r="B734" s="41">
        <v>289</v>
      </c>
      <c r="C734" s="57">
        <v>0.32871972318339099</v>
      </c>
      <c r="D734">
        <v>61</v>
      </c>
      <c r="F734" s="78" t="s">
        <v>356</v>
      </c>
      <c r="G734" s="45">
        <v>289</v>
      </c>
      <c r="H734" s="79">
        <f t="shared" si="259"/>
        <v>5</v>
      </c>
      <c r="I734" s="80">
        <f t="shared" si="260"/>
        <v>145.86000000000001</v>
      </c>
      <c r="J734" s="80">
        <f t="shared" si="261"/>
        <v>1590.8600000000001</v>
      </c>
      <c r="K734" s="87">
        <f t="shared" si="262"/>
        <v>1445</v>
      </c>
      <c r="L734" s="3">
        <v>61</v>
      </c>
      <c r="M734" s="30" t="str">
        <f t="shared" si="263"/>
        <v>Reorder</v>
      </c>
      <c r="N734" s="30"/>
      <c r="O734" s="3"/>
    </row>
    <row r="735" spans="1:15" x14ac:dyDescent="0.35">
      <c r="A735" s="94" t="s">
        <v>1175</v>
      </c>
      <c r="B735" s="41">
        <v>189</v>
      </c>
      <c r="C735" s="57">
        <v>0.20105820105820105</v>
      </c>
      <c r="D735">
        <v>20</v>
      </c>
      <c r="F735" s="78" t="s">
        <v>1175</v>
      </c>
      <c r="G735" s="45">
        <v>189</v>
      </c>
      <c r="H735" s="79">
        <f t="shared" si="259"/>
        <v>2</v>
      </c>
      <c r="I735" s="80">
        <f t="shared" si="260"/>
        <v>117.95549838816332</v>
      </c>
      <c r="J735" s="80">
        <f t="shared" si="261"/>
        <v>495.95549838816333</v>
      </c>
      <c r="K735" s="87">
        <f t="shared" si="262"/>
        <v>378</v>
      </c>
      <c r="L735" s="3">
        <v>20</v>
      </c>
      <c r="M735" s="30" t="str">
        <f t="shared" si="263"/>
        <v>Reorder</v>
      </c>
      <c r="N735" s="30"/>
      <c r="O735" s="3"/>
    </row>
    <row r="736" spans="1:15" x14ac:dyDescent="0.35">
      <c r="A736" s="94" t="s">
        <v>66</v>
      </c>
      <c r="B736" s="41">
        <v>308</v>
      </c>
      <c r="C736" s="57">
        <v>0.2857142857142857</v>
      </c>
      <c r="D736">
        <v>43</v>
      </c>
      <c r="F736" s="78" t="s">
        <v>66</v>
      </c>
      <c r="G736" s="45">
        <v>308</v>
      </c>
      <c r="H736" s="79">
        <f t="shared" si="259"/>
        <v>30</v>
      </c>
      <c r="I736" s="80">
        <f t="shared" si="260"/>
        <v>150.57838888764883</v>
      </c>
      <c r="J736" s="80">
        <f t="shared" si="261"/>
        <v>9390.5783888876485</v>
      </c>
      <c r="K736" s="87">
        <f t="shared" si="262"/>
        <v>9240</v>
      </c>
      <c r="L736" s="3">
        <v>43</v>
      </c>
      <c r="M736" s="30" t="str">
        <f t="shared" si="263"/>
        <v>Reorder</v>
      </c>
      <c r="N736" s="30"/>
      <c r="O736" s="3"/>
    </row>
    <row r="737" spans="1:15" x14ac:dyDescent="0.35">
      <c r="A737" s="94" t="s">
        <v>578</v>
      </c>
      <c r="B737" s="41">
        <v>87</v>
      </c>
      <c r="C737" s="57">
        <v>0.32183908045977011</v>
      </c>
      <c r="D737">
        <v>29</v>
      </c>
      <c r="F737" s="78" t="s">
        <v>578</v>
      </c>
      <c r="G737" s="45">
        <v>87</v>
      </c>
      <c r="H737" s="79">
        <f t="shared" si="259"/>
        <v>1</v>
      </c>
      <c r="I737" s="80">
        <f t="shared" si="260"/>
        <v>80.028912275502037</v>
      </c>
      <c r="J737" s="80">
        <f t="shared" si="261"/>
        <v>167.02891227550202</v>
      </c>
      <c r="K737" s="87">
        <f t="shared" si="262"/>
        <v>87</v>
      </c>
      <c r="L737" s="3">
        <v>29</v>
      </c>
      <c r="M737" s="30" t="str">
        <f t="shared" si="263"/>
        <v>Reorder</v>
      </c>
      <c r="N737" s="30"/>
      <c r="O737" s="3"/>
    </row>
    <row r="738" spans="1:15" x14ac:dyDescent="0.35">
      <c r="A738" s="94" t="s">
        <v>157</v>
      </c>
      <c r="B738" s="41">
        <v>238</v>
      </c>
      <c r="C738" s="57">
        <v>0.34033613445378152</v>
      </c>
      <c r="D738">
        <v>90</v>
      </c>
      <c r="F738" s="78" t="s">
        <v>157</v>
      </c>
      <c r="G738" s="45">
        <v>238</v>
      </c>
      <c r="H738" s="79">
        <f t="shared" si="259"/>
        <v>1</v>
      </c>
      <c r="I738" s="80">
        <f t="shared" si="260"/>
        <v>132.36579316424618</v>
      </c>
      <c r="J738" s="80">
        <f t="shared" si="261"/>
        <v>370.36579316424616</v>
      </c>
      <c r="K738" s="87">
        <f t="shared" si="262"/>
        <v>238</v>
      </c>
      <c r="L738" s="3">
        <v>90</v>
      </c>
      <c r="M738" s="30" t="str">
        <f t="shared" si="263"/>
        <v>Reorder</v>
      </c>
      <c r="N738" s="30"/>
      <c r="O738" s="3"/>
    </row>
    <row r="739" spans="1:15" x14ac:dyDescent="0.35">
      <c r="A739" s="14" t="s">
        <v>298</v>
      </c>
      <c r="B739" s="41">
        <v>465</v>
      </c>
      <c r="C739" s="57">
        <v>1.580783256698906</v>
      </c>
      <c r="D739">
        <v>121</v>
      </c>
      <c r="F739" s="72" t="s">
        <v>298</v>
      </c>
      <c r="G739" s="73"/>
      <c r="H739" s="74"/>
      <c r="I739" s="75"/>
      <c r="J739" s="74"/>
      <c r="K739" s="79"/>
      <c r="L739" s="76">
        <v>121</v>
      </c>
      <c r="M739" s="77"/>
      <c r="N739" s="85" t="str">
        <f>IFERROR(VLOOKUP(F739,'ABC Analysis'!$E$18:$M$138,9,0),0)</f>
        <v>C</v>
      </c>
      <c r="O739" s="86">
        <f>IFERROR(VLOOKUP(F739,'ABC Analysis'!$E$18:$G$138,3,0),0)</f>
        <v>2.7802359629236794E-3</v>
      </c>
    </row>
    <row r="740" spans="1:15" x14ac:dyDescent="0.35">
      <c r="A740" s="94" t="s">
        <v>500</v>
      </c>
      <c r="B740" s="41">
        <v>159</v>
      </c>
      <c r="C740" s="57">
        <v>0.54716981132075471</v>
      </c>
      <c r="D740">
        <v>21</v>
      </c>
      <c r="F740" s="78" t="s">
        <v>500</v>
      </c>
      <c r="G740" s="45">
        <v>159</v>
      </c>
      <c r="H740" s="79">
        <f>ROUNDUP(VLOOKUP(F740,$A$10:$C$782,3,0),0)</f>
        <v>1</v>
      </c>
      <c r="I740" s="80">
        <f>$H$7*$H$6*SQRT(G740)</f>
        <v>108.18968342684066</v>
      </c>
      <c r="J740" s="80">
        <f>(H740*G740)+I740</f>
        <v>267.18968342684065</v>
      </c>
      <c r="K740" s="87">
        <f>H740*G740</f>
        <v>159</v>
      </c>
      <c r="L740" s="3">
        <v>21</v>
      </c>
      <c r="M740" s="30" t="str">
        <f>IF(L740&lt;J740,"Reorder",IF(L740&gt;=J740*1.5,"Overstock","Sufficient"))</f>
        <v>Reorder</v>
      </c>
      <c r="N740" s="30"/>
      <c r="O740" s="3"/>
    </row>
    <row r="741" spans="1:15" x14ac:dyDescent="0.35">
      <c r="A741" s="94" t="s">
        <v>351</v>
      </c>
      <c r="B741" s="41">
        <v>68</v>
      </c>
      <c r="C741" s="57">
        <v>0.70588235294117652</v>
      </c>
      <c r="D741">
        <v>82</v>
      </c>
      <c r="F741" s="78" t="s">
        <v>351</v>
      </c>
      <c r="G741" s="45">
        <v>68</v>
      </c>
      <c r="H741" s="79">
        <f>ROUNDUP(VLOOKUP(F741,$A$10:$C$782,3,0),0)</f>
        <v>1</v>
      </c>
      <c r="I741" s="80">
        <f>$H$7*$H$6*SQRT(G741)</f>
        <v>70.75249253559906</v>
      </c>
      <c r="J741" s="80">
        <f>(H741*G741)+I741</f>
        <v>138.75249253559906</v>
      </c>
      <c r="K741" s="87">
        <f>H741*G741</f>
        <v>68</v>
      </c>
      <c r="L741" s="3">
        <v>82</v>
      </c>
      <c r="M741" s="30" t="str">
        <f>IF(L741&lt;J741,"Reorder",IF(L741&gt;=J741*1.5,"Overstock","Sufficient"))</f>
        <v>Reorder</v>
      </c>
      <c r="N741" s="30"/>
      <c r="O741" s="3"/>
    </row>
    <row r="742" spans="1:15" x14ac:dyDescent="0.35">
      <c r="A742" s="94" t="s">
        <v>1402</v>
      </c>
      <c r="B742" s="41">
        <v>238</v>
      </c>
      <c r="C742" s="57">
        <v>0.32773109243697479</v>
      </c>
      <c r="D742">
        <v>18</v>
      </c>
      <c r="F742" s="78" t="s">
        <v>1402</v>
      </c>
      <c r="G742" s="45">
        <v>238</v>
      </c>
      <c r="H742" s="79">
        <f>ROUNDUP(VLOOKUP(F742,$A$10:$C$782,3,0),0)</f>
        <v>4</v>
      </c>
      <c r="I742" s="80">
        <f>$H$7*$H$6*SQRT(G742)</f>
        <v>132.36579316424618</v>
      </c>
      <c r="J742" s="80">
        <f>(H742*G742)+I742</f>
        <v>1084.3657931642463</v>
      </c>
      <c r="K742" s="87">
        <f>H742*G742</f>
        <v>952</v>
      </c>
      <c r="L742" s="3">
        <v>18</v>
      </c>
      <c r="M742" s="30" t="str">
        <f>IF(L742&lt;J742,"Reorder",IF(L742&gt;=J742*1.5,"Overstock","Sufficient"))</f>
        <v>Reorder</v>
      </c>
      <c r="N742" s="30"/>
      <c r="O742" s="3"/>
    </row>
    <row r="743" spans="1:15" x14ac:dyDescent="0.35">
      <c r="A743" s="14" t="s">
        <v>812</v>
      </c>
      <c r="B743" s="41">
        <v>382</v>
      </c>
      <c r="C743" s="57">
        <v>1.3244669060602032</v>
      </c>
      <c r="D743">
        <v>115</v>
      </c>
      <c r="F743" s="72" t="s">
        <v>812</v>
      </c>
      <c r="G743" s="73"/>
      <c r="H743" s="74"/>
      <c r="I743" s="75"/>
      <c r="J743" s="74"/>
      <c r="K743" s="79"/>
      <c r="L743" s="76">
        <v>115</v>
      </c>
      <c r="M743" s="77"/>
      <c r="N743" s="85" t="str">
        <f>IFERROR(VLOOKUP(F743,'ABC Analysis'!$E$18:$M$138,9,0),0)</f>
        <v>B</v>
      </c>
      <c r="O743" s="86">
        <f>IFERROR(VLOOKUP(F743,'ABC Analysis'!$E$18:$G$138,3,0),0)</f>
        <v>3.802255524700514E-3</v>
      </c>
    </row>
    <row r="744" spans="1:15" x14ac:dyDescent="0.35">
      <c r="A744" s="94" t="s">
        <v>813</v>
      </c>
      <c r="B744" s="41">
        <v>309</v>
      </c>
      <c r="C744" s="57">
        <v>0.13268608414239483</v>
      </c>
      <c r="D744">
        <v>44</v>
      </c>
      <c r="F744" s="78" t="s">
        <v>813</v>
      </c>
      <c r="G744" s="45">
        <v>309</v>
      </c>
      <c r="H744" s="79">
        <f>ROUNDUP(VLOOKUP(F744,$A$10:$C$782,3,0),0)</f>
        <v>1</v>
      </c>
      <c r="I744" s="80">
        <f>$H$7*$H$6*SQRT(G744)</f>
        <v>150.8226362320988</v>
      </c>
      <c r="J744" s="80">
        <f>(H744*G744)+I744</f>
        <v>459.82263623209883</v>
      </c>
      <c r="K744" s="87">
        <f>H744*G744</f>
        <v>309</v>
      </c>
      <c r="L744" s="3">
        <v>44</v>
      </c>
      <c r="M744" s="30" t="str">
        <f>IF(L744&lt;J744,"Reorder",IF(L744&gt;=J744*1.5,"Overstock","Sufficient"))</f>
        <v>Reorder</v>
      </c>
      <c r="N744" s="30"/>
      <c r="O744" s="3"/>
    </row>
    <row r="745" spans="1:15" x14ac:dyDescent="0.35">
      <c r="A745" s="94" t="s">
        <v>755</v>
      </c>
      <c r="B745" s="41">
        <v>73</v>
      </c>
      <c r="C745" s="57">
        <v>1.1917808219178083</v>
      </c>
      <c r="D745">
        <v>71</v>
      </c>
      <c r="F745" s="78" t="s">
        <v>755</v>
      </c>
      <c r="G745" s="45">
        <v>73</v>
      </c>
      <c r="H745" s="79">
        <f>ROUNDUP(VLOOKUP(F745,$A$10:$C$782,3,0),0)</f>
        <v>1</v>
      </c>
      <c r="I745" s="80">
        <f>$H$7*$H$6*SQRT(G745)</f>
        <v>73.307552134824405</v>
      </c>
      <c r="J745" s="80">
        <f>(H745*G745)+I745</f>
        <v>146.30755213482439</v>
      </c>
      <c r="K745" s="87">
        <f>H745*G745</f>
        <v>73</v>
      </c>
      <c r="L745" s="3">
        <v>71</v>
      </c>
      <c r="M745" s="30" t="str">
        <f>IF(L745&lt;J745,"Reorder",IF(L745&gt;=J745*1.5,"Overstock","Sufficient"))</f>
        <v>Reorder</v>
      </c>
      <c r="N745" s="30"/>
      <c r="O745" s="3"/>
    </row>
    <row r="746" spans="1:15" x14ac:dyDescent="0.35">
      <c r="A746" s="14" t="s">
        <v>42</v>
      </c>
      <c r="B746" s="41">
        <v>386</v>
      </c>
      <c r="C746" s="57">
        <v>1.3236591783039873</v>
      </c>
      <c r="D746">
        <v>76</v>
      </c>
      <c r="F746" s="72" t="s">
        <v>42</v>
      </c>
      <c r="G746" s="73"/>
      <c r="H746" s="74"/>
      <c r="I746" s="75"/>
      <c r="J746" s="74"/>
      <c r="K746" s="79"/>
      <c r="L746" s="76">
        <v>76</v>
      </c>
      <c r="M746" s="77"/>
      <c r="N746" s="85" t="str">
        <f>IFERROR(VLOOKUP(F746,'ABC Analysis'!$E$18:$M$138,9,0),0)</f>
        <v>A</v>
      </c>
      <c r="O746" s="86">
        <f>IFERROR(VLOOKUP(F746,'ABC Analysis'!$E$18:$G$138,3,0),0)</f>
        <v>5.7745484974061276E-3</v>
      </c>
    </row>
    <row r="747" spans="1:15" x14ac:dyDescent="0.35">
      <c r="A747" s="94" t="s">
        <v>1073</v>
      </c>
      <c r="B747" s="41">
        <v>305</v>
      </c>
      <c r="C747" s="57">
        <v>0.15081967213114755</v>
      </c>
      <c r="D747">
        <v>33</v>
      </c>
      <c r="F747" s="78" t="s">
        <v>1073</v>
      </c>
      <c r="G747" s="45">
        <v>305</v>
      </c>
      <c r="H747" s="79">
        <f>ROUNDUP(VLOOKUP(F747,$A$10:$C$782,3,0),0)</f>
        <v>4</v>
      </c>
      <c r="I747" s="80">
        <f>$H$7*$H$6*SQRT(G747)</f>
        <v>149.84325810659615</v>
      </c>
      <c r="J747" s="80">
        <f>(H747*G747)+I747</f>
        <v>1369.8432581065961</v>
      </c>
      <c r="K747" s="87">
        <f>H747*G747</f>
        <v>1220</v>
      </c>
      <c r="L747" s="3">
        <v>33</v>
      </c>
      <c r="M747" s="30" t="str">
        <f>IF(L747&lt;J747,"Reorder",IF(L747&gt;=J747*1.5,"Overstock","Sufficient"))</f>
        <v>Reorder</v>
      </c>
      <c r="N747" s="30"/>
      <c r="O747" s="3"/>
    </row>
    <row r="748" spans="1:15" x14ac:dyDescent="0.35">
      <c r="A748" s="94" t="s">
        <v>2994</v>
      </c>
      <c r="B748" s="41">
        <v>81</v>
      </c>
      <c r="C748" s="57">
        <v>1.1728395061728396</v>
      </c>
      <c r="D748">
        <v>43</v>
      </c>
      <c r="F748" s="78" t="s">
        <v>2994</v>
      </c>
      <c r="G748" s="45">
        <v>81</v>
      </c>
      <c r="H748" s="79">
        <f>ROUNDUP(VLOOKUP(F748,$A$10:$C$782,3,0),0)</f>
        <v>2</v>
      </c>
      <c r="I748" s="80">
        <f>$H$7*$H$6*SQRT(G748)</f>
        <v>77.22</v>
      </c>
      <c r="J748" s="80">
        <f>(H748*G748)+I748</f>
        <v>239.22</v>
      </c>
      <c r="K748" s="87">
        <f>H748*G748</f>
        <v>162</v>
      </c>
      <c r="L748" s="3">
        <v>43</v>
      </c>
      <c r="M748" s="30" t="str">
        <f>IF(L748&lt;J748,"Reorder",IF(L748&gt;=J748*1.5,"Overstock","Sufficient"))</f>
        <v>Reorder</v>
      </c>
      <c r="N748" s="30"/>
      <c r="O748" s="3"/>
    </row>
    <row r="749" spans="1:15" x14ac:dyDescent="0.35">
      <c r="A749" s="14" t="s">
        <v>1092</v>
      </c>
      <c r="B749" s="41">
        <v>306</v>
      </c>
      <c r="C749" s="57">
        <v>1.264034705878013</v>
      </c>
      <c r="D749">
        <v>130</v>
      </c>
      <c r="F749" s="72" t="s">
        <v>1092</v>
      </c>
      <c r="G749" s="73"/>
      <c r="H749" s="74"/>
      <c r="I749" s="75"/>
      <c r="J749" s="74"/>
      <c r="K749" s="79"/>
      <c r="L749" s="76">
        <v>130</v>
      </c>
      <c r="M749" s="77"/>
      <c r="N749" s="85" t="str">
        <f>IFERROR(VLOOKUP(F749,'ABC Analysis'!$E$18:$M$138,9,0),0)</f>
        <v>B</v>
      </c>
      <c r="O749" s="86">
        <f>IFERROR(VLOOKUP(F749,'ABC Analysis'!$E$18:$G$138,3,0),0)</f>
        <v>4.3454348853720149E-3</v>
      </c>
    </row>
    <row r="750" spans="1:15" x14ac:dyDescent="0.35">
      <c r="A750" s="94" t="s">
        <v>2856</v>
      </c>
      <c r="B750" s="41">
        <v>69</v>
      </c>
      <c r="C750" s="57">
        <v>0.39130434782608697</v>
      </c>
      <c r="D750">
        <v>43</v>
      </c>
      <c r="F750" s="78" t="s">
        <v>2856</v>
      </c>
      <c r="G750" s="45">
        <v>69</v>
      </c>
      <c r="H750" s="79">
        <f>ROUNDUP(VLOOKUP(F750,$A$10:$C$782,3,0),0)</f>
        <v>1</v>
      </c>
      <c r="I750" s="80">
        <f>$H$7*$H$6*SQRT(G750)</f>
        <v>71.270832743837076</v>
      </c>
      <c r="J750" s="80">
        <f>(H750*G750)+I750</f>
        <v>140.27083274383708</v>
      </c>
      <c r="K750" s="87">
        <f>H750*G750</f>
        <v>69</v>
      </c>
      <c r="L750" s="3">
        <v>43</v>
      </c>
      <c r="M750" s="30" t="str">
        <f>IF(L750&lt;J750,"Reorder",IF(L750&gt;=J750*1.5,"Overstock","Sufficient"))</f>
        <v>Reorder</v>
      </c>
      <c r="N750" s="30"/>
      <c r="O750" s="3"/>
    </row>
    <row r="751" spans="1:15" x14ac:dyDescent="0.35">
      <c r="A751" s="94" t="s">
        <v>813</v>
      </c>
      <c r="B751" s="41">
        <v>71</v>
      </c>
      <c r="C751" s="57">
        <v>0.61971830985915488</v>
      </c>
      <c r="D751">
        <v>57</v>
      </c>
      <c r="F751" s="78" t="s">
        <v>813</v>
      </c>
      <c r="G751" s="45">
        <v>71</v>
      </c>
      <c r="H751" s="79">
        <f>ROUNDUP(VLOOKUP(F751,$A$10:$C$782,3,0),0)</f>
        <v>1</v>
      </c>
      <c r="I751" s="80">
        <f>$H$7*$H$6*SQRT(G751)</f>
        <v>72.296365053853165</v>
      </c>
      <c r="J751" s="80">
        <f>(H751*G751)+I751</f>
        <v>143.29636505385315</v>
      </c>
      <c r="K751" s="87">
        <f>H751*G751</f>
        <v>71</v>
      </c>
      <c r="L751" s="3">
        <v>57</v>
      </c>
      <c r="M751" s="30" t="str">
        <f>IF(L751&lt;J751,"Reorder",IF(L751&gt;=J751*1.5,"Overstock","Sufficient"))</f>
        <v>Reorder</v>
      </c>
      <c r="N751" s="30"/>
      <c r="O751" s="3"/>
    </row>
    <row r="752" spans="1:15" x14ac:dyDescent="0.35">
      <c r="A752" s="94" t="s">
        <v>2144</v>
      </c>
      <c r="B752" s="41">
        <v>166</v>
      </c>
      <c r="C752" s="57">
        <v>0.25301204819277107</v>
      </c>
      <c r="D752">
        <v>30</v>
      </c>
      <c r="F752" s="78" t="s">
        <v>2144</v>
      </c>
      <c r="G752" s="45">
        <v>166</v>
      </c>
      <c r="H752" s="79">
        <f>ROUNDUP(VLOOKUP(F752,$A$10:$C$782,3,0),0)</f>
        <v>1</v>
      </c>
      <c r="I752" s="80">
        <f>$H$7*$H$6*SQRT(G752)</f>
        <v>110.54556707530158</v>
      </c>
      <c r="J752" s="80">
        <f>(H752*G752)+I752</f>
        <v>276.54556707530156</v>
      </c>
      <c r="K752" s="87">
        <f>H752*G752</f>
        <v>166</v>
      </c>
      <c r="L752" s="3">
        <v>30</v>
      </c>
      <c r="M752" s="30" t="str">
        <f>IF(L752&lt;J752,"Reorder",IF(L752&gt;=J752*1.5,"Overstock","Sufficient"))</f>
        <v>Reorder</v>
      </c>
      <c r="N752" s="30"/>
      <c r="O752" s="3"/>
    </row>
    <row r="753" spans="1:15" x14ac:dyDescent="0.35">
      <c r="A753" s="14" t="s">
        <v>420</v>
      </c>
      <c r="B753" s="41">
        <v>1211</v>
      </c>
      <c r="C753" s="57">
        <v>1.1054255553335297</v>
      </c>
      <c r="D753">
        <v>278</v>
      </c>
      <c r="F753" s="72" t="s">
        <v>420</v>
      </c>
      <c r="G753" s="73"/>
      <c r="H753" s="74"/>
      <c r="I753" s="75"/>
      <c r="J753" s="74"/>
      <c r="K753" s="79"/>
      <c r="L753" s="76">
        <v>278</v>
      </c>
      <c r="M753" s="77"/>
      <c r="N753" s="85" t="str">
        <f>IFERROR(VLOOKUP(F753,'ABC Analysis'!$E$18:$M$138,9,0),0)</f>
        <v>A</v>
      </c>
      <c r="O753" s="86">
        <f>IFERROR(VLOOKUP(F753,'ABC Analysis'!$E$18:$G$138,3,0),0)</f>
        <v>2.1541273469197104E-2</v>
      </c>
    </row>
    <row r="754" spans="1:15" x14ac:dyDescent="0.35">
      <c r="A754" s="94" t="s">
        <v>189</v>
      </c>
      <c r="B754" s="41">
        <v>289</v>
      </c>
      <c r="C754" s="57">
        <v>9.6885813148788927E-2</v>
      </c>
      <c r="D754">
        <v>88</v>
      </c>
      <c r="F754" s="78" t="s">
        <v>189</v>
      </c>
      <c r="G754" s="45">
        <v>289</v>
      </c>
      <c r="H754" s="79">
        <f t="shared" ref="H754:H759" si="264">ROUNDUP(VLOOKUP(F754,$A$10:$C$782,3,0),0)</f>
        <v>1</v>
      </c>
      <c r="I754" s="80">
        <f t="shared" ref="I754:I759" si="265">$H$7*$H$6*SQRT(G754)</f>
        <v>145.86000000000001</v>
      </c>
      <c r="J754" s="80">
        <f t="shared" ref="J754:J759" si="266">(H754*G754)+I754</f>
        <v>434.86</v>
      </c>
      <c r="K754" s="87">
        <f t="shared" ref="K754:K759" si="267">H754*G754</f>
        <v>289</v>
      </c>
      <c r="L754" s="3">
        <v>88</v>
      </c>
      <c r="M754" s="30" t="str">
        <f t="shared" ref="M754:M759" si="268">IF(L754&lt;J754,"Reorder",IF(L754&gt;=J754*1.5,"Overstock","Sufficient"))</f>
        <v>Reorder</v>
      </c>
      <c r="N754" s="30"/>
      <c r="O754" s="3"/>
    </row>
    <row r="755" spans="1:15" x14ac:dyDescent="0.35">
      <c r="A755" s="94" t="s">
        <v>421</v>
      </c>
      <c r="B755" s="41">
        <v>117</v>
      </c>
      <c r="C755" s="57">
        <v>0.30769230769230771</v>
      </c>
      <c r="D755">
        <v>25</v>
      </c>
      <c r="F755" s="78" t="s">
        <v>421</v>
      </c>
      <c r="G755" s="45">
        <v>117</v>
      </c>
      <c r="H755" s="79">
        <f t="shared" si="264"/>
        <v>1</v>
      </c>
      <c r="I755" s="80">
        <f t="shared" si="265"/>
        <v>92.806889830443097</v>
      </c>
      <c r="J755" s="80">
        <f t="shared" si="266"/>
        <v>209.80688983044308</v>
      </c>
      <c r="K755" s="87">
        <f t="shared" si="267"/>
        <v>117</v>
      </c>
      <c r="L755" s="3">
        <v>25</v>
      </c>
      <c r="M755" s="30" t="str">
        <f t="shared" si="268"/>
        <v>Reorder</v>
      </c>
      <c r="N755" s="30"/>
      <c r="O755" s="3"/>
    </row>
    <row r="756" spans="1:15" x14ac:dyDescent="0.35">
      <c r="A756" s="94" t="s">
        <v>527</v>
      </c>
      <c r="B756" s="41">
        <v>303</v>
      </c>
      <c r="C756" s="57">
        <v>0.11551155115511551</v>
      </c>
      <c r="D756">
        <v>16</v>
      </c>
      <c r="F756" s="78" t="s">
        <v>527</v>
      </c>
      <c r="G756" s="45">
        <v>303</v>
      </c>
      <c r="H756" s="79">
        <f t="shared" si="264"/>
        <v>1</v>
      </c>
      <c r="I756" s="80">
        <f t="shared" si="265"/>
        <v>149.35116069184065</v>
      </c>
      <c r="J756" s="80">
        <f t="shared" si="266"/>
        <v>452.35116069184062</v>
      </c>
      <c r="K756" s="87">
        <f t="shared" si="267"/>
        <v>303</v>
      </c>
      <c r="L756" s="3">
        <v>16</v>
      </c>
      <c r="M756" s="30" t="str">
        <f t="shared" si="268"/>
        <v>Reorder</v>
      </c>
      <c r="N756" s="30"/>
      <c r="O756" s="3"/>
    </row>
    <row r="757" spans="1:15" x14ac:dyDescent="0.35">
      <c r="A757" s="94" t="s">
        <v>943</v>
      </c>
      <c r="B757" s="41">
        <v>188</v>
      </c>
      <c r="C757" s="57">
        <v>0.11702127659574468</v>
      </c>
      <c r="D757">
        <v>87</v>
      </c>
      <c r="F757" s="78" t="s">
        <v>943</v>
      </c>
      <c r="G757" s="45">
        <v>188</v>
      </c>
      <c r="H757" s="79">
        <f t="shared" si="264"/>
        <v>1</v>
      </c>
      <c r="I757" s="80">
        <f t="shared" si="265"/>
        <v>117.64303294288192</v>
      </c>
      <c r="J757" s="80">
        <f t="shared" si="266"/>
        <v>305.64303294288192</v>
      </c>
      <c r="K757" s="87">
        <f t="shared" si="267"/>
        <v>188</v>
      </c>
      <c r="L757" s="3">
        <v>87</v>
      </c>
      <c r="M757" s="30" t="str">
        <f t="shared" si="268"/>
        <v>Reorder</v>
      </c>
      <c r="N757" s="30"/>
      <c r="O757" s="3"/>
    </row>
    <row r="758" spans="1:15" x14ac:dyDescent="0.35">
      <c r="A758" s="94" t="s">
        <v>466</v>
      </c>
      <c r="B758" s="41">
        <v>89</v>
      </c>
      <c r="C758" s="57">
        <v>0.34831460674157305</v>
      </c>
      <c r="D758">
        <v>25</v>
      </c>
      <c r="F758" s="78" t="s">
        <v>466</v>
      </c>
      <c r="G758" s="45">
        <v>89</v>
      </c>
      <c r="H758" s="79">
        <f t="shared" si="264"/>
        <v>1</v>
      </c>
      <c r="I758" s="80">
        <f t="shared" si="265"/>
        <v>80.943558113045654</v>
      </c>
      <c r="J758" s="80">
        <f t="shared" si="266"/>
        <v>169.94355811304564</v>
      </c>
      <c r="K758" s="87">
        <f t="shared" si="267"/>
        <v>89</v>
      </c>
      <c r="L758" s="3">
        <v>25</v>
      </c>
      <c r="M758" s="30" t="str">
        <f t="shared" si="268"/>
        <v>Reorder</v>
      </c>
      <c r="N758" s="30"/>
      <c r="O758" s="3"/>
    </row>
    <row r="759" spans="1:15" x14ac:dyDescent="0.35">
      <c r="A759" s="94" t="s">
        <v>1378</v>
      </c>
      <c r="B759" s="41">
        <v>225</v>
      </c>
      <c r="C759" s="57">
        <v>0.12</v>
      </c>
      <c r="D759">
        <v>37</v>
      </c>
      <c r="F759" s="78" t="s">
        <v>1378</v>
      </c>
      <c r="G759" s="45">
        <v>225</v>
      </c>
      <c r="H759" s="79">
        <f t="shared" si="264"/>
        <v>1</v>
      </c>
      <c r="I759" s="80">
        <f t="shared" si="265"/>
        <v>128.69999999999999</v>
      </c>
      <c r="J759" s="80">
        <f t="shared" si="266"/>
        <v>353.7</v>
      </c>
      <c r="K759" s="87">
        <f t="shared" si="267"/>
        <v>225</v>
      </c>
      <c r="L759" s="3">
        <v>37</v>
      </c>
      <c r="M759" s="30" t="str">
        <f t="shared" si="268"/>
        <v>Reorder</v>
      </c>
      <c r="N759" s="30"/>
      <c r="O759" s="3"/>
    </row>
    <row r="760" spans="1:15" x14ac:dyDescent="0.35">
      <c r="A760" s="14" t="s">
        <v>582</v>
      </c>
      <c r="B760" s="41">
        <v>705</v>
      </c>
      <c r="C760" s="57">
        <v>1.0567632850241546</v>
      </c>
      <c r="D760">
        <v>206</v>
      </c>
      <c r="F760" s="72" t="s">
        <v>582</v>
      </c>
      <c r="G760" s="73"/>
      <c r="H760" s="74"/>
      <c r="I760" s="75"/>
      <c r="J760" s="74"/>
      <c r="K760" s="79"/>
      <c r="L760" s="76">
        <v>206</v>
      </c>
      <c r="M760" s="77"/>
      <c r="N760" s="85" t="str">
        <f>IFERROR(VLOOKUP(F760,'ABC Analysis'!$E$18:$M$138,9,0),0)</f>
        <v>C</v>
      </c>
      <c r="O760" s="86">
        <f>IFERROR(VLOOKUP(F760,'ABC Analysis'!$E$18:$G$138,3,0),0)</f>
        <v>9.8062755167218751E-4</v>
      </c>
    </row>
    <row r="761" spans="1:15" x14ac:dyDescent="0.35">
      <c r="A761" s="94" t="s">
        <v>1370</v>
      </c>
      <c r="B761" s="41">
        <v>132</v>
      </c>
      <c r="C761" s="57">
        <v>0.37121212121212122</v>
      </c>
      <c r="D761">
        <v>78</v>
      </c>
      <c r="F761" s="78" t="s">
        <v>1370</v>
      </c>
      <c r="G761" s="45">
        <v>132</v>
      </c>
      <c r="H761" s="79">
        <f>ROUNDUP(VLOOKUP(F761,$A$10:$C$782,3,0),0)</f>
        <v>1</v>
      </c>
      <c r="I761" s="80">
        <f>$H$7*$H$6*SQRT(G761)</f>
        <v>98.576695014592573</v>
      </c>
      <c r="J761" s="80">
        <f>(H761*G761)+I761</f>
        <v>230.57669501459259</v>
      </c>
      <c r="K761" s="87">
        <f>H761*G761</f>
        <v>132</v>
      </c>
      <c r="L761" s="3">
        <v>78</v>
      </c>
      <c r="M761" s="30" t="str">
        <f>IF(L761&lt;J761,"Reorder",IF(L761&gt;=J761*1.5,"Overstock","Sufficient"))</f>
        <v>Reorder</v>
      </c>
      <c r="N761" s="30"/>
      <c r="O761" s="3"/>
    </row>
    <row r="762" spans="1:15" x14ac:dyDescent="0.35">
      <c r="A762" s="94" t="s">
        <v>112</v>
      </c>
      <c r="B762" s="41">
        <v>297</v>
      </c>
      <c r="C762" s="57">
        <v>0.32323232323232326</v>
      </c>
      <c r="D762">
        <v>34</v>
      </c>
      <c r="F762" s="78" t="s">
        <v>112</v>
      </c>
      <c r="G762" s="45">
        <v>297</v>
      </c>
      <c r="H762" s="79">
        <f>ROUNDUP(VLOOKUP(F762,$A$10:$C$782,3,0),0)</f>
        <v>1</v>
      </c>
      <c r="I762" s="80">
        <f>$H$7*$H$6*SQRT(G762)</f>
        <v>147.86504252188885</v>
      </c>
      <c r="J762" s="80">
        <f>(H762*G762)+I762</f>
        <v>444.86504252188888</v>
      </c>
      <c r="K762" s="87">
        <f>H762*G762</f>
        <v>297</v>
      </c>
      <c r="L762" s="3">
        <v>34</v>
      </c>
      <c r="M762" s="30" t="str">
        <f>IF(L762&lt;J762,"Reorder",IF(L762&gt;=J762*1.5,"Overstock","Sufficient"))</f>
        <v>Reorder</v>
      </c>
      <c r="N762" s="30"/>
      <c r="O762" s="3"/>
    </row>
    <row r="763" spans="1:15" x14ac:dyDescent="0.35">
      <c r="A763" s="94" t="s">
        <v>458</v>
      </c>
      <c r="B763" s="41">
        <v>276</v>
      </c>
      <c r="C763" s="57">
        <v>0.36231884057971014</v>
      </c>
      <c r="D763">
        <v>94</v>
      </c>
      <c r="F763" s="78" t="s">
        <v>458</v>
      </c>
      <c r="G763" s="45">
        <v>276</v>
      </c>
      <c r="H763" s="79">
        <f>ROUNDUP(VLOOKUP(F763,$A$10:$C$782,3,0),0)</f>
        <v>1</v>
      </c>
      <c r="I763" s="80">
        <f>$H$7*$H$6*SQRT(G763)</f>
        <v>142.54166548767415</v>
      </c>
      <c r="J763" s="80">
        <f>(H763*G763)+I763</f>
        <v>418.54166548767415</v>
      </c>
      <c r="K763" s="87">
        <f>H763*G763</f>
        <v>276</v>
      </c>
      <c r="L763" s="3">
        <v>94</v>
      </c>
      <c r="M763" s="30" t="str">
        <f>IF(L763&lt;J763,"Reorder",IF(L763&gt;=J763*1.5,"Overstock","Sufficient"))</f>
        <v>Reorder</v>
      </c>
      <c r="N763" s="30"/>
      <c r="O763" s="3"/>
    </row>
    <row r="764" spans="1:15" x14ac:dyDescent="0.35">
      <c r="A764" s="14" t="s">
        <v>2626</v>
      </c>
      <c r="B764" s="41">
        <v>856</v>
      </c>
      <c r="C764" s="57">
        <v>1.0451574892953275</v>
      </c>
      <c r="D764">
        <v>222</v>
      </c>
      <c r="F764" s="72" t="s">
        <v>2626</v>
      </c>
      <c r="G764" s="73"/>
      <c r="H764" s="74"/>
      <c r="I764" s="75"/>
      <c r="J764" s="74"/>
      <c r="K764" s="79"/>
      <c r="L764" s="76">
        <v>222</v>
      </c>
      <c r="M764" s="77"/>
      <c r="N764" s="85" t="str">
        <f>IFERROR(VLOOKUP(F764,'ABC Analysis'!$E$18:$M$138,9,0),0)</f>
        <v>C</v>
      </c>
      <c r="O764" s="86">
        <f>IFERROR(VLOOKUP(F764,'ABC Analysis'!$E$18:$G$138,3,0),0)</f>
        <v>1.2199750346632663E-3</v>
      </c>
    </row>
    <row r="765" spans="1:15" x14ac:dyDescent="0.35">
      <c r="A765" s="94" t="s">
        <v>97</v>
      </c>
      <c r="B765" s="41">
        <v>253</v>
      </c>
      <c r="C765" s="57">
        <v>0.30039525691699603</v>
      </c>
      <c r="D765">
        <v>100</v>
      </c>
      <c r="F765" s="78" t="s">
        <v>97</v>
      </c>
      <c r="G765" s="45">
        <v>253</v>
      </c>
      <c r="H765" s="79">
        <f>ROUNDUP(VLOOKUP(F765,$A$10:$C$782,3,0),0)</f>
        <v>1</v>
      </c>
      <c r="I765" s="80">
        <f>$H$7*$H$6*SQRT(G765)</f>
        <v>136.4732545226353</v>
      </c>
      <c r="J765" s="80">
        <f>(H765*G765)+I765</f>
        <v>389.47325452263533</v>
      </c>
      <c r="K765" s="87">
        <f>H765*G765</f>
        <v>253</v>
      </c>
      <c r="L765" s="3">
        <v>100</v>
      </c>
      <c r="M765" s="30" t="str">
        <f>IF(L765&lt;J765,"Reorder",IF(L765&gt;=J765*1.5,"Overstock","Sufficient"))</f>
        <v>Reorder</v>
      </c>
      <c r="N765" s="30"/>
      <c r="O765" s="3"/>
    </row>
    <row r="766" spans="1:15" x14ac:dyDescent="0.35">
      <c r="A766" s="94" t="s">
        <v>922</v>
      </c>
      <c r="B766" s="41">
        <v>95</v>
      </c>
      <c r="C766" s="57">
        <v>0.41052631578947368</v>
      </c>
      <c r="D766">
        <v>72</v>
      </c>
      <c r="F766" s="78" t="s">
        <v>922</v>
      </c>
      <c r="G766" s="45">
        <v>95</v>
      </c>
      <c r="H766" s="79">
        <f>ROUNDUP(VLOOKUP(F766,$A$10:$C$782,3,0),0)</f>
        <v>1</v>
      </c>
      <c r="I766" s="80">
        <f>$H$7*$H$6*SQRT(G766)</f>
        <v>83.627495478460901</v>
      </c>
      <c r="J766" s="80">
        <f>(H766*G766)+I766</f>
        <v>178.6274954784609</v>
      </c>
      <c r="K766" s="87">
        <f>H766*G766</f>
        <v>95</v>
      </c>
      <c r="L766" s="3">
        <v>72</v>
      </c>
      <c r="M766" s="30" t="str">
        <f>IF(L766&lt;J766,"Reorder",IF(L766&gt;=J766*1.5,"Overstock","Sufficient"))</f>
        <v>Reorder</v>
      </c>
      <c r="N766" s="30"/>
      <c r="O766" s="3"/>
    </row>
    <row r="767" spans="1:15" x14ac:dyDescent="0.35">
      <c r="A767" s="94" t="s">
        <v>540</v>
      </c>
      <c r="B767" s="41">
        <v>238</v>
      </c>
      <c r="C767" s="57">
        <v>0.1638655462184874</v>
      </c>
      <c r="D767">
        <v>19</v>
      </c>
      <c r="F767" s="78" t="s">
        <v>540</v>
      </c>
      <c r="G767" s="45">
        <v>238</v>
      </c>
      <c r="H767" s="79">
        <f>ROUNDUP(VLOOKUP(F767,$A$10:$C$782,3,0),0)</f>
        <v>2</v>
      </c>
      <c r="I767" s="80">
        <f>$H$7*$H$6*SQRT(G767)</f>
        <v>132.36579316424618</v>
      </c>
      <c r="J767" s="80">
        <f>(H767*G767)+I767</f>
        <v>608.36579316424616</v>
      </c>
      <c r="K767" s="87">
        <f>H767*G767</f>
        <v>476</v>
      </c>
      <c r="L767" s="3">
        <v>19</v>
      </c>
      <c r="M767" s="30" t="str">
        <f>IF(L767&lt;J767,"Reorder",IF(L767&gt;=J767*1.5,"Overstock","Sufficient"))</f>
        <v>Reorder</v>
      </c>
      <c r="N767" s="30"/>
      <c r="O767" s="3"/>
    </row>
    <row r="768" spans="1:15" x14ac:dyDescent="0.35">
      <c r="A768" s="94" t="s">
        <v>405</v>
      </c>
      <c r="B768" s="41">
        <v>270</v>
      </c>
      <c r="C768" s="57">
        <v>0.17037037037037037</v>
      </c>
      <c r="D768">
        <v>31</v>
      </c>
      <c r="F768" s="78" t="s">
        <v>405</v>
      </c>
      <c r="G768" s="45">
        <v>270</v>
      </c>
      <c r="H768" s="79">
        <f>ROUNDUP(VLOOKUP(F768,$A$10:$C$782,3,0),0)</f>
        <v>1</v>
      </c>
      <c r="I768" s="80">
        <f>$H$7*$H$6*SQRT(G768)</f>
        <v>140.98378630182975</v>
      </c>
      <c r="J768" s="80">
        <f>(H768*G768)+I768</f>
        <v>410.98378630182975</v>
      </c>
      <c r="K768" s="87">
        <f>H768*G768</f>
        <v>270</v>
      </c>
      <c r="L768" s="3">
        <v>31</v>
      </c>
      <c r="M768" s="30" t="str">
        <f>IF(L768&lt;J768,"Reorder",IF(L768&gt;=J768*1.5,"Overstock","Sufficient"))</f>
        <v>Reorder</v>
      </c>
      <c r="N768" s="30"/>
      <c r="O768" s="3"/>
    </row>
    <row r="769" spans="1:15" x14ac:dyDescent="0.35">
      <c r="A769" s="14" t="s">
        <v>52</v>
      </c>
      <c r="B769" s="41">
        <v>669</v>
      </c>
      <c r="C769" s="57">
        <v>1.001505086684404</v>
      </c>
      <c r="D769">
        <v>128</v>
      </c>
      <c r="F769" s="72" t="s">
        <v>52</v>
      </c>
      <c r="G769" s="73"/>
      <c r="H769" s="74"/>
      <c r="I769" s="75"/>
      <c r="J769" s="74"/>
      <c r="K769" s="79"/>
      <c r="L769" s="76">
        <v>128</v>
      </c>
      <c r="M769" s="77"/>
      <c r="N769" s="85" t="str">
        <f>IFERROR(VLOOKUP(F769,'ABC Analysis'!$E$18:$M$138,9,0),0)</f>
        <v>B</v>
      </c>
      <c r="O769" s="86">
        <f>IFERROR(VLOOKUP(F769,'ABC Analysis'!$E$18:$G$138,3,0),0)</f>
        <v>4.4877653060827298E-3</v>
      </c>
    </row>
    <row r="770" spans="1:15" x14ac:dyDescent="0.35">
      <c r="A770" s="94" t="s">
        <v>500</v>
      </c>
      <c r="B770" s="41">
        <v>131</v>
      </c>
      <c r="C770" s="57">
        <v>0.5419847328244275</v>
      </c>
      <c r="D770">
        <v>20</v>
      </c>
      <c r="F770" s="78" t="s">
        <v>500</v>
      </c>
      <c r="G770" s="45">
        <v>131</v>
      </c>
      <c r="H770" s="79">
        <f>ROUNDUP(VLOOKUP(F770,$A$10:$C$782,3,0),0)</f>
        <v>1</v>
      </c>
      <c r="I770" s="80">
        <f>$H$7*$H$6*SQRT(G770)</f>
        <v>98.202588560587344</v>
      </c>
      <c r="J770" s="80">
        <f>(H770*G770)+I770</f>
        <v>229.20258856058734</v>
      </c>
      <c r="K770" s="87">
        <f>H770*G770</f>
        <v>131</v>
      </c>
      <c r="L770" s="3">
        <v>20</v>
      </c>
      <c r="M770" s="30" t="str">
        <f>IF(L770&lt;J770,"Reorder",IF(L770&gt;=J770*1.5,"Overstock","Sufficient"))</f>
        <v>Reorder</v>
      </c>
      <c r="N770" s="30"/>
      <c r="O770" s="3"/>
    </row>
    <row r="771" spans="1:15" x14ac:dyDescent="0.35">
      <c r="A771" s="94" t="s">
        <v>678</v>
      </c>
      <c r="B771" s="41">
        <v>265</v>
      </c>
      <c r="C771" s="57">
        <v>0.1811320754716981</v>
      </c>
      <c r="D771">
        <v>91</v>
      </c>
      <c r="F771" s="78" t="s">
        <v>678</v>
      </c>
      <c r="G771" s="45">
        <v>265</v>
      </c>
      <c r="H771" s="79">
        <f>ROUNDUP(VLOOKUP(F771,$A$10:$C$782,3,0),0)</f>
        <v>1</v>
      </c>
      <c r="I771" s="80">
        <f>$H$7*$H$6*SQRT(G771)</f>
        <v>139.67228071453547</v>
      </c>
      <c r="J771" s="80">
        <f>(H771*G771)+I771</f>
        <v>404.67228071453547</v>
      </c>
      <c r="K771" s="87">
        <f>H771*G771</f>
        <v>265</v>
      </c>
      <c r="L771" s="3">
        <v>91</v>
      </c>
      <c r="M771" s="30" t="str">
        <f>IF(L771&lt;J771,"Reorder",IF(L771&gt;=J771*1.5,"Overstock","Sufficient"))</f>
        <v>Reorder</v>
      </c>
      <c r="N771" s="30"/>
      <c r="O771" s="3"/>
    </row>
    <row r="772" spans="1:15" x14ac:dyDescent="0.35">
      <c r="A772" s="94" t="s">
        <v>54</v>
      </c>
      <c r="B772" s="41">
        <v>273</v>
      </c>
      <c r="C772" s="57">
        <v>0.2783882783882784</v>
      </c>
      <c r="D772">
        <v>17</v>
      </c>
      <c r="F772" s="78" t="s">
        <v>54</v>
      </c>
      <c r="G772" s="45">
        <v>273</v>
      </c>
      <c r="H772" s="79">
        <f>ROUNDUP(VLOOKUP(F772,$A$10:$C$782,3,0),0)</f>
        <v>5</v>
      </c>
      <c r="I772" s="80">
        <f>$H$7*$H$6*SQRT(G772)</f>
        <v>141.76486588714425</v>
      </c>
      <c r="J772" s="80">
        <f>(H772*G772)+I772</f>
        <v>1506.7648658871442</v>
      </c>
      <c r="K772" s="87">
        <f>H772*G772</f>
        <v>1365</v>
      </c>
      <c r="L772" s="3">
        <v>17</v>
      </c>
      <c r="M772" s="30" t="str">
        <f>IF(L772&lt;J772,"Reorder",IF(L772&gt;=J772*1.5,"Overstock","Sufficient"))</f>
        <v>Reorder</v>
      </c>
      <c r="N772" s="30"/>
      <c r="O772" s="3"/>
    </row>
    <row r="773" spans="1:15" x14ac:dyDescent="0.35">
      <c r="A773" s="14" t="s">
        <v>1350</v>
      </c>
      <c r="B773" s="41">
        <v>51</v>
      </c>
      <c r="C773" s="57">
        <v>0.88235294117647056</v>
      </c>
      <c r="D773">
        <v>85</v>
      </c>
      <c r="F773" s="72" t="s">
        <v>1350</v>
      </c>
      <c r="G773" s="73"/>
      <c r="H773" s="74"/>
      <c r="I773" s="75"/>
      <c r="J773" s="74"/>
      <c r="K773" s="79"/>
      <c r="L773" s="76">
        <v>85</v>
      </c>
      <c r="M773" s="77"/>
      <c r="N773" s="85" t="str">
        <f>IFERROR(VLOOKUP(F773,'ABC Analysis'!$E$18:$M$138,9,0),0)</f>
        <v>C</v>
      </c>
      <c r="O773" s="86">
        <f>IFERROR(VLOOKUP(F773,'ABC Analysis'!$E$18:$G$138,3,0),0)</f>
        <v>2.363846864783253E-3</v>
      </c>
    </row>
    <row r="774" spans="1:15" x14ac:dyDescent="0.35">
      <c r="A774" s="94" t="s">
        <v>347</v>
      </c>
      <c r="B774" s="41">
        <v>51</v>
      </c>
      <c r="C774" s="57">
        <v>0.88235294117647056</v>
      </c>
      <c r="D774">
        <v>85</v>
      </c>
      <c r="F774" s="78" t="s">
        <v>347</v>
      </c>
      <c r="G774" s="45">
        <v>51</v>
      </c>
      <c r="H774" s="79">
        <f>ROUNDUP(VLOOKUP(F774,$A$10:$C$782,3,0),0)</f>
        <v>1</v>
      </c>
      <c r="I774" s="80">
        <f>$H$7*$H$6*SQRT(G774)</f>
        <v>61.27345591689766</v>
      </c>
      <c r="J774" s="80">
        <f>(H774*G774)+I774</f>
        <v>112.27345591689766</v>
      </c>
      <c r="K774" s="87">
        <f>H774*G774</f>
        <v>51</v>
      </c>
      <c r="L774" s="3">
        <v>85</v>
      </c>
      <c r="M774" s="30" t="str">
        <f>IF(L774&lt;J774,"Reorder",IF(L774&gt;=J774*1.5,"Overstock","Sufficient"))</f>
        <v>Reorder</v>
      </c>
      <c r="N774" s="30"/>
      <c r="O774" s="3"/>
    </row>
    <row r="775" spans="1:15" x14ac:dyDescent="0.35">
      <c r="A775" s="14" t="s">
        <v>368</v>
      </c>
      <c r="B775" s="41">
        <v>105</v>
      </c>
      <c r="C775" s="57">
        <v>0.82857142857142863</v>
      </c>
      <c r="D775">
        <v>50</v>
      </c>
      <c r="F775" s="72" t="s">
        <v>368</v>
      </c>
      <c r="G775" s="73"/>
      <c r="H775" s="74"/>
      <c r="I775" s="75"/>
      <c r="J775" s="74"/>
      <c r="K775" s="79"/>
      <c r="L775" s="76">
        <v>50</v>
      </c>
      <c r="M775" s="77"/>
      <c r="N775" s="85" t="str">
        <f>IFERROR(VLOOKUP(F775,'ABC Analysis'!$E$18:$M$138,9,0),0)</f>
        <v>C</v>
      </c>
      <c r="O775" s="86">
        <f>IFERROR(VLOOKUP(F775,'ABC Analysis'!$E$18:$G$138,3,0),0)</f>
        <v>1.0064794035971947E-3</v>
      </c>
    </row>
    <row r="776" spans="1:15" x14ac:dyDescent="0.35">
      <c r="A776" s="94" t="s">
        <v>588</v>
      </c>
      <c r="B776" s="41">
        <v>105</v>
      </c>
      <c r="C776" s="57">
        <v>0.82857142857142863</v>
      </c>
      <c r="D776">
        <v>50</v>
      </c>
      <c r="F776" s="78" t="s">
        <v>588</v>
      </c>
      <c r="G776" s="45">
        <v>105</v>
      </c>
      <c r="H776" s="79">
        <f>ROUNDUP(VLOOKUP(F776,$A$10:$C$782,3,0),0)</f>
        <v>1</v>
      </c>
      <c r="I776" s="80">
        <f>$H$7*$H$6*SQRT(G776)</f>
        <v>87.918837571933352</v>
      </c>
      <c r="J776" s="80">
        <f>(H776*G776)+I776</f>
        <v>192.91883757193335</v>
      </c>
      <c r="K776" s="87">
        <f>H776*G776</f>
        <v>105</v>
      </c>
      <c r="L776" s="3">
        <v>50</v>
      </c>
      <c r="M776" s="30" t="str">
        <f>IF(L776&lt;J776,"Reorder",IF(L776&gt;=J776*1.5,"Overstock","Sufficient"))</f>
        <v>Reorder</v>
      </c>
      <c r="N776" s="30"/>
      <c r="O776" s="3"/>
    </row>
    <row r="777" spans="1:15" x14ac:dyDescent="0.35">
      <c r="A777" s="14" t="s">
        <v>526</v>
      </c>
      <c r="B777" s="41">
        <v>504</v>
      </c>
      <c r="C777" s="57">
        <v>0.61292958423455901</v>
      </c>
      <c r="D777">
        <v>74</v>
      </c>
      <c r="F777" s="72" t="s">
        <v>526</v>
      </c>
      <c r="G777" s="73"/>
      <c r="H777" s="74"/>
      <c r="I777" s="75"/>
      <c r="J777" s="74"/>
      <c r="K777" s="79"/>
      <c r="L777" s="76">
        <v>74</v>
      </c>
      <c r="M777" s="77"/>
      <c r="N777" s="85" t="str">
        <f>IFERROR(VLOOKUP(F777,'ABC Analysis'!$E$18:$M$138,9,0),0)</f>
        <v>C</v>
      </c>
      <c r="O777" s="86">
        <f>IFERROR(VLOOKUP(F777,'ABC Analysis'!$E$18:$G$138,3,0),0)</f>
        <v>1.3907715395161239E-3</v>
      </c>
    </row>
    <row r="778" spans="1:15" x14ac:dyDescent="0.35">
      <c r="A778" s="94" t="s">
        <v>1418</v>
      </c>
      <c r="B778" s="41">
        <v>219</v>
      </c>
      <c r="C778" s="57">
        <v>0.28310502283105021</v>
      </c>
      <c r="D778">
        <v>20</v>
      </c>
      <c r="F778" s="78" t="s">
        <v>1418</v>
      </c>
      <c r="G778" s="45">
        <v>219</v>
      </c>
      <c r="H778" s="79">
        <f>ROUNDUP(VLOOKUP(F778,$A$10:$C$782,3,0),0)</f>
        <v>1</v>
      </c>
      <c r="I778" s="80">
        <f>$H$7*$H$6*SQRT(G778)</f>
        <v>126.97240487602021</v>
      </c>
      <c r="J778" s="80">
        <f>(H778*G778)+I778</f>
        <v>345.97240487602022</v>
      </c>
      <c r="K778" s="87">
        <f>H778*G778</f>
        <v>219</v>
      </c>
      <c r="L778" s="3">
        <v>20</v>
      </c>
      <c r="M778" s="30" t="str">
        <f>IF(L778&lt;J778,"Reorder",IF(L778&gt;=J778*1.5,"Overstock","Sufficient"))</f>
        <v>Reorder</v>
      </c>
      <c r="N778" s="30"/>
      <c r="O778" s="3"/>
    </row>
    <row r="779" spans="1:15" x14ac:dyDescent="0.35">
      <c r="A779" s="94" t="s">
        <v>747</v>
      </c>
      <c r="B779" s="41">
        <v>285</v>
      </c>
      <c r="C779" s="57">
        <v>0.3298245614035088</v>
      </c>
      <c r="D779">
        <v>54</v>
      </c>
      <c r="F779" s="78" t="s">
        <v>747</v>
      </c>
      <c r="G779" s="45">
        <v>285</v>
      </c>
      <c r="H779" s="79">
        <f>ROUNDUP(VLOOKUP(F779,$A$10:$C$782,3,0),0)</f>
        <v>1</v>
      </c>
      <c r="I779" s="80">
        <f>$H$7*$H$6*SQRT(G779)</f>
        <v>144.84707107843087</v>
      </c>
      <c r="J779" s="80">
        <f>(H779*G779)+I779</f>
        <v>429.84707107843087</v>
      </c>
      <c r="K779" s="87">
        <f>H779*G779</f>
        <v>285</v>
      </c>
      <c r="L779" s="3">
        <v>54</v>
      </c>
      <c r="M779" s="30" t="str">
        <f>IF(L779&lt;J779,"Reorder",IF(L779&gt;=J779*1.5,"Overstock","Sufficient"))</f>
        <v>Reorder</v>
      </c>
      <c r="N779" s="30"/>
      <c r="O779" s="3"/>
    </row>
    <row r="780" spans="1:15" x14ac:dyDescent="0.35">
      <c r="A780" s="14" t="s">
        <v>592</v>
      </c>
      <c r="B780" s="41">
        <v>179</v>
      </c>
      <c r="C780" s="57">
        <v>0.30726256983240224</v>
      </c>
      <c r="D780">
        <v>90</v>
      </c>
      <c r="F780" s="72" t="s">
        <v>592</v>
      </c>
      <c r="G780" s="73"/>
      <c r="H780" s="74"/>
      <c r="I780" s="75"/>
      <c r="J780" s="74"/>
      <c r="K780" s="79"/>
      <c r="L780" s="76">
        <v>90</v>
      </c>
      <c r="M780" s="77"/>
      <c r="N780" s="85" t="str">
        <f>IFERROR(VLOOKUP(F780,'ABC Analysis'!$E$18:$M$138,9,0),0)</f>
        <v>B</v>
      </c>
      <c r="O780" s="86">
        <f>IFERROR(VLOOKUP(F780,'ABC Analysis'!$E$18:$G$138,3,0),0)</f>
        <v>3.4130253945936617E-3</v>
      </c>
    </row>
    <row r="781" spans="1:15" x14ac:dyDescent="0.35">
      <c r="A781" s="94" t="s">
        <v>682</v>
      </c>
      <c r="B781" s="41">
        <v>179</v>
      </c>
      <c r="C781" s="57">
        <v>0.30726256983240224</v>
      </c>
      <c r="D781">
        <v>90</v>
      </c>
      <c r="F781" s="78" t="s">
        <v>682</v>
      </c>
      <c r="G781" s="45">
        <v>179</v>
      </c>
      <c r="H781" s="79">
        <f>ROUNDUP(VLOOKUP(F781,$A$10:$C$782,3,0),0)</f>
        <v>1</v>
      </c>
      <c r="I781" s="80">
        <f>$H$7*$H$6*SQRT(G781)</f>
        <v>114.79257641502781</v>
      </c>
      <c r="J781" s="80">
        <f>(H781*G781)+I781</f>
        <v>293.79257641502784</v>
      </c>
      <c r="K781" s="87">
        <f>H781*G781</f>
        <v>179</v>
      </c>
      <c r="L781" s="3">
        <v>90</v>
      </c>
      <c r="M781" s="30" t="str">
        <f>IF(L781&lt;J781,"Reorder",IF(L781&gt;=J781*1.5,"Overstock","Sufficient"))</f>
        <v>Reorder</v>
      </c>
      <c r="N781" s="30"/>
      <c r="O781" s="3"/>
    </row>
    <row r="782" spans="1:15" x14ac:dyDescent="0.35">
      <c r="A782" s="14" t="s">
        <v>3469</v>
      </c>
      <c r="B782" s="41">
        <v>80318</v>
      </c>
      <c r="C782" s="57">
        <v>1220.1015241622408</v>
      </c>
      <c r="D782">
        <v>36824</v>
      </c>
      <c r="F782" s="69"/>
      <c r="G782" s="70"/>
      <c r="H782" s="68"/>
      <c r="I782" s="58"/>
      <c r="J782" s="20"/>
      <c r="L782" s="27"/>
      <c r="M782"/>
      <c r="O782" s="22"/>
    </row>
  </sheetData>
  <autoFilter ref="F8:O782" xr:uid="{C2AA9BCF-480E-419D-9BB9-09071BFB645A}"/>
  <mergeCells count="1">
    <mergeCell ref="A2:O3"/>
  </mergeCells>
  <conditionalFormatting sqref="M4:M1048576 N8:O8">
    <cfRule type="cellIs" dxfId="15" priority="40" operator="equal">
      <formula>"Overstock"</formula>
    </cfRule>
    <cfRule type="cellIs" dxfId="14" priority="41" operator="equal">
      <formula>"Understock"</formula>
    </cfRule>
    <cfRule type="cellIs" dxfId="13" priority="42" operator="equal">
      <formula>"Normal"</formula>
    </cfRule>
    <cfRule type="cellIs" dxfId="12" priority="43" operator="equal">
      <formula>"Stockouts"</formula>
    </cfRule>
  </conditionalFormatting>
  <conditionalFormatting sqref="M10:M781">
    <cfRule type="cellIs" dxfId="11" priority="19" operator="equal">
      <formula>$M$29</formula>
    </cfRule>
    <cfRule type="cellIs" dxfId="10" priority="39" operator="equal">
      <formula>$M$10</formula>
    </cfRule>
  </conditionalFormatting>
  <conditionalFormatting sqref="Y9:Y37">
    <cfRule type="cellIs" dxfId="9" priority="2" operator="equal">
      <formula>$M$10</formula>
    </cfRule>
    <cfRule type="cellIs" dxfId="8" priority="3" operator="equal">
      <formula>"Overstock"</formula>
    </cfRule>
    <cfRule type="cellIs" dxfId="7" priority="4" operator="equal">
      <formula>"Understock"</formula>
    </cfRule>
    <cfRule type="cellIs" dxfId="6" priority="5" operator="equal">
      <formula>"Normal"</formula>
    </cfRule>
    <cfRule type="cellIs" dxfId="5" priority="6" operator="equal">
      <formula>"Stockouts"</formula>
    </cfRule>
  </conditionalFormatting>
  <conditionalFormatting sqref="Y22:Y37">
    <cfRule type="cellIs" dxfId="4" priority="1" operator="equal">
      <formula>$M$29</formula>
    </cfRule>
  </conditionalFormatting>
  <conditionalFormatting sqref="Y8:Z8">
    <cfRule type="cellIs" dxfId="3" priority="30" operator="equal">
      <formula>"Overstock"</formula>
    </cfRule>
    <cfRule type="cellIs" dxfId="2" priority="31" operator="equal">
      <formula>"Understock"</formula>
    </cfRule>
    <cfRule type="cellIs" dxfId="1" priority="32" operator="equal">
      <formula>"Normal"</formula>
    </cfRule>
    <cfRule type="cellIs" dxfId="0" priority="33" operator="equal">
      <formula>"Stockouts"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0A61-2FBB-4C89-8FFB-F293141FA765}">
  <dimension ref="A1:S125"/>
  <sheetViews>
    <sheetView workbookViewId="0">
      <selection activeCell="H24" sqref="H24"/>
    </sheetView>
  </sheetViews>
  <sheetFormatPr defaultRowHeight="14.5" x14ac:dyDescent="0.35"/>
  <cols>
    <col min="1" max="1" width="17.81640625" bestFit="1" customWidth="1"/>
    <col min="2" max="2" width="18.90625" bestFit="1" customWidth="1"/>
    <col min="3" max="3" width="20.1796875" bestFit="1" customWidth="1"/>
    <col min="5" max="5" width="18.26953125" customWidth="1"/>
  </cols>
  <sheetData>
    <row r="1" spans="1:19" x14ac:dyDescent="0.35">
      <c r="A1" s="40" t="s">
        <v>3517</v>
      </c>
      <c r="B1" s="40"/>
      <c r="C1" s="40"/>
    </row>
    <row r="3" spans="1:19" x14ac:dyDescent="0.35">
      <c r="A3" s="13" t="s">
        <v>3468</v>
      </c>
      <c r="B3" t="s">
        <v>3470</v>
      </c>
      <c r="C3" t="s">
        <v>3471</v>
      </c>
      <c r="E3" s="50" t="s">
        <v>3518</v>
      </c>
      <c r="F3" s="50" t="s">
        <v>3519</v>
      </c>
      <c r="G3" s="50" t="s">
        <v>3520</v>
      </c>
      <c r="H3" s="55" t="s">
        <v>3521</v>
      </c>
      <c r="I3" s="55" t="s">
        <v>3551</v>
      </c>
      <c r="K3" s="50" t="s">
        <v>3518</v>
      </c>
      <c r="L3" s="50" t="s">
        <v>3519</v>
      </c>
      <c r="M3" s="50" t="s">
        <v>3520</v>
      </c>
      <c r="N3" s="55" t="s">
        <v>3521</v>
      </c>
      <c r="P3" s="50" t="s">
        <v>3518</v>
      </c>
      <c r="Q3" s="50" t="s">
        <v>3519</v>
      </c>
      <c r="R3" s="50" t="s">
        <v>3520</v>
      </c>
      <c r="S3" s="55" t="s">
        <v>3521</v>
      </c>
    </row>
    <row r="4" spans="1:19" x14ac:dyDescent="0.35">
      <c r="A4" s="14" t="s">
        <v>368</v>
      </c>
      <c r="B4">
        <v>198</v>
      </c>
      <c r="C4" s="20">
        <v>159</v>
      </c>
      <c r="E4" s="14" t="s">
        <v>1138</v>
      </c>
      <c r="F4">
        <v>512</v>
      </c>
      <c r="G4" s="20">
        <v>306</v>
      </c>
      <c r="H4" s="57">
        <f t="shared" ref="H4:H35" si="0">F4/G4</f>
        <v>1.673202614379085</v>
      </c>
      <c r="I4" s="57">
        <f>365/H4</f>
        <v>218.14453125</v>
      </c>
      <c r="K4" s="14" t="s">
        <v>1138</v>
      </c>
      <c r="L4">
        <v>512</v>
      </c>
      <c r="M4" s="20">
        <v>306</v>
      </c>
      <c r="N4" s="57">
        <f t="shared" ref="N4:N13" si="1">L4/M4</f>
        <v>1.673202614379085</v>
      </c>
      <c r="P4" s="14" t="s">
        <v>355</v>
      </c>
      <c r="Q4">
        <v>408</v>
      </c>
      <c r="R4" s="20">
        <v>522</v>
      </c>
      <c r="S4" s="57">
        <f t="shared" ref="S4:S13" si="2">Q4/R4</f>
        <v>0.7816091954022989</v>
      </c>
    </row>
    <row r="5" spans="1:19" x14ac:dyDescent="0.35">
      <c r="A5" s="14" t="s">
        <v>446</v>
      </c>
      <c r="B5">
        <v>405</v>
      </c>
      <c r="C5" s="20">
        <v>582</v>
      </c>
      <c r="E5" s="14" t="s">
        <v>216</v>
      </c>
      <c r="F5">
        <v>332</v>
      </c>
      <c r="G5" s="20">
        <v>202</v>
      </c>
      <c r="H5" s="57">
        <f t="shared" si="0"/>
        <v>1.6435643564356435</v>
      </c>
      <c r="I5" s="57">
        <f t="shared" ref="I5:I68" si="3">365/H5</f>
        <v>222.07831325301206</v>
      </c>
      <c r="K5" s="14" t="s">
        <v>216</v>
      </c>
      <c r="L5">
        <v>332</v>
      </c>
      <c r="M5" s="20">
        <v>202</v>
      </c>
      <c r="N5" s="57">
        <f t="shared" si="1"/>
        <v>1.6435643564356435</v>
      </c>
      <c r="P5" s="14" t="s">
        <v>47</v>
      </c>
      <c r="Q5">
        <v>469</v>
      </c>
      <c r="R5" s="20">
        <v>602</v>
      </c>
      <c r="S5" s="57">
        <f t="shared" si="2"/>
        <v>0.77906976744186052</v>
      </c>
    </row>
    <row r="6" spans="1:19" x14ac:dyDescent="0.35">
      <c r="A6" s="14" t="s">
        <v>59</v>
      </c>
      <c r="B6">
        <v>668</v>
      </c>
      <c r="C6" s="20">
        <v>816</v>
      </c>
      <c r="E6" s="14" t="s">
        <v>947</v>
      </c>
      <c r="F6">
        <v>317</v>
      </c>
      <c r="G6" s="20">
        <v>194</v>
      </c>
      <c r="H6" s="57">
        <f t="shared" si="0"/>
        <v>1.634020618556701</v>
      </c>
      <c r="I6" s="57">
        <f t="shared" si="3"/>
        <v>223.37539432176658</v>
      </c>
      <c r="K6" s="14" t="s">
        <v>947</v>
      </c>
      <c r="L6">
        <v>317</v>
      </c>
      <c r="M6" s="20">
        <v>194</v>
      </c>
      <c r="N6" s="57">
        <f t="shared" si="1"/>
        <v>1.634020618556701</v>
      </c>
      <c r="P6" s="14" t="s">
        <v>121</v>
      </c>
      <c r="Q6">
        <v>367</v>
      </c>
      <c r="R6" s="20">
        <v>472</v>
      </c>
      <c r="S6" s="57">
        <f t="shared" si="2"/>
        <v>0.77754237288135597</v>
      </c>
    </row>
    <row r="7" spans="1:19" x14ac:dyDescent="0.35">
      <c r="A7" s="14" t="s">
        <v>812</v>
      </c>
      <c r="B7">
        <v>374</v>
      </c>
      <c r="C7" s="20">
        <v>417</v>
      </c>
      <c r="E7" s="14" t="s">
        <v>188</v>
      </c>
      <c r="F7">
        <v>258</v>
      </c>
      <c r="G7" s="20">
        <v>160</v>
      </c>
      <c r="H7" s="57">
        <f t="shared" si="0"/>
        <v>1.6125</v>
      </c>
      <c r="I7" s="57">
        <f t="shared" si="3"/>
        <v>226.35658914728683</v>
      </c>
      <c r="K7" s="14" t="s">
        <v>188</v>
      </c>
      <c r="L7">
        <v>258</v>
      </c>
      <c r="M7" s="20">
        <v>160</v>
      </c>
      <c r="N7" s="57">
        <f t="shared" si="1"/>
        <v>1.6125</v>
      </c>
      <c r="P7" s="14" t="s">
        <v>836</v>
      </c>
      <c r="Q7">
        <v>401</v>
      </c>
      <c r="R7" s="20">
        <v>517</v>
      </c>
      <c r="S7" s="57">
        <f t="shared" si="2"/>
        <v>0.77562862669245647</v>
      </c>
    </row>
    <row r="8" spans="1:19" x14ac:dyDescent="0.35">
      <c r="A8" s="14" t="s">
        <v>253</v>
      </c>
      <c r="B8">
        <v>388</v>
      </c>
      <c r="C8" s="20">
        <v>477</v>
      </c>
      <c r="E8" s="14" t="s">
        <v>42</v>
      </c>
      <c r="F8">
        <v>284</v>
      </c>
      <c r="G8" s="20">
        <v>179</v>
      </c>
      <c r="H8" s="57">
        <f t="shared" si="0"/>
        <v>1.5865921787709498</v>
      </c>
      <c r="I8" s="57">
        <f t="shared" si="3"/>
        <v>230.05281690140845</v>
      </c>
      <c r="K8" s="14" t="s">
        <v>42</v>
      </c>
      <c r="L8">
        <v>284</v>
      </c>
      <c r="M8" s="20">
        <v>179</v>
      </c>
      <c r="N8" s="57">
        <f t="shared" si="1"/>
        <v>1.5865921787709498</v>
      </c>
      <c r="P8" s="14" t="s">
        <v>142</v>
      </c>
      <c r="Q8">
        <v>251</v>
      </c>
      <c r="R8" s="20">
        <v>324</v>
      </c>
      <c r="S8" s="57">
        <f t="shared" si="2"/>
        <v>0.77469135802469136</v>
      </c>
    </row>
    <row r="9" spans="1:19" x14ac:dyDescent="0.35">
      <c r="A9" s="14" t="s">
        <v>126</v>
      </c>
      <c r="B9">
        <v>874</v>
      </c>
      <c r="C9" s="20">
        <v>854</v>
      </c>
      <c r="E9" s="14" t="s">
        <v>686</v>
      </c>
      <c r="F9">
        <v>425</v>
      </c>
      <c r="G9" s="20">
        <v>271</v>
      </c>
      <c r="H9" s="57">
        <f t="shared" si="0"/>
        <v>1.5682656826568266</v>
      </c>
      <c r="I9" s="57">
        <f t="shared" si="3"/>
        <v>232.74117647058821</v>
      </c>
      <c r="K9" s="14" t="s">
        <v>686</v>
      </c>
      <c r="L9">
        <v>425</v>
      </c>
      <c r="M9" s="20">
        <v>271</v>
      </c>
      <c r="N9" s="57">
        <f t="shared" si="1"/>
        <v>1.5682656826568266</v>
      </c>
      <c r="P9" s="14" t="s">
        <v>137</v>
      </c>
      <c r="Q9">
        <v>551</v>
      </c>
      <c r="R9" s="20">
        <v>725</v>
      </c>
      <c r="S9" s="57">
        <f t="shared" si="2"/>
        <v>0.76</v>
      </c>
    </row>
    <row r="10" spans="1:19" x14ac:dyDescent="0.35">
      <c r="A10" s="14" t="s">
        <v>170</v>
      </c>
      <c r="B10">
        <v>308</v>
      </c>
      <c r="C10" s="20">
        <v>342</v>
      </c>
      <c r="E10" s="14" t="s">
        <v>526</v>
      </c>
      <c r="F10">
        <v>266</v>
      </c>
      <c r="G10" s="20">
        <v>172</v>
      </c>
      <c r="H10" s="57">
        <f t="shared" si="0"/>
        <v>1.5465116279069768</v>
      </c>
      <c r="I10" s="57">
        <f t="shared" si="3"/>
        <v>236.01503759398494</v>
      </c>
      <c r="K10" s="14" t="s">
        <v>526</v>
      </c>
      <c r="L10">
        <v>266</v>
      </c>
      <c r="M10" s="20">
        <v>172</v>
      </c>
      <c r="N10" s="57">
        <f t="shared" si="1"/>
        <v>1.5465116279069768</v>
      </c>
      <c r="P10" s="14" t="s">
        <v>446</v>
      </c>
      <c r="Q10">
        <v>405</v>
      </c>
      <c r="R10" s="20">
        <v>582</v>
      </c>
      <c r="S10" s="57">
        <f t="shared" si="2"/>
        <v>0.69587628865979378</v>
      </c>
    </row>
    <row r="11" spans="1:19" x14ac:dyDescent="0.35">
      <c r="A11" s="14" t="s">
        <v>490</v>
      </c>
      <c r="B11">
        <v>453</v>
      </c>
      <c r="C11" s="20">
        <v>438</v>
      </c>
      <c r="E11" s="14" t="s">
        <v>508</v>
      </c>
      <c r="F11">
        <v>427</v>
      </c>
      <c r="G11" s="20">
        <v>278</v>
      </c>
      <c r="H11" s="57">
        <f t="shared" si="0"/>
        <v>1.5359712230215827</v>
      </c>
      <c r="I11" s="57">
        <f t="shared" si="3"/>
        <v>237.63466042154568</v>
      </c>
      <c r="K11" s="14" t="s">
        <v>508</v>
      </c>
      <c r="L11">
        <v>427</v>
      </c>
      <c r="M11" s="20">
        <v>278</v>
      </c>
      <c r="N11" s="57">
        <f t="shared" si="1"/>
        <v>1.5359712230215827</v>
      </c>
      <c r="P11" s="14" t="s">
        <v>420</v>
      </c>
      <c r="Q11">
        <v>412</v>
      </c>
      <c r="R11" s="20">
        <v>602</v>
      </c>
      <c r="S11" s="57">
        <f t="shared" si="2"/>
        <v>0.68438538205980071</v>
      </c>
    </row>
    <row r="12" spans="1:19" x14ac:dyDescent="0.35">
      <c r="A12" s="14" t="s">
        <v>80</v>
      </c>
      <c r="B12">
        <v>353</v>
      </c>
      <c r="C12" s="20">
        <v>280</v>
      </c>
      <c r="E12" s="14" t="s">
        <v>320</v>
      </c>
      <c r="F12">
        <v>611</v>
      </c>
      <c r="G12" s="20">
        <v>411</v>
      </c>
      <c r="H12" s="57">
        <f t="shared" si="0"/>
        <v>1.4866180048661801</v>
      </c>
      <c r="I12" s="57">
        <f t="shared" si="3"/>
        <v>245.52373158756137</v>
      </c>
      <c r="K12" s="14" t="s">
        <v>320</v>
      </c>
      <c r="L12">
        <v>611</v>
      </c>
      <c r="M12" s="20">
        <v>411</v>
      </c>
      <c r="N12" s="57">
        <f t="shared" si="1"/>
        <v>1.4866180048661801</v>
      </c>
      <c r="P12" s="14" t="s">
        <v>243</v>
      </c>
      <c r="Q12">
        <v>166</v>
      </c>
      <c r="R12" s="20">
        <v>268</v>
      </c>
      <c r="S12" s="57">
        <f t="shared" si="2"/>
        <v>0.61940298507462688</v>
      </c>
    </row>
    <row r="13" spans="1:19" x14ac:dyDescent="0.35">
      <c r="A13" s="14" t="s">
        <v>433</v>
      </c>
      <c r="B13">
        <v>257</v>
      </c>
      <c r="C13" s="20">
        <v>272</v>
      </c>
      <c r="E13" s="14" t="s">
        <v>193</v>
      </c>
      <c r="F13">
        <v>450</v>
      </c>
      <c r="G13" s="20">
        <v>308</v>
      </c>
      <c r="H13" s="57">
        <f t="shared" si="0"/>
        <v>1.4610389610389611</v>
      </c>
      <c r="I13" s="57">
        <f t="shared" si="3"/>
        <v>249.82222222222219</v>
      </c>
      <c r="K13" s="14" t="s">
        <v>193</v>
      </c>
      <c r="L13">
        <v>450</v>
      </c>
      <c r="M13" s="20">
        <v>308</v>
      </c>
      <c r="N13" s="57">
        <f t="shared" si="1"/>
        <v>1.4610389610389611</v>
      </c>
      <c r="P13" s="14" t="s">
        <v>248</v>
      </c>
      <c r="Q13">
        <v>324</v>
      </c>
      <c r="R13" s="20">
        <v>534</v>
      </c>
      <c r="S13" s="57">
        <f t="shared" si="2"/>
        <v>0.6067415730337079</v>
      </c>
    </row>
    <row r="14" spans="1:19" x14ac:dyDescent="0.35">
      <c r="A14" s="14" t="s">
        <v>717</v>
      </c>
      <c r="B14">
        <v>317</v>
      </c>
      <c r="C14" s="20">
        <v>234</v>
      </c>
      <c r="E14" s="14" t="s">
        <v>198</v>
      </c>
      <c r="F14">
        <v>416</v>
      </c>
      <c r="G14" s="20">
        <v>288</v>
      </c>
      <c r="H14" s="57">
        <f t="shared" si="0"/>
        <v>1.4444444444444444</v>
      </c>
      <c r="I14" s="57">
        <f t="shared" si="3"/>
        <v>252.69230769230771</v>
      </c>
    </row>
    <row r="15" spans="1:19" x14ac:dyDescent="0.35">
      <c r="A15" s="14" t="s">
        <v>17</v>
      </c>
      <c r="B15">
        <v>708</v>
      </c>
      <c r="C15" s="20">
        <v>867</v>
      </c>
      <c r="E15" s="14" t="s">
        <v>1081</v>
      </c>
      <c r="F15">
        <v>699</v>
      </c>
      <c r="G15" s="20">
        <v>484</v>
      </c>
      <c r="H15" s="57">
        <f t="shared" si="0"/>
        <v>1.4442148760330578</v>
      </c>
      <c r="I15" s="57">
        <f t="shared" si="3"/>
        <v>252.73247496423463</v>
      </c>
    </row>
    <row r="16" spans="1:19" x14ac:dyDescent="0.35">
      <c r="A16" s="14" t="s">
        <v>566</v>
      </c>
      <c r="B16">
        <v>662</v>
      </c>
      <c r="C16" s="20">
        <v>517</v>
      </c>
      <c r="E16" s="14" t="s">
        <v>276</v>
      </c>
      <c r="F16">
        <v>606</v>
      </c>
      <c r="G16" s="20">
        <v>420</v>
      </c>
      <c r="H16" s="57">
        <f t="shared" si="0"/>
        <v>1.4428571428571428</v>
      </c>
      <c r="I16" s="57">
        <f t="shared" si="3"/>
        <v>252.97029702970298</v>
      </c>
    </row>
    <row r="17" spans="1:19" x14ac:dyDescent="0.35">
      <c r="A17" s="14" t="s">
        <v>329</v>
      </c>
      <c r="B17">
        <v>737</v>
      </c>
      <c r="C17" s="20">
        <v>680</v>
      </c>
      <c r="E17" s="14" t="s">
        <v>615</v>
      </c>
      <c r="F17">
        <v>485</v>
      </c>
      <c r="G17" s="20">
        <v>342</v>
      </c>
      <c r="H17" s="57">
        <f t="shared" si="0"/>
        <v>1.4181286549707601</v>
      </c>
      <c r="I17" s="57">
        <f t="shared" si="3"/>
        <v>257.38144329896909</v>
      </c>
      <c r="S17" t="s">
        <v>3522</v>
      </c>
    </row>
    <row r="18" spans="1:19" x14ac:dyDescent="0.35">
      <c r="A18" s="14" t="s">
        <v>508</v>
      </c>
      <c r="B18">
        <v>427</v>
      </c>
      <c r="C18" s="20">
        <v>278</v>
      </c>
      <c r="E18" s="14" t="s">
        <v>397</v>
      </c>
      <c r="F18">
        <v>472</v>
      </c>
      <c r="G18" s="20">
        <v>341</v>
      </c>
      <c r="H18" s="57">
        <f t="shared" si="0"/>
        <v>1.3841642228739004</v>
      </c>
      <c r="I18" s="57">
        <f t="shared" si="3"/>
        <v>263.69703389830505</v>
      </c>
      <c r="S18" t="s">
        <v>3523</v>
      </c>
    </row>
    <row r="19" spans="1:19" x14ac:dyDescent="0.35">
      <c r="A19" s="14" t="s">
        <v>1445</v>
      </c>
      <c r="B19">
        <v>414</v>
      </c>
      <c r="C19" s="20">
        <v>428</v>
      </c>
      <c r="E19" s="14" t="s">
        <v>470</v>
      </c>
      <c r="F19">
        <v>604</v>
      </c>
      <c r="G19" s="20">
        <v>438</v>
      </c>
      <c r="H19" s="57">
        <f t="shared" si="0"/>
        <v>1.3789954337899544</v>
      </c>
      <c r="I19" s="57">
        <f t="shared" si="3"/>
        <v>264.68543046357615</v>
      </c>
      <c r="S19" t="s">
        <v>3524</v>
      </c>
    </row>
    <row r="20" spans="1:19" x14ac:dyDescent="0.35">
      <c r="A20" s="14" t="s">
        <v>175</v>
      </c>
      <c r="B20">
        <v>1002</v>
      </c>
      <c r="C20" s="20">
        <v>1120</v>
      </c>
      <c r="E20" s="14" t="s">
        <v>1202</v>
      </c>
      <c r="F20">
        <v>633</v>
      </c>
      <c r="G20" s="20">
        <v>461</v>
      </c>
      <c r="H20" s="57">
        <f t="shared" si="0"/>
        <v>1.3731019522776573</v>
      </c>
      <c r="I20" s="57">
        <f t="shared" si="3"/>
        <v>265.82148499210109</v>
      </c>
    </row>
    <row r="21" spans="1:19" x14ac:dyDescent="0.35">
      <c r="A21" s="14" t="s">
        <v>984</v>
      </c>
      <c r="B21">
        <v>726</v>
      </c>
      <c r="C21" s="20">
        <v>604</v>
      </c>
      <c r="E21" s="14" t="s">
        <v>632</v>
      </c>
      <c r="F21">
        <v>491</v>
      </c>
      <c r="G21" s="20">
        <v>359</v>
      </c>
      <c r="H21" s="57">
        <f t="shared" si="0"/>
        <v>1.3676880222841226</v>
      </c>
      <c r="I21" s="57">
        <f t="shared" si="3"/>
        <v>266.87372708757636</v>
      </c>
    </row>
    <row r="22" spans="1:19" x14ac:dyDescent="0.35">
      <c r="A22" s="14" t="s">
        <v>554</v>
      </c>
      <c r="B22">
        <v>466</v>
      </c>
      <c r="C22" s="20">
        <v>440</v>
      </c>
      <c r="E22" s="14" t="s">
        <v>976</v>
      </c>
      <c r="F22">
        <v>535</v>
      </c>
      <c r="G22" s="20">
        <v>392</v>
      </c>
      <c r="H22" s="57">
        <f t="shared" si="0"/>
        <v>1.364795918367347</v>
      </c>
      <c r="I22" s="57">
        <f t="shared" si="3"/>
        <v>267.43925233644859</v>
      </c>
    </row>
    <row r="23" spans="1:19" x14ac:dyDescent="0.35">
      <c r="A23" s="14" t="s">
        <v>1350</v>
      </c>
      <c r="B23">
        <v>270</v>
      </c>
      <c r="C23" s="20">
        <v>241</v>
      </c>
      <c r="E23" s="14" t="s">
        <v>52</v>
      </c>
      <c r="F23">
        <v>309</v>
      </c>
      <c r="G23" s="20">
        <v>228</v>
      </c>
      <c r="H23" s="57">
        <f t="shared" si="0"/>
        <v>1.3552631578947369</v>
      </c>
      <c r="I23" s="57">
        <f t="shared" si="3"/>
        <v>269.32038834951453</v>
      </c>
    </row>
    <row r="24" spans="1:19" x14ac:dyDescent="0.35">
      <c r="A24" s="14" t="s">
        <v>1117</v>
      </c>
      <c r="B24">
        <v>308</v>
      </c>
      <c r="C24" s="20">
        <v>263</v>
      </c>
      <c r="E24" s="14" t="s">
        <v>717</v>
      </c>
      <c r="F24">
        <v>317</v>
      </c>
      <c r="G24" s="20">
        <v>234</v>
      </c>
      <c r="H24" s="57">
        <f t="shared" si="0"/>
        <v>1.3547008547008548</v>
      </c>
      <c r="I24" s="57">
        <f t="shared" si="3"/>
        <v>269.4321766561514</v>
      </c>
    </row>
    <row r="25" spans="1:19" x14ac:dyDescent="0.35">
      <c r="A25" s="14" t="s">
        <v>600</v>
      </c>
      <c r="B25">
        <v>309</v>
      </c>
      <c r="C25" s="20">
        <v>365</v>
      </c>
      <c r="E25" s="14" t="s">
        <v>258</v>
      </c>
      <c r="F25">
        <v>559</v>
      </c>
      <c r="G25" s="20">
        <v>413</v>
      </c>
      <c r="H25" s="57">
        <f t="shared" si="0"/>
        <v>1.3535108958837772</v>
      </c>
      <c r="I25" s="57">
        <f t="shared" si="3"/>
        <v>269.6690518783542</v>
      </c>
    </row>
    <row r="26" spans="1:19" x14ac:dyDescent="0.35">
      <c r="A26" s="14" t="s">
        <v>355</v>
      </c>
      <c r="B26">
        <v>408</v>
      </c>
      <c r="C26" s="20">
        <v>522</v>
      </c>
      <c r="E26" s="14" t="s">
        <v>574</v>
      </c>
      <c r="F26">
        <v>575</v>
      </c>
      <c r="G26" s="20">
        <v>429</v>
      </c>
      <c r="H26" s="57">
        <f t="shared" si="0"/>
        <v>1.3403263403263403</v>
      </c>
      <c r="I26" s="57">
        <f t="shared" si="3"/>
        <v>272.32173913043476</v>
      </c>
    </row>
    <row r="27" spans="1:19" x14ac:dyDescent="0.35">
      <c r="A27" s="14" t="s">
        <v>707</v>
      </c>
      <c r="B27">
        <v>592</v>
      </c>
      <c r="C27" s="20">
        <v>575</v>
      </c>
      <c r="E27" s="14" t="s">
        <v>495</v>
      </c>
      <c r="F27">
        <v>578</v>
      </c>
      <c r="G27" s="20">
        <v>441</v>
      </c>
      <c r="H27" s="57">
        <f t="shared" si="0"/>
        <v>1.3106575963718821</v>
      </c>
      <c r="I27" s="57">
        <f t="shared" si="3"/>
        <v>278.48615916955021</v>
      </c>
    </row>
    <row r="28" spans="1:19" x14ac:dyDescent="0.35">
      <c r="A28" s="14" t="s">
        <v>37</v>
      </c>
      <c r="B28">
        <v>383</v>
      </c>
      <c r="C28" s="20">
        <v>443</v>
      </c>
      <c r="E28" s="14" t="s">
        <v>180</v>
      </c>
      <c r="F28">
        <v>623</v>
      </c>
      <c r="G28" s="20">
        <v>476</v>
      </c>
      <c r="H28" s="57">
        <f t="shared" si="0"/>
        <v>1.3088235294117647</v>
      </c>
      <c r="I28" s="57">
        <f t="shared" si="3"/>
        <v>278.87640449438203</v>
      </c>
    </row>
    <row r="29" spans="1:19" x14ac:dyDescent="0.35">
      <c r="A29" s="14" t="s">
        <v>96</v>
      </c>
      <c r="B29">
        <v>911</v>
      </c>
      <c r="C29" s="20">
        <v>909</v>
      </c>
      <c r="E29" s="14" t="s">
        <v>24</v>
      </c>
      <c r="F29">
        <v>435</v>
      </c>
      <c r="G29" s="20">
        <v>335</v>
      </c>
      <c r="H29" s="57">
        <f t="shared" si="0"/>
        <v>1.2985074626865671</v>
      </c>
      <c r="I29" s="57">
        <f t="shared" si="3"/>
        <v>281.09195402298849</v>
      </c>
    </row>
    <row r="30" spans="1:19" x14ac:dyDescent="0.35">
      <c r="A30" s="14" t="s">
        <v>75</v>
      </c>
      <c r="B30">
        <v>675</v>
      </c>
      <c r="C30" s="20">
        <v>585</v>
      </c>
      <c r="E30" s="14" t="s">
        <v>272</v>
      </c>
      <c r="F30">
        <v>580</v>
      </c>
      <c r="G30" s="20">
        <v>450</v>
      </c>
      <c r="H30" s="57">
        <f t="shared" si="0"/>
        <v>1.288888888888889</v>
      </c>
      <c r="I30" s="57">
        <f t="shared" si="3"/>
        <v>283.18965517241378</v>
      </c>
      <c r="S30" t="s">
        <v>3522</v>
      </c>
    </row>
    <row r="31" spans="1:19" x14ac:dyDescent="0.35">
      <c r="A31" s="14" t="s">
        <v>65</v>
      </c>
      <c r="B31">
        <v>408</v>
      </c>
      <c r="C31" s="20">
        <v>514</v>
      </c>
      <c r="E31" s="14" t="s">
        <v>298</v>
      </c>
      <c r="F31">
        <v>390</v>
      </c>
      <c r="G31" s="20">
        <v>304</v>
      </c>
      <c r="H31" s="57">
        <f t="shared" si="0"/>
        <v>1.2828947368421053</v>
      </c>
      <c r="I31" s="57">
        <f t="shared" si="3"/>
        <v>284.5128205128205</v>
      </c>
      <c r="S31" t="s">
        <v>3525</v>
      </c>
    </row>
    <row r="32" spans="1:19" x14ac:dyDescent="0.35">
      <c r="A32" s="14" t="s">
        <v>1092</v>
      </c>
      <c r="B32">
        <v>187</v>
      </c>
      <c r="C32" s="20">
        <v>159</v>
      </c>
      <c r="E32" s="14" t="s">
        <v>146</v>
      </c>
      <c r="F32">
        <v>794</v>
      </c>
      <c r="G32" s="20">
        <v>620</v>
      </c>
      <c r="H32" s="57">
        <f t="shared" si="0"/>
        <v>1.2806451612903227</v>
      </c>
      <c r="I32" s="57">
        <f t="shared" si="3"/>
        <v>285.01259445843829</v>
      </c>
      <c r="S32" t="s">
        <v>3526</v>
      </c>
    </row>
    <row r="33" spans="1:19" x14ac:dyDescent="0.35">
      <c r="A33" s="14" t="s">
        <v>225</v>
      </c>
      <c r="B33">
        <v>598</v>
      </c>
      <c r="C33" s="20">
        <v>562</v>
      </c>
      <c r="E33" s="14" t="s">
        <v>566</v>
      </c>
      <c r="F33">
        <v>662</v>
      </c>
      <c r="G33" s="20">
        <v>517</v>
      </c>
      <c r="H33" s="57">
        <f t="shared" si="0"/>
        <v>1.2804642166344293</v>
      </c>
      <c r="I33" s="57">
        <f t="shared" si="3"/>
        <v>285.05287009063443</v>
      </c>
      <c r="S33" s="53" t="s">
        <v>3527</v>
      </c>
    </row>
    <row r="34" spans="1:19" x14ac:dyDescent="0.35">
      <c r="A34" s="14" t="s">
        <v>438</v>
      </c>
      <c r="B34">
        <v>337</v>
      </c>
      <c r="C34" s="20">
        <v>396</v>
      </c>
      <c r="E34" s="14" t="s">
        <v>416</v>
      </c>
      <c r="F34">
        <v>399</v>
      </c>
      <c r="G34" s="20">
        <v>314</v>
      </c>
      <c r="H34" s="57">
        <f t="shared" si="0"/>
        <v>1.2707006369426752</v>
      </c>
      <c r="I34" s="57">
        <f t="shared" si="3"/>
        <v>287.24310776942355</v>
      </c>
      <c r="S34" s="53" t="s">
        <v>3528</v>
      </c>
    </row>
    <row r="35" spans="1:19" x14ac:dyDescent="0.35">
      <c r="A35" s="14" t="s">
        <v>592</v>
      </c>
      <c r="B35">
        <v>235</v>
      </c>
      <c r="C35" s="20">
        <v>266</v>
      </c>
      <c r="E35" s="14" t="s">
        <v>342</v>
      </c>
      <c r="F35">
        <v>972</v>
      </c>
      <c r="G35" s="20">
        <v>766</v>
      </c>
      <c r="H35" s="57">
        <f t="shared" si="0"/>
        <v>1.268929503916449</v>
      </c>
      <c r="I35" s="57">
        <f t="shared" si="3"/>
        <v>287.64403292181072</v>
      </c>
      <c r="S35" s="53" t="s">
        <v>3529</v>
      </c>
    </row>
    <row r="36" spans="1:19" x14ac:dyDescent="0.35">
      <c r="A36" s="14" t="s">
        <v>52</v>
      </c>
      <c r="B36">
        <v>309</v>
      </c>
      <c r="C36" s="20">
        <v>228</v>
      </c>
      <c r="E36" s="14" t="s">
        <v>80</v>
      </c>
      <c r="F36">
        <v>353</v>
      </c>
      <c r="G36" s="20">
        <v>280</v>
      </c>
      <c r="H36" s="57">
        <f t="shared" ref="H36:H67" si="4">F36/G36</f>
        <v>1.2607142857142857</v>
      </c>
      <c r="I36" s="57">
        <f t="shared" si="3"/>
        <v>289.51841359773374</v>
      </c>
    </row>
    <row r="37" spans="1:19" x14ac:dyDescent="0.35">
      <c r="A37" s="14" t="s">
        <v>632</v>
      </c>
      <c r="B37">
        <v>491</v>
      </c>
      <c r="C37" s="20">
        <v>359</v>
      </c>
      <c r="E37" s="14" t="s">
        <v>151</v>
      </c>
      <c r="F37">
        <v>605</v>
      </c>
      <c r="G37" s="20">
        <v>480</v>
      </c>
      <c r="H37" s="57">
        <f t="shared" si="4"/>
        <v>1.2604166666666667</v>
      </c>
      <c r="I37" s="57">
        <f t="shared" si="3"/>
        <v>289.58677685950414</v>
      </c>
    </row>
    <row r="38" spans="1:19" x14ac:dyDescent="0.35">
      <c r="A38" s="14" t="s">
        <v>1016</v>
      </c>
      <c r="B38">
        <v>467</v>
      </c>
      <c r="C38" s="20">
        <v>414</v>
      </c>
      <c r="E38" s="14" t="s">
        <v>368</v>
      </c>
      <c r="F38">
        <v>198</v>
      </c>
      <c r="G38" s="20">
        <v>159</v>
      </c>
      <c r="H38" s="57">
        <f t="shared" si="4"/>
        <v>1.2452830188679245</v>
      </c>
      <c r="I38" s="57">
        <f t="shared" si="3"/>
        <v>293.10606060606062</v>
      </c>
    </row>
    <row r="39" spans="1:19" x14ac:dyDescent="0.35">
      <c r="A39" s="14" t="s">
        <v>828</v>
      </c>
      <c r="B39">
        <v>287</v>
      </c>
      <c r="C39" s="20">
        <v>261</v>
      </c>
      <c r="E39" s="14" t="s">
        <v>1069</v>
      </c>
      <c r="F39">
        <v>345</v>
      </c>
      <c r="G39" s="20">
        <v>279</v>
      </c>
      <c r="H39" s="57">
        <f t="shared" si="4"/>
        <v>1.2365591397849462</v>
      </c>
      <c r="I39" s="57">
        <f t="shared" si="3"/>
        <v>295.17391304347825</v>
      </c>
    </row>
    <row r="40" spans="1:19" x14ac:dyDescent="0.35">
      <c r="A40" s="14" t="s">
        <v>298</v>
      </c>
      <c r="B40">
        <v>390</v>
      </c>
      <c r="C40" s="20">
        <v>304</v>
      </c>
      <c r="E40" s="14" t="s">
        <v>333</v>
      </c>
      <c r="F40">
        <v>484</v>
      </c>
      <c r="G40" s="20">
        <v>392</v>
      </c>
      <c r="H40" s="57">
        <f t="shared" si="4"/>
        <v>1.2346938775510203</v>
      </c>
      <c r="I40" s="57">
        <f t="shared" si="3"/>
        <v>295.61983471074382</v>
      </c>
    </row>
    <row r="41" spans="1:19" x14ac:dyDescent="0.35">
      <c r="A41" s="14" t="s">
        <v>180</v>
      </c>
      <c r="B41">
        <v>623</v>
      </c>
      <c r="C41" s="20">
        <v>476</v>
      </c>
      <c r="E41" s="14" t="s">
        <v>1516</v>
      </c>
      <c r="F41">
        <v>406</v>
      </c>
      <c r="G41" s="20">
        <v>330</v>
      </c>
      <c r="H41" s="57">
        <f t="shared" si="4"/>
        <v>1.2303030303030302</v>
      </c>
      <c r="I41" s="57">
        <f t="shared" si="3"/>
        <v>296.67487684729065</v>
      </c>
    </row>
    <row r="42" spans="1:19" x14ac:dyDescent="0.35">
      <c r="A42" s="14" t="s">
        <v>90</v>
      </c>
      <c r="B42">
        <v>696</v>
      </c>
      <c r="C42" s="20">
        <v>577</v>
      </c>
      <c r="E42" s="14" t="s">
        <v>288</v>
      </c>
      <c r="F42">
        <v>627</v>
      </c>
      <c r="G42" s="20">
        <v>517</v>
      </c>
      <c r="H42" s="57">
        <f t="shared" si="4"/>
        <v>1.2127659574468086</v>
      </c>
      <c r="I42" s="57">
        <f t="shared" si="3"/>
        <v>300.96491228070175</v>
      </c>
    </row>
    <row r="43" spans="1:19" x14ac:dyDescent="0.35">
      <c r="A43" s="14" t="s">
        <v>1138</v>
      </c>
      <c r="B43">
        <v>512</v>
      </c>
      <c r="C43" s="20">
        <v>306</v>
      </c>
      <c r="E43" s="14" t="s">
        <v>90</v>
      </c>
      <c r="F43">
        <v>696</v>
      </c>
      <c r="G43" s="20">
        <v>577</v>
      </c>
      <c r="H43" s="57">
        <f t="shared" si="4"/>
        <v>1.2062391681109186</v>
      </c>
      <c r="I43" s="57">
        <f t="shared" si="3"/>
        <v>302.59339080459768</v>
      </c>
    </row>
    <row r="44" spans="1:19" x14ac:dyDescent="0.35">
      <c r="A44" s="14" t="s">
        <v>272</v>
      </c>
      <c r="B44">
        <v>580</v>
      </c>
      <c r="C44" s="20">
        <v>450</v>
      </c>
      <c r="E44" s="14" t="s">
        <v>984</v>
      </c>
      <c r="F44">
        <v>726</v>
      </c>
      <c r="G44" s="20">
        <v>604</v>
      </c>
      <c r="H44" s="57">
        <f t="shared" si="4"/>
        <v>1.2019867549668874</v>
      </c>
      <c r="I44" s="57">
        <f t="shared" si="3"/>
        <v>303.66391184573001</v>
      </c>
    </row>
    <row r="45" spans="1:19" x14ac:dyDescent="0.35">
      <c r="A45" s="14" t="s">
        <v>549</v>
      </c>
      <c r="B45">
        <v>770</v>
      </c>
      <c r="C45" s="20">
        <v>748</v>
      </c>
      <c r="E45" s="14" t="s">
        <v>156</v>
      </c>
      <c r="F45">
        <v>486</v>
      </c>
      <c r="G45" s="20">
        <v>407</v>
      </c>
      <c r="H45" s="57">
        <f t="shared" si="4"/>
        <v>1.1941031941031941</v>
      </c>
      <c r="I45" s="57">
        <f t="shared" si="3"/>
        <v>305.66872427983537</v>
      </c>
    </row>
    <row r="46" spans="1:19" x14ac:dyDescent="0.35">
      <c r="A46" s="14" t="s">
        <v>582</v>
      </c>
      <c r="B46">
        <v>422</v>
      </c>
      <c r="C46" s="20">
        <v>425</v>
      </c>
      <c r="E46" s="14" t="s">
        <v>132</v>
      </c>
      <c r="F46">
        <v>514</v>
      </c>
      <c r="G46" s="20">
        <v>433</v>
      </c>
      <c r="H46" s="57">
        <f t="shared" si="4"/>
        <v>1.1870669745958429</v>
      </c>
      <c r="I46" s="57">
        <f t="shared" si="3"/>
        <v>307.48054474708175</v>
      </c>
    </row>
    <row r="47" spans="1:19" x14ac:dyDescent="0.35">
      <c r="A47" s="14" t="s">
        <v>106</v>
      </c>
      <c r="B47">
        <v>626</v>
      </c>
      <c r="C47" s="20">
        <v>540</v>
      </c>
      <c r="E47" s="14" t="s">
        <v>665</v>
      </c>
      <c r="F47">
        <v>304</v>
      </c>
      <c r="G47" s="20">
        <v>258</v>
      </c>
      <c r="H47" s="57">
        <f t="shared" si="4"/>
        <v>1.1782945736434109</v>
      </c>
      <c r="I47" s="57">
        <f t="shared" si="3"/>
        <v>309.76973684210526</v>
      </c>
    </row>
    <row r="48" spans="1:19" x14ac:dyDescent="0.35">
      <c r="A48" s="14" t="s">
        <v>116</v>
      </c>
      <c r="B48">
        <v>454</v>
      </c>
      <c r="C48" s="20">
        <v>567</v>
      </c>
      <c r="E48" s="14" t="s">
        <v>1092</v>
      </c>
      <c r="F48">
        <v>187</v>
      </c>
      <c r="G48" s="20">
        <v>159</v>
      </c>
      <c r="H48" s="57">
        <f t="shared" si="4"/>
        <v>1.1761006289308176</v>
      </c>
      <c r="I48" s="57">
        <f t="shared" si="3"/>
        <v>310.34759358288773</v>
      </c>
    </row>
    <row r="49" spans="1:9" x14ac:dyDescent="0.35">
      <c r="A49" s="14" t="s">
        <v>615</v>
      </c>
      <c r="B49">
        <v>485</v>
      </c>
      <c r="C49" s="20">
        <v>342</v>
      </c>
      <c r="E49" s="14" t="s">
        <v>531</v>
      </c>
      <c r="F49">
        <v>535</v>
      </c>
      <c r="G49" s="20">
        <v>455</v>
      </c>
      <c r="H49" s="57">
        <f t="shared" si="4"/>
        <v>1.1758241758241759</v>
      </c>
      <c r="I49" s="57">
        <f t="shared" si="3"/>
        <v>310.42056074766356</v>
      </c>
    </row>
    <row r="50" spans="1:9" x14ac:dyDescent="0.35">
      <c r="A50" s="14" t="s">
        <v>248</v>
      </c>
      <c r="B50">
        <v>324</v>
      </c>
      <c r="C50" s="20">
        <v>534</v>
      </c>
      <c r="E50" s="14" t="s">
        <v>1117</v>
      </c>
      <c r="F50">
        <v>308</v>
      </c>
      <c r="G50" s="20">
        <v>263</v>
      </c>
      <c r="H50" s="57">
        <f t="shared" si="4"/>
        <v>1.1711026615969582</v>
      </c>
      <c r="I50" s="57">
        <f t="shared" si="3"/>
        <v>311.6720779220779</v>
      </c>
    </row>
    <row r="51" spans="1:9" x14ac:dyDescent="0.35">
      <c r="A51" s="14" t="s">
        <v>42</v>
      </c>
      <c r="B51">
        <v>284</v>
      </c>
      <c r="C51" s="20">
        <v>179</v>
      </c>
      <c r="E51" s="14" t="s">
        <v>106</v>
      </c>
      <c r="F51">
        <v>626</v>
      </c>
      <c r="G51" s="20">
        <v>540</v>
      </c>
      <c r="H51" s="57">
        <f t="shared" si="4"/>
        <v>1.1592592592592592</v>
      </c>
      <c r="I51" s="57">
        <f t="shared" si="3"/>
        <v>314.85623003194888</v>
      </c>
    </row>
    <row r="52" spans="1:9" x14ac:dyDescent="0.35">
      <c r="A52" s="14" t="s">
        <v>691</v>
      </c>
      <c r="B52">
        <v>411</v>
      </c>
      <c r="C52" s="20">
        <v>492</v>
      </c>
      <c r="E52" s="14" t="s">
        <v>75</v>
      </c>
      <c r="F52">
        <v>675</v>
      </c>
      <c r="G52" s="20">
        <v>585</v>
      </c>
      <c r="H52" s="57">
        <f t="shared" si="4"/>
        <v>1.1538461538461537</v>
      </c>
      <c r="I52" s="57">
        <f t="shared" si="3"/>
        <v>316.33333333333337</v>
      </c>
    </row>
    <row r="53" spans="1:9" x14ac:dyDescent="0.35">
      <c r="A53" s="14" t="s">
        <v>392</v>
      </c>
      <c r="B53">
        <v>757</v>
      </c>
      <c r="C53" s="20">
        <v>820</v>
      </c>
      <c r="E53" s="14" t="s">
        <v>303</v>
      </c>
      <c r="F53">
        <v>425</v>
      </c>
      <c r="G53" s="20">
        <v>371</v>
      </c>
      <c r="H53" s="57">
        <f t="shared" si="4"/>
        <v>1.1455525606469004</v>
      </c>
      <c r="I53" s="57">
        <f t="shared" si="3"/>
        <v>318.62352941176471</v>
      </c>
    </row>
    <row r="54" spans="1:9" x14ac:dyDescent="0.35">
      <c r="A54" s="14" t="s">
        <v>465</v>
      </c>
      <c r="B54">
        <v>388</v>
      </c>
      <c r="C54" s="20">
        <v>398</v>
      </c>
      <c r="E54" s="14" t="s">
        <v>587</v>
      </c>
      <c r="F54">
        <v>334</v>
      </c>
      <c r="G54" s="20">
        <v>292</v>
      </c>
      <c r="H54" s="57">
        <f t="shared" si="4"/>
        <v>1.1438356164383561</v>
      </c>
      <c r="I54" s="57">
        <f t="shared" si="3"/>
        <v>319.10179640718565</v>
      </c>
    </row>
    <row r="55" spans="1:9" x14ac:dyDescent="0.35">
      <c r="A55" s="14" t="s">
        <v>789</v>
      </c>
      <c r="B55">
        <v>416</v>
      </c>
      <c r="C55" s="20">
        <v>415</v>
      </c>
      <c r="E55" s="14" t="s">
        <v>380</v>
      </c>
      <c r="F55">
        <v>416</v>
      </c>
      <c r="G55" s="20">
        <v>364</v>
      </c>
      <c r="H55" s="57">
        <f t="shared" si="4"/>
        <v>1.1428571428571428</v>
      </c>
      <c r="I55" s="57">
        <f t="shared" si="3"/>
        <v>319.375</v>
      </c>
    </row>
    <row r="56" spans="1:9" x14ac:dyDescent="0.35">
      <c r="A56" s="14" t="s">
        <v>156</v>
      </c>
      <c r="B56">
        <v>486</v>
      </c>
      <c r="C56" s="20">
        <v>407</v>
      </c>
      <c r="E56" s="14" t="s">
        <v>1016</v>
      </c>
      <c r="F56">
        <v>467</v>
      </c>
      <c r="G56" s="20">
        <v>414</v>
      </c>
      <c r="H56" s="57">
        <f t="shared" si="4"/>
        <v>1.1280193236714975</v>
      </c>
      <c r="I56" s="57">
        <f t="shared" si="3"/>
        <v>323.57601713062104</v>
      </c>
    </row>
    <row r="57" spans="1:9" x14ac:dyDescent="0.35">
      <c r="A57" s="14" t="s">
        <v>1081</v>
      </c>
      <c r="B57">
        <v>699</v>
      </c>
      <c r="C57" s="20">
        <v>484</v>
      </c>
      <c r="E57" s="14" t="s">
        <v>1350</v>
      </c>
      <c r="F57">
        <v>270</v>
      </c>
      <c r="G57" s="20">
        <v>241</v>
      </c>
      <c r="H57" s="57">
        <f t="shared" si="4"/>
        <v>1.1203319502074689</v>
      </c>
      <c r="I57" s="57">
        <f t="shared" si="3"/>
        <v>325.7962962962963</v>
      </c>
    </row>
    <row r="58" spans="1:9" x14ac:dyDescent="0.35">
      <c r="A58" s="14" t="s">
        <v>674</v>
      </c>
      <c r="B58">
        <v>892</v>
      </c>
      <c r="C58" s="20">
        <v>799</v>
      </c>
      <c r="E58" s="14" t="s">
        <v>674</v>
      </c>
      <c r="F58">
        <v>892</v>
      </c>
      <c r="G58" s="20">
        <v>799</v>
      </c>
      <c r="H58" s="57">
        <f t="shared" si="4"/>
        <v>1.1163954943679599</v>
      </c>
      <c r="I58" s="57">
        <f t="shared" si="3"/>
        <v>326.94506726457399</v>
      </c>
    </row>
    <row r="59" spans="1:9" x14ac:dyDescent="0.35">
      <c r="A59" s="14" t="s">
        <v>976</v>
      </c>
      <c r="B59">
        <v>535</v>
      </c>
      <c r="C59" s="20">
        <v>392</v>
      </c>
      <c r="E59" s="14" t="s">
        <v>263</v>
      </c>
      <c r="F59">
        <v>385</v>
      </c>
      <c r="G59" s="20">
        <v>346</v>
      </c>
      <c r="H59" s="57">
        <f t="shared" si="4"/>
        <v>1.1127167630057804</v>
      </c>
      <c r="I59" s="57">
        <f t="shared" si="3"/>
        <v>328.02597402597399</v>
      </c>
    </row>
    <row r="60" spans="1:9" x14ac:dyDescent="0.35">
      <c r="A60" s="14" t="s">
        <v>1369</v>
      </c>
      <c r="B60">
        <v>485</v>
      </c>
      <c r="C60" s="20">
        <v>546</v>
      </c>
      <c r="E60" s="14" t="s">
        <v>544</v>
      </c>
      <c r="F60">
        <v>476</v>
      </c>
      <c r="G60" s="20">
        <v>431</v>
      </c>
      <c r="H60" s="57">
        <f t="shared" si="4"/>
        <v>1.1044083526682134</v>
      </c>
      <c r="I60" s="57">
        <f t="shared" si="3"/>
        <v>330.49369747899163</v>
      </c>
    </row>
    <row r="61" spans="1:9" x14ac:dyDescent="0.35">
      <c r="A61" s="14" t="s">
        <v>587</v>
      </c>
      <c r="B61">
        <v>334</v>
      </c>
      <c r="C61" s="20">
        <v>292</v>
      </c>
      <c r="E61" s="14" t="s">
        <v>828</v>
      </c>
      <c r="F61">
        <v>287</v>
      </c>
      <c r="G61" s="20">
        <v>261</v>
      </c>
      <c r="H61" s="57">
        <f t="shared" si="4"/>
        <v>1.0996168582375478</v>
      </c>
      <c r="I61" s="57">
        <f t="shared" si="3"/>
        <v>331.9337979094077</v>
      </c>
    </row>
    <row r="62" spans="1:9" x14ac:dyDescent="0.35">
      <c r="A62" s="14" t="s">
        <v>146</v>
      </c>
      <c r="B62">
        <v>794</v>
      </c>
      <c r="C62" s="20">
        <v>620</v>
      </c>
      <c r="E62" s="14" t="s">
        <v>293</v>
      </c>
      <c r="F62">
        <v>597</v>
      </c>
      <c r="G62" s="20">
        <v>543</v>
      </c>
      <c r="H62" s="57">
        <f t="shared" si="4"/>
        <v>1.0994475138121547</v>
      </c>
      <c r="I62" s="57">
        <f t="shared" si="3"/>
        <v>331.9849246231156</v>
      </c>
    </row>
    <row r="63" spans="1:9" x14ac:dyDescent="0.35">
      <c r="A63" s="14" t="s">
        <v>142</v>
      </c>
      <c r="B63">
        <v>251</v>
      </c>
      <c r="C63" s="20">
        <v>324</v>
      </c>
      <c r="E63" s="14" t="s">
        <v>211</v>
      </c>
      <c r="F63">
        <v>302</v>
      </c>
      <c r="G63" s="20">
        <v>278</v>
      </c>
      <c r="H63" s="57">
        <f t="shared" si="4"/>
        <v>1.0863309352517985</v>
      </c>
      <c r="I63" s="57">
        <f t="shared" si="3"/>
        <v>335.99337748344374</v>
      </c>
    </row>
    <row r="64" spans="1:9" x14ac:dyDescent="0.35">
      <c r="A64" s="14" t="s">
        <v>665</v>
      </c>
      <c r="B64">
        <v>304</v>
      </c>
      <c r="C64" s="20">
        <v>258</v>
      </c>
      <c r="E64" s="14" t="s">
        <v>329</v>
      </c>
      <c r="F64">
        <v>737</v>
      </c>
      <c r="G64" s="20">
        <v>680</v>
      </c>
      <c r="H64" s="57">
        <f t="shared" si="4"/>
        <v>1.0838235294117646</v>
      </c>
      <c r="I64" s="57">
        <f t="shared" si="3"/>
        <v>336.77069199457259</v>
      </c>
    </row>
    <row r="65" spans="1:9" x14ac:dyDescent="0.35">
      <c r="A65" s="14" t="s">
        <v>47</v>
      </c>
      <c r="B65">
        <v>469</v>
      </c>
      <c r="C65" s="20">
        <v>602</v>
      </c>
      <c r="E65" s="14" t="s">
        <v>230</v>
      </c>
      <c r="F65">
        <v>466</v>
      </c>
      <c r="G65" s="20">
        <v>430</v>
      </c>
      <c r="H65" s="57">
        <f t="shared" si="4"/>
        <v>1.0837209302325581</v>
      </c>
      <c r="I65" s="57">
        <f t="shared" si="3"/>
        <v>336.80257510729615</v>
      </c>
    </row>
    <row r="66" spans="1:9" x14ac:dyDescent="0.35">
      <c r="A66" s="14" t="s">
        <v>243</v>
      </c>
      <c r="B66">
        <v>166</v>
      </c>
      <c r="C66" s="20">
        <v>268</v>
      </c>
      <c r="E66" s="14" t="s">
        <v>517</v>
      </c>
      <c r="F66">
        <v>637</v>
      </c>
      <c r="G66" s="20">
        <v>592</v>
      </c>
      <c r="H66" s="57">
        <f t="shared" si="4"/>
        <v>1.0760135135135136</v>
      </c>
      <c r="I66" s="57">
        <f t="shared" si="3"/>
        <v>339.21507064364204</v>
      </c>
    </row>
    <row r="67" spans="1:9" x14ac:dyDescent="0.35">
      <c r="A67" s="14" t="s">
        <v>193</v>
      </c>
      <c r="B67">
        <v>450</v>
      </c>
      <c r="C67" s="20">
        <v>308</v>
      </c>
      <c r="E67" s="14" t="s">
        <v>817</v>
      </c>
      <c r="F67">
        <v>411</v>
      </c>
      <c r="G67" s="20">
        <v>383</v>
      </c>
      <c r="H67" s="57">
        <f t="shared" si="4"/>
        <v>1.073107049608355</v>
      </c>
      <c r="I67" s="57">
        <f t="shared" si="3"/>
        <v>340.13381995133824</v>
      </c>
    </row>
    <row r="68" spans="1:9" x14ac:dyDescent="0.35">
      <c r="A68" s="14" t="s">
        <v>531</v>
      </c>
      <c r="B68">
        <v>535</v>
      </c>
      <c r="C68" s="20">
        <v>455</v>
      </c>
      <c r="E68" s="14" t="s">
        <v>627</v>
      </c>
      <c r="F68">
        <v>526</v>
      </c>
      <c r="G68" s="20">
        <v>491</v>
      </c>
      <c r="H68" s="57">
        <f t="shared" ref="H68:H99" si="5">F68/G68</f>
        <v>1.0712830957230142</v>
      </c>
      <c r="I68" s="57">
        <f t="shared" si="3"/>
        <v>340.71292775665404</v>
      </c>
    </row>
    <row r="69" spans="1:9" x14ac:dyDescent="0.35">
      <c r="A69" s="14" t="s">
        <v>1624</v>
      </c>
      <c r="B69">
        <v>402</v>
      </c>
      <c r="C69" s="20">
        <v>484</v>
      </c>
      <c r="E69" s="14" t="s">
        <v>1179</v>
      </c>
      <c r="F69">
        <v>626</v>
      </c>
      <c r="G69" s="20">
        <v>586</v>
      </c>
      <c r="H69" s="57">
        <f t="shared" si="5"/>
        <v>1.0682593856655289</v>
      </c>
      <c r="I69" s="57">
        <f t="shared" ref="I69:I124" si="6">365/H69</f>
        <v>341.67731629392972</v>
      </c>
    </row>
    <row r="70" spans="1:9" x14ac:dyDescent="0.35">
      <c r="A70" s="14" t="s">
        <v>137</v>
      </c>
      <c r="B70">
        <v>551</v>
      </c>
      <c r="C70" s="20">
        <v>725</v>
      </c>
      <c r="E70" s="14" t="s">
        <v>225</v>
      </c>
      <c r="F70">
        <v>598</v>
      </c>
      <c r="G70" s="20">
        <v>562</v>
      </c>
      <c r="H70" s="57">
        <f t="shared" si="5"/>
        <v>1.0640569395017794</v>
      </c>
      <c r="I70" s="57">
        <f t="shared" si="6"/>
        <v>343.02675585284283</v>
      </c>
    </row>
    <row r="71" spans="1:9" x14ac:dyDescent="0.35">
      <c r="A71" s="14" t="s">
        <v>188</v>
      </c>
      <c r="B71">
        <v>258</v>
      </c>
      <c r="C71" s="20">
        <v>160</v>
      </c>
      <c r="E71" s="14" t="s">
        <v>700</v>
      </c>
      <c r="F71">
        <v>350</v>
      </c>
      <c r="G71" s="20">
        <v>330</v>
      </c>
      <c r="H71" s="57">
        <f t="shared" si="5"/>
        <v>1.0606060606060606</v>
      </c>
      <c r="I71" s="57">
        <f t="shared" si="6"/>
        <v>344.14285714285717</v>
      </c>
    </row>
    <row r="72" spans="1:9" x14ac:dyDescent="0.35">
      <c r="A72" s="14" t="s">
        <v>1516</v>
      </c>
      <c r="B72">
        <v>406</v>
      </c>
      <c r="C72" s="20">
        <v>330</v>
      </c>
      <c r="E72" s="14" t="s">
        <v>554</v>
      </c>
      <c r="F72">
        <v>466</v>
      </c>
      <c r="G72" s="20">
        <v>440</v>
      </c>
      <c r="H72" s="57">
        <f t="shared" si="5"/>
        <v>1.0590909090909091</v>
      </c>
      <c r="I72" s="57">
        <f t="shared" si="6"/>
        <v>344.63519313304721</v>
      </c>
    </row>
    <row r="73" spans="1:9" x14ac:dyDescent="0.35">
      <c r="A73" s="14" t="s">
        <v>836</v>
      </c>
      <c r="B73">
        <v>401</v>
      </c>
      <c r="C73" s="20">
        <v>517</v>
      </c>
      <c r="E73" s="14" t="s">
        <v>220</v>
      </c>
      <c r="F73">
        <v>414</v>
      </c>
      <c r="G73" s="20">
        <v>398</v>
      </c>
      <c r="H73" s="57">
        <f t="shared" si="5"/>
        <v>1.0402010050251256</v>
      </c>
      <c r="I73" s="57">
        <f t="shared" si="6"/>
        <v>350.89371980676333</v>
      </c>
    </row>
    <row r="74" spans="1:9" x14ac:dyDescent="0.35">
      <c r="A74" s="14" t="s">
        <v>495</v>
      </c>
      <c r="B74">
        <v>578</v>
      </c>
      <c r="C74" s="20">
        <v>441</v>
      </c>
      <c r="E74" s="14" t="s">
        <v>490</v>
      </c>
      <c r="F74">
        <v>453</v>
      </c>
      <c r="G74" s="20">
        <v>438</v>
      </c>
      <c r="H74" s="57">
        <f t="shared" si="5"/>
        <v>1.0342465753424657</v>
      </c>
      <c r="I74" s="57">
        <f t="shared" si="6"/>
        <v>352.91390728476824</v>
      </c>
    </row>
    <row r="75" spans="1:9" x14ac:dyDescent="0.35">
      <c r="A75" s="14" t="s">
        <v>736</v>
      </c>
      <c r="B75">
        <v>302</v>
      </c>
      <c r="C75" s="20">
        <v>294</v>
      </c>
      <c r="E75" s="14" t="s">
        <v>707</v>
      </c>
      <c r="F75">
        <v>592</v>
      </c>
      <c r="G75" s="20">
        <v>575</v>
      </c>
      <c r="H75" s="57">
        <f t="shared" si="5"/>
        <v>1.0295652173913044</v>
      </c>
      <c r="I75" s="57">
        <f t="shared" si="6"/>
        <v>354.51858108108109</v>
      </c>
    </row>
    <row r="76" spans="1:9" x14ac:dyDescent="0.35">
      <c r="A76" s="14" t="s">
        <v>263</v>
      </c>
      <c r="B76">
        <v>385</v>
      </c>
      <c r="C76" s="20">
        <v>346</v>
      </c>
      <c r="E76" s="14" t="s">
        <v>549</v>
      </c>
      <c r="F76">
        <v>770</v>
      </c>
      <c r="G76" s="20">
        <v>748</v>
      </c>
      <c r="H76" s="57">
        <f t="shared" si="5"/>
        <v>1.0294117647058822</v>
      </c>
      <c r="I76" s="57">
        <f t="shared" si="6"/>
        <v>354.57142857142861</v>
      </c>
    </row>
    <row r="77" spans="1:9" x14ac:dyDescent="0.35">
      <c r="A77" s="14" t="s">
        <v>293</v>
      </c>
      <c r="B77">
        <v>597</v>
      </c>
      <c r="C77" s="20">
        <v>543</v>
      </c>
      <c r="E77" s="14" t="s">
        <v>736</v>
      </c>
      <c r="F77">
        <v>302</v>
      </c>
      <c r="G77" s="20">
        <v>294</v>
      </c>
      <c r="H77" s="57">
        <f t="shared" si="5"/>
        <v>1.0272108843537415</v>
      </c>
      <c r="I77" s="57">
        <f t="shared" si="6"/>
        <v>355.33112582781456</v>
      </c>
    </row>
    <row r="78" spans="1:9" x14ac:dyDescent="0.35">
      <c r="A78" s="14" t="s">
        <v>85</v>
      </c>
      <c r="B78">
        <v>735</v>
      </c>
      <c r="C78" s="20">
        <v>735</v>
      </c>
      <c r="E78" s="14" t="s">
        <v>126</v>
      </c>
      <c r="F78">
        <v>874</v>
      </c>
      <c r="G78" s="20">
        <v>854</v>
      </c>
      <c r="H78" s="57">
        <f t="shared" si="5"/>
        <v>1.0234192037470726</v>
      </c>
      <c r="I78" s="57">
        <f t="shared" si="6"/>
        <v>356.64759725400455</v>
      </c>
    </row>
    <row r="79" spans="1:9" x14ac:dyDescent="0.35">
      <c r="A79" s="14" t="s">
        <v>230</v>
      </c>
      <c r="B79">
        <v>466</v>
      </c>
      <c r="C79" s="20">
        <v>430</v>
      </c>
      <c r="E79" s="14" t="s">
        <v>325</v>
      </c>
      <c r="F79">
        <v>481</v>
      </c>
      <c r="G79" s="20">
        <v>470</v>
      </c>
      <c r="H79" s="57">
        <f t="shared" si="5"/>
        <v>1.0234042553191489</v>
      </c>
      <c r="I79" s="57">
        <f t="shared" si="6"/>
        <v>356.65280665280665</v>
      </c>
    </row>
    <row r="80" spans="1:9" x14ac:dyDescent="0.35">
      <c r="A80" s="14" t="s">
        <v>1278</v>
      </c>
      <c r="B80">
        <v>378</v>
      </c>
      <c r="C80" s="20">
        <v>429</v>
      </c>
      <c r="E80" s="14" t="s">
        <v>1085</v>
      </c>
      <c r="F80">
        <v>639</v>
      </c>
      <c r="G80" s="20">
        <v>636</v>
      </c>
      <c r="H80" s="57">
        <f t="shared" si="5"/>
        <v>1.0047169811320755</v>
      </c>
      <c r="I80" s="57">
        <f t="shared" si="6"/>
        <v>363.28638497652582</v>
      </c>
    </row>
    <row r="81" spans="1:9" x14ac:dyDescent="0.35">
      <c r="A81" s="14" t="s">
        <v>31</v>
      </c>
      <c r="B81">
        <v>517</v>
      </c>
      <c r="C81" s="20">
        <v>593</v>
      </c>
      <c r="E81" s="14" t="s">
        <v>789</v>
      </c>
      <c r="F81">
        <v>416</v>
      </c>
      <c r="G81" s="20">
        <v>415</v>
      </c>
      <c r="H81" s="57">
        <f t="shared" si="5"/>
        <v>1.0024096385542169</v>
      </c>
      <c r="I81" s="57">
        <f t="shared" si="6"/>
        <v>364.12259615384613</v>
      </c>
    </row>
    <row r="82" spans="1:9" x14ac:dyDescent="0.35">
      <c r="A82" s="14" t="s">
        <v>470</v>
      </c>
      <c r="B82">
        <v>604</v>
      </c>
      <c r="C82" s="20">
        <v>438</v>
      </c>
      <c r="E82" s="14" t="s">
        <v>96</v>
      </c>
      <c r="F82">
        <v>911</v>
      </c>
      <c r="G82" s="20">
        <v>909</v>
      </c>
      <c r="H82" s="57">
        <f t="shared" si="5"/>
        <v>1.0022002200220022</v>
      </c>
      <c r="I82" s="57">
        <f t="shared" si="6"/>
        <v>364.19868276619104</v>
      </c>
    </row>
    <row r="83" spans="1:9" x14ac:dyDescent="0.35">
      <c r="A83" s="14" t="s">
        <v>258</v>
      </c>
      <c r="B83">
        <v>559</v>
      </c>
      <c r="C83" s="20">
        <v>413</v>
      </c>
      <c r="E83" s="14" t="s">
        <v>85</v>
      </c>
      <c r="F83">
        <v>735</v>
      </c>
      <c r="G83" s="20">
        <v>735</v>
      </c>
      <c r="H83" s="57">
        <f t="shared" si="5"/>
        <v>1</v>
      </c>
      <c r="I83" s="57">
        <f t="shared" si="6"/>
        <v>365</v>
      </c>
    </row>
    <row r="84" spans="1:9" x14ac:dyDescent="0.35">
      <c r="A84" s="14" t="s">
        <v>101</v>
      </c>
      <c r="B84">
        <v>454</v>
      </c>
      <c r="C84" s="20">
        <v>537</v>
      </c>
      <c r="E84" s="14" t="s">
        <v>582</v>
      </c>
      <c r="F84">
        <v>422</v>
      </c>
      <c r="G84" s="20">
        <v>425</v>
      </c>
      <c r="H84" s="57">
        <f t="shared" si="5"/>
        <v>0.99294117647058822</v>
      </c>
      <c r="I84" s="57">
        <f t="shared" si="6"/>
        <v>367.59478672985784</v>
      </c>
    </row>
    <row r="85" spans="1:9" x14ac:dyDescent="0.35">
      <c r="A85" s="14" t="s">
        <v>817</v>
      </c>
      <c r="B85">
        <v>411</v>
      </c>
      <c r="C85" s="20">
        <v>383</v>
      </c>
      <c r="E85" s="14" t="s">
        <v>465</v>
      </c>
      <c r="F85">
        <v>388</v>
      </c>
      <c r="G85" s="20">
        <v>398</v>
      </c>
      <c r="H85" s="57">
        <f t="shared" si="5"/>
        <v>0.97487437185929648</v>
      </c>
      <c r="I85" s="57">
        <f t="shared" si="6"/>
        <v>374.40721649484539</v>
      </c>
    </row>
    <row r="86" spans="1:9" x14ac:dyDescent="0.35">
      <c r="A86" s="14" t="s">
        <v>276</v>
      </c>
      <c r="B86">
        <v>606</v>
      </c>
      <c r="C86" s="20">
        <v>420</v>
      </c>
      <c r="E86" s="14" t="s">
        <v>1445</v>
      </c>
      <c r="F86">
        <v>414</v>
      </c>
      <c r="G86" s="20">
        <v>428</v>
      </c>
      <c r="H86" s="57">
        <f t="shared" si="5"/>
        <v>0.96728971962616828</v>
      </c>
      <c r="I86" s="57">
        <f t="shared" si="6"/>
        <v>377.34299516908209</v>
      </c>
    </row>
    <row r="87" spans="1:9" x14ac:dyDescent="0.35">
      <c r="A87" s="14" t="s">
        <v>320</v>
      </c>
      <c r="B87">
        <v>611</v>
      </c>
      <c r="C87" s="20">
        <v>411</v>
      </c>
      <c r="E87" s="14" t="s">
        <v>165</v>
      </c>
      <c r="F87">
        <v>631</v>
      </c>
      <c r="G87" s="20">
        <v>656</v>
      </c>
      <c r="H87" s="57">
        <f t="shared" si="5"/>
        <v>0.96189024390243905</v>
      </c>
      <c r="I87" s="57">
        <f t="shared" si="6"/>
        <v>379.46117274167989</v>
      </c>
    </row>
    <row r="88" spans="1:9" x14ac:dyDescent="0.35">
      <c r="A88" s="14" t="s">
        <v>342</v>
      </c>
      <c r="B88">
        <v>972</v>
      </c>
      <c r="C88" s="20">
        <v>766</v>
      </c>
      <c r="E88" s="14" t="s">
        <v>433</v>
      </c>
      <c r="F88">
        <v>257</v>
      </c>
      <c r="G88" s="20">
        <v>272</v>
      </c>
      <c r="H88" s="57">
        <f t="shared" si="5"/>
        <v>0.94485294117647056</v>
      </c>
      <c r="I88" s="57">
        <f t="shared" si="6"/>
        <v>386.30350194552528</v>
      </c>
    </row>
    <row r="89" spans="1:9" x14ac:dyDescent="0.35">
      <c r="A89" s="14" t="s">
        <v>947</v>
      </c>
      <c r="B89">
        <v>317</v>
      </c>
      <c r="C89" s="20">
        <v>194</v>
      </c>
      <c r="E89" s="14" t="s">
        <v>392</v>
      </c>
      <c r="F89">
        <v>757</v>
      </c>
      <c r="G89" s="20">
        <v>820</v>
      </c>
      <c r="H89" s="57">
        <f t="shared" si="5"/>
        <v>0.92317073170731712</v>
      </c>
      <c r="I89" s="57">
        <f t="shared" si="6"/>
        <v>395.37648612945839</v>
      </c>
    </row>
    <row r="90" spans="1:9" x14ac:dyDescent="0.35">
      <c r="A90" s="14" t="s">
        <v>627</v>
      </c>
      <c r="B90">
        <v>526</v>
      </c>
      <c r="C90" s="20">
        <v>491</v>
      </c>
      <c r="E90" s="14" t="s">
        <v>170</v>
      </c>
      <c r="F90">
        <v>308</v>
      </c>
      <c r="G90" s="20">
        <v>342</v>
      </c>
      <c r="H90" s="57">
        <f t="shared" si="5"/>
        <v>0.90058479532163738</v>
      </c>
      <c r="I90" s="57">
        <f t="shared" si="6"/>
        <v>405.29220779220782</v>
      </c>
    </row>
    <row r="91" spans="1:9" x14ac:dyDescent="0.35">
      <c r="A91" s="14" t="s">
        <v>2626</v>
      </c>
      <c r="B91">
        <v>280</v>
      </c>
      <c r="C91" s="20">
        <v>312</v>
      </c>
      <c r="E91" s="14" t="s">
        <v>2626</v>
      </c>
      <c r="F91">
        <v>280</v>
      </c>
      <c r="G91" s="20">
        <v>312</v>
      </c>
      <c r="H91" s="57">
        <f t="shared" si="5"/>
        <v>0.89743589743589747</v>
      </c>
      <c r="I91" s="57">
        <f t="shared" si="6"/>
        <v>406.71428571428572</v>
      </c>
    </row>
    <row r="92" spans="1:9" x14ac:dyDescent="0.35">
      <c r="A92" s="14" t="s">
        <v>198</v>
      </c>
      <c r="B92">
        <v>416</v>
      </c>
      <c r="C92" s="20">
        <v>288</v>
      </c>
      <c r="E92" s="14" t="s">
        <v>812</v>
      </c>
      <c r="F92">
        <v>374</v>
      </c>
      <c r="G92" s="20">
        <v>417</v>
      </c>
      <c r="H92" s="57">
        <f t="shared" si="5"/>
        <v>0.89688249400479614</v>
      </c>
      <c r="I92" s="57">
        <f t="shared" si="6"/>
        <v>406.96524064171126</v>
      </c>
    </row>
    <row r="93" spans="1:9" x14ac:dyDescent="0.35">
      <c r="A93" s="14" t="s">
        <v>111</v>
      </c>
      <c r="B93">
        <v>515</v>
      </c>
      <c r="C93" s="20">
        <v>604</v>
      </c>
      <c r="E93" s="14" t="s">
        <v>175</v>
      </c>
      <c r="F93">
        <v>1002</v>
      </c>
      <c r="G93" s="20">
        <v>1120</v>
      </c>
      <c r="H93" s="57">
        <f t="shared" si="5"/>
        <v>0.89464285714285718</v>
      </c>
      <c r="I93" s="57">
        <f t="shared" si="6"/>
        <v>407.98403193612774</v>
      </c>
    </row>
    <row r="94" spans="1:9" x14ac:dyDescent="0.35">
      <c r="A94" s="14" t="s">
        <v>220</v>
      </c>
      <c r="B94">
        <v>414</v>
      </c>
      <c r="C94" s="20">
        <v>398</v>
      </c>
      <c r="E94" s="14" t="s">
        <v>1369</v>
      </c>
      <c r="F94">
        <v>485</v>
      </c>
      <c r="G94" s="20">
        <v>546</v>
      </c>
      <c r="H94" s="57">
        <f t="shared" si="5"/>
        <v>0.88827838827838823</v>
      </c>
      <c r="I94" s="57">
        <f t="shared" si="6"/>
        <v>410.90721649484539</v>
      </c>
    </row>
    <row r="95" spans="1:9" x14ac:dyDescent="0.35">
      <c r="A95" s="14" t="s">
        <v>544</v>
      </c>
      <c r="B95">
        <v>476</v>
      </c>
      <c r="C95" s="20">
        <v>431</v>
      </c>
      <c r="E95" s="14" t="s">
        <v>239</v>
      </c>
      <c r="F95">
        <v>642</v>
      </c>
      <c r="G95" s="20">
        <v>723</v>
      </c>
      <c r="H95" s="57">
        <f t="shared" si="5"/>
        <v>0.88796680497925307</v>
      </c>
      <c r="I95" s="57">
        <f t="shared" si="6"/>
        <v>411.05140186915889</v>
      </c>
    </row>
    <row r="96" spans="1:9" x14ac:dyDescent="0.35">
      <c r="A96" s="14" t="s">
        <v>980</v>
      </c>
      <c r="B96">
        <v>495</v>
      </c>
      <c r="C96" s="20">
        <v>605</v>
      </c>
      <c r="E96" s="14" t="s">
        <v>592</v>
      </c>
      <c r="F96">
        <v>235</v>
      </c>
      <c r="G96" s="20">
        <v>266</v>
      </c>
      <c r="H96" s="57">
        <f t="shared" si="5"/>
        <v>0.88345864661654139</v>
      </c>
      <c r="I96" s="57">
        <f t="shared" si="6"/>
        <v>413.14893617021278</v>
      </c>
    </row>
    <row r="97" spans="1:9" x14ac:dyDescent="0.35">
      <c r="A97" s="14" t="s">
        <v>303</v>
      </c>
      <c r="B97">
        <v>425</v>
      </c>
      <c r="C97" s="20">
        <v>371</v>
      </c>
      <c r="E97" s="14" t="s">
        <v>1278</v>
      </c>
      <c r="F97">
        <v>378</v>
      </c>
      <c r="G97" s="20">
        <v>429</v>
      </c>
      <c r="H97" s="57">
        <f t="shared" si="5"/>
        <v>0.88111888111888115</v>
      </c>
      <c r="I97" s="57">
        <f t="shared" si="6"/>
        <v>414.24603174603175</v>
      </c>
    </row>
    <row r="98" spans="1:9" x14ac:dyDescent="0.35">
      <c r="A98" s="14" t="s">
        <v>239</v>
      </c>
      <c r="B98">
        <v>642</v>
      </c>
      <c r="C98" s="20">
        <v>723</v>
      </c>
      <c r="E98" s="14" t="s">
        <v>31</v>
      </c>
      <c r="F98">
        <v>517</v>
      </c>
      <c r="G98" s="20">
        <v>593</v>
      </c>
      <c r="H98" s="57">
        <f t="shared" si="5"/>
        <v>0.87183811129848232</v>
      </c>
      <c r="I98" s="57">
        <f t="shared" si="6"/>
        <v>418.65570599613153</v>
      </c>
    </row>
    <row r="99" spans="1:9" x14ac:dyDescent="0.35">
      <c r="A99" s="14" t="s">
        <v>416</v>
      </c>
      <c r="B99">
        <v>399</v>
      </c>
      <c r="C99" s="20">
        <v>314</v>
      </c>
      <c r="E99" s="14" t="s">
        <v>37</v>
      </c>
      <c r="F99">
        <v>383</v>
      </c>
      <c r="G99" s="20">
        <v>443</v>
      </c>
      <c r="H99" s="57">
        <f t="shared" si="5"/>
        <v>0.86455981941309257</v>
      </c>
      <c r="I99" s="57">
        <f t="shared" si="6"/>
        <v>422.18015665796344</v>
      </c>
    </row>
    <row r="100" spans="1:9" x14ac:dyDescent="0.35">
      <c r="A100" s="14" t="s">
        <v>211</v>
      </c>
      <c r="B100">
        <v>302</v>
      </c>
      <c r="C100" s="20">
        <v>278</v>
      </c>
      <c r="E100" s="14" t="s">
        <v>111</v>
      </c>
      <c r="F100">
        <v>515</v>
      </c>
      <c r="G100" s="20">
        <v>604</v>
      </c>
      <c r="H100" s="57">
        <f t="shared" ref="H100:H124" si="7">F100/G100</f>
        <v>0.85264900662251653</v>
      </c>
      <c r="I100" s="57">
        <f t="shared" si="6"/>
        <v>428.07766990291265</v>
      </c>
    </row>
    <row r="101" spans="1:9" x14ac:dyDescent="0.35">
      <c r="A101" s="14" t="s">
        <v>151</v>
      </c>
      <c r="B101">
        <v>605</v>
      </c>
      <c r="C101" s="20">
        <v>480</v>
      </c>
      <c r="E101" s="14" t="s">
        <v>438</v>
      </c>
      <c r="F101">
        <v>337</v>
      </c>
      <c r="G101" s="20">
        <v>396</v>
      </c>
      <c r="H101" s="57">
        <f t="shared" si="7"/>
        <v>0.85101010101010099</v>
      </c>
      <c r="I101" s="57">
        <f t="shared" si="6"/>
        <v>428.90207715133533</v>
      </c>
    </row>
    <row r="102" spans="1:9" x14ac:dyDescent="0.35">
      <c r="A102" s="14" t="s">
        <v>700</v>
      </c>
      <c r="B102">
        <v>350</v>
      </c>
      <c r="C102" s="20">
        <v>330</v>
      </c>
      <c r="E102" s="14" t="s">
        <v>70</v>
      </c>
      <c r="F102">
        <v>517</v>
      </c>
      <c r="G102" s="20">
        <v>608</v>
      </c>
      <c r="H102" s="57">
        <f t="shared" si="7"/>
        <v>0.85032894736842102</v>
      </c>
      <c r="I102" s="57">
        <f t="shared" si="6"/>
        <v>429.24564796905224</v>
      </c>
    </row>
    <row r="103" spans="1:9" x14ac:dyDescent="0.35">
      <c r="A103" s="14" t="s">
        <v>1069</v>
      </c>
      <c r="B103">
        <v>345</v>
      </c>
      <c r="C103" s="20">
        <v>279</v>
      </c>
      <c r="E103" s="14" t="s">
        <v>1109</v>
      </c>
      <c r="F103">
        <v>477</v>
      </c>
      <c r="G103" s="20">
        <v>563</v>
      </c>
      <c r="H103" s="57">
        <f t="shared" si="7"/>
        <v>0.84724689165186506</v>
      </c>
      <c r="I103" s="57">
        <f t="shared" si="6"/>
        <v>430.80712788259956</v>
      </c>
    </row>
    <row r="104" spans="1:9" x14ac:dyDescent="0.35">
      <c r="A104" s="14" t="s">
        <v>397</v>
      </c>
      <c r="B104">
        <v>472</v>
      </c>
      <c r="C104" s="20">
        <v>341</v>
      </c>
      <c r="E104" s="14" t="s">
        <v>600</v>
      </c>
      <c r="F104">
        <v>309</v>
      </c>
      <c r="G104" s="20">
        <v>365</v>
      </c>
      <c r="H104" s="57">
        <f t="shared" si="7"/>
        <v>0.84657534246575339</v>
      </c>
      <c r="I104" s="57">
        <f t="shared" si="6"/>
        <v>431.1488673139159</v>
      </c>
    </row>
    <row r="105" spans="1:9" x14ac:dyDescent="0.35">
      <c r="A105" s="14" t="s">
        <v>325</v>
      </c>
      <c r="B105">
        <v>481</v>
      </c>
      <c r="C105" s="20">
        <v>470</v>
      </c>
      <c r="E105" s="14" t="s">
        <v>101</v>
      </c>
      <c r="F105">
        <v>454</v>
      </c>
      <c r="G105" s="20">
        <v>537</v>
      </c>
      <c r="H105" s="57">
        <f t="shared" si="7"/>
        <v>0.84543761638733705</v>
      </c>
      <c r="I105" s="57">
        <f t="shared" si="6"/>
        <v>431.72907488986783</v>
      </c>
    </row>
    <row r="106" spans="1:9" x14ac:dyDescent="0.35">
      <c r="A106" s="14" t="s">
        <v>132</v>
      </c>
      <c r="B106">
        <v>514</v>
      </c>
      <c r="C106" s="20">
        <v>433</v>
      </c>
      <c r="E106" s="14" t="s">
        <v>1257</v>
      </c>
      <c r="F106">
        <v>220</v>
      </c>
      <c r="G106" s="20">
        <v>263</v>
      </c>
      <c r="H106" s="57">
        <f t="shared" si="7"/>
        <v>0.83650190114068446</v>
      </c>
      <c r="I106" s="57">
        <f t="shared" si="6"/>
        <v>436.34090909090907</v>
      </c>
    </row>
    <row r="107" spans="1:9" x14ac:dyDescent="0.35">
      <c r="A107" s="14" t="s">
        <v>1085</v>
      </c>
      <c r="B107">
        <v>639</v>
      </c>
      <c r="C107" s="20">
        <v>636</v>
      </c>
      <c r="E107" s="14" t="s">
        <v>691</v>
      </c>
      <c r="F107">
        <v>411</v>
      </c>
      <c r="G107" s="20">
        <v>492</v>
      </c>
      <c r="H107" s="57">
        <f t="shared" si="7"/>
        <v>0.83536585365853655</v>
      </c>
      <c r="I107" s="57">
        <f t="shared" si="6"/>
        <v>436.93430656934311</v>
      </c>
    </row>
    <row r="108" spans="1:9" x14ac:dyDescent="0.35">
      <c r="A108" s="14" t="s">
        <v>165</v>
      </c>
      <c r="B108">
        <v>631</v>
      </c>
      <c r="C108" s="20">
        <v>656</v>
      </c>
      <c r="E108" s="14" t="s">
        <v>1624</v>
      </c>
      <c r="F108">
        <v>402</v>
      </c>
      <c r="G108" s="20">
        <v>484</v>
      </c>
      <c r="H108" s="57">
        <f t="shared" si="7"/>
        <v>0.83057851239669422</v>
      </c>
      <c r="I108" s="57">
        <f t="shared" si="6"/>
        <v>439.45273631840797</v>
      </c>
    </row>
    <row r="109" spans="1:9" x14ac:dyDescent="0.35">
      <c r="A109" s="14" t="s">
        <v>686</v>
      </c>
      <c r="B109">
        <v>425</v>
      </c>
      <c r="C109" s="20">
        <v>271</v>
      </c>
      <c r="E109" s="14" t="s">
        <v>59</v>
      </c>
      <c r="F109">
        <v>668</v>
      </c>
      <c r="G109" s="20">
        <v>816</v>
      </c>
      <c r="H109" s="57">
        <f t="shared" si="7"/>
        <v>0.81862745098039214</v>
      </c>
      <c r="I109" s="57">
        <f t="shared" si="6"/>
        <v>445.8682634730539</v>
      </c>
    </row>
    <row r="110" spans="1:9" x14ac:dyDescent="0.35">
      <c r="A110" s="14" t="s">
        <v>288</v>
      </c>
      <c r="B110">
        <v>627</v>
      </c>
      <c r="C110" s="20">
        <v>517</v>
      </c>
      <c r="E110" s="14" t="s">
        <v>980</v>
      </c>
      <c r="F110">
        <v>495</v>
      </c>
      <c r="G110" s="20">
        <v>605</v>
      </c>
      <c r="H110" s="57">
        <f t="shared" si="7"/>
        <v>0.81818181818181823</v>
      </c>
      <c r="I110" s="57">
        <f t="shared" si="6"/>
        <v>446.11111111111109</v>
      </c>
    </row>
    <row r="111" spans="1:9" x14ac:dyDescent="0.35">
      <c r="A111" s="14" t="s">
        <v>420</v>
      </c>
      <c r="B111">
        <v>412</v>
      </c>
      <c r="C111" s="20">
        <v>602</v>
      </c>
      <c r="E111" s="14" t="s">
        <v>17</v>
      </c>
      <c r="F111">
        <v>708</v>
      </c>
      <c r="G111" s="20">
        <v>867</v>
      </c>
      <c r="H111" s="57">
        <f t="shared" si="7"/>
        <v>0.81660899653979235</v>
      </c>
      <c r="I111" s="57">
        <f t="shared" si="6"/>
        <v>446.97033898305085</v>
      </c>
    </row>
    <row r="112" spans="1:9" x14ac:dyDescent="0.35">
      <c r="A112" s="14" t="s">
        <v>1257</v>
      </c>
      <c r="B112">
        <v>220</v>
      </c>
      <c r="C112" s="20">
        <v>263</v>
      </c>
      <c r="E112" s="14" t="s">
        <v>253</v>
      </c>
      <c r="F112">
        <v>388</v>
      </c>
      <c r="G112" s="20">
        <v>477</v>
      </c>
      <c r="H112" s="57">
        <f t="shared" si="7"/>
        <v>0.81341719077568131</v>
      </c>
      <c r="I112" s="57">
        <f t="shared" si="6"/>
        <v>448.7242268041237</v>
      </c>
    </row>
    <row r="113" spans="1:9" x14ac:dyDescent="0.35">
      <c r="A113" s="14" t="s">
        <v>24</v>
      </c>
      <c r="B113">
        <v>435</v>
      </c>
      <c r="C113" s="20">
        <v>335</v>
      </c>
      <c r="E113" s="14" t="s">
        <v>116</v>
      </c>
      <c r="F113">
        <v>454</v>
      </c>
      <c r="G113" s="20">
        <v>567</v>
      </c>
      <c r="H113" s="57">
        <f t="shared" si="7"/>
        <v>0.80070546737213399</v>
      </c>
      <c r="I113" s="57">
        <f t="shared" si="6"/>
        <v>455.8480176211454</v>
      </c>
    </row>
    <row r="114" spans="1:9" x14ac:dyDescent="0.35">
      <c r="A114" s="14" t="s">
        <v>1202</v>
      </c>
      <c r="B114">
        <v>633</v>
      </c>
      <c r="C114" s="20">
        <v>461</v>
      </c>
      <c r="E114" s="14" t="s">
        <v>65</v>
      </c>
      <c r="F114">
        <v>408</v>
      </c>
      <c r="G114" s="20">
        <v>514</v>
      </c>
      <c r="H114" s="57">
        <f t="shared" si="7"/>
        <v>0.79377431906614782</v>
      </c>
      <c r="I114" s="57">
        <f t="shared" si="6"/>
        <v>459.82843137254906</v>
      </c>
    </row>
    <row r="115" spans="1:9" x14ac:dyDescent="0.35">
      <c r="A115" s="14" t="s">
        <v>380</v>
      </c>
      <c r="B115">
        <v>416</v>
      </c>
      <c r="C115" s="20">
        <v>364</v>
      </c>
      <c r="E115" s="14" t="s">
        <v>355</v>
      </c>
      <c r="F115">
        <v>408</v>
      </c>
      <c r="G115" s="20">
        <v>522</v>
      </c>
      <c r="H115" s="57">
        <f t="shared" si="7"/>
        <v>0.7816091954022989</v>
      </c>
      <c r="I115" s="57">
        <f t="shared" si="6"/>
        <v>466.98529411764702</v>
      </c>
    </row>
    <row r="116" spans="1:9" x14ac:dyDescent="0.35">
      <c r="A116" s="14" t="s">
        <v>1179</v>
      </c>
      <c r="B116">
        <v>626</v>
      </c>
      <c r="C116" s="20">
        <v>586</v>
      </c>
      <c r="E116" s="14" t="s">
        <v>47</v>
      </c>
      <c r="F116">
        <v>469</v>
      </c>
      <c r="G116" s="20">
        <v>602</v>
      </c>
      <c r="H116" s="57">
        <f t="shared" si="7"/>
        <v>0.77906976744186052</v>
      </c>
      <c r="I116" s="57">
        <f t="shared" si="6"/>
        <v>468.50746268656712</v>
      </c>
    </row>
    <row r="117" spans="1:9" x14ac:dyDescent="0.35">
      <c r="A117" s="14" t="s">
        <v>526</v>
      </c>
      <c r="B117">
        <v>266</v>
      </c>
      <c r="C117" s="20">
        <v>172</v>
      </c>
      <c r="E117" s="14" t="s">
        <v>121</v>
      </c>
      <c r="F117">
        <v>367</v>
      </c>
      <c r="G117" s="20">
        <v>472</v>
      </c>
      <c r="H117" s="57">
        <f t="shared" si="7"/>
        <v>0.77754237288135597</v>
      </c>
      <c r="I117" s="57">
        <f t="shared" si="6"/>
        <v>469.42779291553131</v>
      </c>
    </row>
    <row r="118" spans="1:9" x14ac:dyDescent="0.35">
      <c r="A118" s="14" t="s">
        <v>574</v>
      </c>
      <c r="B118">
        <v>575</v>
      </c>
      <c r="C118" s="20">
        <v>429</v>
      </c>
      <c r="E118" s="14" t="s">
        <v>836</v>
      </c>
      <c r="F118">
        <v>401</v>
      </c>
      <c r="G118" s="20">
        <v>517</v>
      </c>
      <c r="H118" s="57">
        <f t="shared" si="7"/>
        <v>0.77562862669245647</v>
      </c>
      <c r="I118" s="57">
        <f t="shared" si="6"/>
        <v>470.58603491271822</v>
      </c>
    </row>
    <row r="119" spans="1:9" x14ac:dyDescent="0.35">
      <c r="A119" s="14" t="s">
        <v>517</v>
      </c>
      <c r="B119">
        <v>637</v>
      </c>
      <c r="C119" s="20">
        <v>592</v>
      </c>
      <c r="E119" s="14" t="s">
        <v>142</v>
      </c>
      <c r="F119">
        <v>251</v>
      </c>
      <c r="G119" s="20">
        <v>324</v>
      </c>
      <c r="H119" s="57">
        <f t="shared" si="7"/>
        <v>0.77469135802469136</v>
      </c>
      <c r="I119" s="57">
        <f t="shared" si="6"/>
        <v>471.15537848605578</v>
      </c>
    </row>
    <row r="120" spans="1:9" x14ac:dyDescent="0.35">
      <c r="A120" s="14" t="s">
        <v>216</v>
      </c>
      <c r="B120">
        <v>332</v>
      </c>
      <c r="C120" s="20">
        <v>202</v>
      </c>
      <c r="E120" s="14" t="s">
        <v>137</v>
      </c>
      <c r="F120">
        <v>551</v>
      </c>
      <c r="G120" s="20">
        <v>725</v>
      </c>
      <c r="H120" s="57">
        <f t="shared" si="7"/>
        <v>0.76</v>
      </c>
      <c r="I120" s="57">
        <f t="shared" si="6"/>
        <v>480.26315789473682</v>
      </c>
    </row>
    <row r="121" spans="1:9" x14ac:dyDescent="0.35">
      <c r="A121" s="14" t="s">
        <v>121</v>
      </c>
      <c r="B121">
        <v>367</v>
      </c>
      <c r="C121" s="20">
        <v>472</v>
      </c>
      <c r="E121" s="14" t="s">
        <v>446</v>
      </c>
      <c r="F121">
        <v>405</v>
      </c>
      <c r="G121" s="20">
        <v>582</v>
      </c>
      <c r="H121" s="57">
        <f t="shared" si="7"/>
        <v>0.69587628865979378</v>
      </c>
      <c r="I121" s="57">
        <f t="shared" si="6"/>
        <v>524.51851851851859</v>
      </c>
    </row>
    <row r="122" spans="1:9" x14ac:dyDescent="0.35">
      <c r="A122" s="14" t="s">
        <v>333</v>
      </c>
      <c r="B122">
        <v>484</v>
      </c>
      <c r="C122" s="20">
        <v>392</v>
      </c>
      <c r="E122" s="14" t="s">
        <v>420</v>
      </c>
      <c r="F122">
        <v>412</v>
      </c>
      <c r="G122" s="20">
        <v>602</v>
      </c>
      <c r="H122" s="57">
        <f t="shared" si="7"/>
        <v>0.68438538205980071</v>
      </c>
      <c r="I122" s="57">
        <f t="shared" si="6"/>
        <v>533.32524271844659</v>
      </c>
    </row>
    <row r="123" spans="1:9" x14ac:dyDescent="0.35">
      <c r="A123" s="14" t="s">
        <v>70</v>
      </c>
      <c r="B123">
        <v>517</v>
      </c>
      <c r="C123" s="20">
        <v>608</v>
      </c>
      <c r="E123" s="14" t="s">
        <v>243</v>
      </c>
      <c r="F123">
        <v>166</v>
      </c>
      <c r="G123" s="20">
        <v>268</v>
      </c>
      <c r="H123" s="57">
        <f t="shared" si="7"/>
        <v>0.61940298507462688</v>
      </c>
      <c r="I123" s="57">
        <f t="shared" si="6"/>
        <v>589.27710843373495</v>
      </c>
    </row>
    <row r="124" spans="1:9" x14ac:dyDescent="0.35">
      <c r="A124" s="14" t="s">
        <v>1109</v>
      </c>
      <c r="B124">
        <v>477</v>
      </c>
      <c r="C124" s="20">
        <v>563</v>
      </c>
      <c r="E124" s="14" t="s">
        <v>248</v>
      </c>
      <c r="F124">
        <v>324</v>
      </c>
      <c r="G124" s="20">
        <v>534</v>
      </c>
      <c r="H124" s="57">
        <f t="shared" si="7"/>
        <v>0.6067415730337079</v>
      </c>
      <c r="I124" s="57">
        <f t="shared" si="6"/>
        <v>601.57407407407402</v>
      </c>
    </row>
    <row r="125" spans="1:9" x14ac:dyDescent="0.35">
      <c r="A125" s="14" t="s">
        <v>3469</v>
      </c>
      <c r="B125">
        <v>58336</v>
      </c>
      <c r="C125" s="57">
        <v>55053</v>
      </c>
    </row>
  </sheetData>
  <autoFilter ref="P3:S3" xr:uid="{918C0A61-2FBB-4C89-8FFB-F293141FA765}">
    <sortState xmlns:xlrd2="http://schemas.microsoft.com/office/spreadsheetml/2017/richdata2" ref="P4:S13">
      <sortCondition descending="1" ref="S3"/>
    </sortState>
  </autoFilter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B8A1-A6F0-4CA4-81ED-1BEC6D23F4EE}">
  <dimension ref="A1:X127"/>
  <sheetViews>
    <sheetView zoomScale="75" workbookViewId="0">
      <selection activeCell="G9" sqref="G9"/>
    </sheetView>
  </sheetViews>
  <sheetFormatPr defaultRowHeight="14.5" x14ac:dyDescent="0.35"/>
  <cols>
    <col min="1" max="1" width="17.81640625" bestFit="1" customWidth="1"/>
    <col min="2" max="2" width="11.7265625" bestFit="1" customWidth="1"/>
    <col min="3" max="3" width="23.36328125" bestFit="1" customWidth="1"/>
    <col min="4" max="4" width="22" bestFit="1" customWidth="1"/>
    <col min="5" max="5" width="17.81640625" bestFit="1" customWidth="1"/>
    <col min="7" max="7" width="17.81640625" bestFit="1" customWidth="1"/>
    <col min="8" max="8" width="11.7265625" bestFit="1" customWidth="1"/>
    <col min="9" max="9" width="19.1796875" customWidth="1"/>
    <col min="10" max="10" width="20.36328125" customWidth="1"/>
    <col min="11" max="11" width="18.26953125" customWidth="1"/>
    <col min="12" max="12" width="9.08984375" bestFit="1" customWidth="1"/>
    <col min="13" max="13" width="9.08984375" customWidth="1"/>
    <col min="15" max="15" width="16.6328125" customWidth="1"/>
    <col min="17" max="17" width="13.36328125" customWidth="1"/>
    <col min="20" max="20" width="16.08984375" customWidth="1"/>
    <col min="21" max="21" width="10" customWidth="1"/>
    <col min="23" max="23" width="15.81640625" customWidth="1"/>
  </cols>
  <sheetData>
    <row r="1" spans="1:24" ht="15" thickBot="1" x14ac:dyDescent="0.4"/>
    <row r="2" spans="1:24" x14ac:dyDescent="0.35">
      <c r="A2" s="120" t="s">
        <v>3564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</row>
    <row r="3" spans="1:24" ht="15" thickBot="1" x14ac:dyDescent="0.4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</row>
    <row r="4" spans="1:24" x14ac:dyDescent="0.35">
      <c r="Q4" s="122" t="s">
        <v>3568</v>
      </c>
      <c r="R4" s="122"/>
      <c r="T4" s="122" t="s">
        <v>3569</v>
      </c>
      <c r="U4" s="122"/>
      <c r="W4" s="122" t="s">
        <v>3570</v>
      </c>
      <c r="X4" s="122"/>
    </row>
    <row r="5" spans="1:24" x14ac:dyDescent="0.35">
      <c r="A5" s="13" t="s">
        <v>3468</v>
      </c>
      <c r="B5" t="s">
        <v>3554</v>
      </c>
      <c r="C5" t="s">
        <v>3555</v>
      </c>
      <c r="D5" t="s">
        <v>3539</v>
      </c>
      <c r="E5" t="s">
        <v>3556</v>
      </c>
      <c r="G5" s="93" t="s">
        <v>3468</v>
      </c>
      <c r="H5" s="93" t="s">
        <v>3553</v>
      </c>
      <c r="I5" s="93" t="s">
        <v>3565</v>
      </c>
      <c r="J5" s="93" t="s">
        <v>3566</v>
      </c>
      <c r="K5" s="93" t="s">
        <v>3567</v>
      </c>
      <c r="L5" s="93" t="s">
        <v>3521</v>
      </c>
      <c r="M5" s="93" t="s">
        <v>3551</v>
      </c>
      <c r="N5" s="93" t="s">
        <v>3552</v>
      </c>
      <c r="O5" s="93" t="s">
        <v>4</v>
      </c>
      <c r="P5" s="97"/>
      <c r="Q5" s="93" t="s">
        <v>3468</v>
      </c>
      <c r="R5" s="93" t="s">
        <v>3521</v>
      </c>
      <c r="T5" s="93" t="s">
        <v>3468</v>
      </c>
      <c r="U5" s="93" t="s">
        <v>3521</v>
      </c>
      <c r="W5" s="105" t="s">
        <v>3557</v>
      </c>
      <c r="X5" s="3">
        <f>COUNTIF($O$5:$O$126,"Expired")</f>
        <v>107</v>
      </c>
    </row>
    <row r="6" spans="1:24" x14ac:dyDescent="0.35">
      <c r="A6" s="14" t="s">
        <v>368</v>
      </c>
      <c r="B6" s="1">
        <v>277.20000000000005</v>
      </c>
      <c r="C6" s="57">
        <v>53</v>
      </c>
      <c r="D6" s="1">
        <v>1.4000000000000001</v>
      </c>
      <c r="E6" s="96">
        <v>-158.33333333333334</v>
      </c>
      <c r="G6" t="s">
        <v>243</v>
      </c>
      <c r="H6" s="23">
        <v>265.60000000000002</v>
      </c>
      <c r="I6" s="23">
        <v>67</v>
      </c>
      <c r="J6" s="23">
        <v>1.6</v>
      </c>
      <c r="K6" s="23">
        <f t="shared" ref="K6:K37" si="0">I6*J6</f>
        <v>107.2</v>
      </c>
      <c r="L6" s="23">
        <f t="shared" ref="L6:L37" si="1">H6/K6</f>
        <v>2.4776119402985075</v>
      </c>
      <c r="M6" s="23">
        <f>365/L6</f>
        <v>147.31927710843374</v>
      </c>
      <c r="N6" s="104">
        <f>VLOOKUP(G6,$A$6:$E$126,5,0)</f>
        <v>-187.5</v>
      </c>
      <c r="O6" t="str">
        <f>IF(N6&lt;0,"Expired",IF(N6&gt;=0,IF(N6&lt;M6,"High Expired Risk","Safe")))</f>
        <v>Expired</v>
      </c>
      <c r="Q6" t="s">
        <v>342</v>
      </c>
      <c r="R6" s="23">
        <v>19.033942558746741</v>
      </c>
      <c r="T6" t="s">
        <v>243</v>
      </c>
      <c r="U6" s="23">
        <v>2.4776119402985075</v>
      </c>
      <c r="W6" s="106" t="s">
        <v>3558</v>
      </c>
      <c r="X6" s="3">
        <f>COUNTIF($O$5:$O$126,O7)</f>
        <v>13</v>
      </c>
    </row>
    <row r="7" spans="1:24" x14ac:dyDescent="0.35">
      <c r="A7" s="14" t="s">
        <v>446</v>
      </c>
      <c r="B7" s="1">
        <v>3078.0000000000009</v>
      </c>
      <c r="C7" s="57">
        <v>58.2</v>
      </c>
      <c r="D7" s="1">
        <v>7.6</v>
      </c>
      <c r="E7" s="96">
        <v>-123.6</v>
      </c>
      <c r="G7" t="s">
        <v>1257</v>
      </c>
      <c r="H7" s="23">
        <v>968.00000000000011</v>
      </c>
      <c r="I7" s="23">
        <v>87.666666666666671</v>
      </c>
      <c r="J7" s="23">
        <v>4.4000000000000004</v>
      </c>
      <c r="K7" s="23">
        <f t="shared" si="0"/>
        <v>385.73333333333341</v>
      </c>
      <c r="L7" s="23">
        <f t="shared" si="1"/>
        <v>2.5095057034220529</v>
      </c>
      <c r="M7" s="23">
        <f t="shared" ref="M7:M70" si="2">365/L7</f>
        <v>145.44696969696972</v>
      </c>
      <c r="N7" s="104">
        <f t="shared" ref="N7:N70" si="3">VLOOKUP(G7,$A$6:$E$126,5,0)</f>
        <v>42.333333333333336</v>
      </c>
      <c r="O7" t="str">
        <f t="shared" ref="O7:O70" si="4">IF(N7&lt;0,"Expired",IF(N7&gt;=0,IF(N7&lt;M7,"High Expired Risk","Safe")))</f>
        <v>High Expired Risk</v>
      </c>
      <c r="Q7" t="s">
        <v>175</v>
      </c>
      <c r="R7" s="23">
        <v>16.998214285714294</v>
      </c>
      <c r="T7" t="s">
        <v>1257</v>
      </c>
      <c r="U7" s="23">
        <v>2.5095057034220529</v>
      </c>
      <c r="W7" s="106" t="s">
        <v>3559</v>
      </c>
      <c r="X7" s="3">
        <f>COUNTIF($O$5:$O$126,O8)</f>
        <v>1</v>
      </c>
    </row>
    <row r="8" spans="1:24" x14ac:dyDescent="0.35">
      <c r="A8" s="14" t="s">
        <v>59</v>
      </c>
      <c r="B8" s="1">
        <v>5344</v>
      </c>
      <c r="C8" s="57">
        <v>74.181818181818187</v>
      </c>
      <c r="D8" s="1">
        <v>8</v>
      </c>
      <c r="E8" s="96">
        <v>24.727272727272727</v>
      </c>
      <c r="G8" t="s">
        <v>433</v>
      </c>
      <c r="H8" s="23">
        <v>8094.1440000000021</v>
      </c>
      <c r="I8" s="23">
        <v>68</v>
      </c>
      <c r="J8" s="23">
        <v>36.31</v>
      </c>
      <c r="K8" s="23">
        <f t="shared" si="0"/>
        <v>2469.08</v>
      </c>
      <c r="L8" s="23">
        <f t="shared" si="1"/>
        <v>3.2782024073744074</v>
      </c>
      <c r="M8" s="23">
        <f t="shared" si="2"/>
        <v>111.34150813229908</v>
      </c>
      <c r="N8" s="104">
        <f t="shared" si="3"/>
        <v>122.75</v>
      </c>
      <c r="O8" t="str">
        <f t="shared" si="4"/>
        <v>Safe</v>
      </c>
      <c r="Q8" t="s">
        <v>146</v>
      </c>
      <c r="R8" s="23">
        <v>16.648387096774201</v>
      </c>
      <c r="T8" t="s">
        <v>433</v>
      </c>
      <c r="U8" s="23">
        <v>3.2782024073744074</v>
      </c>
    </row>
    <row r="9" spans="1:24" x14ac:dyDescent="0.35">
      <c r="A9" s="14" t="s">
        <v>812</v>
      </c>
      <c r="B9" s="1">
        <v>1047.2</v>
      </c>
      <c r="C9" s="57">
        <v>59.571428571428569</v>
      </c>
      <c r="D9" s="1">
        <v>2.8000000000000003</v>
      </c>
      <c r="E9" s="96">
        <v>-39.714285714285715</v>
      </c>
      <c r="G9" t="s">
        <v>592</v>
      </c>
      <c r="H9" s="23">
        <v>940</v>
      </c>
      <c r="I9" s="23">
        <v>66.5</v>
      </c>
      <c r="J9" s="23">
        <v>4</v>
      </c>
      <c r="K9" s="23">
        <f t="shared" si="0"/>
        <v>266</v>
      </c>
      <c r="L9" s="23">
        <f t="shared" si="1"/>
        <v>3.5338345864661656</v>
      </c>
      <c r="M9" s="23">
        <f t="shared" si="2"/>
        <v>103.28723404255319</v>
      </c>
      <c r="N9" s="104">
        <f t="shared" si="3"/>
        <v>-154.25</v>
      </c>
      <c r="O9" t="str">
        <f t="shared" si="4"/>
        <v>Expired</v>
      </c>
      <c r="Q9" t="s">
        <v>126</v>
      </c>
      <c r="R9" s="23">
        <v>16.34951442253745</v>
      </c>
      <c r="T9" t="s">
        <v>592</v>
      </c>
      <c r="U9" s="23">
        <v>3.5338345864661656</v>
      </c>
    </row>
    <row r="10" spans="1:24" x14ac:dyDescent="0.35">
      <c r="A10" s="14" t="s">
        <v>253</v>
      </c>
      <c r="B10" s="1">
        <v>1552</v>
      </c>
      <c r="C10" s="57">
        <v>68.142857142857139</v>
      </c>
      <c r="D10" s="1">
        <v>4</v>
      </c>
      <c r="E10" s="96">
        <v>-127.85714285714286</v>
      </c>
      <c r="G10" t="s">
        <v>248</v>
      </c>
      <c r="H10" s="23">
        <v>1814.4</v>
      </c>
      <c r="I10" s="23">
        <v>89</v>
      </c>
      <c r="J10" s="23">
        <v>5.6000000000000005</v>
      </c>
      <c r="K10" s="23">
        <f t="shared" si="0"/>
        <v>498.40000000000003</v>
      </c>
      <c r="L10" s="23">
        <f t="shared" si="1"/>
        <v>3.6404494382022472</v>
      </c>
      <c r="M10" s="23">
        <f t="shared" si="2"/>
        <v>100.26234567901234</v>
      </c>
      <c r="N10" s="104">
        <f t="shared" si="3"/>
        <v>-24.5</v>
      </c>
      <c r="O10" t="str">
        <f t="shared" si="4"/>
        <v>Expired</v>
      </c>
      <c r="Q10" t="s">
        <v>674</v>
      </c>
      <c r="R10" s="23">
        <v>15.629536921151434</v>
      </c>
      <c r="T10" t="s">
        <v>248</v>
      </c>
      <c r="U10" s="23">
        <v>3.6404494382022472</v>
      </c>
    </row>
    <row r="11" spans="1:24" x14ac:dyDescent="0.35">
      <c r="A11" s="14" t="s">
        <v>126</v>
      </c>
      <c r="B11" s="1">
        <v>14115.2</v>
      </c>
      <c r="C11" s="57">
        <v>53.375</v>
      </c>
      <c r="D11" s="1">
        <v>16.175000000000004</v>
      </c>
      <c r="E11" s="96">
        <v>-103.75</v>
      </c>
      <c r="G11" t="s">
        <v>368</v>
      </c>
      <c r="H11" s="23">
        <v>277.20000000000005</v>
      </c>
      <c r="I11" s="23">
        <v>53</v>
      </c>
      <c r="J11" s="23">
        <v>1.4000000000000001</v>
      </c>
      <c r="K11" s="23">
        <f t="shared" si="0"/>
        <v>74.2</v>
      </c>
      <c r="L11" s="23">
        <f t="shared" si="1"/>
        <v>3.7358490566037741</v>
      </c>
      <c r="M11" s="23">
        <f t="shared" si="2"/>
        <v>97.702020202020194</v>
      </c>
      <c r="N11" s="104">
        <f t="shared" si="3"/>
        <v>-158.33333333333334</v>
      </c>
      <c r="O11" t="str">
        <f t="shared" si="4"/>
        <v>Expired</v>
      </c>
      <c r="Q11" t="s">
        <v>320</v>
      </c>
      <c r="R11" s="23">
        <v>14.882811296929379</v>
      </c>
      <c r="T11" t="s">
        <v>368</v>
      </c>
      <c r="U11" s="23">
        <v>3.7358490566037741</v>
      </c>
    </row>
    <row r="12" spans="1:24" x14ac:dyDescent="0.35">
      <c r="A12" s="14" t="s">
        <v>170</v>
      </c>
      <c r="B12" s="1">
        <v>1108.8000000000002</v>
      </c>
      <c r="C12" s="57">
        <v>57</v>
      </c>
      <c r="D12" s="1">
        <v>3.6</v>
      </c>
      <c r="E12" s="96">
        <v>0.66666666666666663</v>
      </c>
      <c r="G12" t="s">
        <v>142</v>
      </c>
      <c r="H12" s="23">
        <v>803.2</v>
      </c>
      <c r="I12" s="23">
        <v>64.8</v>
      </c>
      <c r="J12" s="23">
        <v>3.2</v>
      </c>
      <c r="K12" s="23">
        <f t="shared" si="0"/>
        <v>207.36</v>
      </c>
      <c r="L12" s="23">
        <f t="shared" si="1"/>
        <v>3.8734567901234569</v>
      </c>
      <c r="M12" s="23">
        <f t="shared" si="2"/>
        <v>94.231075697211153</v>
      </c>
      <c r="N12" s="104">
        <f t="shared" si="3"/>
        <v>-123.8</v>
      </c>
      <c r="O12" t="str">
        <f t="shared" si="4"/>
        <v>Expired</v>
      </c>
      <c r="Q12" t="s">
        <v>96</v>
      </c>
      <c r="R12" s="23">
        <v>14.842797794708751</v>
      </c>
      <c r="T12" t="s">
        <v>142</v>
      </c>
      <c r="U12" s="23">
        <v>3.8734567901234569</v>
      </c>
    </row>
    <row r="13" spans="1:24" x14ac:dyDescent="0.35">
      <c r="A13" s="14" t="s">
        <v>490</v>
      </c>
      <c r="B13" s="1">
        <v>1796.56</v>
      </c>
      <c r="C13" s="57">
        <v>54.75</v>
      </c>
      <c r="D13" s="1">
        <v>3.95</v>
      </c>
      <c r="E13" s="96">
        <v>-89</v>
      </c>
      <c r="G13" t="s">
        <v>828</v>
      </c>
      <c r="H13" s="23">
        <v>1133.5999999999999</v>
      </c>
      <c r="I13" s="23">
        <v>65.25</v>
      </c>
      <c r="J13" s="23">
        <v>3.96</v>
      </c>
      <c r="K13" s="23">
        <f t="shared" si="0"/>
        <v>258.39</v>
      </c>
      <c r="L13" s="23">
        <f t="shared" si="1"/>
        <v>4.3871666860172605</v>
      </c>
      <c r="M13" s="23">
        <f t="shared" si="2"/>
        <v>83.197203599153141</v>
      </c>
      <c r="N13" s="104">
        <f t="shared" si="3"/>
        <v>-20.75</v>
      </c>
      <c r="O13" t="str">
        <f t="shared" si="4"/>
        <v>Expired</v>
      </c>
      <c r="Q13" t="s">
        <v>574</v>
      </c>
      <c r="R13" s="23">
        <v>14.743589743589748</v>
      </c>
      <c r="T13" t="s">
        <v>828</v>
      </c>
      <c r="U13" s="23">
        <v>4.3871666860172605</v>
      </c>
    </row>
    <row r="14" spans="1:24" x14ac:dyDescent="0.35">
      <c r="A14" s="14" t="s">
        <v>80</v>
      </c>
      <c r="B14" s="1">
        <v>2824</v>
      </c>
      <c r="C14" s="57">
        <v>40</v>
      </c>
      <c r="D14" s="1">
        <v>8</v>
      </c>
      <c r="E14" s="96">
        <v>-76</v>
      </c>
      <c r="G14" t="s">
        <v>2626</v>
      </c>
      <c r="H14" s="23">
        <v>336.00000000000006</v>
      </c>
      <c r="I14" s="23">
        <v>62.4</v>
      </c>
      <c r="J14" s="23">
        <v>1.2000000000000002</v>
      </c>
      <c r="K14" s="23">
        <f t="shared" si="0"/>
        <v>74.88000000000001</v>
      </c>
      <c r="L14" s="23">
        <f t="shared" si="1"/>
        <v>4.4871794871794872</v>
      </c>
      <c r="M14" s="23">
        <f t="shared" si="2"/>
        <v>81.342857142857142</v>
      </c>
      <c r="N14" s="104">
        <f t="shared" si="3"/>
        <v>-63</v>
      </c>
      <c r="O14" t="str">
        <f t="shared" si="4"/>
        <v>Expired</v>
      </c>
      <c r="Q14" t="s">
        <v>1081</v>
      </c>
      <c r="R14" s="23">
        <v>14.429535394806081</v>
      </c>
      <c r="T14" t="s">
        <v>2626</v>
      </c>
      <c r="U14" s="23">
        <v>4.4871794871794872</v>
      </c>
    </row>
    <row r="15" spans="1:24" x14ac:dyDescent="0.35">
      <c r="A15" s="14" t="s">
        <v>433</v>
      </c>
      <c r="B15" s="1">
        <v>8094.1440000000021</v>
      </c>
      <c r="C15" s="57">
        <v>68</v>
      </c>
      <c r="D15" s="1">
        <v>36.31</v>
      </c>
      <c r="E15" s="96">
        <v>122.75</v>
      </c>
      <c r="G15" t="s">
        <v>355</v>
      </c>
      <c r="H15" s="23">
        <v>2202.2399999999998</v>
      </c>
      <c r="I15" s="23">
        <v>65.25</v>
      </c>
      <c r="J15" s="23">
        <v>7.3349999999999991</v>
      </c>
      <c r="K15" s="23">
        <f t="shared" si="0"/>
        <v>478.60874999999993</v>
      </c>
      <c r="L15" s="23">
        <f t="shared" si="1"/>
        <v>4.6013366868031564</v>
      </c>
      <c r="M15" s="23">
        <f t="shared" si="2"/>
        <v>79.324775569420225</v>
      </c>
      <c r="N15" s="104">
        <f t="shared" si="3"/>
        <v>37.75</v>
      </c>
      <c r="O15" t="str">
        <f t="shared" si="4"/>
        <v>High Expired Risk</v>
      </c>
      <c r="Q15" t="s">
        <v>180</v>
      </c>
      <c r="R15" s="23">
        <v>14.426107084054999</v>
      </c>
      <c r="T15" t="s">
        <v>355</v>
      </c>
      <c r="U15" s="23">
        <v>4.6013366868031564</v>
      </c>
    </row>
    <row r="16" spans="1:24" x14ac:dyDescent="0.35">
      <c r="A16" s="14" t="s">
        <v>717</v>
      </c>
      <c r="B16" s="1">
        <v>1135.4000000000001</v>
      </c>
      <c r="C16" s="57">
        <v>39</v>
      </c>
      <c r="D16" s="1">
        <v>3.5800000000000005</v>
      </c>
      <c r="E16" s="96">
        <v>-97.666666666666671</v>
      </c>
      <c r="G16" t="s">
        <v>1092</v>
      </c>
      <c r="H16" s="23">
        <v>1196.8</v>
      </c>
      <c r="I16" s="23">
        <v>39.75</v>
      </c>
      <c r="J16" s="23">
        <v>6.4</v>
      </c>
      <c r="K16" s="23">
        <f t="shared" si="0"/>
        <v>254.4</v>
      </c>
      <c r="L16" s="23">
        <f t="shared" si="1"/>
        <v>4.7044025157232703</v>
      </c>
      <c r="M16" s="23">
        <f t="shared" si="2"/>
        <v>77.586898395721931</v>
      </c>
      <c r="N16" s="104">
        <f t="shared" si="3"/>
        <v>-87</v>
      </c>
      <c r="O16" t="str">
        <f t="shared" si="4"/>
        <v>Expired</v>
      </c>
    </row>
    <row r="17" spans="1:15" x14ac:dyDescent="0.35">
      <c r="A17" s="14" t="s">
        <v>17</v>
      </c>
      <c r="B17" s="1">
        <v>2547.6800000000003</v>
      </c>
      <c r="C17" s="57">
        <v>72.25</v>
      </c>
      <c r="D17" s="1">
        <v>3.5966666666666676</v>
      </c>
      <c r="E17" s="96">
        <v>31.916666666666668</v>
      </c>
      <c r="G17" t="s">
        <v>170</v>
      </c>
      <c r="H17" s="23">
        <v>1108.8000000000002</v>
      </c>
      <c r="I17" s="23">
        <v>57</v>
      </c>
      <c r="J17" s="23">
        <v>3.6</v>
      </c>
      <c r="K17" s="23">
        <f t="shared" si="0"/>
        <v>205.20000000000002</v>
      </c>
      <c r="L17" s="23">
        <f t="shared" si="1"/>
        <v>5.4035087719298254</v>
      </c>
      <c r="M17" s="23">
        <f t="shared" si="2"/>
        <v>67.548701298701289</v>
      </c>
      <c r="N17" s="104">
        <f t="shared" si="3"/>
        <v>0.66666666666666663</v>
      </c>
      <c r="O17" t="str">
        <f t="shared" si="4"/>
        <v>High Expired Risk</v>
      </c>
    </row>
    <row r="18" spans="1:15" x14ac:dyDescent="0.35">
      <c r="A18" s="14" t="s">
        <v>566</v>
      </c>
      <c r="B18" s="1">
        <v>7982.4000000000005</v>
      </c>
      <c r="C18" s="57">
        <v>51.7</v>
      </c>
      <c r="D18" s="1">
        <v>12.072000000000001</v>
      </c>
      <c r="E18" s="96">
        <v>-95.3</v>
      </c>
      <c r="G18" t="s">
        <v>65</v>
      </c>
      <c r="H18" s="23">
        <v>2975.68</v>
      </c>
      <c r="I18" s="23">
        <v>73.428571428571431</v>
      </c>
      <c r="J18" s="23">
        <v>7.3028571428571434</v>
      </c>
      <c r="K18" s="23">
        <f t="shared" si="0"/>
        <v>536.23836734693884</v>
      </c>
      <c r="L18" s="23">
        <f t="shared" si="1"/>
        <v>5.5491739890271141</v>
      </c>
      <c r="M18" s="23">
        <f t="shared" si="2"/>
        <v>65.775555194655581</v>
      </c>
      <c r="N18" s="104">
        <f t="shared" si="3"/>
        <v>-105</v>
      </c>
      <c r="O18" t="str">
        <f t="shared" si="4"/>
        <v>Expired</v>
      </c>
    </row>
    <row r="19" spans="1:15" x14ac:dyDescent="0.35">
      <c r="A19" s="14" t="s">
        <v>329</v>
      </c>
      <c r="B19" s="1">
        <v>3657.4800000000005</v>
      </c>
      <c r="C19" s="57">
        <v>56.666666666666664</v>
      </c>
      <c r="D19" s="1">
        <v>4.9400000000000004</v>
      </c>
      <c r="E19" s="96">
        <v>-98.916666666666671</v>
      </c>
      <c r="G19" t="s">
        <v>1350</v>
      </c>
      <c r="H19" s="23">
        <v>651.04000000000008</v>
      </c>
      <c r="I19" s="23">
        <v>48.2</v>
      </c>
      <c r="J19" s="23">
        <v>2.4000000000000004</v>
      </c>
      <c r="K19" s="23">
        <f t="shared" si="0"/>
        <v>115.68000000000002</v>
      </c>
      <c r="L19" s="23">
        <f t="shared" si="1"/>
        <v>5.6279391424619636</v>
      </c>
      <c r="M19" s="23">
        <f t="shared" si="2"/>
        <v>64.855001228803147</v>
      </c>
      <c r="N19" s="104">
        <f t="shared" si="3"/>
        <v>-35.799999999999997</v>
      </c>
      <c r="O19" t="str">
        <f t="shared" si="4"/>
        <v>Expired</v>
      </c>
    </row>
    <row r="20" spans="1:15" x14ac:dyDescent="0.35">
      <c r="A20" s="14" t="s">
        <v>508</v>
      </c>
      <c r="B20" s="1">
        <v>1714.24</v>
      </c>
      <c r="C20" s="57">
        <v>39.714285714285715</v>
      </c>
      <c r="D20" s="1">
        <v>4</v>
      </c>
      <c r="E20" s="96">
        <v>-92.428571428571431</v>
      </c>
      <c r="G20" t="s">
        <v>253</v>
      </c>
      <c r="H20" s="23">
        <v>1552</v>
      </c>
      <c r="I20" s="23">
        <v>68.142857142857139</v>
      </c>
      <c r="J20" s="23">
        <v>4</v>
      </c>
      <c r="K20" s="23">
        <f t="shared" si="0"/>
        <v>272.57142857142856</v>
      </c>
      <c r="L20" s="23">
        <f t="shared" si="1"/>
        <v>5.6939203354297696</v>
      </c>
      <c r="M20" s="23">
        <f t="shared" si="2"/>
        <v>64.103460972017672</v>
      </c>
      <c r="N20" s="104">
        <f t="shared" si="3"/>
        <v>-127.85714285714286</v>
      </c>
      <c r="O20" t="str">
        <f t="shared" si="4"/>
        <v>Expired</v>
      </c>
    </row>
    <row r="21" spans="1:15" x14ac:dyDescent="0.35">
      <c r="A21" s="14" t="s">
        <v>1445</v>
      </c>
      <c r="B21" s="1">
        <v>3312</v>
      </c>
      <c r="C21" s="57">
        <v>53.5</v>
      </c>
      <c r="D21" s="1">
        <v>8</v>
      </c>
      <c r="E21" s="96">
        <v>-121</v>
      </c>
      <c r="G21" t="s">
        <v>1624</v>
      </c>
      <c r="H21" s="23">
        <v>2412</v>
      </c>
      <c r="I21" s="23">
        <v>69.142857142857139</v>
      </c>
      <c r="J21" s="23">
        <v>6</v>
      </c>
      <c r="K21" s="23">
        <f t="shared" si="0"/>
        <v>414.85714285714283</v>
      </c>
      <c r="L21" s="23">
        <f t="shared" si="1"/>
        <v>5.8140495867768598</v>
      </c>
      <c r="M21" s="23">
        <f t="shared" si="2"/>
        <v>62.778962331201136</v>
      </c>
      <c r="N21" s="104">
        <f t="shared" si="3"/>
        <v>-48.428571428571431</v>
      </c>
      <c r="O21" t="str">
        <f t="shared" si="4"/>
        <v>Expired</v>
      </c>
    </row>
    <row r="22" spans="1:15" x14ac:dyDescent="0.35">
      <c r="A22" s="14" t="s">
        <v>175</v>
      </c>
      <c r="B22" s="1">
        <v>1202.4000000000001</v>
      </c>
      <c r="C22" s="57">
        <v>58.94736842105263</v>
      </c>
      <c r="D22" s="1">
        <v>1.1999999999999997</v>
      </c>
      <c r="E22" s="96">
        <v>-76.263157894736835</v>
      </c>
      <c r="G22" t="s">
        <v>691</v>
      </c>
      <c r="H22" s="23">
        <v>2301.6</v>
      </c>
      <c r="I22" s="23">
        <v>70.285714285714292</v>
      </c>
      <c r="J22" s="23">
        <v>5.6000000000000005</v>
      </c>
      <c r="K22" s="23">
        <f t="shared" si="0"/>
        <v>393.60000000000008</v>
      </c>
      <c r="L22" s="23">
        <f t="shared" si="1"/>
        <v>5.8475609756097544</v>
      </c>
      <c r="M22" s="23">
        <f t="shared" si="2"/>
        <v>62.419186652763315</v>
      </c>
      <c r="N22" s="104">
        <f t="shared" si="3"/>
        <v>-27.142857142857142</v>
      </c>
      <c r="O22" t="str">
        <f t="shared" si="4"/>
        <v>Expired</v>
      </c>
    </row>
    <row r="23" spans="1:15" x14ac:dyDescent="0.35">
      <c r="A23" s="14" t="s">
        <v>984</v>
      </c>
      <c r="B23" s="1">
        <v>2323.2000000000003</v>
      </c>
      <c r="C23" s="57">
        <v>60.4</v>
      </c>
      <c r="D23" s="1">
        <v>3.1999999999999997</v>
      </c>
      <c r="E23" s="96">
        <v>-168.6</v>
      </c>
      <c r="G23" t="s">
        <v>600</v>
      </c>
      <c r="H23" s="23">
        <v>612.76</v>
      </c>
      <c r="I23" s="23">
        <v>52.142857142857146</v>
      </c>
      <c r="J23" s="23">
        <v>1.9828571428571427</v>
      </c>
      <c r="K23" s="23">
        <f t="shared" si="0"/>
        <v>103.39183673469387</v>
      </c>
      <c r="L23" s="23">
        <f t="shared" si="1"/>
        <v>5.9265800797441877</v>
      </c>
      <c r="M23" s="23">
        <f t="shared" si="2"/>
        <v>61.586951511461685</v>
      </c>
      <c r="N23" s="104">
        <f t="shared" si="3"/>
        <v>-80.428571428571431</v>
      </c>
      <c r="O23" t="str">
        <f t="shared" si="4"/>
        <v>Expired</v>
      </c>
    </row>
    <row r="24" spans="1:15" x14ac:dyDescent="0.35">
      <c r="A24" s="14" t="s">
        <v>554</v>
      </c>
      <c r="B24" s="1">
        <v>932</v>
      </c>
      <c r="C24" s="57">
        <v>48.888888888888886</v>
      </c>
      <c r="D24" s="1">
        <v>2</v>
      </c>
      <c r="E24" s="96">
        <v>-33.555555555555557</v>
      </c>
      <c r="G24" t="s">
        <v>438</v>
      </c>
      <c r="H24" s="23">
        <v>1348</v>
      </c>
      <c r="I24" s="23">
        <v>56.571428571428569</v>
      </c>
      <c r="J24" s="23">
        <v>4</v>
      </c>
      <c r="K24" s="23">
        <f t="shared" si="0"/>
        <v>226.28571428571428</v>
      </c>
      <c r="L24" s="23">
        <f t="shared" si="1"/>
        <v>5.9570707070707076</v>
      </c>
      <c r="M24" s="23">
        <f t="shared" si="2"/>
        <v>61.271725307333611</v>
      </c>
      <c r="N24" s="104">
        <f t="shared" si="3"/>
        <v>-13.428571428571429</v>
      </c>
      <c r="O24" t="str">
        <f t="shared" si="4"/>
        <v>Expired</v>
      </c>
    </row>
    <row r="25" spans="1:15" x14ac:dyDescent="0.35">
      <c r="A25" s="14" t="s">
        <v>1350</v>
      </c>
      <c r="B25" s="1">
        <v>651.04000000000008</v>
      </c>
      <c r="C25" s="57">
        <v>48.2</v>
      </c>
      <c r="D25" s="1">
        <v>2.4000000000000004</v>
      </c>
      <c r="E25" s="96">
        <v>-35.799999999999997</v>
      </c>
      <c r="G25" t="s">
        <v>582</v>
      </c>
      <c r="H25" s="23">
        <v>270.08000000000004</v>
      </c>
      <c r="I25" s="23">
        <v>70.833333333333329</v>
      </c>
      <c r="J25" s="23">
        <v>0.64000000000000012</v>
      </c>
      <c r="K25" s="23">
        <f t="shared" si="0"/>
        <v>45.333333333333336</v>
      </c>
      <c r="L25" s="23">
        <f t="shared" si="1"/>
        <v>5.9576470588235297</v>
      </c>
      <c r="M25" s="23">
        <f t="shared" si="2"/>
        <v>61.265797788309634</v>
      </c>
      <c r="N25" s="104">
        <f t="shared" si="3"/>
        <v>-92.166666666666671</v>
      </c>
      <c r="O25" t="str">
        <f t="shared" si="4"/>
        <v>Expired</v>
      </c>
    </row>
    <row r="26" spans="1:15" x14ac:dyDescent="0.35">
      <c r="A26" s="14" t="s">
        <v>1117</v>
      </c>
      <c r="B26" s="1">
        <v>1478.4</v>
      </c>
      <c r="C26" s="57">
        <v>43.833333333333336</v>
      </c>
      <c r="D26" s="1">
        <v>4.8000000000000007</v>
      </c>
      <c r="E26" s="96">
        <v>-90</v>
      </c>
      <c r="G26" t="s">
        <v>37</v>
      </c>
      <c r="H26" s="23">
        <v>460.24</v>
      </c>
      <c r="I26" s="23">
        <v>63.285714285714285</v>
      </c>
      <c r="J26" s="23">
        <v>1.205714285714286</v>
      </c>
      <c r="K26" s="23">
        <f t="shared" si="0"/>
        <v>76.304489795918386</v>
      </c>
      <c r="L26" s="23">
        <f t="shared" si="1"/>
        <v>6.0316241053566255</v>
      </c>
      <c r="M26" s="23">
        <f t="shared" si="2"/>
        <v>60.514381139210435</v>
      </c>
      <c r="N26" s="104">
        <f t="shared" si="3"/>
        <v>-53.857142857142854</v>
      </c>
      <c r="O26" t="str">
        <f t="shared" si="4"/>
        <v>Expired</v>
      </c>
    </row>
    <row r="27" spans="1:15" x14ac:dyDescent="0.35">
      <c r="A27" s="14" t="s">
        <v>600</v>
      </c>
      <c r="B27" s="1">
        <v>612.76</v>
      </c>
      <c r="C27" s="57">
        <v>52.142857142857146</v>
      </c>
      <c r="D27" s="1">
        <v>1.9828571428571427</v>
      </c>
      <c r="E27" s="96">
        <v>-80.428571428571431</v>
      </c>
      <c r="G27" t="s">
        <v>736</v>
      </c>
      <c r="H27" s="23">
        <v>1208</v>
      </c>
      <c r="I27" s="23">
        <v>49</v>
      </c>
      <c r="J27" s="23">
        <v>4</v>
      </c>
      <c r="K27" s="23">
        <f t="shared" si="0"/>
        <v>196</v>
      </c>
      <c r="L27" s="23">
        <f t="shared" si="1"/>
        <v>6.1632653061224492</v>
      </c>
      <c r="M27" s="23">
        <f t="shared" si="2"/>
        <v>59.221854304635762</v>
      </c>
      <c r="N27" s="104">
        <f t="shared" si="3"/>
        <v>-3.1666666666666665</v>
      </c>
      <c r="O27" t="str">
        <f t="shared" si="4"/>
        <v>Expired</v>
      </c>
    </row>
    <row r="28" spans="1:15" x14ac:dyDescent="0.35">
      <c r="A28" s="14" t="s">
        <v>355</v>
      </c>
      <c r="B28" s="1">
        <v>2202.2399999999998</v>
      </c>
      <c r="C28" s="57">
        <v>65.25</v>
      </c>
      <c r="D28" s="1">
        <v>7.3349999999999991</v>
      </c>
      <c r="E28" s="96">
        <v>37.75</v>
      </c>
      <c r="G28" t="s">
        <v>836</v>
      </c>
      <c r="H28" s="23">
        <v>1072.0000000000002</v>
      </c>
      <c r="I28" s="23">
        <v>64.625</v>
      </c>
      <c r="J28" s="23">
        <v>2.6900000000000004</v>
      </c>
      <c r="K28" s="23">
        <f t="shared" si="0"/>
        <v>173.84125000000003</v>
      </c>
      <c r="L28" s="23">
        <f t="shared" si="1"/>
        <v>6.1665456271166947</v>
      </c>
      <c r="M28" s="23">
        <f t="shared" si="2"/>
        <v>59.190350979477607</v>
      </c>
      <c r="N28" s="104">
        <f t="shared" si="3"/>
        <v>-8.25</v>
      </c>
      <c r="O28" t="str">
        <f t="shared" si="4"/>
        <v>Expired</v>
      </c>
    </row>
    <row r="29" spans="1:15" x14ac:dyDescent="0.35">
      <c r="A29" s="14" t="s">
        <v>707</v>
      </c>
      <c r="B29" s="1">
        <v>1089.28</v>
      </c>
      <c r="C29" s="57">
        <v>63.888888888888886</v>
      </c>
      <c r="D29" s="1">
        <v>1.8399999999999999</v>
      </c>
      <c r="E29" s="96">
        <v>-20.666666666666668</v>
      </c>
      <c r="G29" t="s">
        <v>526</v>
      </c>
      <c r="H29" s="23">
        <v>383.04000000000008</v>
      </c>
      <c r="I29" s="23">
        <v>43</v>
      </c>
      <c r="J29" s="23">
        <v>1.4400000000000002</v>
      </c>
      <c r="K29" s="23">
        <f t="shared" si="0"/>
        <v>61.920000000000009</v>
      </c>
      <c r="L29" s="23">
        <f t="shared" si="1"/>
        <v>6.1860465116279073</v>
      </c>
      <c r="M29" s="23">
        <f t="shared" si="2"/>
        <v>59.003759398496236</v>
      </c>
      <c r="N29" s="104">
        <f t="shared" si="3"/>
        <v>-62.75</v>
      </c>
      <c r="O29" t="str">
        <f t="shared" si="4"/>
        <v>Expired</v>
      </c>
    </row>
    <row r="30" spans="1:15" x14ac:dyDescent="0.35">
      <c r="A30" s="14" t="s">
        <v>37</v>
      </c>
      <c r="B30" s="1">
        <v>460.24</v>
      </c>
      <c r="C30" s="57">
        <v>63.285714285714285</v>
      </c>
      <c r="D30" s="1">
        <v>1.205714285714286</v>
      </c>
      <c r="E30" s="96">
        <v>-53.857142857142854</v>
      </c>
      <c r="G30" t="s">
        <v>121</v>
      </c>
      <c r="H30" s="23">
        <v>802.04</v>
      </c>
      <c r="I30" s="23">
        <v>59</v>
      </c>
      <c r="J30" s="23">
        <v>2.1850000000000001</v>
      </c>
      <c r="K30" s="23">
        <f t="shared" si="0"/>
        <v>128.91499999999999</v>
      </c>
      <c r="L30" s="23">
        <f t="shared" si="1"/>
        <v>6.2214637551875267</v>
      </c>
      <c r="M30" s="23">
        <f t="shared" si="2"/>
        <v>58.667865692484163</v>
      </c>
      <c r="N30" s="104">
        <f t="shared" si="3"/>
        <v>40</v>
      </c>
      <c r="O30" t="str">
        <f t="shared" si="4"/>
        <v>High Expired Risk</v>
      </c>
    </row>
    <row r="31" spans="1:15" x14ac:dyDescent="0.35">
      <c r="A31" s="14" t="s">
        <v>96</v>
      </c>
      <c r="B31" s="1">
        <v>1831.5680000000002</v>
      </c>
      <c r="C31" s="57">
        <v>60.6</v>
      </c>
      <c r="D31" s="1">
        <v>2.0362666666666671</v>
      </c>
      <c r="E31" s="96">
        <v>-20.8</v>
      </c>
      <c r="G31" t="s">
        <v>812</v>
      </c>
      <c r="H31" s="23">
        <v>1047.2</v>
      </c>
      <c r="I31" s="23">
        <v>59.571428571428569</v>
      </c>
      <c r="J31" s="23">
        <v>2.8000000000000003</v>
      </c>
      <c r="K31" s="23">
        <f t="shared" si="0"/>
        <v>166.8</v>
      </c>
      <c r="L31" s="23">
        <f t="shared" si="1"/>
        <v>6.2781774580335732</v>
      </c>
      <c r="M31" s="23">
        <f t="shared" si="2"/>
        <v>58.137891520244459</v>
      </c>
      <c r="N31" s="104">
        <f t="shared" si="3"/>
        <v>-39.714285714285715</v>
      </c>
      <c r="O31" t="str">
        <f t="shared" si="4"/>
        <v>Expired</v>
      </c>
    </row>
    <row r="32" spans="1:15" x14ac:dyDescent="0.35">
      <c r="A32" s="14" t="s">
        <v>75</v>
      </c>
      <c r="B32" s="1">
        <v>4849.12</v>
      </c>
      <c r="C32" s="57">
        <v>58.5</v>
      </c>
      <c r="D32" s="1">
        <v>7.1840000000000019</v>
      </c>
      <c r="E32" s="96">
        <v>-52.7</v>
      </c>
      <c r="G32" t="s">
        <v>42</v>
      </c>
      <c r="H32" s="23">
        <v>1590.4</v>
      </c>
      <c r="I32" s="23">
        <v>44.75</v>
      </c>
      <c r="J32" s="23">
        <v>5.6000000000000005</v>
      </c>
      <c r="K32" s="23">
        <f t="shared" si="0"/>
        <v>250.60000000000002</v>
      </c>
      <c r="L32" s="23">
        <f t="shared" si="1"/>
        <v>6.3463687150837984</v>
      </c>
      <c r="M32" s="23">
        <f t="shared" si="2"/>
        <v>57.513204225352119</v>
      </c>
      <c r="N32" s="104">
        <f t="shared" si="3"/>
        <v>-77</v>
      </c>
      <c r="O32" t="str">
        <f t="shared" si="4"/>
        <v>Expired</v>
      </c>
    </row>
    <row r="33" spans="1:15" x14ac:dyDescent="0.35">
      <c r="A33" s="14" t="s">
        <v>65</v>
      </c>
      <c r="B33" s="1">
        <v>2975.68</v>
      </c>
      <c r="C33" s="57">
        <v>73.428571428571431</v>
      </c>
      <c r="D33" s="1">
        <v>7.3028571428571434</v>
      </c>
      <c r="E33" s="96">
        <v>-105</v>
      </c>
      <c r="G33" t="s">
        <v>700</v>
      </c>
      <c r="H33" s="23">
        <v>694.77599999999995</v>
      </c>
      <c r="I33" s="23">
        <v>55</v>
      </c>
      <c r="J33" s="23">
        <v>1.9826666666666666</v>
      </c>
      <c r="K33" s="23">
        <f t="shared" si="0"/>
        <v>109.04666666666667</v>
      </c>
      <c r="L33" s="23">
        <f t="shared" si="1"/>
        <v>6.3713639420431614</v>
      </c>
      <c r="M33" s="23">
        <f t="shared" si="2"/>
        <v>57.287576619418829</v>
      </c>
      <c r="N33" s="104">
        <f t="shared" si="3"/>
        <v>-65.5</v>
      </c>
      <c r="O33" t="str">
        <f t="shared" si="4"/>
        <v>Expired</v>
      </c>
    </row>
    <row r="34" spans="1:15" x14ac:dyDescent="0.35">
      <c r="A34" s="14" t="s">
        <v>1092</v>
      </c>
      <c r="B34" s="1">
        <v>1196.8</v>
      </c>
      <c r="C34" s="57">
        <v>39.75</v>
      </c>
      <c r="D34" s="1">
        <v>6.4</v>
      </c>
      <c r="E34" s="96">
        <v>-87</v>
      </c>
      <c r="G34" t="s">
        <v>817</v>
      </c>
      <c r="H34" s="23">
        <v>986.40000000000009</v>
      </c>
      <c r="I34" s="23">
        <v>63.833333333333336</v>
      </c>
      <c r="J34" s="23">
        <v>2.4000000000000004</v>
      </c>
      <c r="K34" s="23">
        <f t="shared" si="0"/>
        <v>153.20000000000002</v>
      </c>
      <c r="L34" s="23">
        <f t="shared" si="1"/>
        <v>6.4386422976501301</v>
      </c>
      <c r="M34" s="23">
        <f t="shared" si="2"/>
        <v>56.688969991889707</v>
      </c>
      <c r="N34" s="104">
        <f t="shared" si="3"/>
        <v>-76.333333333333329</v>
      </c>
      <c r="O34" t="str">
        <f t="shared" si="4"/>
        <v>Expired</v>
      </c>
    </row>
    <row r="35" spans="1:15" x14ac:dyDescent="0.35">
      <c r="A35" s="14" t="s">
        <v>225</v>
      </c>
      <c r="B35" s="1">
        <v>2392</v>
      </c>
      <c r="C35" s="57">
        <v>62.444444444444443</v>
      </c>
      <c r="D35" s="1">
        <v>4</v>
      </c>
      <c r="E35" s="96">
        <v>-55.555555555555557</v>
      </c>
      <c r="G35" t="s">
        <v>211</v>
      </c>
      <c r="H35" s="23">
        <v>970</v>
      </c>
      <c r="I35" s="23">
        <v>46.333333333333336</v>
      </c>
      <c r="J35" s="23">
        <v>3.2133333333333329</v>
      </c>
      <c r="K35" s="23">
        <f t="shared" si="0"/>
        <v>148.88444444444443</v>
      </c>
      <c r="L35" s="23">
        <f t="shared" si="1"/>
        <v>6.5151198543240101</v>
      </c>
      <c r="M35" s="23">
        <f t="shared" si="2"/>
        <v>56.023528064146618</v>
      </c>
      <c r="N35" s="104">
        <f t="shared" si="3"/>
        <v>-43.666666666666664</v>
      </c>
      <c r="O35" t="str">
        <f t="shared" si="4"/>
        <v>Expired</v>
      </c>
    </row>
    <row r="36" spans="1:15" x14ac:dyDescent="0.35">
      <c r="A36" s="14" t="s">
        <v>438</v>
      </c>
      <c r="B36" s="1">
        <v>1348</v>
      </c>
      <c r="C36" s="57">
        <v>56.571428571428569</v>
      </c>
      <c r="D36" s="1">
        <v>4</v>
      </c>
      <c r="E36" s="96">
        <v>-13.428571428571429</v>
      </c>
      <c r="G36" t="s">
        <v>980</v>
      </c>
      <c r="H36" s="23">
        <v>5940</v>
      </c>
      <c r="I36" s="23">
        <v>75.625</v>
      </c>
      <c r="J36" s="23">
        <v>12</v>
      </c>
      <c r="K36" s="23">
        <f t="shared" si="0"/>
        <v>907.5</v>
      </c>
      <c r="L36" s="23">
        <f t="shared" si="1"/>
        <v>6.5454545454545459</v>
      </c>
      <c r="M36" s="23">
        <f t="shared" si="2"/>
        <v>55.763888888888886</v>
      </c>
      <c r="N36" s="104">
        <f t="shared" si="3"/>
        <v>-96.75</v>
      </c>
      <c r="O36" t="str">
        <f t="shared" si="4"/>
        <v>Expired</v>
      </c>
    </row>
    <row r="37" spans="1:15" x14ac:dyDescent="0.35">
      <c r="A37" s="14" t="s">
        <v>592</v>
      </c>
      <c r="B37" s="1">
        <v>940</v>
      </c>
      <c r="C37" s="57">
        <v>66.5</v>
      </c>
      <c r="D37" s="1">
        <v>4</v>
      </c>
      <c r="E37" s="96">
        <v>-154.25</v>
      </c>
      <c r="G37" t="s">
        <v>216</v>
      </c>
      <c r="H37" s="23">
        <v>929.60000000000014</v>
      </c>
      <c r="I37" s="23">
        <v>50.5</v>
      </c>
      <c r="J37" s="23">
        <v>2.8000000000000003</v>
      </c>
      <c r="K37" s="23">
        <f t="shared" si="0"/>
        <v>141.4</v>
      </c>
      <c r="L37" s="23">
        <f t="shared" si="1"/>
        <v>6.5742574257425748</v>
      </c>
      <c r="M37" s="23">
        <f t="shared" si="2"/>
        <v>55.519578313253007</v>
      </c>
      <c r="N37" s="104">
        <f t="shared" si="3"/>
        <v>-116.5</v>
      </c>
      <c r="O37" t="str">
        <f t="shared" si="4"/>
        <v>Expired</v>
      </c>
    </row>
    <row r="38" spans="1:15" x14ac:dyDescent="0.35">
      <c r="A38" s="14" t="s">
        <v>52</v>
      </c>
      <c r="B38" s="1">
        <v>1236</v>
      </c>
      <c r="C38" s="57">
        <v>45.6</v>
      </c>
      <c r="D38" s="1">
        <v>4</v>
      </c>
      <c r="E38" s="96">
        <v>-73.599999999999994</v>
      </c>
      <c r="G38" t="s">
        <v>263</v>
      </c>
      <c r="H38" s="23">
        <v>1848</v>
      </c>
      <c r="I38" s="23">
        <v>57.666666666666664</v>
      </c>
      <c r="J38" s="23">
        <v>4.8000000000000007</v>
      </c>
      <c r="K38" s="23">
        <f t="shared" ref="K38:K69" si="5">I38*J38</f>
        <v>276.8</v>
      </c>
      <c r="L38" s="23">
        <f t="shared" ref="L38:L69" si="6">H38/K38</f>
        <v>6.6763005780346818</v>
      </c>
      <c r="M38" s="23">
        <f t="shared" si="2"/>
        <v>54.670995670995673</v>
      </c>
      <c r="N38" s="104">
        <f t="shared" si="3"/>
        <v>-8.6666666666666661</v>
      </c>
      <c r="O38" t="str">
        <f t="shared" si="4"/>
        <v>Expired</v>
      </c>
    </row>
    <row r="39" spans="1:15" x14ac:dyDescent="0.35">
      <c r="A39" s="14" t="s">
        <v>632</v>
      </c>
      <c r="B39" s="1">
        <v>3142.4000000000005</v>
      </c>
      <c r="C39" s="57">
        <v>51.285714285714285</v>
      </c>
      <c r="D39" s="1">
        <v>6.3999999999999995</v>
      </c>
      <c r="E39" s="96">
        <v>-99.571428571428569</v>
      </c>
      <c r="G39" t="s">
        <v>52</v>
      </c>
      <c r="H39" s="23">
        <v>1236</v>
      </c>
      <c r="I39" s="23">
        <v>45.6</v>
      </c>
      <c r="J39" s="23">
        <v>4</v>
      </c>
      <c r="K39" s="23">
        <f t="shared" si="5"/>
        <v>182.4</v>
      </c>
      <c r="L39" s="23">
        <f t="shared" si="6"/>
        <v>6.7763157894736841</v>
      </c>
      <c r="M39" s="23">
        <f t="shared" si="2"/>
        <v>53.864077669902912</v>
      </c>
      <c r="N39" s="104">
        <f t="shared" si="3"/>
        <v>-73.599999999999994</v>
      </c>
      <c r="O39" t="str">
        <f t="shared" si="4"/>
        <v>Expired</v>
      </c>
    </row>
    <row r="40" spans="1:15" x14ac:dyDescent="0.35">
      <c r="A40" s="14" t="s">
        <v>1016</v>
      </c>
      <c r="B40" s="1">
        <v>934</v>
      </c>
      <c r="C40" s="57">
        <v>46</v>
      </c>
      <c r="D40" s="1">
        <v>2</v>
      </c>
      <c r="E40" s="96">
        <v>21.888888888888889</v>
      </c>
      <c r="G40" t="s">
        <v>420</v>
      </c>
      <c r="H40" s="23">
        <v>5932.7999999999993</v>
      </c>
      <c r="I40" s="23">
        <v>60.2</v>
      </c>
      <c r="J40" s="23">
        <v>14.400000000000002</v>
      </c>
      <c r="K40" s="23">
        <f t="shared" si="5"/>
        <v>866.88000000000022</v>
      </c>
      <c r="L40" s="23">
        <f t="shared" si="6"/>
        <v>6.843853820598004</v>
      </c>
      <c r="M40" s="23">
        <f t="shared" si="2"/>
        <v>53.332524271844683</v>
      </c>
      <c r="N40" s="104">
        <f t="shared" si="3"/>
        <v>-176.6</v>
      </c>
      <c r="O40" t="str">
        <f t="shared" si="4"/>
        <v>Expired</v>
      </c>
    </row>
    <row r="41" spans="1:15" x14ac:dyDescent="0.35">
      <c r="A41" s="14" t="s">
        <v>828</v>
      </c>
      <c r="B41" s="1">
        <v>1133.5999999999999</v>
      </c>
      <c r="C41" s="57">
        <v>65.25</v>
      </c>
      <c r="D41" s="1">
        <v>3.96</v>
      </c>
      <c r="E41" s="96">
        <v>-20.75</v>
      </c>
      <c r="G41" t="s">
        <v>380</v>
      </c>
      <c r="H41" s="23">
        <v>1338.32</v>
      </c>
      <c r="I41" s="23">
        <v>60.666666666666664</v>
      </c>
      <c r="J41" s="23">
        <v>3.2133333333333329</v>
      </c>
      <c r="K41" s="23">
        <f t="shared" si="5"/>
        <v>194.9422222222222</v>
      </c>
      <c r="L41" s="23">
        <f t="shared" si="6"/>
        <v>6.8652136245497246</v>
      </c>
      <c r="M41" s="23">
        <f t="shared" si="2"/>
        <v>53.166590285664945</v>
      </c>
      <c r="N41" s="104">
        <f t="shared" si="3"/>
        <v>-59.333333333333336</v>
      </c>
      <c r="O41" t="str">
        <f t="shared" si="4"/>
        <v>Expired</v>
      </c>
    </row>
    <row r="42" spans="1:15" x14ac:dyDescent="0.35">
      <c r="A42" s="14" t="s">
        <v>298</v>
      </c>
      <c r="B42" s="1">
        <v>765.72</v>
      </c>
      <c r="C42" s="57">
        <v>50.666666666666664</v>
      </c>
      <c r="D42" s="1">
        <v>1.9666666666666668</v>
      </c>
      <c r="E42" s="96">
        <v>-76.166666666666671</v>
      </c>
      <c r="G42" t="s">
        <v>587</v>
      </c>
      <c r="H42" s="23">
        <v>8090.4</v>
      </c>
      <c r="I42" s="23">
        <v>48.666666666666664</v>
      </c>
      <c r="J42" s="23">
        <v>24.2</v>
      </c>
      <c r="K42" s="23">
        <f t="shared" si="5"/>
        <v>1177.7333333333333</v>
      </c>
      <c r="L42" s="23">
        <f t="shared" si="6"/>
        <v>6.8694667723310312</v>
      </c>
      <c r="M42" s="23">
        <f t="shared" si="2"/>
        <v>53.133672830350378</v>
      </c>
      <c r="N42" s="104">
        <f t="shared" si="3"/>
        <v>-47</v>
      </c>
      <c r="O42" t="str">
        <f t="shared" si="4"/>
        <v>Expired</v>
      </c>
    </row>
    <row r="43" spans="1:15" x14ac:dyDescent="0.35">
      <c r="A43" s="14" t="s">
        <v>180</v>
      </c>
      <c r="B43" s="1">
        <v>892.12000000000012</v>
      </c>
      <c r="C43" s="57">
        <v>43.272727272727273</v>
      </c>
      <c r="D43" s="1">
        <v>1.429090909090909</v>
      </c>
      <c r="E43" s="96">
        <v>-88.818181818181813</v>
      </c>
      <c r="G43" t="s">
        <v>446</v>
      </c>
      <c r="H43" s="23">
        <v>3078.0000000000009</v>
      </c>
      <c r="I43" s="23">
        <v>58.2</v>
      </c>
      <c r="J43" s="23">
        <v>7.6</v>
      </c>
      <c r="K43" s="23">
        <f t="shared" si="5"/>
        <v>442.32</v>
      </c>
      <c r="L43" s="23">
        <f t="shared" si="6"/>
        <v>6.9587628865979401</v>
      </c>
      <c r="M43" s="23">
        <f t="shared" si="2"/>
        <v>52.451851851851835</v>
      </c>
      <c r="N43" s="104">
        <f t="shared" si="3"/>
        <v>-123.6</v>
      </c>
      <c r="O43" t="str">
        <f t="shared" si="4"/>
        <v>Expired</v>
      </c>
    </row>
    <row r="44" spans="1:15" x14ac:dyDescent="0.35">
      <c r="A44" s="14" t="s">
        <v>90</v>
      </c>
      <c r="B44" s="1">
        <v>2227.1999999999998</v>
      </c>
      <c r="C44" s="57">
        <v>57.7</v>
      </c>
      <c r="D44" s="1">
        <v>3.1999999999999997</v>
      </c>
      <c r="E44" s="96">
        <v>13.3</v>
      </c>
      <c r="G44" t="s">
        <v>47</v>
      </c>
      <c r="H44" s="23">
        <v>922.2</v>
      </c>
      <c r="I44" s="23">
        <v>66.888888888888886</v>
      </c>
      <c r="J44" s="23">
        <v>1.9644444444444444</v>
      </c>
      <c r="K44" s="23">
        <f t="shared" si="5"/>
        <v>131.39950617283949</v>
      </c>
      <c r="L44" s="23">
        <f t="shared" si="6"/>
        <v>7.0182912163076328</v>
      </c>
      <c r="M44" s="23">
        <f t="shared" si="2"/>
        <v>52.006961345788781</v>
      </c>
      <c r="N44" s="104">
        <f t="shared" si="3"/>
        <v>-108.11111111111111</v>
      </c>
      <c r="O44" t="str">
        <f t="shared" si="4"/>
        <v>Expired</v>
      </c>
    </row>
    <row r="45" spans="1:15" x14ac:dyDescent="0.35">
      <c r="A45" s="14" t="s">
        <v>1138</v>
      </c>
      <c r="B45" s="1">
        <v>81.920000000000016</v>
      </c>
      <c r="C45" s="57">
        <v>43.714285714285715</v>
      </c>
      <c r="D45" s="1">
        <v>0.16</v>
      </c>
      <c r="E45" s="96">
        <v>24.857142857142858</v>
      </c>
      <c r="G45" t="s">
        <v>1117</v>
      </c>
      <c r="H45" s="23">
        <v>1478.4</v>
      </c>
      <c r="I45" s="23">
        <v>43.833333333333336</v>
      </c>
      <c r="J45" s="23">
        <v>4.8000000000000007</v>
      </c>
      <c r="K45" s="23">
        <f t="shared" si="5"/>
        <v>210.40000000000003</v>
      </c>
      <c r="L45" s="23">
        <f t="shared" si="6"/>
        <v>7.0266159695817487</v>
      </c>
      <c r="M45" s="23">
        <f t="shared" si="2"/>
        <v>51.945346320346324</v>
      </c>
      <c r="N45" s="104">
        <f t="shared" si="3"/>
        <v>-90</v>
      </c>
      <c r="O45" t="str">
        <f t="shared" si="4"/>
        <v>Expired</v>
      </c>
    </row>
    <row r="46" spans="1:15" x14ac:dyDescent="0.35">
      <c r="A46" s="14" t="s">
        <v>272</v>
      </c>
      <c r="B46" s="1">
        <v>464</v>
      </c>
      <c r="C46" s="57">
        <v>50</v>
      </c>
      <c r="D46" s="1">
        <v>0.79999999999999993</v>
      </c>
      <c r="E46" s="96">
        <v>-143.88888888888889</v>
      </c>
      <c r="G46" t="s">
        <v>1278</v>
      </c>
      <c r="H46" s="23">
        <v>1352.8</v>
      </c>
      <c r="I46" s="23">
        <v>53.625</v>
      </c>
      <c r="J46" s="23">
        <v>3.5700000000000007</v>
      </c>
      <c r="K46" s="23">
        <f t="shared" si="5"/>
        <v>191.44125000000003</v>
      </c>
      <c r="L46" s="23">
        <f t="shared" si="6"/>
        <v>7.0663976546329472</v>
      </c>
      <c r="M46" s="23">
        <f t="shared" si="2"/>
        <v>51.652909705795402</v>
      </c>
      <c r="N46" s="104">
        <f t="shared" si="3"/>
        <v>-43.75</v>
      </c>
      <c r="O46" t="str">
        <f t="shared" si="4"/>
        <v>Expired</v>
      </c>
    </row>
    <row r="47" spans="1:15" x14ac:dyDescent="0.35">
      <c r="A47" s="14" t="s">
        <v>549</v>
      </c>
      <c r="B47" s="1">
        <v>1530.96</v>
      </c>
      <c r="C47" s="57">
        <v>57.53846153846154</v>
      </c>
      <c r="D47" s="1">
        <v>1.9876923076923079</v>
      </c>
      <c r="E47" s="96">
        <v>-55.92307692307692</v>
      </c>
      <c r="G47" t="s">
        <v>665</v>
      </c>
      <c r="H47" s="23">
        <v>1443.2800000000002</v>
      </c>
      <c r="I47" s="23">
        <v>43</v>
      </c>
      <c r="J47" s="23">
        <v>4.7333333333333334</v>
      </c>
      <c r="K47" s="23">
        <f t="shared" si="5"/>
        <v>203.53333333333333</v>
      </c>
      <c r="L47" s="23">
        <f t="shared" si="6"/>
        <v>7.0911234850966274</v>
      </c>
      <c r="M47" s="23">
        <f t="shared" si="2"/>
        <v>51.472802690168685</v>
      </c>
      <c r="N47" s="104">
        <f t="shared" si="3"/>
        <v>-73.166666666666671</v>
      </c>
      <c r="O47" t="str">
        <f t="shared" si="4"/>
        <v>Expired</v>
      </c>
    </row>
    <row r="48" spans="1:15" x14ac:dyDescent="0.35">
      <c r="A48" s="14" t="s">
        <v>582</v>
      </c>
      <c r="B48" s="1">
        <v>270.08000000000004</v>
      </c>
      <c r="C48" s="57">
        <v>70.833333333333329</v>
      </c>
      <c r="D48" s="1">
        <v>0.64000000000000012</v>
      </c>
      <c r="E48" s="96">
        <v>-92.166666666666671</v>
      </c>
      <c r="G48" t="s">
        <v>132</v>
      </c>
      <c r="H48" s="23">
        <v>822.4</v>
      </c>
      <c r="I48" s="23">
        <v>72.166666666666671</v>
      </c>
      <c r="J48" s="23">
        <v>1.5999999999999999</v>
      </c>
      <c r="K48" s="23">
        <f t="shared" si="5"/>
        <v>115.46666666666667</v>
      </c>
      <c r="L48" s="23">
        <f t="shared" si="6"/>
        <v>7.1224018475750572</v>
      </c>
      <c r="M48" s="23">
        <f t="shared" si="2"/>
        <v>51.246757457846954</v>
      </c>
      <c r="N48" s="104">
        <f t="shared" si="3"/>
        <v>-61.333333333333336</v>
      </c>
      <c r="O48" t="str">
        <f t="shared" si="4"/>
        <v>Expired</v>
      </c>
    </row>
    <row r="49" spans="1:15" x14ac:dyDescent="0.35">
      <c r="A49" s="14" t="s">
        <v>106</v>
      </c>
      <c r="B49" s="1">
        <v>1236.1599999999999</v>
      </c>
      <c r="C49" s="57">
        <v>54</v>
      </c>
      <c r="D49" s="1">
        <v>1.9799999999999998</v>
      </c>
      <c r="E49" s="96">
        <v>0.8</v>
      </c>
      <c r="G49" t="s">
        <v>1069</v>
      </c>
      <c r="H49" s="23">
        <v>1652.16</v>
      </c>
      <c r="I49" s="23">
        <v>46.5</v>
      </c>
      <c r="J49" s="23">
        <v>4.786666666666668</v>
      </c>
      <c r="K49" s="23">
        <f t="shared" si="5"/>
        <v>222.58000000000007</v>
      </c>
      <c r="L49" s="23">
        <f t="shared" si="6"/>
        <v>7.4227693413604081</v>
      </c>
      <c r="M49" s="23">
        <f t="shared" si="2"/>
        <v>49.173021983343027</v>
      </c>
      <c r="N49" s="104">
        <f t="shared" si="3"/>
        <v>-78</v>
      </c>
      <c r="O49" t="str">
        <f t="shared" si="4"/>
        <v>Expired</v>
      </c>
    </row>
    <row r="50" spans="1:15" x14ac:dyDescent="0.35">
      <c r="A50" s="14" t="s">
        <v>116</v>
      </c>
      <c r="B50" s="1">
        <v>1089.6000000000001</v>
      </c>
      <c r="C50" s="57">
        <v>56.7</v>
      </c>
      <c r="D50" s="1">
        <v>2.4</v>
      </c>
      <c r="E50" s="96">
        <v>-15.7</v>
      </c>
      <c r="G50" t="s">
        <v>101</v>
      </c>
      <c r="H50" s="23">
        <v>1630.72</v>
      </c>
      <c r="I50" s="23">
        <v>59.666666666666664</v>
      </c>
      <c r="J50" s="23">
        <v>3.591111111111112</v>
      </c>
      <c r="K50" s="23">
        <f t="shared" si="5"/>
        <v>214.26962962962966</v>
      </c>
      <c r="L50" s="23">
        <f t="shared" si="6"/>
        <v>7.6105979313015091</v>
      </c>
      <c r="M50" s="23">
        <f t="shared" si="2"/>
        <v>47.959438048723769</v>
      </c>
      <c r="N50" s="104">
        <f t="shared" si="3"/>
        <v>-52.555555555555557</v>
      </c>
      <c r="O50" t="str">
        <f t="shared" si="4"/>
        <v>Expired</v>
      </c>
    </row>
    <row r="51" spans="1:15" x14ac:dyDescent="0.35">
      <c r="A51" s="14" t="s">
        <v>615</v>
      </c>
      <c r="B51" s="1">
        <v>763.52000000000021</v>
      </c>
      <c r="C51" s="57">
        <v>42.75</v>
      </c>
      <c r="D51" s="1">
        <v>1.5799999999999998</v>
      </c>
      <c r="E51" s="96">
        <v>-109.75</v>
      </c>
      <c r="G51" t="s">
        <v>70</v>
      </c>
      <c r="H51" s="23">
        <v>719.07999999999993</v>
      </c>
      <c r="I51" s="23">
        <v>67.555555555555557</v>
      </c>
      <c r="J51" s="23">
        <v>1.3911111111111112</v>
      </c>
      <c r="K51" s="23">
        <f t="shared" si="5"/>
        <v>93.977283950617291</v>
      </c>
      <c r="L51" s="23">
        <f t="shared" si="6"/>
        <v>7.651636329241633</v>
      </c>
      <c r="M51" s="23">
        <f t="shared" si="2"/>
        <v>47.702214832807634</v>
      </c>
      <c r="N51" s="104">
        <f t="shared" si="3"/>
        <v>-10.777777777777779</v>
      </c>
      <c r="O51" t="str">
        <f t="shared" si="4"/>
        <v>Expired</v>
      </c>
    </row>
    <row r="52" spans="1:15" x14ac:dyDescent="0.35">
      <c r="A52" s="14" t="s">
        <v>248</v>
      </c>
      <c r="B52" s="1">
        <v>1814.4</v>
      </c>
      <c r="C52" s="57">
        <v>89</v>
      </c>
      <c r="D52" s="1">
        <v>5.6000000000000005</v>
      </c>
      <c r="E52" s="96">
        <v>-24.5</v>
      </c>
      <c r="G52" t="s">
        <v>298</v>
      </c>
      <c r="H52" s="23">
        <v>765.72</v>
      </c>
      <c r="I52" s="23">
        <v>50.666666666666664</v>
      </c>
      <c r="J52" s="23">
        <v>1.9666666666666668</v>
      </c>
      <c r="K52" s="23">
        <f t="shared" si="5"/>
        <v>99.644444444444446</v>
      </c>
      <c r="L52" s="23">
        <f t="shared" si="6"/>
        <v>7.6845227475468336</v>
      </c>
      <c r="M52" s="23">
        <f t="shared" si="2"/>
        <v>47.498070080737371</v>
      </c>
      <c r="N52" s="104">
        <f t="shared" si="3"/>
        <v>-76.166666666666671</v>
      </c>
      <c r="O52" t="str">
        <f t="shared" si="4"/>
        <v>Expired</v>
      </c>
    </row>
    <row r="53" spans="1:15" x14ac:dyDescent="0.35">
      <c r="A53" s="14" t="s">
        <v>42</v>
      </c>
      <c r="B53" s="1">
        <v>1590.4</v>
      </c>
      <c r="C53" s="57">
        <v>44.75</v>
      </c>
      <c r="D53" s="1">
        <v>5.6000000000000005</v>
      </c>
      <c r="E53" s="96">
        <v>-77</v>
      </c>
      <c r="G53" t="s">
        <v>111</v>
      </c>
      <c r="H53" s="23">
        <v>2493.6000000000004</v>
      </c>
      <c r="I53" s="23">
        <v>67.111111111111114</v>
      </c>
      <c r="J53" s="23">
        <v>4.8266666666666662</v>
      </c>
      <c r="K53" s="23">
        <f t="shared" si="5"/>
        <v>323.92296296296297</v>
      </c>
      <c r="L53" s="23">
        <f t="shared" si="6"/>
        <v>7.6981266693498238</v>
      </c>
      <c r="M53" s="23">
        <f t="shared" si="2"/>
        <v>47.414132772490163</v>
      </c>
      <c r="N53" s="104">
        <f t="shared" si="3"/>
        <v>-78.888888888888886</v>
      </c>
      <c r="O53" t="str">
        <f t="shared" si="4"/>
        <v>Expired</v>
      </c>
    </row>
    <row r="54" spans="1:15" x14ac:dyDescent="0.35">
      <c r="A54" s="14" t="s">
        <v>691</v>
      </c>
      <c r="B54" s="1">
        <v>2301.6</v>
      </c>
      <c r="C54" s="57">
        <v>70.285714285714292</v>
      </c>
      <c r="D54" s="1">
        <v>5.6000000000000005</v>
      </c>
      <c r="E54" s="96">
        <v>-27.142857142857142</v>
      </c>
      <c r="G54" t="s">
        <v>1445</v>
      </c>
      <c r="H54" s="23">
        <v>3312</v>
      </c>
      <c r="I54" s="23">
        <v>53.5</v>
      </c>
      <c r="J54" s="23">
        <v>8</v>
      </c>
      <c r="K54" s="23">
        <f t="shared" si="5"/>
        <v>428</v>
      </c>
      <c r="L54" s="23">
        <f t="shared" si="6"/>
        <v>7.7383177570093462</v>
      </c>
      <c r="M54" s="23">
        <f t="shared" si="2"/>
        <v>47.167874396135261</v>
      </c>
      <c r="N54" s="104">
        <f t="shared" si="3"/>
        <v>-121</v>
      </c>
      <c r="O54" t="str">
        <f t="shared" si="4"/>
        <v>Expired</v>
      </c>
    </row>
    <row r="55" spans="1:15" x14ac:dyDescent="0.35">
      <c r="A55" s="14" t="s">
        <v>392</v>
      </c>
      <c r="B55" s="1">
        <v>3330.8</v>
      </c>
      <c r="C55" s="57">
        <v>58.571428571428569</v>
      </c>
      <c r="D55" s="1">
        <v>4.3999999999999995</v>
      </c>
      <c r="E55" s="96">
        <v>-19.428571428571427</v>
      </c>
      <c r="G55" t="s">
        <v>686</v>
      </c>
      <c r="H55" s="23">
        <v>850</v>
      </c>
      <c r="I55" s="23">
        <v>54.2</v>
      </c>
      <c r="J55" s="23">
        <v>2</v>
      </c>
      <c r="K55" s="23">
        <f t="shared" si="5"/>
        <v>108.4</v>
      </c>
      <c r="L55" s="23">
        <f t="shared" si="6"/>
        <v>7.8413284132841321</v>
      </c>
      <c r="M55" s="23">
        <f t="shared" si="2"/>
        <v>46.548235294117653</v>
      </c>
      <c r="N55" s="104">
        <f t="shared" si="3"/>
        <v>-73</v>
      </c>
      <c r="O55" t="str">
        <f t="shared" si="4"/>
        <v>Expired</v>
      </c>
    </row>
    <row r="56" spans="1:15" x14ac:dyDescent="0.35">
      <c r="A56" s="14" t="s">
        <v>465</v>
      </c>
      <c r="B56" s="1">
        <v>5996.3840000000009</v>
      </c>
      <c r="C56" s="57">
        <v>56.857142857142854</v>
      </c>
      <c r="D56" s="1">
        <v>12.428571428571431</v>
      </c>
      <c r="E56" s="96">
        <v>-44.285714285714285</v>
      </c>
      <c r="G56" t="s">
        <v>31</v>
      </c>
      <c r="H56" s="23">
        <v>4947.7600000000011</v>
      </c>
      <c r="I56" s="23">
        <v>65.888888888888886</v>
      </c>
      <c r="J56" s="23">
        <v>9.5733333333333324</v>
      </c>
      <c r="K56" s="23">
        <f t="shared" si="5"/>
        <v>630.77629629629621</v>
      </c>
      <c r="L56" s="23">
        <f t="shared" si="6"/>
        <v>7.8439218928351693</v>
      </c>
      <c r="M56" s="23">
        <f t="shared" si="2"/>
        <v>46.532844792016597</v>
      </c>
      <c r="N56" s="104">
        <f t="shared" si="3"/>
        <v>-119.55555555555556</v>
      </c>
      <c r="O56" t="str">
        <f t="shared" si="4"/>
        <v>Expired</v>
      </c>
    </row>
    <row r="57" spans="1:15" x14ac:dyDescent="0.35">
      <c r="A57" s="14" t="s">
        <v>789</v>
      </c>
      <c r="B57" s="1">
        <v>681.52</v>
      </c>
      <c r="C57" s="57">
        <v>51.875</v>
      </c>
      <c r="D57" s="1">
        <v>1.63</v>
      </c>
      <c r="E57" s="96">
        <v>-124.875</v>
      </c>
      <c r="G57" t="s">
        <v>1369</v>
      </c>
      <c r="H57" s="23">
        <v>1572.3999999999999</v>
      </c>
      <c r="I57" s="23">
        <v>60.666666666666664</v>
      </c>
      <c r="J57" s="23">
        <v>3.2444444444444445</v>
      </c>
      <c r="K57" s="23">
        <f t="shared" si="5"/>
        <v>196.82962962962964</v>
      </c>
      <c r="L57" s="23">
        <f t="shared" si="6"/>
        <v>7.988634653018214</v>
      </c>
      <c r="M57" s="23">
        <f t="shared" si="2"/>
        <v>45.689910210388462</v>
      </c>
      <c r="N57" s="104">
        <f t="shared" si="3"/>
        <v>-68.888888888888886</v>
      </c>
      <c r="O57" t="str">
        <f t="shared" si="4"/>
        <v>Expired</v>
      </c>
    </row>
    <row r="58" spans="1:15" x14ac:dyDescent="0.35">
      <c r="A58" s="14" t="s">
        <v>156</v>
      </c>
      <c r="B58" s="1">
        <v>4716.8000000000011</v>
      </c>
      <c r="C58" s="57">
        <v>50.875</v>
      </c>
      <c r="D58" s="1">
        <v>9.7000000000000011</v>
      </c>
      <c r="E58" s="96">
        <v>-115.25</v>
      </c>
      <c r="G58" t="s">
        <v>116</v>
      </c>
      <c r="H58" s="23">
        <v>1089.6000000000001</v>
      </c>
      <c r="I58" s="23">
        <v>56.7</v>
      </c>
      <c r="J58" s="23">
        <v>2.4</v>
      </c>
      <c r="K58" s="23">
        <f t="shared" si="5"/>
        <v>136.08000000000001</v>
      </c>
      <c r="L58" s="23">
        <f t="shared" si="6"/>
        <v>8.0070546737213402</v>
      </c>
      <c r="M58" s="23">
        <f t="shared" si="2"/>
        <v>45.584801762114537</v>
      </c>
      <c r="N58" s="104">
        <f t="shared" si="3"/>
        <v>-15.7</v>
      </c>
      <c r="O58" t="str">
        <f t="shared" si="4"/>
        <v>Expired</v>
      </c>
    </row>
    <row r="59" spans="1:15" x14ac:dyDescent="0.35">
      <c r="A59" s="14" t="s">
        <v>1081</v>
      </c>
      <c r="B59" s="1">
        <v>4475.28</v>
      </c>
      <c r="C59" s="57">
        <v>48.4</v>
      </c>
      <c r="D59" s="1">
        <v>6.4079999999999995</v>
      </c>
      <c r="E59" s="96">
        <v>-132.19999999999999</v>
      </c>
      <c r="G59" t="s">
        <v>303</v>
      </c>
      <c r="H59" s="23">
        <v>2040.0000000000005</v>
      </c>
      <c r="I59" s="23">
        <v>53</v>
      </c>
      <c r="J59" s="23">
        <v>4.8000000000000016</v>
      </c>
      <c r="K59" s="23">
        <f t="shared" si="5"/>
        <v>254.40000000000009</v>
      </c>
      <c r="L59" s="23">
        <f t="shared" si="6"/>
        <v>8.0188679245283012</v>
      </c>
      <c r="M59" s="23">
        <f t="shared" si="2"/>
        <v>45.517647058823535</v>
      </c>
      <c r="N59" s="104">
        <f t="shared" si="3"/>
        <v>-109.85714285714286</v>
      </c>
      <c r="O59" t="str">
        <f t="shared" si="4"/>
        <v>Expired</v>
      </c>
    </row>
    <row r="60" spans="1:15" x14ac:dyDescent="0.35">
      <c r="A60" s="14" t="s">
        <v>674</v>
      </c>
      <c r="B60" s="1">
        <v>6422.4</v>
      </c>
      <c r="C60" s="57">
        <v>57.071428571428569</v>
      </c>
      <c r="D60" s="1">
        <v>7.200000000000002</v>
      </c>
      <c r="E60" s="96">
        <v>-95.714285714285708</v>
      </c>
      <c r="G60" t="s">
        <v>789</v>
      </c>
      <c r="H60" s="23">
        <v>681.52</v>
      </c>
      <c r="I60" s="23">
        <v>51.875</v>
      </c>
      <c r="J60" s="23">
        <v>1.63</v>
      </c>
      <c r="K60" s="23">
        <f t="shared" si="5"/>
        <v>84.556249999999991</v>
      </c>
      <c r="L60" s="23">
        <f t="shared" si="6"/>
        <v>8.0599600857417411</v>
      </c>
      <c r="M60" s="23">
        <f t="shared" si="2"/>
        <v>45.285584062096483</v>
      </c>
      <c r="N60" s="104">
        <f t="shared" si="3"/>
        <v>-124.875</v>
      </c>
      <c r="O60" t="str">
        <f t="shared" si="4"/>
        <v>Expired</v>
      </c>
    </row>
    <row r="61" spans="1:15" x14ac:dyDescent="0.35">
      <c r="A61" s="14" t="s">
        <v>976</v>
      </c>
      <c r="B61" s="1">
        <v>8560</v>
      </c>
      <c r="C61" s="57">
        <v>49</v>
      </c>
      <c r="D61" s="1">
        <v>16</v>
      </c>
      <c r="E61" s="96">
        <v>-30.5</v>
      </c>
      <c r="G61" t="s">
        <v>188</v>
      </c>
      <c r="H61" s="23">
        <v>202.72</v>
      </c>
      <c r="I61" s="23">
        <v>32</v>
      </c>
      <c r="J61" s="23">
        <v>0.78400000000000003</v>
      </c>
      <c r="K61" s="23">
        <f t="shared" si="5"/>
        <v>25.088000000000001</v>
      </c>
      <c r="L61" s="23">
        <f t="shared" si="6"/>
        <v>8.0803571428571423</v>
      </c>
      <c r="M61" s="23">
        <f t="shared" si="2"/>
        <v>45.171270718232044</v>
      </c>
      <c r="N61" s="104">
        <f t="shared" si="3"/>
        <v>-96.2</v>
      </c>
      <c r="O61" t="str">
        <f t="shared" si="4"/>
        <v>Expired</v>
      </c>
    </row>
    <row r="62" spans="1:15" x14ac:dyDescent="0.35">
      <c r="A62" s="14" t="s">
        <v>1369</v>
      </c>
      <c r="B62" s="1">
        <v>1572.3999999999999</v>
      </c>
      <c r="C62" s="57">
        <v>60.666666666666664</v>
      </c>
      <c r="D62" s="1">
        <v>3.2444444444444445</v>
      </c>
      <c r="E62" s="96">
        <v>-68.888888888888886</v>
      </c>
      <c r="G62" t="s">
        <v>717</v>
      </c>
      <c r="H62" s="23">
        <v>1135.4000000000001</v>
      </c>
      <c r="I62" s="23">
        <v>39</v>
      </c>
      <c r="J62" s="23">
        <v>3.5800000000000005</v>
      </c>
      <c r="K62" s="23">
        <f t="shared" si="5"/>
        <v>139.62000000000003</v>
      </c>
      <c r="L62" s="23">
        <f t="shared" si="6"/>
        <v>8.1320727689442762</v>
      </c>
      <c r="M62" s="23">
        <f t="shared" si="2"/>
        <v>44.884005636779996</v>
      </c>
      <c r="N62" s="104">
        <f t="shared" si="3"/>
        <v>-97.666666666666671</v>
      </c>
      <c r="O62" t="str">
        <f t="shared" si="4"/>
        <v>Expired</v>
      </c>
    </row>
    <row r="63" spans="1:15" x14ac:dyDescent="0.35">
      <c r="A63" s="14" t="s">
        <v>587</v>
      </c>
      <c r="B63" s="1">
        <v>8090.4</v>
      </c>
      <c r="C63" s="57">
        <v>48.666666666666664</v>
      </c>
      <c r="D63" s="1">
        <v>24.2</v>
      </c>
      <c r="E63" s="96">
        <v>-47</v>
      </c>
      <c r="G63" t="s">
        <v>947</v>
      </c>
      <c r="H63" s="23">
        <v>304.32</v>
      </c>
      <c r="I63" s="23">
        <v>38.799999999999997</v>
      </c>
      <c r="J63" s="23">
        <v>0.96</v>
      </c>
      <c r="K63" s="23">
        <f t="shared" si="5"/>
        <v>37.247999999999998</v>
      </c>
      <c r="L63" s="23">
        <f t="shared" si="6"/>
        <v>8.1701030927835063</v>
      </c>
      <c r="M63" s="23">
        <f t="shared" si="2"/>
        <v>44.675078864353303</v>
      </c>
      <c r="N63" s="104">
        <f t="shared" si="3"/>
        <v>-57.4</v>
      </c>
      <c r="O63" t="str">
        <f t="shared" si="4"/>
        <v>Expired</v>
      </c>
    </row>
    <row r="64" spans="1:15" x14ac:dyDescent="0.35">
      <c r="A64" s="14" t="s">
        <v>146</v>
      </c>
      <c r="B64" s="1">
        <v>3017.2000000000007</v>
      </c>
      <c r="C64" s="57">
        <v>47.692307692307693</v>
      </c>
      <c r="D64" s="1">
        <v>3.7999999999999994</v>
      </c>
      <c r="E64" s="96">
        <v>-82.692307692307693</v>
      </c>
      <c r="G64" t="s">
        <v>397</v>
      </c>
      <c r="H64" s="23">
        <v>944</v>
      </c>
      <c r="I64" s="23">
        <v>56.833333333333336</v>
      </c>
      <c r="J64" s="23">
        <v>2</v>
      </c>
      <c r="K64" s="23">
        <f t="shared" si="5"/>
        <v>113.66666666666667</v>
      </c>
      <c r="L64" s="23">
        <f t="shared" si="6"/>
        <v>8.3049853372434015</v>
      </c>
      <c r="M64" s="23">
        <f t="shared" si="2"/>
        <v>43.949505649717516</v>
      </c>
      <c r="N64" s="104">
        <f t="shared" si="3"/>
        <v>-151.83333333333334</v>
      </c>
      <c r="O64" t="str">
        <f t="shared" si="4"/>
        <v>Expired</v>
      </c>
    </row>
    <row r="65" spans="1:15" x14ac:dyDescent="0.35">
      <c r="A65" s="14" t="s">
        <v>142</v>
      </c>
      <c r="B65" s="1">
        <v>803.2</v>
      </c>
      <c r="C65" s="57">
        <v>64.8</v>
      </c>
      <c r="D65" s="1">
        <v>3.2</v>
      </c>
      <c r="E65" s="96">
        <v>-123.8</v>
      </c>
      <c r="G65" t="s">
        <v>490</v>
      </c>
      <c r="H65" s="23">
        <v>1796.56</v>
      </c>
      <c r="I65" s="23">
        <v>54.75</v>
      </c>
      <c r="J65" s="23">
        <v>3.95</v>
      </c>
      <c r="K65" s="23">
        <f t="shared" si="5"/>
        <v>216.26250000000002</v>
      </c>
      <c r="L65" s="23">
        <f t="shared" si="6"/>
        <v>8.3073117160857741</v>
      </c>
      <c r="M65" s="23">
        <f t="shared" si="2"/>
        <v>43.937198034020582</v>
      </c>
      <c r="N65" s="104">
        <f t="shared" si="3"/>
        <v>-89</v>
      </c>
      <c r="O65" t="str">
        <f t="shared" si="4"/>
        <v>Expired</v>
      </c>
    </row>
    <row r="66" spans="1:15" x14ac:dyDescent="0.35">
      <c r="A66" s="14" t="s">
        <v>665</v>
      </c>
      <c r="B66" s="1">
        <v>1443.2800000000002</v>
      </c>
      <c r="C66" s="57">
        <v>43</v>
      </c>
      <c r="D66" s="1">
        <v>4.7333333333333334</v>
      </c>
      <c r="E66" s="96">
        <v>-73.166666666666671</v>
      </c>
      <c r="G66" t="s">
        <v>220</v>
      </c>
      <c r="H66" s="23">
        <v>3347.2</v>
      </c>
      <c r="I66" s="23">
        <v>49.75</v>
      </c>
      <c r="J66" s="23">
        <v>8.08</v>
      </c>
      <c r="K66" s="23">
        <f t="shared" si="5"/>
        <v>401.98</v>
      </c>
      <c r="L66" s="23">
        <f t="shared" si="6"/>
        <v>8.3267824269864157</v>
      </c>
      <c r="M66" s="23">
        <f t="shared" si="2"/>
        <v>43.834458652007655</v>
      </c>
      <c r="N66" s="104">
        <f t="shared" si="3"/>
        <v>-110.25</v>
      </c>
      <c r="O66" t="str">
        <f t="shared" si="4"/>
        <v>Expired</v>
      </c>
    </row>
    <row r="67" spans="1:15" x14ac:dyDescent="0.35">
      <c r="A67" s="14" t="s">
        <v>47</v>
      </c>
      <c r="B67" s="1">
        <v>922.2</v>
      </c>
      <c r="C67" s="57">
        <v>66.888888888888886</v>
      </c>
      <c r="D67" s="1">
        <v>1.9644444444444444</v>
      </c>
      <c r="E67" s="96">
        <v>-108.11111111111111</v>
      </c>
      <c r="G67" t="s">
        <v>137</v>
      </c>
      <c r="H67" s="23">
        <v>2170.96</v>
      </c>
      <c r="I67" s="23">
        <v>65.909090909090907</v>
      </c>
      <c r="J67" s="23">
        <v>3.9345454545454555</v>
      </c>
      <c r="K67" s="23">
        <f t="shared" si="5"/>
        <v>259.32231404958685</v>
      </c>
      <c r="L67" s="23">
        <f t="shared" si="6"/>
        <v>8.371666772898207</v>
      </c>
      <c r="M67" s="23">
        <f t="shared" si="2"/>
        <v>43.599442010953311</v>
      </c>
      <c r="N67" s="104">
        <f t="shared" si="3"/>
        <v>7.6363636363636367</v>
      </c>
      <c r="O67" t="str">
        <f t="shared" si="4"/>
        <v>High Expired Risk</v>
      </c>
    </row>
    <row r="68" spans="1:15" x14ac:dyDescent="0.35">
      <c r="A68" s="14" t="s">
        <v>243</v>
      </c>
      <c r="B68" s="1">
        <v>265.60000000000002</v>
      </c>
      <c r="C68" s="57">
        <v>67</v>
      </c>
      <c r="D68" s="1">
        <v>1.6</v>
      </c>
      <c r="E68" s="96">
        <v>-187.5</v>
      </c>
      <c r="G68" t="s">
        <v>1109</v>
      </c>
      <c r="H68" s="23">
        <v>954</v>
      </c>
      <c r="I68" s="23">
        <v>56.3</v>
      </c>
      <c r="J68" s="23">
        <v>2</v>
      </c>
      <c r="K68" s="23">
        <f t="shared" si="5"/>
        <v>112.6</v>
      </c>
      <c r="L68" s="23">
        <f t="shared" si="6"/>
        <v>8.4724689165186504</v>
      </c>
      <c r="M68" s="23">
        <f t="shared" si="2"/>
        <v>43.080712788259959</v>
      </c>
      <c r="N68" s="104">
        <f t="shared" si="3"/>
        <v>-69.900000000000006</v>
      </c>
      <c r="O68" t="str">
        <f t="shared" si="4"/>
        <v>Expired</v>
      </c>
    </row>
    <row r="69" spans="1:15" x14ac:dyDescent="0.35">
      <c r="A69" s="14" t="s">
        <v>193</v>
      </c>
      <c r="B69" s="1">
        <v>706.96</v>
      </c>
      <c r="C69" s="57">
        <v>44</v>
      </c>
      <c r="D69" s="1">
        <v>1.577142857142857</v>
      </c>
      <c r="E69" s="96">
        <v>-188.42857142857142</v>
      </c>
      <c r="G69" t="s">
        <v>465</v>
      </c>
      <c r="H69" s="23">
        <v>5996.3840000000009</v>
      </c>
      <c r="I69" s="23">
        <v>56.857142857142854</v>
      </c>
      <c r="J69" s="23">
        <v>12.428571428571431</v>
      </c>
      <c r="K69" s="23">
        <f t="shared" si="5"/>
        <v>706.65306122448987</v>
      </c>
      <c r="L69" s="23">
        <f t="shared" si="6"/>
        <v>8.4856124299659221</v>
      </c>
      <c r="M69" s="23">
        <f t="shared" si="2"/>
        <v>43.013984319039402</v>
      </c>
      <c r="N69" s="104">
        <f t="shared" si="3"/>
        <v>-44.285714285714285</v>
      </c>
      <c r="O69" t="str">
        <f t="shared" si="4"/>
        <v>Expired</v>
      </c>
    </row>
    <row r="70" spans="1:15" x14ac:dyDescent="0.35">
      <c r="A70" s="14" t="s">
        <v>531</v>
      </c>
      <c r="B70" s="1">
        <v>649.20000000000016</v>
      </c>
      <c r="C70" s="57">
        <v>50.555555555555557</v>
      </c>
      <c r="D70" s="1">
        <v>1.2044444444444444</v>
      </c>
      <c r="E70" s="96">
        <v>-66.222222222222229</v>
      </c>
      <c r="G70" t="s">
        <v>1516</v>
      </c>
      <c r="H70" s="23">
        <v>2292.4</v>
      </c>
      <c r="I70" s="23">
        <v>47.142857142857146</v>
      </c>
      <c r="J70" s="23">
        <v>5.6571428571428575</v>
      </c>
      <c r="K70" s="23">
        <f t="shared" ref="K70:K101" si="7">I70*J70</f>
        <v>266.69387755102042</v>
      </c>
      <c r="L70" s="23">
        <f t="shared" ref="L70:L101" si="8">H70/K70</f>
        <v>8.5956228956228955</v>
      </c>
      <c r="M70" s="23">
        <f t="shared" si="2"/>
        <v>42.463472913157588</v>
      </c>
      <c r="N70" s="104">
        <f t="shared" si="3"/>
        <v>-25.428571428571427</v>
      </c>
      <c r="O70" t="str">
        <f t="shared" si="4"/>
        <v>Expired</v>
      </c>
    </row>
    <row r="71" spans="1:15" x14ac:dyDescent="0.35">
      <c r="A71" s="14" t="s">
        <v>1624</v>
      </c>
      <c r="B71" s="1">
        <v>2412</v>
      </c>
      <c r="C71" s="57">
        <v>69.142857142857139</v>
      </c>
      <c r="D71" s="1">
        <v>6</v>
      </c>
      <c r="E71" s="96">
        <v>-48.428571428571431</v>
      </c>
      <c r="G71" t="s">
        <v>230</v>
      </c>
      <c r="H71" s="23">
        <v>671.04</v>
      </c>
      <c r="I71" s="23">
        <v>53.75</v>
      </c>
      <c r="J71" s="23">
        <v>1.44</v>
      </c>
      <c r="K71" s="23">
        <f t="shared" si="7"/>
        <v>77.399999999999991</v>
      </c>
      <c r="L71" s="23">
        <f t="shared" si="8"/>
        <v>8.6697674418604649</v>
      </c>
      <c r="M71" s="23">
        <f t="shared" ref="M71:M126" si="9">365/L71</f>
        <v>42.100321888412019</v>
      </c>
      <c r="N71" s="104">
        <f t="shared" ref="N71:N126" si="10">VLOOKUP(G71,$A$6:$E$126,5,0)</f>
        <v>32.75</v>
      </c>
      <c r="O71" t="str">
        <f t="shared" ref="O71:O126" si="11">IF(N71&lt;0,"Expired",IF(N71&gt;=0,IF(N71&lt;M71,"High Expired Risk","Safe")))</f>
        <v>High Expired Risk</v>
      </c>
    </row>
    <row r="72" spans="1:15" x14ac:dyDescent="0.35">
      <c r="A72" s="14" t="s">
        <v>137</v>
      </c>
      <c r="B72" s="1">
        <v>2170.96</v>
      </c>
      <c r="C72" s="57">
        <v>65.909090909090907</v>
      </c>
      <c r="D72" s="1">
        <v>3.9345454545454555</v>
      </c>
      <c r="E72" s="96">
        <v>7.6363636363636367</v>
      </c>
      <c r="G72" t="s">
        <v>416</v>
      </c>
      <c r="H72" s="23">
        <v>1003.2000000000002</v>
      </c>
      <c r="I72" s="23">
        <v>44.857142857142854</v>
      </c>
      <c r="J72" s="23">
        <v>2.5714285714285716</v>
      </c>
      <c r="K72" s="23">
        <f t="shared" si="7"/>
        <v>115.34693877551021</v>
      </c>
      <c r="L72" s="23">
        <f t="shared" si="8"/>
        <v>8.6972399150743112</v>
      </c>
      <c r="M72" s="23">
        <f t="shared" si="9"/>
        <v>41.967337174104088</v>
      </c>
      <c r="N72" s="104">
        <f t="shared" si="10"/>
        <v>-65.714285714285708</v>
      </c>
      <c r="O72" t="str">
        <f t="shared" si="11"/>
        <v>Expired</v>
      </c>
    </row>
    <row r="73" spans="1:15" x14ac:dyDescent="0.35">
      <c r="A73" s="14" t="s">
        <v>188</v>
      </c>
      <c r="B73" s="1">
        <v>202.72</v>
      </c>
      <c r="C73" s="57">
        <v>32</v>
      </c>
      <c r="D73" s="1">
        <v>0.78400000000000003</v>
      </c>
      <c r="E73" s="96">
        <v>-96.2</v>
      </c>
      <c r="G73" t="s">
        <v>80</v>
      </c>
      <c r="H73" s="23">
        <v>2824</v>
      </c>
      <c r="I73" s="23">
        <v>40</v>
      </c>
      <c r="J73" s="23">
        <v>8</v>
      </c>
      <c r="K73" s="23">
        <f t="shared" si="7"/>
        <v>320</v>
      </c>
      <c r="L73" s="23">
        <f t="shared" si="8"/>
        <v>8.8249999999999993</v>
      </c>
      <c r="M73" s="23">
        <f t="shared" si="9"/>
        <v>41.359773371104822</v>
      </c>
      <c r="N73" s="104">
        <f t="shared" si="10"/>
        <v>-76</v>
      </c>
      <c r="O73" t="str">
        <f t="shared" si="11"/>
        <v>Expired</v>
      </c>
    </row>
    <row r="74" spans="1:15" x14ac:dyDescent="0.35">
      <c r="A74" s="14" t="s">
        <v>1516</v>
      </c>
      <c r="B74" s="1">
        <v>2292.4</v>
      </c>
      <c r="C74" s="57">
        <v>47.142857142857146</v>
      </c>
      <c r="D74" s="1">
        <v>5.6571428571428575</v>
      </c>
      <c r="E74" s="96">
        <v>-25.428571428571427</v>
      </c>
      <c r="G74" t="s">
        <v>544</v>
      </c>
      <c r="H74" s="23">
        <v>1133.1200000000003</v>
      </c>
      <c r="I74" s="23">
        <v>53.875</v>
      </c>
      <c r="J74" s="23">
        <v>2.36</v>
      </c>
      <c r="K74" s="23">
        <f t="shared" si="7"/>
        <v>127.145</v>
      </c>
      <c r="L74" s="23">
        <f t="shared" si="8"/>
        <v>8.9120295725352978</v>
      </c>
      <c r="M74" s="23">
        <f t="shared" si="9"/>
        <v>40.955878459474711</v>
      </c>
      <c r="N74" s="104">
        <f t="shared" si="10"/>
        <v>-52.375</v>
      </c>
      <c r="O74" t="str">
        <f t="shared" si="11"/>
        <v>Expired</v>
      </c>
    </row>
    <row r="75" spans="1:15" x14ac:dyDescent="0.35">
      <c r="A75" s="14" t="s">
        <v>836</v>
      </c>
      <c r="B75" s="1">
        <v>1072.0000000000002</v>
      </c>
      <c r="C75" s="57">
        <v>64.625</v>
      </c>
      <c r="D75" s="1">
        <v>2.6900000000000004</v>
      </c>
      <c r="E75" s="96">
        <v>-8.25</v>
      </c>
      <c r="G75" t="s">
        <v>59</v>
      </c>
      <c r="H75" s="23">
        <v>5344</v>
      </c>
      <c r="I75" s="23">
        <v>74.181818181818187</v>
      </c>
      <c r="J75" s="23">
        <v>8</v>
      </c>
      <c r="K75" s="23">
        <f t="shared" si="7"/>
        <v>593.4545454545455</v>
      </c>
      <c r="L75" s="23">
        <f t="shared" si="8"/>
        <v>9.0049019607843128</v>
      </c>
      <c r="M75" s="23">
        <f t="shared" si="9"/>
        <v>40.533478497550355</v>
      </c>
      <c r="N75" s="104">
        <f t="shared" si="10"/>
        <v>24.727272727272727</v>
      </c>
      <c r="O75" t="str">
        <f t="shared" si="11"/>
        <v>High Expired Risk</v>
      </c>
    </row>
    <row r="76" spans="1:15" x14ac:dyDescent="0.35">
      <c r="A76" s="14" t="s">
        <v>495</v>
      </c>
      <c r="B76" s="1">
        <v>2850.24</v>
      </c>
      <c r="C76" s="57">
        <v>55.125</v>
      </c>
      <c r="D76" s="1">
        <v>4.9250000000000007</v>
      </c>
      <c r="E76" s="96">
        <v>-41.375</v>
      </c>
      <c r="G76" t="s">
        <v>24</v>
      </c>
      <c r="H76" s="23">
        <v>695.99999999999989</v>
      </c>
      <c r="I76" s="23">
        <v>47.857142857142854</v>
      </c>
      <c r="J76" s="23">
        <v>1.5999999999999999</v>
      </c>
      <c r="K76" s="23">
        <f t="shared" si="7"/>
        <v>76.571428571428555</v>
      </c>
      <c r="L76" s="23">
        <f t="shared" si="8"/>
        <v>9.08955223880597</v>
      </c>
      <c r="M76" s="23">
        <f t="shared" si="9"/>
        <v>40.155993431855499</v>
      </c>
      <c r="N76" s="104">
        <f t="shared" si="10"/>
        <v>-125.14285714285714</v>
      </c>
      <c r="O76" t="str">
        <f t="shared" si="11"/>
        <v>Expired</v>
      </c>
    </row>
    <row r="77" spans="1:15" x14ac:dyDescent="0.35">
      <c r="A77" s="14" t="s">
        <v>736</v>
      </c>
      <c r="B77" s="1">
        <v>1208</v>
      </c>
      <c r="C77" s="57">
        <v>49</v>
      </c>
      <c r="D77" s="1">
        <v>4</v>
      </c>
      <c r="E77" s="96">
        <v>-3.1666666666666665</v>
      </c>
      <c r="G77" t="s">
        <v>707</v>
      </c>
      <c r="H77" s="23">
        <v>1089.28</v>
      </c>
      <c r="I77" s="23">
        <v>63.888888888888886</v>
      </c>
      <c r="J77" s="23">
        <v>1.8399999999999999</v>
      </c>
      <c r="K77" s="23">
        <f t="shared" si="7"/>
        <v>117.55555555555554</v>
      </c>
      <c r="L77" s="23">
        <f t="shared" si="8"/>
        <v>9.2660869565217396</v>
      </c>
      <c r="M77" s="23">
        <f t="shared" si="9"/>
        <v>39.390953453453449</v>
      </c>
      <c r="N77" s="104">
        <f t="shared" si="10"/>
        <v>-20.666666666666668</v>
      </c>
      <c r="O77" t="str">
        <f t="shared" si="11"/>
        <v>Expired</v>
      </c>
    </row>
    <row r="78" spans="1:15" x14ac:dyDescent="0.35">
      <c r="A78" s="14" t="s">
        <v>263</v>
      </c>
      <c r="B78" s="1">
        <v>1848</v>
      </c>
      <c r="C78" s="57">
        <v>57.666666666666664</v>
      </c>
      <c r="D78" s="1">
        <v>4.8000000000000007</v>
      </c>
      <c r="E78" s="96">
        <v>-8.6666666666666661</v>
      </c>
      <c r="G78" t="s">
        <v>554</v>
      </c>
      <c r="H78" s="23">
        <v>932</v>
      </c>
      <c r="I78" s="23">
        <v>48.888888888888886</v>
      </c>
      <c r="J78" s="23">
        <v>2</v>
      </c>
      <c r="K78" s="23">
        <f t="shared" si="7"/>
        <v>97.777777777777771</v>
      </c>
      <c r="L78" s="23">
        <f t="shared" si="8"/>
        <v>9.5318181818181831</v>
      </c>
      <c r="M78" s="23">
        <f t="shared" si="9"/>
        <v>38.292799237005241</v>
      </c>
      <c r="N78" s="104">
        <f t="shared" si="10"/>
        <v>-33.555555555555557</v>
      </c>
      <c r="O78" t="str">
        <f t="shared" si="11"/>
        <v>Expired</v>
      </c>
    </row>
    <row r="79" spans="1:15" x14ac:dyDescent="0.35">
      <c r="A79" s="14" t="s">
        <v>293</v>
      </c>
      <c r="B79" s="1">
        <v>955.20000000000016</v>
      </c>
      <c r="C79" s="57">
        <v>45.25</v>
      </c>
      <c r="D79" s="1">
        <v>1.5999999999999999</v>
      </c>
      <c r="E79" s="96">
        <v>-59.833333333333336</v>
      </c>
      <c r="G79" t="s">
        <v>156</v>
      </c>
      <c r="H79" s="23">
        <v>4716.8000000000011</v>
      </c>
      <c r="I79" s="23">
        <v>50.875</v>
      </c>
      <c r="J79" s="23">
        <v>9.7000000000000011</v>
      </c>
      <c r="K79" s="23">
        <f t="shared" si="7"/>
        <v>493.48750000000007</v>
      </c>
      <c r="L79" s="23">
        <f t="shared" si="8"/>
        <v>9.5580941766508793</v>
      </c>
      <c r="M79" s="23">
        <f t="shared" si="9"/>
        <v>38.187529151119399</v>
      </c>
      <c r="N79" s="104">
        <f t="shared" si="10"/>
        <v>-115.25</v>
      </c>
      <c r="O79" t="str">
        <f t="shared" si="11"/>
        <v>Expired</v>
      </c>
    </row>
    <row r="80" spans="1:15" x14ac:dyDescent="0.35">
      <c r="A80" s="14" t="s">
        <v>85</v>
      </c>
      <c r="B80" s="1">
        <v>1753.2800000000002</v>
      </c>
      <c r="C80" s="57">
        <v>66.818181818181813</v>
      </c>
      <c r="D80" s="1">
        <v>2.378181818181818</v>
      </c>
      <c r="E80" s="96">
        <v>-80.727272727272734</v>
      </c>
      <c r="G80" t="s">
        <v>632</v>
      </c>
      <c r="H80" s="23">
        <v>3142.4000000000005</v>
      </c>
      <c r="I80" s="23">
        <v>51.285714285714285</v>
      </c>
      <c r="J80" s="23">
        <v>6.3999999999999995</v>
      </c>
      <c r="K80" s="23">
        <f t="shared" si="7"/>
        <v>328.2285714285714</v>
      </c>
      <c r="L80" s="23">
        <f t="shared" si="8"/>
        <v>9.5738161559888599</v>
      </c>
      <c r="M80" s="23">
        <f t="shared" si="9"/>
        <v>38.124818155368047</v>
      </c>
      <c r="N80" s="104">
        <f t="shared" si="10"/>
        <v>-99.571428571428569</v>
      </c>
      <c r="O80" t="str">
        <f t="shared" si="11"/>
        <v>Expired</v>
      </c>
    </row>
    <row r="81" spans="1:15" x14ac:dyDescent="0.35">
      <c r="A81" s="14" t="s">
        <v>230</v>
      </c>
      <c r="B81" s="1">
        <v>671.04</v>
      </c>
      <c r="C81" s="57">
        <v>53.75</v>
      </c>
      <c r="D81" s="1">
        <v>1.44</v>
      </c>
      <c r="E81" s="96">
        <v>32.75</v>
      </c>
      <c r="G81" t="s">
        <v>225</v>
      </c>
      <c r="H81" s="23">
        <v>2392</v>
      </c>
      <c r="I81" s="23">
        <v>62.444444444444443</v>
      </c>
      <c r="J81" s="23">
        <v>4</v>
      </c>
      <c r="K81" s="23">
        <f t="shared" si="7"/>
        <v>249.77777777777777</v>
      </c>
      <c r="L81" s="23">
        <f t="shared" si="8"/>
        <v>9.5765124555160153</v>
      </c>
      <c r="M81" s="23">
        <f t="shared" si="9"/>
        <v>38.114083983649195</v>
      </c>
      <c r="N81" s="104">
        <f t="shared" si="10"/>
        <v>-55.555555555555557</v>
      </c>
      <c r="O81" t="str">
        <f t="shared" si="11"/>
        <v>Expired</v>
      </c>
    </row>
    <row r="82" spans="1:15" x14ac:dyDescent="0.35">
      <c r="A82" s="14" t="s">
        <v>1278</v>
      </c>
      <c r="B82" s="1">
        <v>1352.8</v>
      </c>
      <c r="C82" s="57">
        <v>53.625</v>
      </c>
      <c r="D82" s="1">
        <v>3.5700000000000007</v>
      </c>
      <c r="E82" s="96">
        <v>-43.75</v>
      </c>
      <c r="G82" t="s">
        <v>1179</v>
      </c>
      <c r="H82" s="23">
        <v>1252</v>
      </c>
      <c r="I82" s="23">
        <v>65.111111111111114</v>
      </c>
      <c r="J82" s="23">
        <v>2</v>
      </c>
      <c r="K82" s="23">
        <f t="shared" si="7"/>
        <v>130.22222222222223</v>
      </c>
      <c r="L82" s="23">
        <f t="shared" si="8"/>
        <v>9.6143344709897605</v>
      </c>
      <c r="M82" s="23">
        <f t="shared" si="9"/>
        <v>37.964146254881079</v>
      </c>
      <c r="N82" s="104">
        <f t="shared" si="10"/>
        <v>-6.666666666666667</v>
      </c>
      <c r="O82" t="str">
        <f t="shared" si="11"/>
        <v>Expired</v>
      </c>
    </row>
    <row r="83" spans="1:15" x14ac:dyDescent="0.35">
      <c r="A83" s="14" t="s">
        <v>31</v>
      </c>
      <c r="B83" s="1">
        <v>4947.7600000000011</v>
      </c>
      <c r="C83" s="57">
        <v>65.888888888888886</v>
      </c>
      <c r="D83" s="1">
        <v>9.5733333333333324</v>
      </c>
      <c r="E83" s="96">
        <v>-119.55555555555556</v>
      </c>
      <c r="G83" t="s">
        <v>165</v>
      </c>
      <c r="H83" s="23">
        <v>3510.4000000000005</v>
      </c>
      <c r="I83" s="23">
        <v>65.599999999999994</v>
      </c>
      <c r="J83" s="23">
        <v>5.5600000000000005</v>
      </c>
      <c r="K83" s="23">
        <f t="shared" si="7"/>
        <v>364.73599999999999</v>
      </c>
      <c r="L83" s="23">
        <f t="shared" si="8"/>
        <v>9.6244955255307971</v>
      </c>
      <c r="M83" s="23">
        <f t="shared" si="9"/>
        <v>37.924065633546029</v>
      </c>
      <c r="N83" s="104">
        <f t="shared" si="10"/>
        <v>-169.1</v>
      </c>
      <c r="O83" t="str">
        <f t="shared" si="11"/>
        <v>Expired</v>
      </c>
    </row>
    <row r="84" spans="1:15" x14ac:dyDescent="0.35">
      <c r="A84" s="14" t="s">
        <v>470</v>
      </c>
      <c r="B84" s="1">
        <v>1932.7999999999997</v>
      </c>
      <c r="C84" s="57">
        <v>48.666666666666664</v>
      </c>
      <c r="D84" s="1">
        <v>3.1999999999999997</v>
      </c>
      <c r="E84" s="96">
        <v>-67</v>
      </c>
      <c r="G84" t="s">
        <v>627</v>
      </c>
      <c r="H84" s="23">
        <v>1042</v>
      </c>
      <c r="I84" s="23">
        <v>54.555555555555557</v>
      </c>
      <c r="J84" s="23">
        <v>1.9822222222222221</v>
      </c>
      <c r="K84" s="23">
        <f t="shared" si="7"/>
        <v>108.14123456790124</v>
      </c>
      <c r="L84" s="23">
        <f t="shared" si="8"/>
        <v>9.6355474779209622</v>
      </c>
      <c r="M84" s="23">
        <f t="shared" si="9"/>
        <v>37.880566811213008</v>
      </c>
      <c r="N84" s="104">
        <f t="shared" si="10"/>
        <v>-38</v>
      </c>
      <c r="O84" t="str">
        <f t="shared" si="11"/>
        <v>Expired</v>
      </c>
    </row>
    <row r="85" spans="1:15" x14ac:dyDescent="0.35">
      <c r="A85" s="14" t="s">
        <v>258</v>
      </c>
      <c r="B85" s="1">
        <v>1788.8000000000002</v>
      </c>
      <c r="C85" s="57">
        <v>45.888888888888886</v>
      </c>
      <c r="D85" s="1">
        <v>3.1999999999999997</v>
      </c>
      <c r="E85" s="96">
        <v>-76.555555555555557</v>
      </c>
      <c r="G85" t="s">
        <v>288</v>
      </c>
      <c r="H85" s="23">
        <v>5927.28</v>
      </c>
      <c r="I85" s="23">
        <v>64.625</v>
      </c>
      <c r="J85" s="23">
        <v>9.4600000000000009</v>
      </c>
      <c r="K85" s="23">
        <f t="shared" si="7"/>
        <v>611.35250000000008</v>
      </c>
      <c r="L85" s="23">
        <f t="shared" si="8"/>
        <v>9.6953557890087936</v>
      </c>
      <c r="M85" s="23">
        <f t="shared" si="9"/>
        <v>37.646890732342669</v>
      </c>
      <c r="N85" s="104">
        <f t="shared" si="10"/>
        <v>-45.375</v>
      </c>
      <c r="O85" t="str">
        <f t="shared" si="11"/>
        <v>Expired</v>
      </c>
    </row>
    <row r="86" spans="1:15" x14ac:dyDescent="0.35">
      <c r="A86" s="14" t="s">
        <v>101</v>
      </c>
      <c r="B86" s="1">
        <v>1630.72</v>
      </c>
      <c r="C86" s="57">
        <v>59.666666666666664</v>
      </c>
      <c r="D86" s="1">
        <v>3.591111111111112</v>
      </c>
      <c r="E86" s="96">
        <v>-52.555555555555557</v>
      </c>
      <c r="G86" t="s">
        <v>17</v>
      </c>
      <c r="H86" s="23">
        <v>2547.6800000000003</v>
      </c>
      <c r="I86" s="23">
        <v>72.25</v>
      </c>
      <c r="J86" s="23">
        <v>3.5966666666666676</v>
      </c>
      <c r="K86" s="23">
        <f t="shared" si="7"/>
        <v>259.85916666666674</v>
      </c>
      <c r="L86" s="23">
        <f t="shared" si="8"/>
        <v>9.8040797739801349</v>
      </c>
      <c r="M86" s="23">
        <f t="shared" si="9"/>
        <v>37.22939923119597</v>
      </c>
      <c r="N86" s="104">
        <f t="shared" si="10"/>
        <v>31.916666666666668</v>
      </c>
      <c r="O86" t="str">
        <f t="shared" si="11"/>
        <v>High Expired Risk</v>
      </c>
    </row>
    <row r="87" spans="1:15" x14ac:dyDescent="0.35">
      <c r="A87" s="14" t="s">
        <v>817</v>
      </c>
      <c r="B87" s="1">
        <v>986.40000000000009</v>
      </c>
      <c r="C87" s="57">
        <v>63.833333333333336</v>
      </c>
      <c r="D87" s="1">
        <v>2.4000000000000004</v>
      </c>
      <c r="E87" s="96">
        <v>-76.333333333333329</v>
      </c>
      <c r="G87" t="s">
        <v>333</v>
      </c>
      <c r="H87" s="23">
        <v>3843.2</v>
      </c>
      <c r="I87" s="23">
        <v>49</v>
      </c>
      <c r="J87" s="23">
        <v>7.95</v>
      </c>
      <c r="K87" s="23">
        <f t="shared" si="7"/>
        <v>389.55</v>
      </c>
      <c r="L87" s="23">
        <f t="shared" si="8"/>
        <v>9.8657425234244638</v>
      </c>
      <c r="M87" s="23">
        <f t="shared" si="9"/>
        <v>36.996708472106576</v>
      </c>
      <c r="N87" s="104">
        <f t="shared" si="10"/>
        <v>-75.125</v>
      </c>
      <c r="O87" t="str">
        <f t="shared" si="11"/>
        <v>Expired</v>
      </c>
    </row>
    <row r="88" spans="1:15" x14ac:dyDescent="0.35">
      <c r="A88" s="14" t="s">
        <v>276</v>
      </c>
      <c r="B88" s="1">
        <v>1687.08</v>
      </c>
      <c r="C88" s="57">
        <v>42</v>
      </c>
      <c r="D88" s="1">
        <v>2.7880000000000003</v>
      </c>
      <c r="E88" s="96">
        <v>-58.7</v>
      </c>
      <c r="G88" t="s">
        <v>1085</v>
      </c>
      <c r="H88" s="23">
        <v>4093.9199999999996</v>
      </c>
      <c r="I88" s="23">
        <v>63.6</v>
      </c>
      <c r="J88" s="23">
        <v>6.4079999999999995</v>
      </c>
      <c r="K88" s="23">
        <f t="shared" si="7"/>
        <v>407.54879999999997</v>
      </c>
      <c r="L88" s="23">
        <f t="shared" si="8"/>
        <v>10.045226485760724</v>
      </c>
      <c r="M88" s="23">
        <f t="shared" si="9"/>
        <v>36.335666549419628</v>
      </c>
      <c r="N88" s="104">
        <f t="shared" si="10"/>
        <v>-3</v>
      </c>
      <c r="O88" t="str">
        <f t="shared" si="11"/>
        <v>Expired</v>
      </c>
    </row>
    <row r="89" spans="1:15" x14ac:dyDescent="0.35">
      <c r="A89" s="14" t="s">
        <v>320</v>
      </c>
      <c r="B89" s="1">
        <v>1932.92</v>
      </c>
      <c r="C89" s="57">
        <v>41.1</v>
      </c>
      <c r="D89" s="1">
        <v>3.16</v>
      </c>
      <c r="E89" s="96">
        <v>-1.8</v>
      </c>
      <c r="G89" t="s">
        <v>198</v>
      </c>
      <c r="H89" s="23">
        <v>665.6</v>
      </c>
      <c r="I89" s="23">
        <v>41.142857142857146</v>
      </c>
      <c r="J89" s="23">
        <v>1.5999999999999999</v>
      </c>
      <c r="K89" s="23">
        <f t="shared" si="7"/>
        <v>65.828571428571422</v>
      </c>
      <c r="L89" s="23">
        <f t="shared" si="8"/>
        <v>10.111111111111112</v>
      </c>
      <c r="M89" s="23">
        <f t="shared" si="9"/>
        <v>36.098901098901095</v>
      </c>
      <c r="N89" s="104">
        <f t="shared" si="10"/>
        <v>19.571428571428573</v>
      </c>
      <c r="O89" t="str">
        <f t="shared" si="11"/>
        <v>High Expired Risk</v>
      </c>
    </row>
    <row r="90" spans="1:15" x14ac:dyDescent="0.35">
      <c r="A90" s="14" t="s">
        <v>342</v>
      </c>
      <c r="B90" s="1">
        <v>4665.6000000000004</v>
      </c>
      <c r="C90" s="57">
        <v>51.06666666666667</v>
      </c>
      <c r="D90" s="1">
        <v>4.7999999999999989</v>
      </c>
      <c r="E90" s="96">
        <v>-54.333333333333336</v>
      </c>
      <c r="G90" t="s">
        <v>1016</v>
      </c>
      <c r="H90" s="23">
        <v>934</v>
      </c>
      <c r="I90" s="23">
        <v>46</v>
      </c>
      <c r="J90" s="23">
        <v>2</v>
      </c>
      <c r="K90" s="23">
        <f t="shared" si="7"/>
        <v>92</v>
      </c>
      <c r="L90" s="23">
        <f t="shared" si="8"/>
        <v>10.152173913043478</v>
      </c>
      <c r="M90" s="23">
        <f t="shared" si="9"/>
        <v>35.952890792291221</v>
      </c>
      <c r="N90" s="104">
        <f t="shared" si="10"/>
        <v>21.888888888888889</v>
      </c>
      <c r="O90" t="str">
        <f t="shared" si="11"/>
        <v>High Expired Risk</v>
      </c>
    </row>
    <row r="91" spans="1:15" x14ac:dyDescent="0.35">
      <c r="A91" s="14" t="s">
        <v>947</v>
      </c>
      <c r="B91" s="1">
        <v>304.32</v>
      </c>
      <c r="C91" s="57">
        <v>38.799999999999997</v>
      </c>
      <c r="D91" s="1">
        <v>0.96</v>
      </c>
      <c r="E91" s="96">
        <v>-57.4</v>
      </c>
      <c r="G91" t="s">
        <v>193</v>
      </c>
      <c r="H91" s="23">
        <v>706.96</v>
      </c>
      <c r="I91" s="23">
        <v>44</v>
      </c>
      <c r="J91" s="23">
        <v>1.577142857142857</v>
      </c>
      <c r="K91" s="23">
        <f t="shared" si="7"/>
        <v>69.394285714285701</v>
      </c>
      <c r="L91" s="23">
        <f t="shared" si="8"/>
        <v>10.187582345191043</v>
      </c>
      <c r="M91" s="23">
        <f t="shared" si="9"/>
        <v>35.827931263033669</v>
      </c>
      <c r="N91" s="104">
        <f t="shared" si="10"/>
        <v>-188.42857142857142</v>
      </c>
      <c r="O91" t="str">
        <f t="shared" si="11"/>
        <v>Expired</v>
      </c>
    </row>
    <row r="92" spans="1:15" x14ac:dyDescent="0.35">
      <c r="A92" s="14" t="s">
        <v>627</v>
      </c>
      <c r="B92" s="1">
        <v>1042</v>
      </c>
      <c r="C92" s="57">
        <v>54.555555555555557</v>
      </c>
      <c r="D92" s="1">
        <v>1.9822222222222221</v>
      </c>
      <c r="E92" s="96">
        <v>-38</v>
      </c>
      <c r="G92" t="s">
        <v>325</v>
      </c>
      <c r="H92" s="23">
        <v>1695.1200000000001</v>
      </c>
      <c r="I92" s="23">
        <v>47</v>
      </c>
      <c r="J92" s="23">
        <v>3.5120000000000005</v>
      </c>
      <c r="K92" s="23">
        <f t="shared" si="7"/>
        <v>165.06400000000002</v>
      </c>
      <c r="L92" s="23">
        <f t="shared" si="8"/>
        <v>10.269471235399601</v>
      </c>
      <c r="M92" s="23">
        <f t="shared" si="9"/>
        <v>35.542238897541182</v>
      </c>
      <c r="N92" s="104">
        <f t="shared" si="10"/>
        <v>-118.4</v>
      </c>
      <c r="O92" t="str">
        <f t="shared" si="11"/>
        <v>Expired</v>
      </c>
    </row>
    <row r="93" spans="1:15" x14ac:dyDescent="0.35">
      <c r="A93" s="14" t="s">
        <v>2626</v>
      </c>
      <c r="B93" s="1">
        <v>336.00000000000006</v>
      </c>
      <c r="C93" s="57">
        <v>62.4</v>
      </c>
      <c r="D93" s="1">
        <v>1.2000000000000002</v>
      </c>
      <c r="E93" s="96">
        <v>-63</v>
      </c>
      <c r="G93" t="s">
        <v>495</v>
      </c>
      <c r="H93" s="23">
        <v>2850.24</v>
      </c>
      <c r="I93" s="23">
        <v>55.125</v>
      </c>
      <c r="J93" s="23">
        <v>4.9250000000000007</v>
      </c>
      <c r="K93" s="23">
        <f t="shared" si="7"/>
        <v>271.49062500000002</v>
      </c>
      <c r="L93" s="23">
        <f t="shared" si="8"/>
        <v>10.49848406367623</v>
      </c>
      <c r="M93" s="23">
        <f t="shared" si="9"/>
        <v>34.766924232696198</v>
      </c>
      <c r="N93" s="104">
        <f t="shared" si="10"/>
        <v>-41.375</v>
      </c>
      <c r="O93" t="str">
        <f t="shared" si="11"/>
        <v>Expired</v>
      </c>
    </row>
    <row r="94" spans="1:15" x14ac:dyDescent="0.35">
      <c r="A94" s="14" t="s">
        <v>198</v>
      </c>
      <c r="B94" s="1">
        <v>665.6</v>
      </c>
      <c r="C94" s="57">
        <v>41.142857142857146</v>
      </c>
      <c r="D94" s="1">
        <v>1.5999999999999999</v>
      </c>
      <c r="E94" s="96">
        <v>19.571428571428573</v>
      </c>
      <c r="G94" t="s">
        <v>239</v>
      </c>
      <c r="H94" s="23">
        <v>3338.3999999999996</v>
      </c>
      <c r="I94" s="23">
        <v>60.25</v>
      </c>
      <c r="J94" s="23">
        <v>5.2000000000000011</v>
      </c>
      <c r="K94" s="23">
        <f t="shared" si="7"/>
        <v>313.30000000000007</v>
      </c>
      <c r="L94" s="23">
        <f t="shared" si="8"/>
        <v>10.655601659751033</v>
      </c>
      <c r="M94" s="23">
        <f t="shared" si="9"/>
        <v>34.254283489096586</v>
      </c>
      <c r="N94" s="104">
        <f t="shared" si="10"/>
        <v>-58.333333333333336</v>
      </c>
      <c r="O94" t="str">
        <f t="shared" si="11"/>
        <v>Expired</v>
      </c>
    </row>
    <row r="95" spans="1:15" x14ac:dyDescent="0.35">
      <c r="A95" s="14" t="s">
        <v>111</v>
      </c>
      <c r="B95" s="1">
        <v>2493.6000000000004</v>
      </c>
      <c r="C95" s="57">
        <v>67.111111111111114</v>
      </c>
      <c r="D95" s="1">
        <v>4.8266666666666662</v>
      </c>
      <c r="E95" s="96">
        <v>-78.888888888888886</v>
      </c>
      <c r="G95" t="s">
        <v>531</v>
      </c>
      <c r="H95" s="23">
        <v>649.20000000000016</v>
      </c>
      <c r="I95" s="23">
        <v>50.555555555555557</v>
      </c>
      <c r="J95" s="23">
        <v>1.2044444444444444</v>
      </c>
      <c r="K95" s="23">
        <f t="shared" si="7"/>
        <v>60.891358024691357</v>
      </c>
      <c r="L95" s="23">
        <f t="shared" si="8"/>
        <v>10.661611451279351</v>
      </c>
      <c r="M95" s="23">
        <f t="shared" si="9"/>
        <v>34.234974859846488</v>
      </c>
      <c r="N95" s="104">
        <f t="shared" si="10"/>
        <v>-66.222222222222229</v>
      </c>
      <c r="O95" t="str">
        <f t="shared" si="11"/>
        <v>Expired</v>
      </c>
    </row>
    <row r="96" spans="1:15" x14ac:dyDescent="0.35">
      <c r="A96" s="14" t="s">
        <v>220</v>
      </c>
      <c r="B96" s="1">
        <v>3347.2</v>
      </c>
      <c r="C96" s="57">
        <v>49.75</v>
      </c>
      <c r="D96" s="1">
        <v>8.08</v>
      </c>
      <c r="E96" s="96">
        <v>-110.25</v>
      </c>
      <c r="G96" t="s">
        <v>517</v>
      </c>
      <c r="H96" s="23">
        <v>12772.52</v>
      </c>
      <c r="I96" s="23">
        <v>59.2</v>
      </c>
      <c r="J96" s="23">
        <v>20.084000000000003</v>
      </c>
      <c r="K96" s="23">
        <f t="shared" si="7"/>
        <v>1188.9728000000002</v>
      </c>
      <c r="L96" s="23">
        <f t="shared" si="8"/>
        <v>10.742482923074437</v>
      </c>
      <c r="M96" s="23">
        <f t="shared" si="9"/>
        <v>33.97724740301836</v>
      </c>
      <c r="N96" s="104">
        <f t="shared" si="10"/>
        <v>-62.3</v>
      </c>
      <c r="O96" t="str">
        <f t="shared" si="11"/>
        <v>Expired</v>
      </c>
    </row>
    <row r="97" spans="1:15" x14ac:dyDescent="0.35">
      <c r="A97" s="14" t="s">
        <v>544</v>
      </c>
      <c r="B97" s="1">
        <v>1133.1200000000003</v>
      </c>
      <c r="C97" s="57">
        <v>53.875</v>
      </c>
      <c r="D97" s="1">
        <v>2.36</v>
      </c>
      <c r="E97" s="96">
        <v>-52.375</v>
      </c>
      <c r="G97" t="s">
        <v>508</v>
      </c>
      <c r="H97" s="23">
        <v>1714.24</v>
      </c>
      <c r="I97" s="23">
        <v>39.714285714285715</v>
      </c>
      <c r="J97" s="23">
        <v>4</v>
      </c>
      <c r="K97" s="23">
        <f t="shared" si="7"/>
        <v>158.85714285714286</v>
      </c>
      <c r="L97" s="23">
        <f t="shared" si="8"/>
        <v>10.791079136690648</v>
      </c>
      <c r="M97" s="23">
        <f t="shared" si="9"/>
        <v>33.824235312941674</v>
      </c>
      <c r="N97" s="104">
        <f t="shared" si="10"/>
        <v>-92.428571428571431</v>
      </c>
      <c r="O97" t="str">
        <f t="shared" si="11"/>
        <v>Expired</v>
      </c>
    </row>
    <row r="98" spans="1:15" x14ac:dyDescent="0.35">
      <c r="A98" s="14" t="s">
        <v>980</v>
      </c>
      <c r="B98" s="1">
        <v>5940</v>
      </c>
      <c r="C98" s="57">
        <v>75.625</v>
      </c>
      <c r="D98" s="1">
        <v>12</v>
      </c>
      <c r="E98" s="96">
        <v>-96.75</v>
      </c>
      <c r="G98" t="s">
        <v>976</v>
      </c>
      <c r="H98" s="23">
        <v>8560</v>
      </c>
      <c r="I98" s="23">
        <v>49</v>
      </c>
      <c r="J98" s="23">
        <v>16</v>
      </c>
      <c r="K98" s="23">
        <f t="shared" si="7"/>
        <v>784</v>
      </c>
      <c r="L98" s="23">
        <f t="shared" si="8"/>
        <v>10.918367346938776</v>
      </c>
      <c r="M98" s="23">
        <f t="shared" si="9"/>
        <v>33.429906542056074</v>
      </c>
      <c r="N98" s="104">
        <f t="shared" si="10"/>
        <v>-30.5</v>
      </c>
      <c r="O98" t="str">
        <f t="shared" si="11"/>
        <v>Expired</v>
      </c>
    </row>
    <row r="99" spans="1:15" x14ac:dyDescent="0.35">
      <c r="A99" s="14" t="s">
        <v>303</v>
      </c>
      <c r="B99" s="1">
        <v>2040.0000000000005</v>
      </c>
      <c r="C99" s="57">
        <v>53</v>
      </c>
      <c r="D99" s="1">
        <v>4.8000000000000016</v>
      </c>
      <c r="E99" s="96">
        <v>-109.85714285714286</v>
      </c>
      <c r="G99" t="s">
        <v>85</v>
      </c>
      <c r="H99" s="23">
        <v>1753.2800000000002</v>
      </c>
      <c r="I99" s="23">
        <v>66.818181818181813</v>
      </c>
      <c r="J99" s="23">
        <v>2.378181818181818</v>
      </c>
      <c r="K99" s="23">
        <f t="shared" si="7"/>
        <v>158.90578512396692</v>
      </c>
      <c r="L99" s="23">
        <f t="shared" si="8"/>
        <v>11.033456073560926</v>
      </c>
      <c r="M99" s="23">
        <f t="shared" si="9"/>
        <v>33.081202985403316</v>
      </c>
      <c r="N99" s="104">
        <f t="shared" si="10"/>
        <v>-80.727272727272734</v>
      </c>
      <c r="O99" t="str">
        <f t="shared" si="11"/>
        <v>Expired</v>
      </c>
    </row>
    <row r="100" spans="1:15" x14ac:dyDescent="0.35">
      <c r="A100" s="14" t="s">
        <v>239</v>
      </c>
      <c r="B100" s="1">
        <v>3338.3999999999996</v>
      </c>
      <c r="C100" s="57">
        <v>60.25</v>
      </c>
      <c r="D100" s="1">
        <v>5.2000000000000011</v>
      </c>
      <c r="E100" s="96">
        <v>-58.333333333333336</v>
      </c>
      <c r="G100" t="s">
        <v>615</v>
      </c>
      <c r="H100" s="23">
        <v>763.52000000000021</v>
      </c>
      <c r="I100" s="23">
        <v>42.75</v>
      </c>
      <c r="J100" s="23">
        <v>1.5799999999999998</v>
      </c>
      <c r="K100" s="23">
        <f t="shared" si="7"/>
        <v>67.544999999999987</v>
      </c>
      <c r="L100" s="23">
        <f t="shared" si="8"/>
        <v>11.303871493078693</v>
      </c>
      <c r="M100" s="23">
        <f t="shared" si="9"/>
        <v>32.289822139564109</v>
      </c>
      <c r="N100" s="104">
        <f t="shared" si="10"/>
        <v>-109.75</v>
      </c>
      <c r="O100" t="str">
        <f t="shared" si="11"/>
        <v>Expired</v>
      </c>
    </row>
    <row r="101" spans="1:15" x14ac:dyDescent="0.35">
      <c r="A101" s="14" t="s">
        <v>416</v>
      </c>
      <c r="B101" s="1">
        <v>1003.2000000000002</v>
      </c>
      <c r="C101" s="57">
        <v>44.857142857142854</v>
      </c>
      <c r="D101" s="1">
        <v>2.5714285714285716</v>
      </c>
      <c r="E101" s="96">
        <v>-65.714285714285708</v>
      </c>
      <c r="G101" t="s">
        <v>75</v>
      </c>
      <c r="H101" s="23">
        <v>4849.12</v>
      </c>
      <c r="I101" s="23">
        <v>58.5</v>
      </c>
      <c r="J101" s="23">
        <v>7.1840000000000019</v>
      </c>
      <c r="K101" s="23">
        <f t="shared" si="7"/>
        <v>420.26400000000012</v>
      </c>
      <c r="L101" s="23">
        <f t="shared" si="8"/>
        <v>11.53827118192374</v>
      </c>
      <c r="M101" s="23">
        <f t="shared" si="9"/>
        <v>31.633855214966847</v>
      </c>
      <c r="N101" s="104">
        <f t="shared" si="10"/>
        <v>-52.7</v>
      </c>
      <c r="O101" t="str">
        <f t="shared" si="11"/>
        <v>Expired</v>
      </c>
    </row>
    <row r="102" spans="1:15" x14ac:dyDescent="0.35">
      <c r="A102" s="14" t="s">
        <v>211</v>
      </c>
      <c r="B102" s="1">
        <v>970</v>
      </c>
      <c r="C102" s="57">
        <v>46.333333333333336</v>
      </c>
      <c r="D102" s="1">
        <v>3.2133333333333329</v>
      </c>
      <c r="E102" s="96">
        <v>-43.666666666666664</v>
      </c>
      <c r="G102" t="s">
        <v>106</v>
      </c>
      <c r="H102" s="23">
        <v>1236.1599999999999</v>
      </c>
      <c r="I102" s="23">
        <v>54</v>
      </c>
      <c r="J102" s="23">
        <v>1.9799999999999998</v>
      </c>
      <c r="K102" s="23">
        <f t="shared" ref="K102:K133" si="12">I102*J102</f>
        <v>106.91999999999999</v>
      </c>
      <c r="L102" s="23">
        <f t="shared" ref="L102:L133" si="13">H102/K102</f>
        <v>11.561541339319117</v>
      </c>
      <c r="M102" s="23">
        <f t="shared" si="9"/>
        <v>31.570185089308829</v>
      </c>
      <c r="N102" s="104">
        <f t="shared" si="10"/>
        <v>0.8</v>
      </c>
      <c r="O102" t="str">
        <f t="shared" si="11"/>
        <v>High Expired Risk</v>
      </c>
    </row>
    <row r="103" spans="1:15" x14ac:dyDescent="0.35">
      <c r="A103" s="14" t="s">
        <v>151</v>
      </c>
      <c r="B103" s="1">
        <v>2023.1200000000001</v>
      </c>
      <c r="C103" s="57">
        <v>43.636363636363633</v>
      </c>
      <c r="D103" s="1">
        <v>3.36</v>
      </c>
      <c r="E103" s="96">
        <v>-66.181818181818187</v>
      </c>
      <c r="G103" t="s">
        <v>272</v>
      </c>
      <c r="H103" s="23">
        <v>464</v>
      </c>
      <c r="I103" s="23">
        <v>50</v>
      </c>
      <c r="J103" s="23">
        <v>0.79999999999999993</v>
      </c>
      <c r="K103" s="23">
        <f t="shared" si="12"/>
        <v>40</v>
      </c>
      <c r="L103" s="23">
        <f t="shared" si="13"/>
        <v>11.6</v>
      </c>
      <c r="M103" s="23">
        <f t="shared" si="9"/>
        <v>31.46551724137931</v>
      </c>
      <c r="N103" s="104">
        <f t="shared" si="10"/>
        <v>-143.88888888888889</v>
      </c>
      <c r="O103" t="str">
        <f t="shared" si="11"/>
        <v>Expired</v>
      </c>
    </row>
    <row r="104" spans="1:15" x14ac:dyDescent="0.35">
      <c r="A104" s="14" t="s">
        <v>700</v>
      </c>
      <c r="B104" s="1">
        <v>694.77599999999995</v>
      </c>
      <c r="C104" s="57">
        <v>55</v>
      </c>
      <c r="D104" s="1">
        <v>1.9826666666666666</v>
      </c>
      <c r="E104" s="96">
        <v>-65.5</v>
      </c>
      <c r="G104" t="s">
        <v>1138</v>
      </c>
      <c r="H104" s="23">
        <v>81.920000000000016</v>
      </c>
      <c r="I104" s="23">
        <v>43.714285714285715</v>
      </c>
      <c r="J104" s="23">
        <v>0.16</v>
      </c>
      <c r="K104" s="23">
        <f t="shared" si="12"/>
        <v>6.9942857142857147</v>
      </c>
      <c r="L104" s="23">
        <f t="shared" si="13"/>
        <v>11.712418300653596</v>
      </c>
      <c r="M104" s="23">
        <f t="shared" si="9"/>
        <v>31.163504464285712</v>
      </c>
      <c r="N104" s="104">
        <f t="shared" si="10"/>
        <v>24.857142857142858</v>
      </c>
      <c r="O104" t="str">
        <f t="shared" si="11"/>
        <v>High Expired Risk</v>
      </c>
    </row>
    <row r="105" spans="1:15" x14ac:dyDescent="0.35">
      <c r="A105" s="14" t="s">
        <v>1069</v>
      </c>
      <c r="B105" s="1">
        <v>1652.16</v>
      </c>
      <c r="C105" s="57">
        <v>46.5</v>
      </c>
      <c r="D105" s="1">
        <v>4.786666666666668</v>
      </c>
      <c r="E105" s="96">
        <v>-78</v>
      </c>
      <c r="G105" t="s">
        <v>984</v>
      </c>
      <c r="H105" s="23">
        <v>2323.2000000000003</v>
      </c>
      <c r="I105" s="23">
        <v>60.4</v>
      </c>
      <c r="J105" s="23">
        <v>3.1999999999999997</v>
      </c>
      <c r="K105" s="23">
        <f t="shared" si="12"/>
        <v>193.27999999999997</v>
      </c>
      <c r="L105" s="23">
        <f t="shared" si="13"/>
        <v>12.019867549668877</v>
      </c>
      <c r="M105" s="23">
        <f t="shared" si="9"/>
        <v>30.366391184572993</v>
      </c>
      <c r="N105" s="104">
        <f t="shared" si="10"/>
        <v>-168.6</v>
      </c>
      <c r="O105" t="str">
        <f t="shared" si="11"/>
        <v>Expired</v>
      </c>
    </row>
    <row r="106" spans="1:15" x14ac:dyDescent="0.35">
      <c r="A106" s="14" t="s">
        <v>397</v>
      </c>
      <c r="B106" s="1">
        <v>944</v>
      </c>
      <c r="C106" s="57">
        <v>56.833333333333336</v>
      </c>
      <c r="D106" s="1">
        <v>2</v>
      </c>
      <c r="E106" s="96">
        <v>-151.83333333333334</v>
      </c>
      <c r="G106" t="s">
        <v>90</v>
      </c>
      <c r="H106" s="23">
        <v>2227.1999999999998</v>
      </c>
      <c r="I106" s="23">
        <v>57.7</v>
      </c>
      <c r="J106" s="23">
        <v>3.1999999999999997</v>
      </c>
      <c r="K106" s="23">
        <f t="shared" si="12"/>
        <v>184.64</v>
      </c>
      <c r="L106" s="23">
        <f t="shared" si="13"/>
        <v>12.062391681109185</v>
      </c>
      <c r="M106" s="23">
        <f t="shared" si="9"/>
        <v>30.259339080459771</v>
      </c>
      <c r="N106" s="104">
        <f t="shared" si="10"/>
        <v>13.3</v>
      </c>
      <c r="O106" t="str">
        <f t="shared" si="11"/>
        <v>High Expired Risk</v>
      </c>
    </row>
    <row r="107" spans="1:15" x14ac:dyDescent="0.35">
      <c r="A107" s="14" t="s">
        <v>325</v>
      </c>
      <c r="B107" s="1">
        <v>1695.1200000000001</v>
      </c>
      <c r="C107" s="57">
        <v>47</v>
      </c>
      <c r="D107" s="1">
        <v>3.5120000000000005</v>
      </c>
      <c r="E107" s="96">
        <v>-118.4</v>
      </c>
      <c r="G107" t="s">
        <v>258</v>
      </c>
      <c r="H107" s="23">
        <v>1788.8000000000002</v>
      </c>
      <c r="I107" s="23">
        <v>45.888888888888886</v>
      </c>
      <c r="J107" s="23">
        <v>3.1999999999999997</v>
      </c>
      <c r="K107" s="23">
        <f t="shared" si="12"/>
        <v>146.84444444444443</v>
      </c>
      <c r="L107" s="23">
        <f t="shared" si="13"/>
        <v>12.181598062953997</v>
      </c>
      <c r="M107" s="23">
        <f t="shared" si="9"/>
        <v>29.963227986483798</v>
      </c>
      <c r="N107" s="104">
        <f t="shared" si="10"/>
        <v>-76.555555555555557</v>
      </c>
      <c r="O107" t="str">
        <f t="shared" si="11"/>
        <v>Expired</v>
      </c>
    </row>
    <row r="108" spans="1:15" x14ac:dyDescent="0.35">
      <c r="A108" s="14" t="s">
        <v>132</v>
      </c>
      <c r="B108" s="1">
        <v>822.4</v>
      </c>
      <c r="C108" s="57">
        <v>72.166666666666671</v>
      </c>
      <c r="D108" s="1">
        <v>1.5999999999999999</v>
      </c>
      <c r="E108" s="96">
        <v>-61.333333333333336</v>
      </c>
      <c r="G108" t="s">
        <v>1202</v>
      </c>
      <c r="H108" s="23">
        <v>1519.2</v>
      </c>
      <c r="I108" s="23">
        <v>51.222222222222221</v>
      </c>
      <c r="J108" s="23">
        <v>2.4000000000000004</v>
      </c>
      <c r="K108" s="23">
        <f t="shared" si="12"/>
        <v>122.93333333333335</v>
      </c>
      <c r="L108" s="23">
        <f t="shared" si="13"/>
        <v>12.357917570498914</v>
      </c>
      <c r="M108" s="23">
        <f t="shared" si="9"/>
        <v>29.535720554677901</v>
      </c>
      <c r="N108" s="104">
        <f t="shared" si="10"/>
        <v>-48.444444444444443</v>
      </c>
      <c r="O108" t="str">
        <f t="shared" si="11"/>
        <v>Expired</v>
      </c>
    </row>
    <row r="109" spans="1:15" x14ac:dyDescent="0.35">
      <c r="A109" s="14" t="s">
        <v>1085</v>
      </c>
      <c r="B109" s="1">
        <v>4093.9199999999996</v>
      </c>
      <c r="C109" s="57">
        <v>63.6</v>
      </c>
      <c r="D109" s="1">
        <v>6.4079999999999995</v>
      </c>
      <c r="E109" s="96">
        <v>-3</v>
      </c>
      <c r="G109" t="s">
        <v>470</v>
      </c>
      <c r="H109" s="23">
        <v>1932.7999999999997</v>
      </c>
      <c r="I109" s="23">
        <v>48.666666666666664</v>
      </c>
      <c r="J109" s="23">
        <v>3.1999999999999997</v>
      </c>
      <c r="K109" s="23">
        <f t="shared" si="12"/>
        <v>155.73333333333332</v>
      </c>
      <c r="L109" s="23">
        <f t="shared" si="13"/>
        <v>12.410958904109588</v>
      </c>
      <c r="M109" s="23">
        <f t="shared" si="9"/>
        <v>29.409492273730688</v>
      </c>
      <c r="N109" s="104">
        <f t="shared" si="10"/>
        <v>-67</v>
      </c>
      <c r="O109" t="str">
        <f t="shared" si="11"/>
        <v>Expired</v>
      </c>
    </row>
    <row r="110" spans="1:15" x14ac:dyDescent="0.35">
      <c r="A110" s="14" t="s">
        <v>165</v>
      </c>
      <c r="B110" s="1">
        <v>3510.4000000000005</v>
      </c>
      <c r="C110" s="57">
        <v>65.599999999999994</v>
      </c>
      <c r="D110" s="1">
        <v>5.5600000000000005</v>
      </c>
      <c r="E110" s="96">
        <v>-169.1</v>
      </c>
      <c r="G110" t="s">
        <v>566</v>
      </c>
      <c r="H110" s="23">
        <v>7982.4000000000005</v>
      </c>
      <c r="I110" s="23">
        <v>51.7</v>
      </c>
      <c r="J110" s="23">
        <v>12.072000000000001</v>
      </c>
      <c r="K110" s="23">
        <f t="shared" si="12"/>
        <v>624.12240000000008</v>
      </c>
      <c r="L110" s="23">
        <f t="shared" si="13"/>
        <v>12.789798924057203</v>
      </c>
      <c r="M110" s="23">
        <f t="shared" si="9"/>
        <v>28.538368911605534</v>
      </c>
      <c r="N110" s="104">
        <f t="shared" si="10"/>
        <v>-95.3</v>
      </c>
      <c r="O110" t="str">
        <f t="shared" si="11"/>
        <v>Expired</v>
      </c>
    </row>
    <row r="111" spans="1:15" x14ac:dyDescent="0.35">
      <c r="A111" s="14" t="s">
        <v>686</v>
      </c>
      <c r="B111" s="1">
        <v>850</v>
      </c>
      <c r="C111" s="57">
        <v>54.2</v>
      </c>
      <c r="D111" s="1">
        <v>2</v>
      </c>
      <c r="E111" s="96">
        <v>-73</v>
      </c>
      <c r="G111" t="s">
        <v>392</v>
      </c>
      <c r="H111" s="23">
        <v>3330.8</v>
      </c>
      <c r="I111" s="23">
        <v>58.571428571428569</v>
      </c>
      <c r="J111" s="23">
        <v>4.3999999999999995</v>
      </c>
      <c r="K111" s="23">
        <f t="shared" si="12"/>
        <v>257.71428571428567</v>
      </c>
      <c r="L111" s="23">
        <f t="shared" si="13"/>
        <v>12.924390243902442</v>
      </c>
      <c r="M111" s="23">
        <f t="shared" si="9"/>
        <v>28.241177580675593</v>
      </c>
      <c r="N111" s="104">
        <f t="shared" si="10"/>
        <v>-19.428571428571427</v>
      </c>
      <c r="O111" t="str">
        <f t="shared" si="11"/>
        <v>Expired</v>
      </c>
    </row>
    <row r="112" spans="1:15" x14ac:dyDescent="0.35">
      <c r="A112" s="14" t="s">
        <v>288</v>
      </c>
      <c r="B112" s="1">
        <v>5927.28</v>
      </c>
      <c r="C112" s="57">
        <v>64.625</v>
      </c>
      <c r="D112" s="1">
        <v>9.4600000000000009</v>
      </c>
      <c r="E112" s="96">
        <v>-45.375</v>
      </c>
      <c r="G112" t="s">
        <v>329</v>
      </c>
      <c r="H112" s="23">
        <v>3657.4800000000005</v>
      </c>
      <c r="I112" s="23">
        <v>56.666666666666664</v>
      </c>
      <c r="J112" s="23">
        <v>4.9400000000000004</v>
      </c>
      <c r="K112" s="23">
        <f t="shared" si="12"/>
        <v>279.93333333333334</v>
      </c>
      <c r="L112" s="23">
        <f t="shared" si="13"/>
        <v>13.065539414146226</v>
      </c>
      <c r="M112" s="23">
        <f t="shared" si="9"/>
        <v>27.936083496469333</v>
      </c>
      <c r="N112" s="104">
        <f t="shared" si="10"/>
        <v>-98.916666666666671</v>
      </c>
      <c r="O112" t="str">
        <f t="shared" si="11"/>
        <v>Expired</v>
      </c>
    </row>
    <row r="113" spans="1:15" x14ac:dyDescent="0.35">
      <c r="A113" s="14" t="s">
        <v>420</v>
      </c>
      <c r="B113" s="1">
        <v>5932.7999999999993</v>
      </c>
      <c r="C113" s="57">
        <v>60.2</v>
      </c>
      <c r="D113" s="1">
        <v>14.400000000000002</v>
      </c>
      <c r="E113" s="96">
        <v>-176.6</v>
      </c>
      <c r="G113" t="s">
        <v>293</v>
      </c>
      <c r="H113" s="23">
        <v>955.20000000000016</v>
      </c>
      <c r="I113" s="23">
        <v>45.25</v>
      </c>
      <c r="J113" s="23">
        <v>1.5999999999999999</v>
      </c>
      <c r="K113" s="23">
        <f t="shared" si="12"/>
        <v>72.399999999999991</v>
      </c>
      <c r="L113" s="23">
        <f t="shared" si="13"/>
        <v>13.19337016574586</v>
      </c>
      <c r="M113" s="23">
        <f t="shared" si="9"/>
        <v>27.665410385259626</v>
      </c>
      <c r="N113" s="104">
        <f t="shared" si="10"/>
        <v>-59.833333333333336</v>
      </c>
      <c r="O113" t="str">
        <f t="shared" si="11"/>
        <v>Expired</v>
      </c>
    </row>
    <row r="114" spans="1:15" x14ac:dyDescent="0.35">
      <c r="A114" s="14" t="s">
        <v>1257</v>
      </c>
      <c r="B114" s="1">
        <v>968.00000000000011</v>
      </c>
      <c r="C114" s="57">
        <v>87.666666666666671</v>
      </c>
      <c r="D114" s="1">
        <v>4.4000000000000004</v>
      </c>
      <c r="E114" s="96">
        <v>42.333333333333336</v>
      </c>
      <c r="G114" t="s">
        <v>549</v>
      </c>
      <c r="H114" s="23">
        <v>1530.96</v>
      </c>
      <c r="I114" s="23">
        <v>57.53846153846154</v>
      </c>
      <c r="J114" s="23">
        <v>1.9876923076923079</v>
      </c>
      <c r="K114" s="23">
        <f t="shared" si="12"/>
        <v>114.36875739644972</v>
      </c>
      <c r="L114" s="23">
        <f t="shared" si="13"/>
        <v>13.386173242164864</v>
      </c>
      <c r="M114" s="23">
        <f t="shared" si="9"/>
        <v>27.266941298077118</v>
      </c>
      <c r="N114" s="104">
        <f t="shared" si="10"/>
        <v>-55.92307692307692</v>
      </c>
      <c r="O114" t="str">
        <f t="shared" si="11"/>
        <v>Expired</v>
      </c>
    </row>
    <row r="115" spans="1:15" x14ac:dyDescent="0.35">
      <c r="A115" s="14" t="s">
        <v>24</v>
      </c>
      <c r="B115" s="1">
        <v>695.99999999999989</v>
      </c>
      <c r="C115" s="57">
        <v>47.857142857142854</v>
      </c>
      <c r="D115" s="1">
        <v>1.5999999999999999</v>
      </c>
      <c r="E115" s="96">
        <v>-125.14285714285714</v>
      </c>
      <c r="G115" t="s">
        <v>151</v>
      </c>
      <c r="H115" s="23">
        <v>2023.1200000000001</v>
      </c>
      <c r="I115" s="23">
        <v>43.636363636363633</v>
      </c>
      <c r="J115" s="23">
        <v>3.36</v>
      </c>
      <c r="K115" s="23">
        <f t="shared" si="12"/>
        <v>146.6181818181818</v>
      </c>
      <c r="L115" s="23">
        <f t="shared" si="13"/>
        <v>13.79856150793651</v>
      </c>
      <c r="M115" s="23">
        <f t="shared" si="9"/>
        <v>26.452032683991238</v>
      </c>
      <c r="N115" s="104">
        <f t="shared" si="10"/>
        <v>-66.181818181818187</v>
      </c>
      <c r="O115" t="str">
        <f t="shared" si="11"/>
        <v>Expired</v>
      </c>
    </row>
    <row r="116" spans="1:15" x14ac:dyDescent="0.35">
      <c r="A116" s="14" t="s">
        <v>1202</v>
      </c>
      <c r="B116" s="1">
        <v>1519.2</v>
      </c>
      <c r="C116" s="57">
        <v>51.222222222222221</v>
      </c>
      <c r="D116" s="1">
        <v>2.4000000000000004</v>
      </c>
      <c r="E116" s="96">
        <v>-48.444444444444443</v>
      </c>
      <c r="G116" t="s">
        <v>276</v>
      </c>
      <c r="H116" s="23">
        <v>1687.08</v>
      </c>
      <c r="I116" s="23">
        <v>42</v>
      </c>
      <c r="J116" s="23">
        <v>2.7880000000000003</v>
      </c>
      <c r="K116" s="23">
        <f t="shared" si="12"/>
        <v>117.096</v>
      </c>
      <c r="L116" s="23">
        <f t="shared" si="13"/>
        <v>14.407665505226479</v>
      </c>
      <c r="M116" s="23">
        <f t="shared" si="9"/>
        <v>25.33373639661427</v>
      </c>
      <c r="N116" s="104">
        <f t="shared" si="10"/>
        <v>-58.7</v>
      </c>
      <c r="O116" t="str">
        <f t="shared" si="11"/>
        <v>Expired</v>
      </c>
    </row>
    <row r="117" spans="1:15" x14ac:dyDescent="0.35">
      <c r="A117" s="14" t="s">
        <v>380</v>
      </c>
      <c r="B117" s="1">
        <v>1338.32</v>
      </c>
      <c r="C117" s="57">
        <v>60.666666666666664</v>
      </c>
      <c r="D117" s="1">
        <v>3.2133333333333329</v>
      </c>
      <c r="E117" s="96">
        <v>-59.333333333333336</v>
      </c>
      <c r="G117" t="s">
        <v>180</v>
      </c>
      <c r="H117" s="23">
        <v>892.12000000000012</v>
      </c>
      <c r="I117" s="23">
        <v>43.272727272727273</v>
      </c>
      <c r="J117" s="23">
        <v>1.429090909090909</v>
      </c>
      <c r="K117" s="23">
        <f t="shared" si="12"/>
        <v>61.84066115702479</v>
      </c>
      <c r="L117" s="23">
        <f t="shared" si="13"/>
        <v>14.426107084054999</v>
      </c>
      <c r="M117" s="23">
        <f t="shared" si="9"/>
        <v>25.30135107644044</v>
      </c>
      <c r="N117" s="104">
        <f t="shared" si="10"/>
        <v>-88.818181818181813</v>
      </c>
      <c r="O117" t="str">
        <f t="shared" si="11"/>
        <v>Expired</v>
      </c>
    </row>
    <row r="118" spans="1:15" x14ac:dyDescent="0.35">
      <c r="A118" s="14" t="s">
        <v>1179</v>
      </c>
      <c r="B118" s="1">
        <v>1252</v>
      </c>
      <c r="C118" s="57">
        <v>65.111111111111114</v>
      </c>
      <c r="D118" s="1">
        <v>2</v>
      </c>
      <c r="E118" s="96">
        <v>-6.666666666666667</v>
      </c>
      <c r="G118" t="s">
        <v>1081</v>
      </c>
      <c r="H118" s="23">
        <v>4475.28</v>
      </c>
      <c r="I118" s="23">
        <v>48.4</v>
      </c>
      <c r="J118" s="23">
        <v>6.4079999999999995</v>
      </c>
      <c r="K118" s="23">
        <f t="shared" si="12"/>
        <v>310.14719999999994</v>
      </c>
      <c r="L118" s="23">
        <f t="shared" si="13"/>
        <v>14.429535394806081</v>
      </c>
      <c r="M118" s="23">
        <f t="shared" si="9"/>
        <v>25.295339732932909</v>
      </c>
      <c r="N118" s="104">
        <f t="shared" si="10"/>
        <v>-132.19999999999999</v>
      </c>
      <c r="O118" t="str">
        <f t="shared" si="11"/>
        <v>Expired</v>
      </c>
    </row>
    <row r="119" spans="1:15" x14ac:dyDescent="0.35">
      <c r="A119" s="14" t="s">
        <v>526</v>
      </c>
      <c r="B119" s="1">
        <v>383.04000000000008</v>
      </c>
      <c r="C119" s="57">
        <v>43</v>
      </c>
      <c r="D119" s="1">
        <v>1.4400000000000002</v>
      </c>
      <c r="E119" s="96">
        <v>-62.75</v>
      </c>
      <c r="G119" t="s">
        <v>574</v>
      </c>
      <c r="H119" s="23">
        <v>920.00000000000011</v>
      </c>
      <c r="I119" s="23">
        <v>39</v>
      </c>
      <c r="J119" s="23">
        <v>1.5999999999999999</v>
      </c>
      <c r="K119" s="23">
        <f t="shared" si="12"/>
        <v>62.399999999999991</v>
      </c>
      <c r="L119" s="23">
        <f t="shared" si="13"/>
        <v>14.743589743589748</v>
      </c>
      <c r="M119" s="23">
        <f t="shared" si="9"/>
        <v>24.756521739130427</v>
      </c>
      <c r="N119" s="104">
        <f t="shared" si="10"/>
        <v>-76.36363636363636</v>
      </c>
      <c r="O119" t="str">
        <f t="shared" si="11"/>
        <v>Expired</v>
      </c>
    </row>
    <row r="120" spans="1:15" x14ac:dyDescent="0.35">
      <c r="A120" s="14" t="s">
        <v>574</v>
      </c>
      <c r="B120" s="1">
        <v>920.00000000000011</v>
      </c>
      <c r="C120" s="57">
        <v>39</v>
      </c>
      <c r="D120" s="1">
        <v>1.5999999999999999</v>
      </c>
      <c r="E120" s="96">
        <v>-76.36363636363636</v>
      </c>
      <c r="G120" t="s">
        <v>96</v>
      </c>
      <c r="H120" s="23">
        <v>1831.5680000000002</v>
      </c>
      <c r="I120" s="23">
        <v>60.6</v>
      </c>
      <c r="J120" s="23">
        <v>2.0362666666666671</v>
      </c>
      <c r="K120" s="23">
        <f t="shared" si="12"/>
        <v>123.39776000000003</v>
      </c>
      <c r="L120" s="23">
        <f t="shared" si="13"/>
        <v>14.842797794708751</v>
      </c>
      <c r="M120" s="23">
        <f t="shared" si="9"/>
        <v>24.591051164903519</v>
      </c>
      <c r="N120" s="104">
        <f t="shared" si="10"/>
        <v>-20.8</v>
      </c>
      <c r="O120" t="str">
        <f t="shared" si="11"/>
        <v>Expired</v>
      </c>
    </row>
    <row r="121" spans="1:15" x14ac:dyDescent="0.35">
      <c r="A121" s="14" t="s">
        <v>517</v>
      </c>
      <c r="B121" s="1">
        <v>12772.52</v>
      </c>
      <c r="C121" s="57">
        <v>59.2</v>
      </c>
      <c r="D121" s="1">
        <v>20.084000000000003</v>
      </c>
      <c r="E121" s="96">
        <v>-62.3</v>
      </c>
      <c r="G121" t="s">
        <v>320</v>
      </c>
      <c r="H121" s="23">
        <v>1932.92</v>
      </c>
      <c r="I121" s="23">
        <v>41.1</v>
      </c>
      <c r="J121" s="23">
        <v>3.16</v>
      </c>
      <c r="K121" s="23">
        <f t="shared" si="12"/>
        <v>129.876</v>
      </c>
      <c r="L121" s="23">
        <f t="shared" si="13"/>
        <v>14.882811296929379</v>
      </c>
      <c r="M121" s="23">
        <f t="shared" si="9"/>
        <v>24.52493636570577</v>
      </c>
      <c r="N121" s="104">
        <f t="shared" si="10"/>
        <v>-1.8</v>
      </c>
      <c r="O121" t="str">
        <f t="shared" si="11"/>
        <v>Expired</v>
      </c>
    </row>
    <row r="122" spans="1:15" x14ac:dyDescent="0.35">
      <c r="A122" s="14" t="s">
        <v>216</v>
      </c>
      <c r="B122" s="1">
        <v>929.60000000000014</v>
      </c>
      <c r="C122" s="57">
        <v>50.5</v>
      </c>
      <c r="D122" s="1">
        <v>2.8000000000000003</v>
      </c>
      <c r="E122" s="96">
        <v>-116.5</v>
      </c>
      <c r="G122" t="s">
        <v>674</v>
      </c>
      <c r="H122" s="23">
        <v>6422.4</v>
      </c>
      <c r="I122" s="23">
        <v>57.071428571428569</v>
      </c>
      <c r="J122" s="23">
        <v>7.200000000000002</v>
      </c>
      <c r="K122" s="23">
        <f t="shared" si="12"/>
        <v>410.91428571428582</v>
      </c>
      <c r="L122" s="23">
        <f t="shared" si="13"/>
        <v>15.629536921151434</v>
      </c>
      <c r="M122" s="23">
        <f t="shared" si="9"/>
        <v>23.353219090326721</v>
      </c>
      <c r="N122" s="104">
        <f t="shared" si="10"/>
        <v>-95.714285714285708</v>
      </c>
      <c r="O122" t="str">
        <f t="shared" si="11"/>
        <v>Expired</v>
      </c>
    </row>
    <row r="123" spans="1:15" x14ac:dyDescent="0.35">
      <c r="A123" s="14" t="s">
        <v>121</v>
      </c>
      <c r="B123" s="1">
        <v>802.04</v>
      </c>
      <c r="C123" s="57">
        <v>59</v>
      </c>
      <c r="D123" s="1">
        <v>2.1850000000000001</v>
      </c>
      <c r="E123" s="96">
        <v>40</v>
      </c>
      <c r="G123" t="s">
        <v>126</v>
      </c>
      <c r="H123" s="23">
        <v>14115.2</v>
      </c>
      <c r="I123" s="23">
        <v>53.375</v>
      </c>
      <c r="J123" s="23">
        <v>16.175000000000004</v>
      </c>
      <c r="K123" s="23">
        <f t="shared" si="12"/>
        <v>863.34062500000027</v>
      </c>
      <c r="L123" s="23">
        <f t="shared" si="13"/>
        <v>16.34951442253745</v>
      </c>
      <c r="M123" s="23">
        <f t="shared" si="9"/>
        <v>22.324822044675251</v>
      </c>
      <c r="N123" s="104">
        <f t="shared" si="10"/>
        <v>-103.75</v>
      </c>
      <c r="O123" t="str">
        <f t="shared" si="11"/>
        <v>Expired</v>
      </c>
    </row>
    <row r="124" spans="1:15" x14ac:dyDescent="0.35">
      <c r="A124" s="14" t="s">
        <v>333</v>
      </c>
      <c r="B124" s="1">
        <v>3843.2</v>
      </c>
      <c r="C124" s="57">
        <v>49</v>
      </c>
      <c r="D124" s="1">
        <v>7.95</v>
      </c>
      <c r="E124" s="96">
        <v>-75.125</v>
      </c>
      <c r="G124" t="s">
        <v>146</v>
      </c>
      <c r="H124" s="23">
        <v>3017.2000000000007</v>
      </c>
      <c r="I124" s="23">
        <v>47.692307692307693</v>
      </c>
      <c r="J124" s="23">
        <v>3.7999999999999994</v>
      </c>
      <c r="K124" s="23">
        <f t="shared" si="12"/>
        <v>181.2307692307692</v>
      </c>
      <c r="L124" s="23">
        <f t="shared" si="13"/>
        <v>16.648387096774201</v>
      </c>
      <c r="M124" s="23">
        <f t="shared" si="9"/>
        <v>21.924045727572167</v>
      </c>
      <c r="N124" s="104">
        <f t="shared" si="10"/>
        <v>-82.692307692307693</v>
      </c>
      <c r="O124" t="str">
        <f t="shared" si="11"/>
        <v>Expired</v>
      </c>
    </row>
    <row r="125" spans="1:15" x14ac:dyDescent="0.35">
      <c r="A125" s="14" t="s">
        <v>70</v>
      </c>
      <c r="B125" s="1">
        <v>719.07999999999993</v>
      </c>
      <c r="C125" s="57">
        <v>67.555555555555557</v>
      </c>
      <c r="D125" s="1">
        <v>1.3911111111111112</v>
      </c>
      <c r="E125" s="96">
        <v>-10.777777777777779</v>
      </c>
      <c r="G125" t="s">
        <v>175</v>
      </c>
      <c r="H125" s="23">
        <v>1202.4000000000001</v>
      </c>
      <c r="I125" s="23">
        <v>58.94736842105263</v>
      </c>
      <c r="J125" s="23">
        <v>1.1999999999999997</v>
      </c>
      <c r="K125" s="23">
        <f t="shared" si="12"/>
        <v>70.736842105263136</v>
      </c>
      <c r="L125" s="23">
        <f t="shared" si="13"/>
        <v>16.998214285714294</v>
      </c>
      <c r="M125" s="23">
        <f t="shared" si="9"/>
        <v>21.472843786111977</v>
      </c>
      <c r="N125" s="104">
        <f t="shared" si="10"/>
        <v>-76.263157894736835</v>
      </c>
      <c r="O125" t="str">
        <f t="shared" si="11"/>
        <v>Expired</v>
      </c>
    </row>
    <row r="126" spans="1:15" x14ac:dyDescent="0.35">
      <c r="A126" s="14" t="s">
        <v>1109</v>
      </c>
      <c r="B126" s="1">
        <v>954</v>
      </c>
      <c r="C126" s="57">
        <v>56.3</v>
      </c>
      <c r="D126" s="1">
        <v>2</v>
      </c>
      <c r="E126" s="96">
        <v>-69.900000000000006</v>
      </c>
      <c r="G126" t="s">
        <v>342</v>
      </c>
      <c r="H126" s="23">
        <v>4665.6000000000004</v>
      </c>
      <c r="I126" s="23">
        <v>51.06666666666667</v>
      </c>
      <c r="J126" s="23">
        <v>4.7999999999999989</v>
      </c>
      <c r="K126" s="23">
        <f t="shared" si="12"/>
        <v>245.11999999999995</v>
      </c>
      <c r="L126" s="23">
        <f t="shared" si="13"/>
        <v>19.033942558746741</v>
      </c>
      <c r="M126" s="23">
        <f t="shared" si="9"/>
        <v>19.176268861454041</v>
      </c>
      <c r="N126" s="104">
        <f t="shared" si="10"/>
        <v>-54.333333333333336</v>
      </c>
      <c r="O126" t="str">
        <f t="shared" si="11"/>
        <v>Expired</v>
      </c>
    </row>
    <row r="127" spans="1:15" x14ac:dyDescent="0.35">
      <c r="A127" s="14" t="s">
        <v>3469</v>
      </c>
      <c r="B127" s="1">
        <v>275415.4720000003</v>
      </c>
      <c r="C127" s="57">
        <v>55.609090909090909</v>
      </c>
      <c r="D127" s="1">
        <v>4.739353535353529</v>
      </c>
      <c r="E127" s="96">
        <v>-62.830303030303028</v>
      </c>
      <c r="H127" s="23"/>
      <c r="I127" s="23"/>
      <c r="J127" s="23"/>
      <c r="K127" s="23"/>
      <c r="L127" s="23"/>
      <c r="M127" s="23"/>
    </row>
  </sheetData>
  <autoFilter ref="G5:L5" xr:uid="{FA55B8A1-A6F0-4CA4-81ED-1BEC6D23F4EE}"/>
  <mergeCells count="4">
    <mergeCell ref="A2:O3"/>
    <mergeCell ref="Q4:R4"/>
    <mergeCell ref="T4:U4"/>
    <mergeCell ref="W4:X4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D385-4A47-4E3F-A2A6-93DB61DE7969}">
  <dimension ref="A1:AI1011"/>
  <sheetViews>
    <sheetView topLeftCell="A82" zoomScale="69" zoomScaleNormal="100" workbookViewId="0">
      <selection activeCell="G34" sqref="G34"/>
    </sheetView>
  </sheetViews>
  <sheetFormatPr defaultRowHeight="14.5" x14ac:dyDescent="0.35"/>
  <cols>
    <col min="1" max="1" width="13.26953125" bestFit="1" customWidth="1"/>
    <col min="2" max="2" width="18.36328125" bestFit="1" customWidth="1"/>
    <col min="3" max="3" width="13.90625" customWidth="1"/>
    <col min="6" max="6" width="14" customWidth="1"/>
    <col min="7" max="7" width="10.7265625" customWidth="1"/>
    <col min="8" max="9" width="11" customWidth="1"/>
    <col min="11" max="11" width="13.1796875" customWidth="1"/>
    <col min="13" max="13" width="10.54296875" customWidth="1"/>
    <col min="21" max="21" width="11.453125" customWidth="1"/>
    <col min="23" max="23" width="9.7265625" customWidth="1"/>
  </cols>
  <sheetData>
    <row r="1" spans="1:2" x14ac:dyDescent="0.35">
      <c r="A1" s="13" t="s">
        <v>4</v>
      </c>
      <c r="B1" t="s">
        <v>3489</v>
      </c>
    </row>
    <row r="3" spans="1:2" x14ac:dyDescent="0.35">
      <c r="A3" s="13" t="s">
        <v>3468</v>
      </c>
      <c r="B3" t="s">
        <v>3512</v>
      </c>
    </row>
    <row r="4" spans="1:2" x14ac:dyDescent="0.35">
      <c r="A4" s="14" t="s">
        <v>1540</v>
      </c>
      <c r="B4" s="41">
        <v>264</v>
      </c>
    </row>
    <row r="5" spans="1:2" x14ac:dyDescent="0.35">
      <c r="A5" s="14" t="s">
        <v>1557</v>
      </c>
      <c r="B5" s="41">
        <v>270</v>
      </c>
    </row>
    <row r="6" spans="1:2" x14ac:dyDescent="0.35">
      <c r="A6" s="14" t="s">
        <v>2500</v>
      </c>
      <c r="B6" s="41">
        <v>279</v>
      </c>
    </row>
    <row r="7" spans="1:2" x14ac:dyDescent="0.35">
      <c r="A7" s="14" t="s">
        <v>513</v>
      </c>
      <c r="B7" s="41">
        <v>287</v>
      </c>
    </row>
    <row r="8" spans="1:2" x14ac:dyDescent="0.35">
      <c r="A8" s="14" t="s">
        <v>808</v>
      </c>
      <c r="B8" s="41">
        <v>288</v>
      </c>
    </row>
    <row r="9" spans="1:2" x14ac:dyDescent="0.35">
      <c r="A9" s="14" t="s">
        <v>1431</v>
      </c>
      <c r="B9" s="41">
        <v>291</v>
      </c>
    </row>
    <row r="10" spans="1:2" x14ac:dyDescent="0.35">
      <c r="A10" s="14" t="s">
        <v>2462</v>
      </c>
      <c r="B10" s="41">
        <v>298</v>
      </c>
    </row>
    <row r="11" spans="1:2" x14ac:dyDescent="0.35">
      <c r="A11" s="14" t="s">
        <v>527</v>
      </c>
      <c r="B11" s="41">
        <v>303</v>
      </c>
    </row>
    <row r="12" spans="1:2" x14ac:dyDescent="0.35">
      <c r="A12" s="14" t="s">
        <v>1675</v>
      </c>
      <c r="B12" s="41">
        <v>335</v>
      </c>
    </row>
    <row r="13" spans="1:2" x14ac:dyDescent="0.35">
      <c r="A13" s="14" t="s">
        <v>2363</v>
      </c>
      <c r="B13" s="41">
        <v>340</v>
      </c>
    </row>
    <row r="14" spans="1:2" x14ac:dyDescent="0.35">
      <c r="A14" s="14" t="s">
        <v>3469</v>
      </c>
      <c r="B14" s="41">
        <v>292.66666666666669</v>
      </c>
    </row>
    <row r="16" spans="1:2" x14ac:dyDescent="0.35">
      <c r="A16" s="13" t="s">
        <v>4</v>
      </c>
      <c r="B16" t="s">
        <v>3489</v>
      </c>
    </row>
    <row r="18" spans="1:2" x14ac:dyDescent="0.35">
      <c r="A18" s="13" t="s">
        <v>3468</v>
      </c>
      <c r="B18" t="s">
        <v>3512</v>
      </c>
    </row>
    <row r="19" spans="1:2" x14ac:dyDescent="0.35">
      <c r="A19" s="14" t="s">
        <v>76</v>
      </c>
      <c r="B19" s="41">
        <v>1</v>
      </c>
    </row>
    <row r="20" spans="1:2" x14ac:dyDescent="0.35">
      <c r="A20" s="14" t="s">
        <v>2199</v>
      </c>
      <c r="B20" s="41">
        <v>6</v>
      </c>
    </row>
    <row r="21" spans="1:2" x14ac:dyDescent="0.35">
      <c r="A21" s="14" t="s">
        <v>3452</v>
      </c>
      <c r="B21" s="41">
        <v>7</v>
      </c>
    </row>
    <row r="22" spans="1:2" x14ac:dyDescent="0.35">
      <c r="A22" s="14" t="s">
        <v>3358</v>
      </c>
      <c r="B22" s="41">
        <v>8</v>
      </c>
    </row>
    <row r="23" spans="1:2" x14ac:dyDescent="0.35">
      <c r="A23" s="14" t="s">
        <v>2769</v>
      </c>
      <c r="B23" s="41">
        <v>9</v>
      </c>
    </row>
    <row r="24" spans="1:2" x14ac:dyDescent="0.35">
      <c r="A24" s="14" t="s">
        <v>244</v>
      </c>
      <c r="B24" s="41">
        <v>12</v>
      </c>
    </row>
    <row r="25" spans="1:2" x14ac:dyDescent="0.35">
      <c r="A25" s="14" t="s">
        <v>409</v>
      </c>
      <c r="B25" s="41">
        <v>12</v>
      </c>
    </row>
    <row r="26" spans="1:2" x14ac:dyDescent="0.35">
      <c r="A26" s="14" t="s">
        <v>2033</v>
      </c>
      <c r="B26" s="41">
        <v>13</v>
      </c>
    </row>
    <row r="27" spans="1:2" x14ac:dyDescent="0.35">
      <c r="A27" s="14" t="s">
        <v>1077</v>
      </c>
      <c r="B27" s="41">
        <v>14</v>
      </c>
    </row>
    <row r="28" spans="1:2" x14ac:dyDescent="0.35">
      <c r="A28" s="14" t="s">
        <v>2081</v>
      </c>
      <c r="B28" s="41">
        <v>15</v>
      </c>
    </row>
    <row r="29" spans="1:2" x14ac:dyDescent="0.35">
      <c r="A29" s="14" t="s">
        <v>3469</v>
      </c>
      <c r="B29" s="41">
        <v>9.6999999999999993</v>
      </c>
    </row>
    <row r="31" spans="1:2" ht="14" customHeight="1" x14ac:dyDescent="0.35"/>
    <row r="33" spans="1:35" s="60" customFormat="1" ht="43.5" x14ac:dyDescent="0.35">
      <c r="A33" s="63" t="s">
        <v>2</v>
      </c>
      <c r="B33" s="63" t="s">
        <v>3502</v>
      </c>
      <c r="C33" s="63" t="s">
        <v>4</v>
      </c>
      <c r="F33" s="107" t="s">
        <v>3513</v>
      </c>
      <c r="G33" s="108" t="s">
        <v>3514</v>
      </c>
      <c r="H33" s="109" t="s">
        <v>3515</v>
      </c>
      <c r="I33" s="109" t="s">
        <v>3516</v>
      </c>
      <c r="K33" s="109" t="s">
        <v>3513</v>
      </c>
      <c r="L33" s="110" t="s">
        <v>3514</v>
      </c>
      <c r="M33" s="109" t="s">
        <v>3515</v>
      </c>
      <c r="O33" s="109" t="s">
        <v>3513</v>
      </c>
      <c r="P33" s="110" t="s">
        <v>3514</v>
      </c>
      <c r="Q33" s="109" t="s">
        <v>3515</v>
      </c>
      <c r="AH33" s="14"/>
      <c r="AI33" s="41"/>
    </row>
    <row r="34" spans="1:35" x14ac:dyDescent="0.35">
      <c r="A34" s="3" t="s">
        <v>1870</v>
      </c>
      <c r="B34" s="3">
        <v>110</v>
      </c>
      <c r="C34" s="3" t="s">
        <v>56</v>
      </c>
      <c r="F34" s="61" t="s">
        <v>1050</v>
      </c>
      <c r="G34" s="62" cm="1">
        <f t="array" ref="G34">IFERROR(_xlfn.STDEV.S(_xlfn._xlws.FILTER($B$34:$B$690,$A$34:$A$690=F34)),0)</f>
        <v>1.4142135623730951</v>
      </c>
      <c r="H34" s="3">
        <f t="shared" ref="H34:H65" si="0">IF(G34&gt;0,1,0)</f>
        <v>1</v>
      </c>
      <c r="I34" s="51">
        <v>125</v>
      </c>
      <c r="K34" s="61" t="s">
        <v>641</v>
      </c>
      <c r="L34" s="62" cm="1">
        <f t="array" ref="L34">IFERROR(_xlfn.STDEV.S(_xlfn._xlws.FILTER($B$34:$B$690,$A$34:$A$690=K34)),0)</f>
        <v>153.85610160146393</v>
      </c>
      <c r="M34" s="3">
        <f t="shared" ref="M34:M43" si="1">IF(L34&gt;0,1,0)</f>
        <v>1</v>
      </c>
      <c r="O34" s="61" t="s">
        <v>1050</v>
      </c>
      <c r="P34" s="62" cm="1">
        <f t="array" ref="P34">IFERROR(_xlfn.STDEV.S(_xlfn._xlws.FILTER($B$34:$B$690,$A$34:$A$690=O34)),0)</f>
        <v>1.4142135623730951</v>
      </c>
      <c r="Q34" s="3">
        <f t="shared" ref="Q34:Q43" si="2">IF(P34&gt;0,1,0)</f>
        <v>1</v>
      </c>
      <c r="AH34" s="14"/>
      <c r="AI34" s="41"/>
    </row>
    <row r="35" spans="1:35" x14ac:dyDescent="0.35">
      <c r="A35" s="3" t="s">
        <v>1870</v>
      </c>
      <c r="B35" s="3">
        <v>25</v>
      </c>
      <c r="C35" s="3" t="s">
        <v>28</v>
      </c>
      <c r="F35" s="61" t="s">
        <v>334</v>
      </c>
      <c r="G35" s="62" cm="1">
        <f t="array" ref="G35">IFERROR(_xlfn.STDEV.S(_xlfn._xlws.FILTER($B$34:$B$690,$A$34:$A$690=F35)),0)</f>
        <v>1.4142135623730951</v>
      </c>
      <c r="H35" s="3">
        <f t="shared" si="0"/>
        <v>1</v>
      </c>
      <c r="I35" s="51">
        <v>122</v>
      </c>
      <c r="K35" s="61" t="s">
        <v>482</v>
      </c>
      <c r="L35" s="62" cm="1">
        <f t="array" ref="L35">IFERROR(_xlfn.STDEV.S(_xlfn._xlws.FILTER($B$34:$B$690,$A$34:$A$690=K35)),0)</f>
        <v>158.61588823317794</v>
      </c>
      <c r="M35" s="3">
        <f t="shared" si="1"/>
        <v>1</v>
      </c>
      <c r="O35" s="61" t="s">
        <v>334</v>
      </c>
      <c r="P35" s="62" cm="1">
        <f t="array" ref="P35">IFERROR(_xlfn.STDEV.S(_xlfn._xlws.FILTER($B$34:$B$690,$A$34:$A$690=O35)),0)</f>
        <v>1.4142135623730951</v>
      </c>
      <c r="Q35" s="3">
        <f t="shared" si="2"/>
        <v>1</v>
      </c>
      <c r="AH35" s="14"/>
      <c r="AI35" s="41"/>
    </row>
    <row r="36" spans="1:35" x14ac:dyDescent="0.35">
      <c r="A36" s="3" t="s">
        <v>1842</v>
      </c>
      <c r="B36" s="3">
        <v>73</v>
      </c>
      <c r="C36" s="3" t="s">
        <v>28</v>
      </c>
      <c r="F36" s="61" t="s">
        <v>943</v>
      </c>
      <c r="G36" s="62" cm="1">
        <f t="array" ref="G36">IFERROR(_xlfn.STDEV.S(_xlfn._xlws.FILTER($B$34:$B$690,$A$34:$A$690=F36)),0)</f>
        <v>2.1213203435596424</v>
      </c>
      <c r="H36" s="3">
        <f t="shared" si="0"/>
        <v>1</v>
      </c>
      <c r="I36" s="51">
        <v>186.5</v>
      </c>
      <c r="K36" s="61" t="s">
        <v>1318</v>
      </c>
      <c r="L36" s="62" cm="1">
        <f t="array" ref="L36">IFERROR(_xlfn.STDEV.S(_xlfn._xlws.FILTER($B$34:$B$690,$A$34:$A$690=K36)),0)</f>
        <v>173.24116139070415</v>
      </c>
      <c r="M36" s="3">
        <f t="shared" si="1"/>
        <v>1</v>
      </c>
      <c r="O36" s="61" t="s">
        <v>943</v>
      </c>
      <c r="P36" s="62" cm="1">
        <f t="array" ref="P36">IFERROR(_xlfn.STDEV.S(_xlfn._xlws.FILTER($B$34:$B$690,$A$34:$A$690=O36)),0)</f>
        <v>2.1213203435596424</v>
      </c>
      <c r="Q36" s="3">
        <f t="shared" si="2"/>
        <v>1</v>
      </c>
      <c r="AH36" s="14"/>
      <c r="AI36" s="41"/>
    </row>
    <row r="37" spans="1:35" x14ac:dyDescent="0.35">
      <c r="A37" s="3" t="s">
        <v>376</v>
      </c>
      <c r="B37" s="3">
        <v>106</v>
      </c>
      <c r="C37" s="3" t="s">
        <v>28</v>
      </c>
      <c r="F37" s="61" t="s">
        <v>1249</v>
      </c>
      <c r="G37" s="62" cm="1">
        <f t="array" ref="G37">IFERROR(_xlfn.STDEV.S(_xlfn._xlws.FILTER($B$34:$B$690,$A$34:$A$690=F37)),0)</f>
        <v>3.5355339059327378</v>
      </c>
      <c r="H37" s="3">
        <f t="shared" si="0"/>
        <v>1</v>
      </c>
      <c r="I37" s="51">
        <v>49.5</v>
      </c>
      <c r="K37" s="61" t="s">
        <v>687</v>
      </c>
      <c r="L37" s="62" cm="1">
        <f t="array" ref="L37">IFERROR(_xlfn.STDEV.S(_xlfn._xlws.FILTER($B$34:$B$690,$A$34:$A$690=K37)),0)</f>
        <v>183.14065632731581</v>
      </c>
      <c r="M37" s="3">
        <f t="shared" si="1"/>
        <v>1</v>
      </c>
      <c r="O37" s="61" t="s">
        <v>1249</v>
      </c>
      <c r="P37" s="62" cm="1">
        <f t="array" ref="P37">IFERROR(_xlfn.STDEV.S(_xlfn._xlws.FILTER($B$34:$B$690,$A$34:$A$690=O37)),0)</f>
        <v>3.5355339059327378</v>
      </c>
      <c r="Q37" s="3">
        <f t="shared" si="2"/>
        <v>1</v>
      </c>
      <c r="AH37" s="14"/>
      <c r="AI37" s="41"/>
    </row>
    <row r="38" spans="1:35" x14ac:dyDescent="0.35">
      <c r="A38" s="3" t="s">
        <v>376</v>
      </c>
      <c r="B38" s="3">
        <v>159</v>
      </c>
      <c r="C38" s="3" t="s">
        <v>56</v>
      </c>
      <c r="F38" s="61" t="s">
        <v>1203</v>
      </c>
      <c r="G38" s="62" cm="1">
        <f t="array" ref="G38">IFERROR(_xlfn.STDEV.S(_xlfn._xlws.FILTER($B$34:$B$690,$A$34:$A$690=F38)),0)</f>
        <v>4.9497474683058327</v>
      </c>
      <c r="H38" s="3">
        <f t="shared" si="0"/>
        <v>1</v>
      </c>
      <c r="I38" s="51">
        <v>124.5</v>
      </c>
      <c r="K38" s="61" t="s">
        <v>2496</v>
      </c>
      <c r="L38" s="62" cm="1">
        <f t="array" ref="L38">IFERROR(_xlfn.STDEV.S(_xlfn._xlws.FILTER($B$34:$B$690,$A$34:$A$690=K38)),0)</f>
        <v>189.50461735799473</v>
      </c>
      <c r="M38" s="3">
        <f t="shared" si="1"/>
        <v>1</v>
      </c>
      <c r="O38" s="61" t="s">
        <v>1203</v>
      </c>
      <c r="P38" s="62" cm="1">
        <f t="array" ref="P38">IFERROR(_xlfn.STDEV.S(_xlfn._xlws.FILTER($B$34:$B$690,$A$34:$A$690=O38)),0)</f>
        <v>4.9497474683058327</v>
      </c>
      <c r="Q38" s="3">
        <f t="shared" si="2"/>
        <v>1</v>
      </c>
      <c r="AH38" s="14"/>
      <c r="AI38" s="41"/>
    </row>
    <row r="39" spans="1:35" x14ac:dyDescent="0.35">
      <c r="A39" s="3" t="s">
        <v>2332</v>
      </c>
      <c r="B39" s="3">
        <v>171</v>
      </c>
      <c r="C39" s="3" t="s">
        <v>28</v>
      </c>
      <c r="F39" s="61" t="s">
        <v>1557</v>
      </c>
      <c r="G39" s="62" cm="1">
        <f t="array" ref="G39">IFERROR(_xlfn.STDEV.S(_xlfn._xlws.FILTER($B$34:$B$690,$A$34:$A$690=F39)),0)</f>
        <v>5.6568542494923806</v>
      </c>
      <c r="H39" s="3">
        <f t="shared" si="0"/>
        <v>1</v>
      </c>
      <c r="I39" s="51">
        <v>270</v>
      </c>
      <c r="K39" s="61" t="s">
        <v>161</v>
      </c>
      <c r="L39" s="62" cm="1">
        <f t="array" ref="L39">IFERROR(_xlfn.STDEV.S(_xlfn._xlws.FILTER($B$34:$B$690,$A$34:$A$690=K39)),0)</f>
        <v>190.91883092036784</v>
      </c>
      <c r="M39" s="3">
        <f t="shared" si="1"/>
        <v>1</v>
      </c>
      <c r="O39" s="61" t="s">
        <v>1557</v>
      </c>
      <c r="P39" s="62" cm="1">
        <f t="array" ref="P39">IFERROR(_xlfn.STDEV.S(_xlfn._xlws.FILTER($B$34:$B$690,$A$34:$A$690=O39)),0)</f>
        <v>5.6568542494923806</v>
      </c>
      <c r="Q39" s="3">
        <f t="shared" si="2"/>
        <v>1</v>
      </c>
      <c r="AH39" s="14"/>
      <c r="AI39" s="41"/>
    </row>
    <row r="40" spans="1:35" x14ac:dyDescent="0.35">
      <c r="A40" s="3" t="s">
        <v>2332</v>
      </c>
      <c r="B40" s="3">
        <v>177</v>
      </c>
      <c r="C40" s="3" t="s">
        <v>28</v>
      </c>
      <c r="F40" s="61" t="s">
        <v>343</v>
      </c>
      <c r="G40" s="62" cm="1">
        <f t="array" ref="G40">IFERROR(_xlfn.STDEV.S(_xlfn._xlws.FILTER($B$34:$B$690,$A$34:$A$690=F40)),0)</f>
        <v>5.6568542494923806</v>
      </c>
      <c r="H40" s="3">
        <f t="shared" si="0"/>
        <v>1</v>
      </c>
      <c r="I40" s="51">
        <v>34</v>
      </c>
      <c r="K40" s="61" t="s">
        <v>1073</v>
      </c>
      <c r="L40" s="62" cm="1">
        <f t="array" ref="L40">IFERROR(_xlfn.STDEV.S(_xlfn._xlws.FILTER($B$34:$B$690,$A$34:$A$690=K40)),0)</f>
        <v>204.35385976291224</v>
      </c>
      <c r="M40" s="3">
        <f t="shared" si="1"/>
        <v>1</v>
      </c>
      <c r="O40" s="61" t="s">
        <v>343</v>
      </c>
      <c r="P40" s="62" cm="1">
        <f t="array" ref="P40">IFERROR(_xlfn.STDEV.S(_xlfn._xlws.FILTER($B$34:$B$690,$A$34:$A$690=O40)),0)</f>
        <v>5.6568542494923806</v>
      </c>
      <c r="Q40" s="3">
        <f t="shared" si="2"/>
        <v>1</v>
      </c>
      <c r="AH40" s="14"/>
      <c r="AI40" s="41"/>
    </row>
    <row r="41" spans="1:35" x14ac:dyDescent="0.35">
      <c r="A41" s="3" t="s">
        <v>2332</v>
      </c>
      <c r="B41" s="3">
        <v>42</v>
      </c>
      <c r="C41" s="3" t="s">
        <v>28</v>
      </c>
      <c r="F41" s="61" t="s">
        <v>900</v>
      </c>
      <c r="G41" s="62" cm="1">
        <f t="array" ref="G41">IFERROR(_xlfn.STDEV.S(_xlfn._xlws.FILTER($B$34:$B$690,$A$34:$A$690=F41)),0)</f>
        <v>9.0737717258774673</v>
      </c>
      <c r="H41" s="3">
        <f t="shared" si="0"/>
        <v>1</v>
      </c>
      <c r="I41" s="51">
        <v>113.66666666666667</v>
      </c>
      <c r="K41" s="61" t="s">
        <v>66</v>
      </c>
      <c r="L41" s="62" cm="1">
        <f t="array" ref="L41">IFERROR(_xlfn.STDEV.S(_xlfn._xlws.FILTER($B$34:$B$690,$A$34:$A$690=K41)),0)</f>
        <v>216.37467504308356</v>
      </c>
      <c r="M41" s="3">
        <f t="shared" si="1"/>
        <v>1</v>
      </c>
      <c r="O41" s="61" t="s">
        <v>900</v>
      </c>
      <c r="P41" s="62" cm="1">
        <f t="array" ref="P41">IFERROR(_xlfn.STDEV.S(_xlfn._xlws.FILTER($B$34:$B$690,$A$34:$A$690=O41)),0)</f>
        <v>9.0737717258774673</v>
      </c>
      <c r="Q41" s="3">
        <f t="shared" si="2"/>
        <v>1</v>
      </c>
      <c r="AH41" s="14"/>
      <c r="AI41" s="41"/>
    </row>
    <row r="42" spans="1:35" x14ac:dyDescent="0.35">
      <c r="A42" s="3" t="s">
        <v>1719</v>
      </c>
      <c r="B42" s="3">
        <v>131</v>
      </c>
      <c r="C42" s="3" t="s">
        <v>56</v>
      </c>
      <c r="F42" s="61" t="s">
        <v>2001</v>
      </c>
      <c r="G42" s="62" cm="1">
        <f t="array" ref="G42">IFERROR(_xlfn.STDEV.S(_xlfn._xlws.FILTER($B$34:$B$690,$A$34:$A$690=F42)),0)</f>
        <v>9.535023160258536</v>
      </c>
      <c r="H42" s="3">
        <f t="shared" si="0"/>
        <v>1</v>
      </c>
      <c r="I42" s="51">
        <v>63.75</v>
      </c>
      <c r="K42" s="61" t="s">
        <v>1236</v>
      </c>
      <c r="L42" s="62" cm="1">
        <f t="array" ref="L42">IFERROR(_xlfn.STDEV.S(_xlfn._xlws.FILTER($B$34:$B$690,$A$34:$A$690=K42)),0)</f>
        <v>236.88077169749343</v>
      </c>
      <c r="M42" s="3">
        <f t="shared" si="1"/>
        <v>1</v>
      </c>
      <c r="O42" s="61" t="s">
        <v>2001</v>
      </c>
      <c r="P42" s="62" cm="1">
        <f t="array" ref="P42">IFERROR(_xlfn.STDEV.S(_xlfn._xlws.FILTER($B$34:$B$690,$A$34:$A$690=O42)),0)</f>
        <v>9.535023160258536</v>
      </c>
      <c r="Q42" s="3">
        <f t="shared" si="2"/>
        <v>1</v>
      </c>
      <c r="AH42" s="14"/>
      <c r="AI42" s="41"/>
    </row>
    <row r="43" spans="1:35" x14ac:dyDescent="0.35">
      <c r="A43" s="3" t="s">
        <v>1719</v>
      </c>
      <c r="B43" s="3">
        <v>105</v>
      </c>
      <c r="C43" s="3" t="s">
        <v>28</v>
      </c>
      <c r="F43" s="61" t="s">
        <v>1550</v>
      </c>
      <c r="G43" s="62" cm="1">
        <f t="array" ref="G43">IFERROR(_xlfn.STDEV.S(_xlfn._xlws.FILTER($B$34:$B$690,$A$34:$A$690=F43)),0)</f>
        <v>10.606601717798213</v>
      </c>
      <c r="H43" s="3">
        <f t="shared" si="0"/>
        <v>1</v>
      </c>
      <c r="I43" s="51">
        <v>62.5</v>
      </c>
      <c r="K43" s="61" t="s">
        <v>429</v>
      </c>
      <c r="L43" s="62" cm="1">
        <f t="array" ref="L43">IFERROR(_xlfn.STDEV.S(_xlfn._xlws.FILTER($B$34:$B$690,$A$34:$A$690=K43)),0)</f>
        <v>244.65894629054543</v>
      </c>
      <c r="M43" s="3">
        <f t="shared" si="1"/>
        <v>1</v>
      </c>
      <c r="O43" s="61" t="s">
        <v>1550</v>
      </c>
      <c r="P43" s="62" cm="1">
        <f t="array" ref="P43">IFERROR(_xlfn.STDEV.S(_xlfn._xlws.FILTER($B$34:$B$690,$A$34:$A$690=O43)),0)</f>
        <v>10.606601717798213</v>
      </c>
      <c r="Q43" s="3">
        <f t="shared" si="2"/>
        <v>1</v>
      </c>
      <c r="AH43" s="14"/>
      <c r="AI43" s="41"/>
    </row>
    <row r="44" spans="1:35" x14ac:dyDescent="0.35">
      <c r="A44" s="3" t="s">
        <v>1719</v>
      </c>
      <c r="B44" s="3">
        <v>41</v>
      </c>
      <c r="C44" s="3" t="s">
        <v>28</v>
      </c>
      <c r="F44" s="61" t="s">
        <v>620</v>
      </c>
      <c r="G44" s="62" cm="1">
        <f t="array" ref="G44">IFERROR(_xlfn.STDEV.S(_xlfn._xlws.FILTER($B$34:$B$690,$A$34:$A$690=F44)),0)</f>
        <v>11.313708498984761</v>
      </c>
      <c r="H44" s="3">
        <f t="shared" si="0"/>
        <v>1</v>
      </c>
      <c r="I44" s="51">
        <v>70</v>
      </c>
      <c r="AH44" s="14"/>
      <c r="AI44" s="41"/>
    </row>
    <row r="45" spans="1:35" x14ac:dyDescent="0.35">
      <c r="A45" s="3" t="s">
        <v>308</v>
      </c>
      <c r="B45" s="3">
        <v>227</v>
      </c>
      <c r="C45" s="3" t="s">
        <v>28</v>
      </c>
      <c r="F45" s="61" t="s">
        <v>770</v>
      </c>
      <c r="G45" s="62" cm="1">
        <f t="array" ref="G45">IFERROR(_xlfn.STDEV.S(_xlfn._xlws.FILTER($B$34:$B$690,$A$34:$A$690=F45)),0)</f>
        <v>11.313708498984761</v>
      </c>
      <c r="H45" s="3">
        <f t="shared" si="0"/>
        <v>1</v>
      </c>
      <c r="I45" s="51">
        <v>22</v>
      </c>
      <c r="AH45" s="14"/>
      <c r="AI45" s="41"/>
    </row>
    <row r="46" spans="1:35" x14ac:dyDescent="0.35">
      <c r="A46" s="3" t="s">
        <v>308</v>
      </c>
      <c r="B46" s="3">
        <v>118</v>
      </c>
      <c r="C46" s="3" t="s">
        <v>56</v>
      </c>
      <c r="F46" s="61" t="s">
        <v>1479</v>
      </c>
      <c r="G46" s="62" cm="1">
        <f t="array" ref="G46">IFERROR(_xlfn.STDEV.S(_xlfn._xlws.FILTER($B$34:$B$690,$A$34:$A$690=F46)),0)</f>
        <v>12.727922061357855</v>
      </c>
      <c r="H46" s="3">
        <f t="shared" si="0"/>
        <v>1</v>
      </c>
      <c r="I46" s="51">
        <v>86</v>
      </c>
      <c r="AH46" s="14"/>
      <c r="AI46" s="41"/>
    </row>
    <row r="47" spans="1:35" x14ac:dyDescent="0.35">
      <c r="A47" s="3" t="s">
        <v>725</v>
      </c>
      <c r="B47" s="3">
        <v>275</v>
      </c>
      <c r="C47" s="3" t="s">
        <v>56</v>
      </c>
      <c r="F47" s="61" t="s">
        <v>1465</v>
      </c>
      <c r="G47" s="62" cm="1">
        <f t="array" ref="G47">IFERROR(_xlfn.STDEV.S(_xlfn._xlws.FILTER($B$34:$B$690,$A$34:$A$690=F47)),0)</f>
        <v>12.727922061357855</v>
      </c>
      <c r="H47" s="3">
        <f t="shared" si="0"/>
        <v>1</v>
      </c>
      <c r="I47" s="51">
        <v>23</v>
      </c>
      <c r="AH47" s="14"/>
      <c r="AI47" s="41"/>
    </row>
    <row r="48" spans="1:35" x14ac:dyDescent="0.35">
      <c r="A48" s="3" t="s">
        <v>725</v>
      </c>
      <c r="B48" s="3">
        <v>67</v>
      </c>
      <c r="C48" s="3" t="s">
        <v>56</v>
      </c>
      <c r="F48" s="61" t="s">
        <v>289</v>
      </c>
      <c r="G48" s="62" cm="1">
        <f t="array" ref="G48">IFERROR(_xlfn.STDEV.S(_xlfn._xlws.FILTER($B$34:$B$690,$A$34:$A$690=F48)),0)</f>
        <v>14.849242404917497</v>
      </c>
      <c r="H48" s="3">
        <f t="shared" si="0"/>
        <v>1</v>
      </c>
      <c r="I48" s="51">
        <v>196.5</v>
      </c>
      <c r="AH48" s="14"/>
      <c r="AI48" s="41"/>
    </row>
    <row r="49" spans="1:35" x14ac:dyDescent="0.35">
      <c r="A49" s="3" t="s">
        <v>2163</v>
      </c>
      <c r="B49" s="3">
        <v>219</v>
      </c>
      <c r="C49" s="3" t="s">
        <v>28</v>
      </c>
      <c r="F49" s="61" t="s">
        <v>38</v>
      </c>
      <c r="G49" s="62" cm="1">
        <f t="array" ref="G49">IFERROR(_xlfn.STDEV.S(_xlfn._xlws.FILTER($B$34:$B$690,$A$34:$A$690=F49)),0)</f>
        <v>16.093476939431081</v>
      </c>
      <c r="H49" s="3">
        <f t="shared" si="0"/>
        <v>1</v>
      </c>
      <c r="I49" s="51">
        <v>27</v>
      </c>
      <c r="AH49" s="14"/>
      <c r="AI49" s="41"/>
    </row>
    <row r="50" spans="1:35" x14ac:dyDescent="0.35">
      <c r="A50" s="3" t="s">
        <v>38</v>
      </c>
      <c r="B50" s="3">
        <v>10</v>
      </c>
      <c r="C50" s="3" t="s">
        <v>28</v>
      </c>
      <c r="F50" s="61" t="s">
        <v>2112</v>
      </c>
      <c r="G50" s="62" cm="1">
        <f t="array" ref="G50">IFERROR(_xlfn.STDEV.S(_xlfn._xlws.FILTER($B$34:$B$690,$A$34:$A$690=F50)),0)</f>
        <v>16.263455967290593</v>
      </c>
      <c r="H50" s="3">
        <f t="shared" si="0"/>
        <v>1</v>
      </c>
      <c r="I50" s="51">
        <v>48.5</v>
      </c>
      <c r="AH50" s="14"/>
      <c r="AI50" s="41"/>
    </row>
    <row r="51" spans="1:35" x14ac:dyDescent="0.35">
      <c r="A51" s="3" t="s">
        <v>38</v>
      </c>
      <c r="B51" s="3">
        <v>42</v>
      </c>
      <c r="C51" s="3" t="s">
        <v>56</v>
      </c>
      <c r="F51" s="61" t="s">
        <v>176</v>
      </c>
      <c r="G51" s="62" cm="1">
        <f t="array" ref="G51">IFERROR(_xlfn.STDEV.S(_xlfn._xlws.FILTER($B$34:$B$690,$A$34:$A$690=F51)),0)</f>
        <v>16.289055630494158</v>
      </c>
      <c r="H51" s="3">
        <f t="shared" si="0"/>
        <v>1</v>
      </c>
      <c r="I51" s="51">
        <v>186.33333333333334</v>
      </c>
      <c r="AH51" s="14"/>
      <c r="AI51" s="41"/>
    </row>
    <row r="52" spans="1:35" x14ac:dyDescent="0.35">
      <c r="A52" s="3" t="s">
        <v>38</v>
      </c>
      <c r="B52" s="3">
        <v>29</v>
      </c>
      <c r="C52" s="3" t="s">
        <v>56</v>
      </c>
      <c r="F52" s="61" t="s">
        <v>81</v>
      </c>
      <c r="G52" s="62" cm="1">
        <f t="array" ref="G52">IFERROR(_xlfn.STDEV.S(_xlfn._xlws.FILTER($B$34:$B$690,$A$34:$A$690=F52)),0)</f>
        <v>18.027756377319946</v>
      </c>
      <c r="H52" s="3">
        <f t="shared" si="0"/>
        <v>1</v>
      </c>
      <c r="I52" s="51">
        <v>91</v>
      </c>
      <c r="AH52" s="14"/>
      <c r="AI52" s="41"/>
    </row>
    <row r="53" spans="1:35" x14ac:dyDescent="0.35">
      <c r="A53" s="3" t="s">
        <v>952</v>
      </c>
      <c r="B53" s="3">
        <v>13</v>
      </c>
      <c r="C53" s="3" t="s">
        <v>56</v>
      </c>
      <c r="F53" s="61" t="s">
        <v>61</v>
      </c>
      <c r="G53" s="62" cm="1">
        <f t="array" ref="G53">IFERROR(_xlfn.STDEV.S(_xlfn._xlws.FILTER($B$34:$B$690,$A$34:$A$690=F53)),0)</f>
        <v>18.384776310850235</v>
      </c>
      <c r="H53" s="3">
        <f t="shared" si="0"/>
        <v>1</v>
      </c>
      <c r="I53" s="51">
        <v>16</v>
      </c>
      <c r="AH53" s="14"/>
      <c r="AI53" s="41"/>
    </row>
    <row r="54" spans="1:35" x14ac:dyDescent="0.35">
      <c r="A54" s="3" t="s">
        <v>952</v>
      </c>
      <c r="B54" s="3">
        <v>85</v>
      </c>
      <c r="C54" s="3" t="s">
        <v>56</v>
      </c>
      <c r="F54" s="61" t="s">
        <v>989</v>
      </c>
      <c r="G54" s="62" cm="1">
        <f t="array" ref="G54">IFERROR(_xlfn.STDEV.S(_xlfn._xlws.FILTER($B$34:$B$690,$A$34:$A$690=F54)),0)</f>
        <v>19.091883092036785</v>
      </c>
      <c r="H54" s="3">
        <f t="shared" si="0"/>
        <v>1</v>
      </c>
      <c r="I54" s="51">
        <v>196.5</v>
      </c>
      <c r="AH54" s="14"/>
      <c r="AI54" s="41"/>
    </row>
    <row r="55" spans="1:35" x14ac:dyDescent="0.35">
      <c r="A55" s="3" t="s">
        <v>1105</v>
      </c>
      <c r="B55" s="3">
        <v>55</v>
      </c>
      <c r="C55" s="3" t="s">
        <v>56</v>
      </c>
      <c r="F55" s="61" t="s">
        <v>578</v>
      </c>
      <c r="G55" s="62" cm="1">
        <f t="array" ref="G55">IFERROR(_xlfn.STDEV.S(_xlfn._xlws.FILTER($B$34:$B$690,$A$34:$A$690=F55)),0)</f>
        <v>19.313207915827967</v>
      </c>
      <c r="H55" s="3">
        <f t="shared" si="0"/>
        <v>1</v>
      </c>
      <c r="I55" s="51">
        <v>104</v>
      </c>
      <c r="AH55" s="14"/>
      <c r="AI55" s="41"/>
    </row>
    <row r="56" spans="1:35" x14ac:dyDescent="0.35">
      <c r="A56" s="3" t="s">
        <v>1127</v>
      </c>
      <c r="B56" s="3">
        <v>111</v>
      </c>
      <c r="C56" s="3" t="s">
        <v>56</v>
      </c>
      <c r="F56" s="61" t="s">
        <v>608</v>
      </c>
      <c r="G56" s="62" cm="1">
        <f t="array" ref="G56">IFERROR(_xlfn.STDEV.S(_xlfn._xlws.FILTER($B$34:$B$690,$A$34:$A$690=F56)),0)</f>
        <v>20.506096654409877</v>
      </c>
      <c r="H56" s="3">
        <f t="shared" si="0"/>
        <v>1</v>
      </c>
      <c r="I56" s="51">
        <v>189.5</v>
      </c>
      <c r="AH56" s="14"/>
      <c r="AI56" s="41"/>
    </row>
    <row r="57" spans="1:35" x14ac:dyDescent="0.35">
      <c r="A57" s="3" t="s">
        <v>1127</v>
      </c>
      <c r="B57" s="3">
        <v>64</v>
      </c>
      <c r="C57" s="3" t="s">
        <v>28</v>
      </c>
      <c r="F57" s="61" t="s">
        <v>532</v>
      </c>
      <c r="G57" s="62" cm="1">
        <f t="array" ref="G57">IFERROR(_xlfn.STDEV.S(_xlfn._xlws.FILTER($B$34:$B$690,$A$34:$A$690=F57)),0)</f>
        <v>21.920310216782973</v>
      </c>
      <c r="H57" s="3">
        <f t="shared" si="0"/>
        <v>1</v>
      </c>
      <c r="I57" s="51">
        <v>76.5</v>
      </c>
      <c r="AH57" s="14"/>
      <c r="AI57" s="41"/>
    </row>
    <row r="58" spans="1:35" x14ac:dyDescent="0.35">
      <c r="A58" s="3" t="s">
        <v>1127</v>
      </c>
      <c r="B58" s="3">
        <v>239</v>
      </c>
      <c r="C58" s="3" t="s">
        <v>28</v>
      </c>
      <c r="F58" s="61" t="s">
        <v>933</v>
      </c>
      <c r="G58" s="62" cm="1">
        <f t="array" ref="G58">IFERROR(_xlfn.STDEV.S(_xlfn._xlws.FILTER($B$34:$B$690,$A$34:$A$690=F58)),0)</f>
        <v>21.920310216782973</v>
      </c>
      <c r="H58" s="3">
        <f t="shared" si="0"/>
        <v>1</v>
      </c>
      <c r="I58" s="51">
        <v>158.5</v>
      </c>
      <c r="AH58" s="14"/>
      <c r="AI58" s="41"/>
    </row>
    <row r="59" spans="1:35" x14ac:dyDescent="0.35">
      <c r="A59" s="3" t="s">
        <v>1127</v>
      </c>
      <c r="B59" s="3">
        <v>185</v>
      </c>
      <c r="C59" s="3" t="s">
        <v>28</v>
      </c>
      <c r="F59" s="61" t="s">
        <v>2542</v>
      </c>
      <c r="G59" s="62" cm="1">
        <f t="array" ref="G59">IFERROR(_xlfn.STDEV.S(_xlfn._xlws.FILTER($B$34:$B$690,$A$34:$A$690=F59)),0)</f>
        <v>22.627416997969522</v>
      </c>
      <c r="H59" s="3">
        <f t="shared" si="0"/>
        <v>1</v>
      </c>
      <c r="I59" s="51">
        <v>58</v>
      </c>
      <c r="AH59" s="14"/>
      <c r="AI59" s="41"/>
    </row>
    <row r="60" spans="1:35" x14ac:dyDescent="0.35">
      <c r="A60" s="3" t="s">
        <v>1127</v>
      </c>
      <c r="B60" s="3">
        <v>15</v>
      </c>
      <c r="C60" s="3" t="s">
        <v>56</v>
      </c>
      <c r="F60" s="61" t="s">
        <v>478</v>
      </c>
      <c r="G60" s="62" cm="1">
        <f t="array" ref="G60">IFERROR(_xlfn.STDEV.S(_xlfn._xlws.FILTER($B$34:$B$690,$A$34:$A$690=F60)),0)</f>
        <v>22.627416997969522</v>
      </c>
      <c r="H60" s="3">
        <f t="shared" si="0"/>
        <v>1</v>
      </c>
      <c r="I60" s="51">
        <v>153</v>
      </c>
      <c r="AH60" s="14"/>
      <c r="AI60" s="41"/>
    </row>
    <row r="61" spans="1:35" x14ac:dyDescent="0.35">
      <c r="A61" s="3" t="s">
        <v>1127</v>
      </c>
      <c r="B61" s="3">
        <v>41</v>
      </c>
      <c r="C61" s="3" t="s">
        <v>56</v>
      </c>
      <c r="F61" s="61" t="s">
        <v>2167</v>
      </c>
      <c r="G61" s="62" cm="1">
        <f t="array" ref="G61">IFERROR(_xlfn.STDEV.S(_xlfn._xlws.FILTER($B$34:$B$690,$A$34:$A$690=F61)),0)</f>
        <v>23.334523779156068</v>
      </c>
      <c r="H61" s="3">
        <f t="shared" si="0"/>
        <v>1</v>
      </c>
      <c r="I61" s="51">
        <v>198.5</v>
      </c>
      <c r="AH61" s="14"/>
      <c r="AI61" s="41"/>
    </row>
    <row r="62" spans="1:35" x14ac:dyDescent="0.35">
      <c r="A62" s="3" t="s">
        <v>1058</v>
      </c>
      <c r="B62" s="3">
        <v>127</v>
      </c>
      <c r="C62" s="3" t="s">
        <v>28</v>
      </c>
      <c r="F62" s="61" t="s">
        <v>26</v>
      </c>
      <c r="G62" s="62" cm="1">
        <f t="array" ref="G62">IFERROR(_xlfn.STDEV.S(_xlfn._xlws.FILTER($B$34:$B$690,$A$34:$A$690=F62)),0)</f>
        <v>23.713568549109894</v>
      </c>
      <c r="H62" s="3">
        <f t="shared" si="0"/>
        <v>1</v>
      </c>
      <c r="I62" s="51">
        <v>74.333333333333329</v>
      </c>
      <c r="AH62" s="14"/>
      <c r="AI62" s="41"/>
    </row>
    <row r="63" spans="1:35" x14ac:dyDescent="0.35">
      <c r="A63" s="3" t="s">
        <v>1058</v>
      </c>
      <c r="B63" s="3">
        <v>21</v>
      </c>
      <c r="C63" s="3" t="s">
        <v>28</v>
      </c>
      <c r="F63" s="61" t="s">
        <v>92</v>
      </c>
      <c r="G63" s="62" cm="1">
        <f t="array" ref="G63">IFERROR(_xlfn.STDEV.S(_xlfn._xlws.FILTER($B$34:$B$690,$A$34:$A$690=F63)),0)</f>
        <v>24.041630560342615</v>
      </c>
      <c r="H63" s="3">
        <f t="shared" si="0"/>
        <v>1</v>
      </c>
      <c r="I63" s="51">
        <v>151</v>
      </c>
      <c r="AH63" s="14"/>
      <c r="AI63" s="41"/>
    </row>
    <row r="64" spans="1:35" x14ac:dyDescent="0.35">
      <c r="A64" s="3" t="s">
        <v>117</v>
      </c>
      <c r="B64" s="3">
        <v>61</v>
      </c>
      <c r="C64" s="3" t="s">
        <v>28</v>
      </c>
      <c r="F64" s="61" t="s">
        <v>922</v>
      </c>
      <c r="G64" s="62" cm="1">
        <f t="array" ref="G64">IFERROR(_xlfn.STDEV.S(_xlfn._xlws.FILTER($B$34:$B$690,$A$34:$A$690=F64)),0)</f>
        <v>27.873224906111361</v>
      </c>
      <c r="H64" s="3">
        <f t="shared" si="0"/>
        <v>1</v>
      </c>
      <c r="I64" s="51">
        <v>76.25</v>
      </c>
      <c r="AH64" s="14"/>
      <c r="AI64" s="41"/>
    </row>
    <row r="65" spans="1:35" x14ac:dyDescent="0.35">
      <c r="A65" s="3" t="s">
        <v>117</v>
      </c>
      <c r="B65" s="3">
        <v>134</v>
      </c>
      <c r="C65" s="3" t="s">
        <v>28</v>
      </c>
      <c r="F65" s="61" t="s">
        <v>504</v>
      </c>
      <c r="G65" s="62" cm="1">
        <f t="array" ref="G65">IFERROR(_xlfn.STDEV.S(_xlfn._xlws.FILTER($B$34:$B$690,$A$34:$A$690=F65)),0)</f>
        <v>28.023799409311607</v>
      </c>
      <c r="H65" s="3">
        <f t="shared" si="0"/>
        <v>1</v>
      </c>
      <c r="I65" s="51">
        <v>45.333333333333336</v>
      </c>
      <c r="AH65" s="14"/>
      <c r="AI65" s="41"/>
    </row>
    <row r="66" spans="1:35" x14ac:dyDescent="0.35">
      <c r="A66" s="3" t="s">
        <v>1812</v>
      </c>
      <c r="B66" s="3">
        <v>65</v>
      </c>
      <c r="C66" s="3" t="s">
        <v>56</v>
      </c>
      <c r="F66" s="61" t="s">
        <v>372</v>
      </c>
      <c r="G66" s="62" cm="1">
        <f t="array" ref="G66">IFERROR(_xlfn.STDEV.S(_xlfn._xlws.FILTER($B$34:$B$690,$A$34:$A$690=F66)),0)</f>
        <v>30.405591591021544</v>
      </c>
      <c r="H66" s="3">
        <f t="shared" ref="H66:H97" si="3">IF(G66&gt;0,1,0)</f>
        <v>1</v>
      </c>
      <c r="I66" s="51">
        <v>25.5</v>
      </c>
      <c r="AH66" s="14"/>
      <c r="AI66" s="41"/>
    </row>
    <row r="67" spans="1:35" x14ac:dyDescent="0.35">
      <c r="A67" s="3" t="s">
        <v>1812</v>
      </c>
      <c r="B67" s="3">
        <v>14</v>
      </c>
      <c r="C67" s="3" t="s">
        <v>28</v>
      </c>
      <c r="F67" s="61" t="s">
        <v>2233</v>
      </c>
      <c r="G67" s="62" cm="1">
        <f t="array" ref="G67">IFERROR(_xlfn.STDEV.S(_xlfn._xlws.FILTER($B$34:$B$690,$A$34:$A$690=F67)),0)</f>
        <v>32.526911934581186</v>
      </c>
      <c r="H67" s="3">
        <f t="shared" si="3"/>
        <v>1</v>
      </c>
      <c r="I67" s="51">
        <v>171</v>
      </c>
      <c r="AH67" s="14"/>
      <c r="AI67" s="41"/>
    </row>
    <row r="68" spans="1:35" x14ac:dyDescent="0.35">
      <c r="A68" s="3" t="s">
        <v>289</v>
      </c>
      <c r="B68" s="3">
        <v>207</v>
      </c>
      <c r="C68" s="3" t="s">
        <v>56</v>
      </c>
      <c r="F68" s="61" t="s">
        <v>588</v>
      </c>
      <c r="G68" s="62" cm="1">
        <f t="array" ref="G68">IFERROR(_xlfn.STDEV.S(_xlfn._xlws.FILTER($B$34:$B$690,$A$34:$A$690=F68)),0)</f>
        <v>32.62412195497884</v>
      </c>
      <c r="H68" s="3">
        <f t="shared" si="3"/>
        <v>1</v>
      </c>
      <c r="I68" s="51">
        <v>140.66666666666666</v>
      </c>
      <c r="AH68" s="14"/>
      <c r="AI68" s="41"/>
    </row>
    <row r="69" spans="1:35" x14ac:dyDescent="0.35">
      <c r="A69" s="3" t="s">
        <v>289</v>
      </c>
      <c r="B69" s="3">
        <v>186</v>
      </c>
      <c r="C69" s="3" t="s">
        <v>28</v>
      </c>
      <c r="F69" s="61" t="s">
        <v>364</v>
      </c>
      <c r="G69" s="62" cm="1">
        <f t="array" ref="G69">IFERROR(_xlfn.STDEV.S(_xlfn._xlws.FILTER($B$34:$B$690,$A$34:$A$690=F69)),0)</f>
        <v>33.126021996812916</v>
      </c>
      <c r="H69" s="3">
        <f t="shared" si="3"/>
        <v>1</v>
      </c>
      <c r="I69" s="51">
        <v>68.333333333333329</v>
      </c>
      <c r="AH69" s="14"/>
      <c r="AI69" s="41"/>
    </row>
    <row r="70" spans="1:35" x14ac:dyDescent="0.35">
      <c r="A70" s="3" t="s">
        <v>33</v>
      </c>
      <c r="B70" s="3">
        <v>45</v>
      </c>
      <c r="C70" s="3" t="s">
        <v>28</v>
      </c>
      <c r="F70" s="61" t="s">
        <v>513</v>
      </c>
      <c r="G70" s="62" cm="1">
        <f t="array" ref="G70">IFERROR(_xlfn.STDEV.S(_xlfn._xlws.FILTER($B$34:$B$690,$A$34:$A$690=F70)),0)</f>
        <v>33.941125496954278</v>
      </c>
      <c r="H70" s="3">
        <f t="shared" si="3"/>
        <v>1</v>
      </c>
      <c r="I70" s="51">
        <v>287</v>
      </c>
      <c r="AH70" s="14"/>
      <c r="AI70" s="41"/>
    </row>
    <row r="71" spans="1:35" x14ac:dyDescent="0.35">
      <c r="A71" s="3" t="s">
        <v>33</v>
      </c>
      <c r="B71" s="3">
        <v>6</v>
      </c>
      <c r="C71" s="3" t="s">
        <v>56</v>
      </c>
      <c r="F71" s="61" t="s">
        <v>972</v>
      </c>
      <c r="G71" s="62" cm="1">
        <f t="array" ref="G71">IFERROR(_xlfn.STDEV.S(_xlfn._xlws.FILTER($B$34:$B$690,$A$34:$A$690=F71)),0)</f>
        <v>34.559128075420723</v>
      </c>
      <c r="H71" s="3">
        <f t="shared" si="3"/>
        <v>1</v>
      </c>
      <c r="I71" s="51">
        <v>62.666666666666664</v>
      </c>
      <c r="AH71" s="14"/>
      <c r="AI71" s="41"/>
    </row>
    <row r="72" spans="1:35" x14ac:dyDescent="0.35">
      <c r="A72" s="3" t="s">
        <v>33</v>
      </c>
      <c r="B72" s="3">
        <v>272</v>
      </c>
      <c r="C72" s="3" t="s">
        <v>28</v>
      </c>
      <c r="F72" s="61" t="s">
        <v>1812</v>
      </c>
      <c r="G72" s="62" cm="1">
        <f t="array" ref="G72">IFERROR(_xlfn.STDEV.S(_xlfn._xlws.FILTER($B$34:$B$690,$A$34:$A$690=F72)),0)</f>
        <v>36.062445840513924</v>
      </c>
      <c r="H72" s="3">
        <f t="shared" si="3"/>
        <v>1</v>
      </c>
      <c r="I72" s="51">
        <v>39.5</v>
      </c>
      <c r="AH72" s="14"/>
      <c r="AI72" s="41"/>
    </row>
    <row r="73" spans="1:35" x14ac:dyDescent="0.35">
      <c r="A73" s="3" t="s">
        <v>682</v>
      </c>
      <c r="B73" s="3">
        <v>179</v>
      </c>
      <c r="C73" s="3" t="s">
        <v>56</v>
      </c>
      <c r="F73" s="61" t="s">
        <v>48</v>
      </c>
      <c r="G73" s="62" cm="1">
        <f t="array" ref="G73">IFERROR(_xlfn.STDEV.S(_xlfn._xlws.FILTER($B$34:$B$690,$A$34:$A$690=F73)),0)</f>
        <v>36.062445840513924</v>
      </c>
      <c r="H73" s="3">
        <f t="shared" si="3"/>
        <v>1</v>
      </c>
      <c r="I73" s="51">
        <v>123.5</v>
      </c>
      <c r="AH73" s="14"/>
      <c r="AI73" s="41"/>
    </row>
    <row r="74" spans="1:35" x14ac:dyDescent="0.35">
      <c r="A74" s="3" t="s">
        <v>682</v>
      </c>
      <c r="B74" s="3">
        <v>293</v>
      </c>
      <c r="C74" s="3" t="s">
        <v>56</v>
      </c>
      <c r="F74" s="61" t="s">
        <v>226</v>
      </c>
      <c r="G74" s="62" cm="1">
        <f t="array" ref="G74">IFERROR(_xlfn.STDEV.S(_xlfn._xlws.FILTER($B$34:$B$690,$A$34:$A$690=F74)),0)</f>
        <v>36.062445840513924</v>
      </c>
      <c r="H74" s="3">
        <f t="shared" si="3"/>
        <v>1</v>
      </c>
      <c r="I74" s="51">
        <v>108.5</v>
      </c>
      <c r="AH74" s="14"/>
      <c r="AI74" s="41"/>
    </row>
    <row r="75" spans="1:35" x14ac:dyDescent="0.35">
      <c r="A75" s="3" t="s">
        <v>107</v>
      </c>
      <c r="B75" s="3">
        <v>45</v>
      </c>
      <c r="C75" s="3" t="s">
        <v>28</v>
      </c>
      <c r="F75" s="61" t="s">
        <v>376</v>
      </c>
      <c r="G75" s="62" cm="1">
        <f t="array" ref="G75">IFERROR(_xlfn.STDEV.S(_xlfn._xlws.FILTER($B$34:$B$690,$A$34:$A$690=F75)),0)</f>
        <v>37.476659402887016</v>
      </c>
      <c r="H75" s="3">
        <f t="shared" si="3"/>
        <v>1</v>
      </c>
      <c r="I75" s="51">
        <v>132.5</v>
      </c>
      <c r="AH75" s="14"/>
      <c r="AI75" s="41"/>
    </row>
    <row r="76" spans="1:35" x14ac:dyDescent="0.35">
      <c r="A76" s="3" t="s">
        <v>107</v>
      </c>
      <c r="B76" s="3">
        <v>111</v>
      </c>
      <c r="C76" s="3" t="s">
        <v>28</v>
      </c>
      <c r="F76" s="61" t="s">
        <v>147</v>
      </c>
      <c r="G76" s="62" cm="1">
        <f t="array" ref="G76">IFERROR(_xlfn.STDEV.S(_xlfn._xlws.FILTER($B$34:$B$690,$A$34:$A$690=F76)),0)</f>
        <v>37.476659402887016</v>
      </c>
      <c r="H76" s="3">
        <f t="shared" si="3"/>
        <v>1</v>
      </c>
      <c r="I76" s="51">
        <v>97.5</v>
      </c>
      <c r="AH76" s="14"/>
      <c r="AI76" s="41"/>
    </row>
    <row r="77" spans="1:35" x14ac:dyDescent="0.35">
      <c r="A77" s="3" t="s">
        <v>107</v>
      </c>
      <c r="B77" s="3">
        <v>127</v>
      </c>
      <c r="C77" s="3" t="s">
        <v>56</v>
      </c>
      <c r="F77" s="61" t="s">
        <v>1207</v>
      </c>
      <c r="G77" s="62" cm="1">
        <f t="array" ref="G77">IFERROR(_xlfn.STDEV.S(_xlfn._xlws.FILTER($B$34:$B$690,$A$34:$A$690=F77)),0)</f>
        <v>38.47510017314228</v>
      </c>
      <c r="H77" s="3">
        <f t="shared" si="3"/>
        <v>1</v>
      </c>
      <c r="I77" s="51">
        <v>61.666666666666664</v>
      </c>
      <c r="AH77" s="14"/>
      <c r="AI77" s="41"/>
    </row>
    <row r="78" spans="1:35" x14ac:dyDescent="0.35">
      <c r="A78" s="3" t="s">
        <v>3358</v>
      </c>
      <c r="B78" s="3">
        <v>8</v>
      </c>
      <c r="C78" s="3" t="s">
        <v>56</v>
      </c>
      <c r="F78" s="61" t="s">
        <v>670</v>
      </c>
      <c r="G78" s="62" cm="1">
        <f t="array" ref="G78">IFERROR(_xlfn.STDEV.S(_xlfn._xlws.FILTER($B$34:$B$690,$A$34:$A$690=F78)),0)</f>
        <v>38.890872965260115</v>
      </c>
      <c r="H78" s="3">
        <f t="shared" si="3"/>
        <v>1</v>
      </c>
      <c r="I78" s="51">
        <v>106.5</v>
      </c>
      <c r="AH78" s="14"/>
      <c r="AI78" s="41"/>
    </row>
    <row r="79" spans="1:35" x14ac:dyDescent="0.35">
      <c r="A79" s="3" t="s">
        <v>545</v>
      </c>
      <c r="B79" s="3">
        <v>21</v>
      </c>
      <c r="C79" s="3" t="s">
        <v>28</v>
      </c>
      <c r="F79" s="61" t="s">
        <v>782</v>
      </c>
      <c r="G79" s="62" cm="1">
        <f t="array" ref="G79">IFERROR(_xlfn.STDEV.S(_xlfn._xlws.FILTER($B$34:$B$690,$A$34:$A$690=F79)),0)</f>
        <v>41.012193308819754</v>
      </c>
      <c r="H79" s="3">
        <f t="shared" si="3"/>
        <v>1</v>
      </c>
      <c r="I79" s="51">
        <v>91</v>
      </c>
      <c r="AH79" s="14"/>
      <c r="AI79" s="41"/>
    </row>
    <row r="80" spans="1:35" x14ac:dyDescent="0.35">
      <c r="A80" s="3" t="s">
        <v>277</v>
      </c>
      <c r="B80" s="3">
        <v>296</v>
      </c>
      <c r="C80" s="3" t="s">
        <v>56</v>
      </c>
      <c r="F80" s="61" t="s">
        <v>2652</v>
      </c>
      <c r="G80" s="62" cm="1">
        <f t="array" ref="G80">IFERROR(_xlfn.STDEV.S(_xlfn._xlws.FILTER($B$34:$B$690,$A$34:$A$690=F80)),0)</f>
        <v>41.012193308819754</v>
      </c>
      <c r="H80" s="3">
        <f t="shared" si="3"/>
        <v>1</v>
      </c>
      <c r="I80" s="51">
        <v>153</v>
      </c>
      <c r="AH80" s="14"/>
      <c r="AI80" s="41"/>
    </row>
    <row r="81" spans="1:35" x14ac:dyDescent="0.35">
      <c r="A81" s="3" t="s">
        <v>277</v>
      </c>
      <c r="B81" s="3">
        <v>36</v>
      </c>
      <c r="C81" s="3" t="s">
        <v>28</v>
      </c>
      <c r="F81" s="61" t="s">
        <v>904</v>
      </c>
      <c r="G81" s="62" cm="1">
        <f t="array" ref="G81">IFERROR(_xlfn.STDEV.S(_xlfn._xlws.FILTER($B$34:$B$690,$A$34:$A$690=F81)),0)</f>
        <v>41.719300090006307</v>
      </c>
      <c r="H81" s="3">
        <f t="shared" si="3"/>
        <v>1</v>
      </c>
      <c r="I81" s="51">
        <v>193.5</v>
      </c>
      <c r="AH81" s="14"/>
      <c r="AI81" s="41"/>
    </row>
    <row r="82" spans="1:35" x14ac:dyDescent="0.35">
      <c r="A82" s="3" t="s">
        <v>277</v>
      </c>
      <c r="B82" s="3">
        <v>74</v>
      </c>
      <c r="C82" s="3" t="s">
        <v>28</v>
      </c>
      <c r="F82" s="61" t="s">
        <v>128</v>
      </c>
      <c r="G82" s="62" cm="1">
        <f t="array" ref="G82">IFERROR(_xlfn.STDEV.S(_xlfn._xlws.FILTER($B$34:$B$690,$A$34:$A$690=F82)),0)</f>
        <v>43.133513652379399</v>
      </c>
      <c r="H82" s="3">
        <f t="shared" si="3"/>
        <v>1</v>
      </c>
      <c r="I82" s="51">
        <v>107.5</v>
      </c>
      <c r="AH82" s="14"/>
      <c r="AI82" s="41"/>
    </row>
    <row r="83" spans="1:35" x14ac:dyDescent="0.35">
      <c r="A83" s="3" t="s">
        <v>518</v>
      </c>
      <c r="B83" s="3">
        <v>175</v>
      </c>
      <c r="C83" s="3" t="s">
        <v>28</v>
      </c>
      <c r="F83" s="61" t="s">
        <v>107</v>
      </c>
      <c r="G83" s="62" cm="1">
        <f t="array" ref="G83">IFERROR(_xlfn.STDEV.S(_xlfn._xlws.FILTER($B$34:$B$690,$A$34:$A$690=F83)),0)</f>
        <v>43.466462167208107</v>
      </c>
      <c r="H83" s="3">
        <f t="shared" si="3"/>
        <v>1</v>
      </c>
      <c r="I83" s="51">
        <v>94.333333333333329</v>
      </c>
      <c r="AH83" s="14"/>
      <c r="AI83" s="41"/>
    </row>
    <row r="84" spans="1:35" x14ac:dyDescent="0.35">
      <c r="A84" s="3" t="s">
        <v>518</v>
      </c>
      <c r="B84" s="3">
        <v>73</v>
      </c>
      <c r="C84" s="3" t="s">
        <v>56</v>
      </c>
      <c r="F84" s="61" t="s">
        <v>458</v>
      </c>
      <c r="G84" s="62" cm="1">
        <f t="array" ref="G84">IFERROR(_xlfn.STDEV.S(_xlfn._xlws.FILTER($B$34:$B$690,$A$34:$A$690=F84)),0)</f>
        <v>43.5583899304523</v>
      </c>
      <c r="H84" s="3">
        <f t="shared" si="3"/>
        <v>1</v>
      </c>
      <c r="I84" s="51">
        <v>227.33333333333334</v>
      </c>
      <c r="AH84" s="14"/>
      <c r="AI84" s="41"/>
    </row>
    <row r="85" spans="1:35" x14ac:dyDescent="0.35">
      <c r="A85" s="3" t="s">
        <v>518</v>
      </c>
      <c r="B85" s="3">
        <v>155</v>
      </c>
      <c r="C85" s="3" t="s">
        <v>28</v>
      </c>
      <c r="F85" s="61" t="s">
        <v>1271</v>
      </c>
      <c r="G85" s="62" cm="1">
        <f t="array" ref="G85">IFERROR(_xlfn.STDEV.S(_xlfn._xlws.FILTER($B$34:$B$690,$A$34:$A$690=F85)),0)</f>
        <v>43.71498598878879</v>
      </c>
      <c r="H85" s="3">
        <f t="shared" si="3"/>
        <v>1</v>
      </c>
      <c r="I85" s="51">
        <v>62</v>
      </c>
      <c r="AH85" s="14"/>
      <c r="AI85" s="41"/>
    </row>
    <row r="86" spans="1:35" x14ac:dyDescent="0.35">
      <c r="A86" s="3" t="s">
        <v>518</v>
      </c>
      <c r="B86" s="3">
        <v>17</v>
      </c>
      <c r="C86" s="3" t="s">
        <v>56</v>
      </c>
      <c r="F86" s="61" t="s">
        <v>1286</v>
      </c>
      <c r="G86" s="62" cm="1">
        <f t="array" ref="G86">IFERROR(_xlfn.STDEV.S(_xlfn._xlws.FILTER($B$34:$B$690,$A$34:$A$690=F86)),0)</f>
        <v>44.16257842714046</v>
      </c>
      <c r="H86" s="3">
        <f t="shared" si="3"/>
        <v>1</v>
      </c>
      <c r="I86" s="51">
        <v>140.33333333333334</v>
      </c>
      <c r="AH86" s="14"/>
      <c r="AI86" s="41"/>
    </row>
    <row r="87" spans="1:35" x14ac:dyDescent="0.35">
      <c r="A87" s="3" t="s">
        <v>518</v>
      </c>
      <c r="B87" s="3">
        <v>178</v>
      </c>
      <c r="C87" s="3" t="s">
        <v>28</v>
      </c>
      <c r="F87" s="61" t="s">
        <v>1719</v>
      </c>
      <c r="G87" s="62" cm="1">
        <f t="array" ref="G87">IFERROR(_xlfn.STDEV.S(_xlfn._xlws.FILTER($B$34:$B$690,$A$34:$A$690=F87)),0)</f>
        <v>46.317743180484669</v>
      </c>
      <c r="H87" s="3">
        <f t="shared" si="3"/>
        <v>1</v>
      </c>
      <c r="I87" s="51">
        <v>92.333333333333329</v>
      </c>
      <c r="AH87" s="14"/>
      <c r="AI87" s="41"/>
    </row>
    <row r="88" spans="1:35" x14ac:dyDescent="0.35">
      <c r="A88" s="3" t="s">
        <v>1143</v>
      </c>
      <c r="B88" s="3">
        <v>48</v>
      </c>
      <c r="C88" s="3" t="s">
        <v>56</v>
      </c>
      <c r="F88" s="61" t="s">
        <v>294</v>
      </c>
      <c r="G88" s="62" cm="1">
        <f t="array" ref="G88">IFERROR(_xlfn.STDEV.S(_xlfn._xlws.FILTER($B$34:$B$690,$A$34:$A$690=F88)),0)</f>
        <v>47.376154339498683</v>
      </c>
      <c r="H88" s="3">
        <f t="shared" si="3"/>
        <v>1</v>
      </c>
      <c r="I88" s="51">
        <v>149.5</v>
      </c>
      <c r="AH88" s="14"/>
      <c r="AI88" s="41"/>
    </row>
    <row r="89" spans="1:35" x14ac:dyDescent="0.35">
      <c r="A89" s="3" t="s">
        <v>522</v>
      </c>
      <c r="B89" s="3">
        <v>99</v>
      </c>
      <c r="C89" s="3" t="s">
        <v>56</v>
      </c>
      <c r="F89" s="61" t="s">
        <v>1374</v>
      </c>
      <c r="G89" s="62" cm="1">
        <f t="array" ref="G89">IFERROR(_xlfn.STDEV.S(_xlfn._xlws.FILTER($B$34:$B$690,$A$34:$A$690=F89)),0)</f>
        <v>47.376154339498683</v>
      </c>
      <c r="H89" s="3">
        <f t="shared" si="3"/>
        <v>1</v>
      </c>
      <c r="I89" s="51">
        <v>129.5</v>
      </c>
      <c r="AH89" s="14"/>
      <c r="AI89" s="41"/>
    </row>
    <row r="90" spans="1:35" x14ac:dyDescent="0.35">
      <c r="A90" s="3" t="s">
        <v>2128</v>
      </c>
      <c r="B90" s="3">
        <v>109</v>
      </c>
      <c r="C90" s="3" t="s">
        <v>28</v>
      </c>
      <c r="F90" s="61" t="s">
        <v>996</v>
      </c>
      <c r="G90" s="62" cm="1">
        <f t="array" ref="G90">IFERROR(_xlfn.STDEV.S(_xlfn._xlws.FILTER($B$34:$B$690,$A$34:$A$690=F90)),0)</f>
        <v>48.203561417527375</v>
      </c>
      <c r="H90" s="3">
        <f t="shared" si="3"/>
        <v>1</v>
      </c>
      <c r="I90" s="51">
        <v>127.75</v>
      </c>
      <c r="AH90" s="14"/>
      <c r="AI90" s="41"/>
    </row>
    <row r="91" spans="1:35" x14ac:dyDescent="0.35">
      <c r="A91" s="3" t="s">
        <v>1671</v>
      </c>
      <c r="B91" s="3">
        <v>115</v>
      </c>
      <c r="C91" s="3" t="s">
        <v>28</v>
      </c>
      <c r="F91" s="61" t="s">
        <v>268</v>
      </c>
      <c r="G91" s="62" cm="1">
        <f t="array" ref="G91">IFERROR(_xlfn.STDEV.S(_xlfn._xlws.FILTER($B$34:$B$690,$A$34:$A$690=F91)),0)</f>
        <v>48.790367901871782</v>
      </c>
      <c r="H91" s="3">
        <f t="shared" si="3"/>
        <v>1</v>
      </c>
      <c r="I91" s="51">
        <v>81.5</v>
      </c>
      <c r="AH91" s="14"/>
      <c r="AI91" s="41"/>
    </row>
    <row r="92" spans="1:35" x14ac:dyDescent="0.35">
      <c r="A92" s="3" t="s">
        <v>1671</v>
      </c>
      <c r="B92" s="3">
        <v>175</v>
      </c>
      <c r="C92" s="3" t="s">
        <v>28</v>
      </c>
      <c r="F92" s="61" t="s">
        <v>952</v>
      </c>
      <c r="G92" s="62" cm="1">
        <f t="array" ref="G92">IFERROR(_xlfn.STDEV.S(_xlfn._xlws.FILTER($B$34:$B$690,$A$34:$A$690=F92)),0)</f>
        <v>50.911688245431421</v>
      </c>
      <c r="H92" s="3">
        <f t="shared" si="3"/>
        <v>1</v>
      </c>
      <c r="I92" s="51">
        <v>49</v>
      </c>
      <c r="AH92" s="14"/>
      <c r="AI92" s="41"/>
    </row>
    <row r="93" spans="1:35" x14ac:dyDescent="0.35">
      <c r="A93" s="3" t="s">
        <v>1671</v>
      </c>
      <c r="B93" s="3">
        <v>4</v>
      </c>
      <c r="C93" s="3" t="s">
        <v>28</v>
      </c>
      <c r="F93" s="61" t="s">
        <v>1578</v>
      </c>
      <c r="G93" s="62" cm="1">
        <f t="array" ref="G93">IFERROR(_xlfn.STDEV.S(_xlfn._xlws.FILTER($B$34:$B$690,$A$34:$A$690=F93)),0)</f>
        <v>51.032669275017703</v>
      </c>
      <c r="H93" s="3">
        <f t="shared" si="3"/>
        <v>1</v>
      </c>
      <c r="I93" s="51">
        <v>162.33333333333334</v>
      </c>
      <c r="AH93" s="14"/>
      <c r="AI93" s="41"/>
    </row>
    <row r="94" spans="1:35" x14ac:dyDescent="0.35">
      <c r="A94" s="3" t="s">
        <v>3194</v>
      </c>
      <c r="B94" s="3">
        <v>158</v>
      </c>
      <c r="C94" s="3" t="s">
        <v>56</v>
      </c>
      <c r="F94" s="61" t="s">
        <v>117</v>
      </c>
      <c r="G94" s="62" cm="1">
        <f t="array" ref="G94">IFERROR(_xlfn.STDEV.S(_xlfn._xlws.FILTER($B$34:$B$690,$A$34:$A$690=F94)),0)</f>
        <v>51.618795026617967</v>
      </c>
      <c r="H94" s="3">
        <f t="shared" si="3"/>
        <v>1</v>
      </c>
      <c r="I94" s="51">
        <v>97.5</v>
      </c>
      <c r="AH94" s="14"/>
      <c r="AI94" s="41"/>
    </row>
    <row r="95" spans="1:35" x14ac:dyDescent="0.35">
      <c r="A95" s="3" t="s">
        <v>562</v>
      </c>
      <c r="B95" s="3">
        <v>16</v>
      </c>
      <c r="C95" s="3" t="s">
        <v>56</v>
      </c>
      <c r="F95" s="61" t="s">
        <v>1505</v>
      </c>
      <c r="G95" s="62" cm="1">
        <f t="array" ref="G95">IFERROR(_xlfn.STDEV.S(_xlfn._xlws.FILTER($B$34:$B$690,$A$34:$A$690=F95)),0)</f>
        <v>52.11525688318153</v>
      </c>
      <c r="H95" s="3">
        <f t="shared" si="3"/>
        <v>1</v>
      </c>
      <c r="I95" s="51">
        <v>71</v>
      </c>
      <c r="AH95" s="14"/>
      <c r="AI95" s="41"/>
    </row>
    <row r="96" spans="1:35" x14ac:dyDescent="0.35">
      <c r="A96" s="3" t="s">
        <v>562</v>
      </c>
      <c r="B96" s="3">
        <v>163</v>
      </c>
      <c r="C96" s="3" t="s">
        <v>28</v>
      </c>
      <c r="F96" s="61" t="s">
        <v>832</v>
      </c>
      <c r="G96" s="62" cm="1">
        <f t="array" ref="G96">IFERROR(_xlfn.STDEV.S(_xlfn._xlws.FILTER($B$34:$B$690,$A$34:$A$690=F96)),0)</f>
        <v>52.766782480395115</v>
      </c>
      <c r="H96" s="3">
        <f t="shared" si="3"/>
        <v>1</v>
      </c>
      <c r="I96" s="51">
        <v>55.666666666666664</v>
      </c>
      <c r="AH96" s="14"/>
      <c r="AI96" s="41"/>
    </row>
    <row r="97" spans="1:35" x14ac:dyDescent="0.35">
      <c r="A97" s="3" t="s">
        <v>562</v>
      </c>
      <c r="B97" s="3">
        <v>17</v>
      </c>
      <c r="C97" s="3" t="s">
        <v>28</v>
      </c>
      <c r="F97" s="61" t="s">
        <v>312</v>
      </c>
      <c r="G97" s="62" cm="1">
        <f t="array" ref="G97">IFERROR(_xlfn.STDEV.S(_xlfn._xlws.FILTER($B$34:$B$690,$A$34:$A$690=F97)),0)</f>
        <v>53.26662494783514</v>
      </c>
      <c r="H97" s="3">
        <f t="shared" si="3"/>
        <v>1</v>
      </c>
      <c r="I97" s="51">
        <v>64.666666666666671</v>
      </c>
      <c r="AH97" s="14"/>
      <c r="AI97" s="41"/>
    </row>
    <row r="98" spans="1:35" x14ac:dyDescent="0.35">
      <c r="A98" s="3" t="s">
        <v>562</v>
      </c>
      <c r="B98" s="3">
        <v>13</v>
      </c>
      <c r="C98" s="3" t="s">
        <v>28</v>
      </c>
      <c r="F98" s="61" t="s">
        <v>1770</v>
      </c>
      <c r="G98" s="62" cm="1">
        <f t="array" ref="G98">IFERROR(_xlfn.STDEV.S(_xlfn._xlws.FILTER($B$34:$B$690,$A$34:$A$690=F98)),0)</f>
        <v>53.740115370177612</v>
      </c>
      <c r="H98" s="3">
        <f t="shared" ref="H98:H129" si="4">IF(G98&gt;0,1,0)</f>
        <v>1</v>
      </c>
      <c r="I98" s="51">
        <v>110</v>
      </c>
      <c r="AH98" s="14"/>
      <c r="AI98" s="41"/>
    </row>
    <row r="99" spans="1:35" x14ac:dyDescent="0.35">
      <c r="A99" s="3" t="s">
        <v>1282</v>
      </c>
      <c r="B99" s="3">
        <v>63</v>
      </c>
      <c r="C99" s="3" t="s">
        <v>28</v>
      </c>
      <c r="F99" s="61" t="s">
        <v>1303</v>
      </c>
      <c r="G99" s="62" cm="1">
        <f t="array" ref="G99">IFERROR(_xlfn.STDEV.S(_xlfn._xlws.FILTER($B$34:$B$690,$A$34:$A$690=F99)),0)</f>
        <v>53.928965624544794</v>
      </c>
      <c r="H99" s="3">
        <f t="shared" si="4"/>
        <v>1</v>
      </c>
      <c r="I99" s="51">
        <v>100.66666666666667</v>
      </c>
      <c r="AH99" s="14"/>
      <c r="AI99" s="41"/>
    </row>
    <row r="100" spans="1:35" x14ac:dyDescent="0.35">
      <c r="A100" s="3" t="s">
        <v>500</v>
      </c>
      <c r="B100" s="3">
        <v>159</v>
      </c>
      <c r="C100" s="3" t="s">
        <v>28</v>
      </c>
      <c r="F100" s="61" t="s">
        <v>778</v>
      </c>
      <c r="G100" s="62" cm="1">
        <f t="array" ref="G100">IFERROR(_xlfn.STDEV.S(_xlfn._xlws.FILTER($B$34:$B$690,$A$34:$A$690=F100)),0)</f>
        <v>54.671442880782536</v>
      </c>
      <c r="H100" s="3">
        <f t="shared" si="4"/>
        <v>1</v>
      </c>
      <c r="I100" s="51">
        <v>98.166666666666671</v>
      </c>
      <c r="AH100" s="14"/>
      <c r="AI100" s="41"/>
    </row>
    <row r="101" spans="1:35" x14ac:dyDescent="0.35">
      <c r="A101" s="3" t="s">
        <v>500</v>
      </c>
      <c r="B101" s="3">
        <v>30</v>
      </c>
      <c r="C101" s="3" t="s">
        <v>56</v>
      </c>
      <c r="F101" s="61" t="s">
        <v>926</v>
      </c>
      <c r="G101" s="62" cm="1">
        <f t="array" ref="G101">IFERROR(_xlfn.STDEV.S(_xlfn._xlws.FILTER($B$34:$B$690,$A$34:$A$690=F101)),0)</f>
        <v>55.077975029346653</v>
      </c>
      <c r="H101" s="3">
        <f t="shared" si="4"/>
        <v>1</v>
      </c>
      <c r="I101" s="51">
        <v>123.25</v>
      </c>
      <c r="AH101" s="14"/>
      <c r="AI101" s="41"/>
    </row>
    <row r="102" spans="1:35" x14ac:dyDescent="0.35">
      <c r="A102" s="3" t="s">
        <v>500</v>
      </c>
      <c r="B102" s="3">
        <v>131</v>
      </c>
      <c r="C102" s="3" t="s">
        <v>28</v>
      </c>
      <c r="F102" s="61" t="s">
        <v>692</v>
      </c>
      <c r="G102" s="62" cm="1">
        <f t="array" ref="G102">IFERROR(_xlfn.STDEV.S(_xlfn._xlws.FILTER($B$34:$B$690,$A$34:$A$690=F102)),0)</f>
        <v>55.98437281956457</v>
      </c>
      <c r="H102" s="3">
        <f t="shared" si="4"/>
        <v>1</v>
      </c>
      <c r="I102" s="51">
        <v>86.75</v>
      </c>
      <c r="AH102" s="14"/>
      <c r="AI102" s="41"/>
    </row>
    <row r="103" spans="1:35" x14ac:dyDescent="0.35">
      <c r="A103" s="3" t="s">
        <v>832</v>
      </c>
      <c r="B103" s="3">
        <v>14</v>
      </c>
      <c r="C103" s="3" t="s">
        <v>56</v>
      </c>
      <c r="F103" s="61" t="s">
        <v>388</v>
      </c>
      <c r="G103" s="62" cm="1">
        <f t="array" ref="G103">IFERROR(_xlfn.STDEV.S(_xlfn._xlws.FILTER($B$34:$B$690,$A$34:$A$690=F103)),0)</f>
        <v>56.230774492265354</v>
      </c>
      <c r="H103" s="3">
        <f t="shared" si="4"/>
        <v>1</v>
      </c>
      <c r="I103" s="51">
        <v>115.5</v>
      </c>
      <c r="AH103" s="14"/>
      <c r="AI103" s="41"/>
    </row>
    <row r="104" spans="1:35" x14ac:dyDescent="0.35">
      <c r="A104" s="3" t="s">
        <v>832</v>
      </c>
      <c r="B104" s="3">
        <v>38</v>
      </c>
      <c r="C104" s="3" t="s">
        <v>28</v>
      </c>
      <c r="F104" s="61" t="s">
        <v>1180</v>
      </c>
      <c r="G104" s="62" cm="1">
        <f t="array" ref="G104">IFERROR(_xlfn.STDEV.S(_xlfn._xlws.FILTER($B$34:$B$690,$A$34:$A$690=F104)),0)</f>
        <v>56.568542494923804</v>
      </c>
      <c r="H104" s="3">
        <f t="shared" si="4"/>
        <v>1</v>
      </c>
      <c r="I104" s="51">
        <v>90</v>
      </c>
      <c r="AH104" s="14"/>
      <c r="AI104" s="41"/>
    </row>
    <row r="105" spans="1:35" x14ac:dyDescent="0.35">
      <c r="A105" s="3" t="s">
        <v>832</v>
      </c>
      <c r="B105" s="3">
        <v>115</v>
      </c>
      <c r="C105" s="3" t="s">
        <v>56</v>
      </c>
      <c r="F105" s="61" t="s">
        <v>434</v>
      </c>
      <c r="G105" s="62" cm="1">
        <f t="array" ref="G105">IFERROR(_xlfn.STDEV.S(_xlfn._xlws.FILTER($B$34:$B$690,$A$34:$A$690=F105)),0)</f>
        <v>56.770737767503661</v>
      </c>
      <c r="H105" s="3">
        <f t="shared" si="4"/>
        <v>1</v>
      </c>
      <c r="I105" s="51">
        <v>68.75</v>
      </c>
      <c r="AH105" s="14"/>
      <c r="AI105" s="41"/>
    </row>
    <row r="106" spans="1:35" x14ac:dyDescent="0.35">
      <c r="A106" s="3" t="s">
        <v>1564</v>
      </c>
      <c r="B106" s="3">
        <v>56</v>
      </c>
      <c r="C106" s="3" t="s">
        <v>56</v>
      </c>
      <c r="F106" s="61" t="s">
        <v>1394</v>
      </c>
      <c r="G106" s="62" cm="1">
        <f t="array" ref="G106">IFERROR(_xlfn.STDEV.S(_xlfn._xlws.FILTER($B$34:$B$690,$A$34:$A$690=F106)),0)</f>
        <v>58.025856305616031</v>
      </c>
      <c r="H106" s="3">
        <f t="shared" si="4"/>
        <v>1</v>
      </c>
      <c r="I106" s="51">
        <v>71</v>
      </c>
      <c r="AH106" s="14"/>
      <c r="AI106" s="41"/>
    </row>
    <row r="107" spans="1:35" x14ac:dyDescent="0.35">
      <c r="A107" s="3" t="s">
        <v>2243</v>
      </c>
      <c r="B107" s="3">
        <v>178</v>
      </c>
      <c r="C107" s="3" t="s">
        <v>56</v>
      </c>
      <c r="F107" s="61" t="s">
        <v>1870</v>
      </c>
      <c r="G107" s="62" cm="1">
        <f t="array" ref="G107">IFERROR(_xlfn.STDEV.S(_xlfn._xlws.FILTER($B$34:$B$690,$A$34:$A$690=F107)),0)</f>
        <v>60.104076400856542</v>
      </c>
      <c r="H107" s="3">
        <f t="shared" si="4"/>
        <v>1</v>
      </c>
      <c r="I107" s="51">
        <v>67.5</v>
      </c>
      <c r="AH107" s="14"/>
      <c r="AI107" s="41"/>
    </row>
    <row r="108" spans="1:35" x14ac:dyDescent="0.35">
      <c r="A108" s="3" t="s">
        <v>1704</v>
      </c>
      <c r="B108" s="3">
        <v>197</v>
      </c>
      <c r="C108" s="3" t="s">
        <v>28</v>
      </c>
      <c r="F108" s="61" t="s">
        <v>601</v>
      </c>
      <c r="G108" s="62" cm="1">
        <f t="array" ref="G108">IFERROR(_xlfn.STDEV.S(_xlfn._xlws.FILTER($B$34:$B$690,$A$34:$A$690=F108)),0)</f>
        <v>61.518289963229634</v>
      </c>
      <c r="H108" s="3">
        <f t="shared" si="4"/>
        <v>1</v>
      </c>
      <c r="I108" s="51">
        <v>57.5</v>
      </c>
      <c r="AH108" s="14"/>
      <c r="AI108" s="41"/>
    </row>
    <row r="109" spans="1:35" x14ac:dyDescent="0.35">
      <c r="A109" s="3" t="s">
        <v>1704</v>
      </c>
      <c r="B109" s="3">
        <v>51</v>
      </c>
      <c r="C109" s="3" t="s">
        <v>56</v>
      </c>
      <c r="F109" s="61" t="s">
        <v>696</v>
      </c>
      <c r="G109" s="62" cm="1">
        <f t="array" ref="G109">IFERROR(_xlfn.STDEV.S(_xlfn._xlws.FILTER($B$34:$B$690,$A$34:$A$690=F109)),0)</f>
        <v>61.849279165834538</v>
      </c>
      <c r="H109" s="3">
        <f t="shared" si="4"/>
        <v>1</v>
      </c>
      <c r="I109" s="51">
        <v>90.666666666666671</v>
      </c>
      <c r="AH109" s="14"/>
      <c r="AI109" s="41"/>
    </row>
    <row r="110" spans="1:35" x14ac:dyDescent="0.35">
      <c r="A110" s="3" t="s">
        <v>1704</v>
      </c>
      <c r="B110" s="3">
        <v>20</v>
      </c>
      <c r="C110" s="3" t="s">
        <v>28</v>
      </c>
      <c r="F110" s="61" t="s">
        <v>1536</v>
      </c>
      <c r="G110" s="62" cm="1">
        <f t="array" ref="G110">IFERROR(_xlfn.STDEV.S(_xlfn._xlws.FILTER($B$34:$B$690,$A$34:$A$690=F110)),0)</f>
        <v>62.532658134236776</v>
      </c>
      <c r="H110" s="3">
        <f t="shared" si="4"/>
        <v>1</v>
      </c>
      <c r="I110" s="51">
        <v>213.66666666666666</v>
      </c>
      <c r="AH110" s="14"/>
      <c r="AI110" s="41"/>
    </row>
    <row r="111" spans="1:35" x14ac:dyDescent="0.35">
      <c r="A111" s="3" t="s">
        <v>2677</v>
      </c>
      <c r="B111" s="3">
        <v>171</v>
      </c>
      <c r="C111" s="3" t="s">
        <v>56</v>
      </c>
      <c r="F111" s="61" t="s">
        <v>678</v>
      </c>
      <c r="G111" s="62" cm="1">
        <f t="array" ref="G111">IFERROR(_xlfn.STDEV.S(_xlfn._xlws.FILTER($B$34:$B$690,$A$34:$A$690=F111)),0)</f>
        <v>64.177877808478542</v>
      </c>
      <c r="H111" s="3">
        <f t="shared" si="4"/>
        <v>1</v>
      </c>
      <c r="I111" s="51">
        <v>174.6</v>
      </c>
      <c r="AH111" s="14"/>
      <c r="AI111" s="41"/>
    </row>
    <row r="112" spans="1:35" x14ac:dyDescent="0.35">
      <c r="A112" s="3" t="s">
        <v>235</v>
      </c>
      <c r="B112" s="3">
        <v>86</v>
      </c>
      <c r="C112" s="3" t="s">
        <v>28</v>
      </c>
      <c r="F112" s="61" t="s">
        <v>299</v>
      </c>
      <c r="G112" s="62" cm="1">
        <f t="array" ref="G112">IFERROR(_xlfn.STDEV.S(_xlfn._xlws.FILTER($B$34:$B$690,$A$34:$A$690=F112)),0)</f>
        <v>65.053823869162372</v>
      </c>
      <c r="H112" s="3">
        <f t="shared" si="4"/>
        <v>1</v>
      </c>
      <c r="I112" s="51">
        <v>167</v>
      </c>
      <c r="AH112" s="14"/>
      <c r="AI112" s="41"/>
    </row>
    <row r="113" spans="1:35" x14ac:dyDescent="0.35">
      <c r="A113" s="3" t="s">
        <v>235</v>
      </c>
      <c r="B113" s="3">
        <v>227</v>
      </c>
      <c r="C113" s="3" t="s">
        <v>28</v>
      </c>
      <c r="F113" s="61" t="s">
        <v>2856</v>
      </c>
      <c r="G113" s="62" cm="1">
        <f t="array" ref="G113">IFERROR(_xlfn.STDEV.S(_xlfn._xlws.FILTER($B$34:$B$690,$A$34:$A$690=F113)),0)</f>
        <v>65.436992595931542</v>
      </c>
      <c r="H113" s="3">
        <f t="shared" si="4"/>
        <v>1</v>
      </c>
      <c r="I113" s="51">
        <v>86</v>
      </c>
      <c r="AH113" s="14"/>
      <c r="AI113" s="41"/>
    </row>
    <row r="114" spans="1:35" x14ac:dyDescent="0.35">
      <c r="A114" s="3" t="s">
        <v>235</v>
      </c>
      <c r="B114" s="3">
        <v>159</v>
      </c>
      <c r="C114" s="3" t="s">
        <v>56</v>
      </c>
      <c r="F114" s="61" t="s">
        <v>122</v>
      </c>
      <c r="G114" s="62" cm="1">
        <f t="array" ref="G114">IFERROR(_xlfn.STDEV.S(_xlfn._xlws.FILTER($B$34:$B$690,$A$34:$A$690=F114)),0)</f>
        <v>66.460514593253038</v>
      </c>
      <c r="H114" s="3">
        <f t="shared" si="4"/>
        <v>1</v>
      </c>
      <c r="I114" s="51">
        <v>126</v>
      </c>
      <c r="AH114" s="14"/>
      <c r="AI114" s="41"/>
    </row>
    <row r="115" spans="1:35" x14ac:dyDescent="0.35">
      <c r="A115" s="3" t="s">
        <v>2033</v>
      </c>
      <c r="B115" s="3">
        <v>13</v>
      </c>
      <c r="C115" s="3" t="s">
        <v>28</v>
      </c>
      <c r="F115" s="61" t="s">
        <v>500</v>
      </c>
      <c r="G115" s="62" cm="1">
        <f t="array" ref="G115">IFERROR(_xlfn.STDEV.S(_xlfn._xlws.FILTER($B$34:$B$690,$A$34:$A$690=F115)),0)</f>
        <v>67.855238068503837</v>
      </c>
      <c r="H115" s="3">
        <f t="shared" si="4"/>
        <v>1</v>
      </c>
      <c r="I115" s="51">
        <v>106.66666666666667</v>
      </c>
      <c r="AH115" s="14"/>
      <c r="AI115" s="41"/>
    </row>
    <row r="116" spans="1:35" x14ac:dyDescent="0.35">
      <c r="A116" s="3" t="s">
        <v>1418</v>
      </c>
      <c r="B116" s="3">
        <v>219</v>
      </c>
      <c r="C116" s="3" t="s">
        <v>28</v>
      </c>
      <c r="F116" s="61" t="s">
        <v>466</v>
      </c>
      <c r="G116" s="62" cm="1">
        <f t="array" ref="G116">IFERROR(_xlfn.STDEV.S(_xlfn._xlws.FILTER($B$34:$B$690,$A$34:$A$690=F116)),0)</f>
        <v>67.882250993908556</v>
      </c>
      <c r="H116" s="3">
        <f t="shared" si="4"/>
        <v>1</v>
      </c>
      <c r="I116" s="51">
        <v>137</v>
      </c>
      <c r="AH116" s="14"/>
      <c r="AI116" s="41"/>
    </row>
    <row r="117" spans="1:35" x14ac:dyDescent="0.35">
      <c r="A117" s="3" t="s">
        <v>189</v>
      </c>
      <c r="B117" s="3">
        <v>156</v>
      </c>
      <c r="C117" s="3" t="s">
        <v>28</v>
      </c>
      <c r="F117" s="61" t="s">
        <v>1020</v>
      </c>
      <c r="G117" s="62" cm="1">
        <f t="array" ref="G117">IFERROR(_xlfn.STDEV.S(_xlfn._xlws.FILTER($B$34:$B$690,$A$34:$A$690=F117)),0)</f>
        <v>68.022055246809472</v>
      </c>
      <c r="H117" s="3">
        <f t="shared" si="4"/>
        <v>1</v>
      </c>
      <c r="I117" s="51">
        <v>136</v>
      </c>
      <c r="AH117" s="14"/>
      <c r="AI117" s="41"/>
    </row>
    <row r="118" spans="1:35" x14ac:dyDescent="0.35">
      <c r="A118" s="3" t="s">
        <v>189</v>
      </c>
      <c r="B118" s="3">
        <v>110</v>
      </c>
      <c r="C118" s="3" t="s">
        <v>28</v>
      </c>
      <c r="F118" s="61" t="s">
        <v>316</v>
      </c>
      <c r="G118" s="62" cm="1">
        <f t="array" ref="G118">IFERROR(_xlfn.STDEV.S(_xlfn._xlws.FILTER($B$34:$B$690,$A$34:$A$690=F118)),0)</f>
        <v>68.412961734844757</v>
      </c>
      <c r="H118" s="3">
        <f t="shared" si="4"/>
        <v>1</v>
      </c>
      <c r="I118" s="51">
        <v>93.5</v>
      </c>
      <c r="AH118" s="14"/>
      <c r="AI118" s="41"/>
    </row>
    <row r="119" spans="1:35" x14ac:dyDescent="0.35">
      <c r="A119" s="3" t="s">
        <v>189</v>
      </c>
      <c r="B119" s="3">
        <v>289</v>
      </c>
      <c r="C119" s="3" t="s">
        <v>28</v>
      </c>
      <c r="F119" s="61" t="s">
        <v>1296</v>
      </c>
      <c r="G119" s="62" cm="1">
        <f t="array" ref="G119">IFERROR(_xlfn.STDEV.S(_xlfn._xlws.FILTER($B$34:$B$690,$A$34:$A$690=F119)),0)</f>
        <v>68.980673621916253</v>
      </c>
      <c r="H119" s="3">
        <f t="shared" si="4"/>
        <v>1</v>
      </c>
      <c r="I119" s="51">
        <v>131.33333333333334</v>
      </c>
      <c r="AH119" s="14"/>
      <c r="AI119" s="41"/>
    </row>
    <row r="120" spans="1:35" x14ac:dyDescent="0.35">
      <c r="A120" s="3" t="s">
        <v>1540</v>
      </c>
      <c r="B120" s="3">
        <v>264</v>
      </c>
      <c r="C120" s="3" t="s">
        <v>28</v>
      </c>
      <c r="F120" s="61" t="s">
        <v>912</v>
      </c>
      <c r="G120" s="62" cm="1">
        <f t="array" ref="G120">IFERROR(_xlfn.STDEV.S(_xlfn._xlws.FILTER($B$34:$B$690,$A$34:$A$690=F120)),0)</f>
        <v>69.615611276015784</v>
      </c>
      <c r="H120" s="3">
        <f t="shared" si="4"/>
        <v>1</v>
      </c>
      <c r="I120" s="51">
        <v>154.66666666666666</v>
      </c>
      <c r="AH120" s="14"/>
      <c r="AI120" s="41"/>
    </row>
    <row r="121" spans="1:35" x14ac:dyDescent="0.35">
      <c r="A121" s="3" t="s">
        <v>482</v>
      </c>
      <c r="B121" s="3">
        <v>34</v>
      </c>
      <c r="C121" s="3" t="s">
        <v>56</v>
      </c>
      <c r="F121" s="61" t="s">
        <v>235</v>
      </c>
      <c r="G121" s="62" cm="1">
        <f t="array" ref="G121">IFERROR(_xlfn.STDEV.S(_xlfn._xlws.FILTER($B$34:$B$690,$A$34:$A$690=F121)),0)</f>
        <v>70.514773865717927</v>
      </c>
      <c r="H121" s="3">
        <f t="shared" si="4"/>
        <v>1</v>
      </c>
      <c r="I121" s="51">
        <v>157.33333333333334</v>
      </c>
      <c r="AH121" s="14"/>
      <c r="AI121" s="41"/>
    </row>
    <row r="122" spans="1:35" x14ac:dyDescent="0.35">
      <c r="A122" s="3" t="s">
        <v>482</v>
      </c>
      <c r="B122" s="3">
        <v>315</v>
      </c>
      <c r="C122" s="3" t="s">
        <v>56</v>
      </c>
      <c r="F122" s="61" t="s">
        <v>518</v>
      </c>
      <c r="G122" s="62" cm="1">
        <f t="array" ref="G122">IFERROR(_xlfn.STDEV.S(_xlfn._xlws.FILTER($B$34:$B$690,$A$34:$A$690=F122)),0)</f>
        <v>71.468874344010757</v>
      </c>
      <c r="H122" s="3">
        <f t="shared" si="4"/>
        <v>1</v>
      </c>
      <c r="I122" s="51">
        <v>119.6</v>
      </c>
      <c r="AH122" s="14"/>
      <c r="AI122" s="41"/>
    </row>
    <row r="123" spans="1:35" x14ac:dyDescent="0.35">
      <c r="A123" s="3" t="s">
        <v>482</v>
      </c>
      <c r="B123" s="3">
        <v>47</v>
      </c>
      <c r="C123" s="3" t="s">
        <v>28</v>
      </c>
      <c r="F123" s="61" t="s">
        <v>763</v>
      </c>
      <c r="G123" s="62" cm="1">
        <f t="array" ref="G123">IFERROR(_xlfn.STDEV.S(_xlfn._xlws.FILTER($B$34:$B$690,$A$34:$A$690=F123)),0)</f>
        <v>72.124891681027847</v>
      </c>
      <c r="H123" s="3">
        <f t="shared" si="4"/>
        <v>1</v>
      </c>
      <c r="I123" s="51">
        <v>174</v>
      </c>
      <c r="AH123" s="14"/>
      <c r="AI123" s="41"/>
    </row>
    <row r="124" spans="1:35" x14ac:dyDescent="0.35">
      <c r="A124" s="3" t="s">
        <v>908</v>
      </c>
      <c r="B124" s="3">
        <v>18</v>
      </c>
      <c r="C124" s="3" t="s">
        <v>56</v>
      </c>
      <c r="F124" s="61" t="s">
        <v>1795</v>
      </c>
      <c r="G124" s="62" cm="1">
        <f t="array" ref="G124">IFERROR(_xlfn.STDEV.S(_xlfn._xlws.FILTER($B$34:$B$690,$A$34:$A$690=F124)),0)</f>
        <v>72.831998462214401</v>
      </c>
      <c r="H124" s="3">
        <f t="shared" si="4"/>
        <v>1</v>
      </c>
      <c r="I124" s="51">
        <v>115.5</v>
      </c>
      <c r="AH124" s="14"/>
      <c r="AI124" s="41"/>
    </row>
    <row r="125" spans="1:35" x14ac:dyDescent="0.35">
      <c r="A125" s="3" t="s">
        <v>2219</v>
      </c>
      <c r="B125" s="3">
        <v>258</v>
      </c>
      <c r="C125" s="3" t="s">
        <v>56</v>
      </c>
      <c r="F125" s="61" t="s">
        <v>1253</v>
      </c>
      <c r="G125" s="62" cm="1">
        <f t="array" ref="G125">IFERROR(_xlfn.STDEV.S(_xlfn._xlws.FILTER($B$34:$B$690,$A$34:$A$690=F125)),0)</f>
        <v>73.53910524340094</v>
      </c>
      <c r="H125" s="3">
        <f t="shared" si="4"/>
        <v>1</v>
      </c>
      <c r="I125" s="51">
        <v>63</v>
      </c>
      <c r="AH125" s="14"/>
      <c r="AI125" s="41"/>
    </row>
    <row r="126" spans="1:35" x14ac:dyDescent="0.35">
      <c r="A126" s="3" t="s">
        <v>97</v>
      </c>
      <c r="B126" s="3">
        <v>144</v>
      </c>
      <c r="C126" s="3" t="s">
        <v>56</v>
      </c>
      <c r="F126" s="61" t="s">
        <v>2413</v>
      </c>
      <c r="G126" s="62" cm="1">
        <f t="array" ref="G126">IFERROR(_xlfn.STDEV.S(_xlfn._xlws.FILTER($B$34:$B$690,$A$34:$A$690=F126)),0)</f>
        <v>73.53910524340094</v>
      </c>
      <c r="H126" s="3">
        <f t="shared" si="4"/>
        <v>1</v>
      </c>
      <c r="I126" s="51">
        <v>54</v>
      </c>
      <c r="AH126" s="14"/>
      <c r="AI126" s="41"/>
    </row>
    <row r="127" spans="1:35" x14ac:dyDescent="0.35">
      <c r="A127" s="3" t="s">
        <v>97</v>
      </c>
      <c r="B127" s="3">
        <v>67</v>
      </c>
      <c r="C127" s="3" t="s">
        <v>56</v>
      </c>
      <c r="F127" s="61" t="s">
        <v>562</v>
      </c>
      <c r="G127" s="62" cm="1">
        <f t="array" ref="G127">IFERROR(_xlfn.STDEV.S(_xlfn._xlws.FILTER($B$34:$B$690,$A$34:$A$690=F127)),0)</f>
        <v>73.852894323783957</v>
      </c>
      <c r="H127" s="3">
        <f t="shared" si="4"/>
        <v>1</v>
      </c>
      <c r="I127" s="51">
        <v>52.25</v>
      </c>
      <c r="AH127" s="14"/>
      <c r="AI127" s="41"/>
    </row>
    <row r="128" spans="1:35" x14ac:dyDescent="0.35">
      <c r="A128" s="3" t="s">
        <v>97</v>
      </c>
      <c r="B128" s="3">
        <v>253</v>
      </c>
      <c r="C128" s="3" t="s">
        <v>28</v>
      </c>
      <c r="F128" s="61" t="s">
        <v>755</v>
      </c>
      <c r="G128" s="62" cm="1">
        <f t="array" ref="G128">IFERROR(_xlfn.STDEV.S(_xlfn._xlws.FILTER($B$34:$B$690,$A$34:$A$690=F128)),0)</f>
        <v>74.906608520210014</v>
      </c>
      <c r="H128" s="3">
        <f t="shared" si="4"/>
        <v>1</v>
      </c>
      <c r="I128" s="51">
        <v>82</v>
      </c>
      <c r="AH128" s="14"/>
      <c r="AI128" s="41"/>
    </row>
    <row r="129" spans="1:35" x14ac:dyDescent="0.35">
      <c r="A129" s="3" t="s">
        <v>122</v>
      </c>
      <c r="B129" s="3">
        <v>67</v>
      </c>
      <c r="C129" s="3" t="s">
        <v>28</v>
      </c>
      <c r="F129" s="61" t="s">
        <v>1058</v>
      </c>
      <c r="G129" s="62" cm="1">
        <f t="array" ref="G129">IFERROR(_xlfn.STDEV.S(_xlfn._xlws.FILTER($B$34:$B$690,$A$34:$A$690=F129)),0)</f>
        <v>74.953318805774032</v>
      </c>
      <c r="H129" s="3">
        <f t="shared" si="4"/>
        <v>1</v>
      </c>
      <c r="I129" s="51">
        <v>74</v>
      </c>
      <c r="AH129" s="14"/>
      <c r="AI129" s="41"/>
    </row>
    <row r="130" spans="1:35" x14ac:dyDescent="0.35">
      <c r="A130" s="3" t="s">
        <v>122</v>
      </c>
      <c r="B130" s="3">
        <v>113</v>
      </c>
      <c r="C130" s="3" t="s">
        <v>56</v>
      </c>
      <c r="F130" s="61" t="s">
        <v>2332</v>
      </c>
      <c r="G130" s="62" cm="1">
        <f t="array" ref="G130">IFERROR(_xlfn.STDEV.S(_xlfn._xlws.FILTER($B$34:$B$690,$A$34:$A$690=F130)),0)</f>
        <v>76.26925986267338</v>
      </c>
      <c r="H130" s="3">
        <f t="shared" ref="H130:H161" si="5">IF(G130&gt;0,1,0)</f>
        <v>1</v>
      </c>
      <c r="I130" s="51">
        <v>130</v>
      </c>
      <c r="AH130" s="14"/>
      <c r="AI130" s="41"/>
    </row>
    <row r="131" spans="1:35" x14ac:dyDescent="0.35">
      <c r="A131" s="3" t="s">
        <v>122</v>
      </c>
      <c r="B131" s="3">
        <v>198</v>
      </c>
      <c r="C131" s="3" t="s">
        <v>28</v>
      </c>
      <c r="F131" s="61" t="s">
        <v>308</v>
      </c>
      <c r="G131" s="62" cm="1">
        <f t="array" ref="G131">IFERROR(_xlfn.STDEV.S(_xlfn._xlws.FILTER($B$34:$B$690,$A$34:$A$690=F131)),0)</f>
        <v>77.074639149333677</v>
      </c>
      <c r="H131" s="3">
        <f t="shared" si="5"/>
        <v>1</v>
      </c>
      <c r="I131" s="51">
        <v>172.5</v>
      </c>
      <c r="AH131" s="14"/>
      <c r="AI131" s="41"/>
    </row>
    <row r="132" spans="1:35" x14ac:dyDescent="0.35">
      <c r="A132" s="3" t="s">
        <v>782</v>
      </c>
      <c r="B132" s="3">
        <v>120</v>
      </c>
      <c r="C132" s="3" t="s">
        <v>28</v>
      </c>
      <c r="F132" s="61" t="s">
        <v>616</v>
      </c>
      <c r="G132" s="62" cm="1">
        <f t="array" ref="G132">IFERROR(_xlfn.STDEV.S(_xlfn._xlws.FILTER($B$34:$B$690,$A$34:$A$690=F132)),0)</f>
        <v>79.159648811752575</v>
      </c>
      <c r="H132" s="3">
        <f t="shared" si="5"/>
        <v>1</v>
      </c>
      <c r="I132" s="51">
        <v>63.75</v>
      </c>
      <c r="AH132" s="14"/>
      <c r="AI132" s="41"/>
    </row>
    <row r="133" spans="1:35" x14ac:dyDescent="0.35">
      <c r="A133" s="3" t="s">
        <v>782</v>
      </c>
      <c r="B133" s="3">
        <v>62</v>
      </c>
      <c r="C133" s="3" t="s">
        <v>56</v>
      </c>
      <c r="F133" s="61" t="s">
        <v>2713</v>
      </c>
      <c r="G133" s="62" cm="1">
        <f t="array" ref="G133">IFERROR(_xlfn.STDEV.S(_xlfn._xlws.FILTER($B$34:$B$690,$A$34:$A$690=F133)),0)</f>
        <v>79.195959492893323</v>
      </c>
      <c r="H133" s="3">
        <f t="shared" si="5"/>
        <v>1</v>
      </c>
      <c r="I133" s="51">
        <v>107</v>
      </c>
      <c r="AH133" s="14"/>
      <c r="AI133" s="41"/>
    </row>
    <row r="134" spans="1:35" x14ac:dyDescent="0.35">
      <c r="A134" s="3" t="s">
        <v>81</v>
      </c>
      <c r="B134" s="3">
        <v>86</v>
      </c>
      <c r="C134" s="3" t="s">
        <v>28</v>
      </c>
      <c r="F134" s="61" t="s">
        <v>1617</v>
      </c>
      <c r="G134" s="62" cm="1">
        <f t="array" ref="G134">IFERROR(_xlfn.STDEV.S(_xlfn._xlws.FILTER($B$34:$B$690,$A$34:$A$690=F134)),0)</f>
        <v>80.299439599538928</v>
      </c>
      <c r="H134" s="3">
        <f t="shared" si="5"/>
        <v>1</v>
      </c>
      <c r="I134" s="51">
        <v>73</v>
      </c>
      <c r="AH134" s="14"/>
      <c r="AI134" s="41"/>
    </row>
    <row r="135" spans="1:35" x14ac:dyDescent="0.35">
      <c r="A135" s="3" t="s">
        <v>81</v>
      </c>
      <c r="B135" s="3">
        <v>76</v>
      </c>
      <c r="C135" s="3" t="s">
        <v>28</v>
      </c>
      <c r="F135" s="61" t="s">
        <v>682</v>
      </c>
      <c r="G135" s="62" cm="1">
        <f t="array" ref="G135">IFERROR(_xlfn.STDEV.S(_xlfn._xlws.FILTER($B$34:$B$690,$A$34:$A$690=F135)),0)</f>
        <v>80.610173055266415</v>
      </c>
      <c r="H135" s="3">
        <f t="shared" si="5"/>
        <v>1</v>
      </c>
      <c r="I135" s="51">
        <v>236</v>
      </c>
      <c r="AH135" s="14"/>
      <c r="AI135" s="41"/>
    </row>
    <row r="136" spans="1:35" x14ac:dyDescent="0.35">
      <c r="A136" s="3" t="s">
        <v>81</v>
      </c>
      <c r="B136" s="3">
        <v>111</v>
      </c>
      <c r="C136" s="3" t="s">
        <v>56</v>
      </c>
      <c r="F136" s="61" t="s">
        <v>962</v>
      </c>
      <c r="G136" s="62" cm="1">
        <f t="array" ref="G136">IFERROR(_xlfn.STDEV.S(_xlfn._xlws.FILTER($B$34:$B$690,$A$34:$A$690=F136)),0)</f>
        <v>80.610173055266415</v>
      </c>
      <c r="H136" s="3">
        <f t="shared" si="5"/>
        <v>1</v>
      </c>
      <c r="I136" s="51">
        <v>166</v>
      </c>
      <c r="AH136" s="14"/>
      <c r="AI136" s="41"/>
    </row>
    <row r="137" spans="1:35" x14ac:dyDescent="0.35">
      <c r="A137" s="3" t="s">
        <v>1509</v>
      </c>
      <c r="B137" s="3">
        <v>189</v>
      </c>
      <c r="C137" s="3" t="s">
        <v>56</v>
      </c>
      <c r="F137" s="61" t="s">
        <v>1175</v>
      </c>
      <c r="G137" s="62" cm="1">
        <f t="array" ref="G137">IFERROR(_xlfn.STDEV.S(_xlfn._xlws.FILTER($B$34:$B$690,$A$34:$A$690=F137)),0)</f>
        <v>80.69283322162714</v>
      </c>
      <c r="H137" s="3">
        <f t="shared" si="5"/>
        <v>1</v>
      </c>
      <c r="I137" s="51">
        <v>149</v>
      </c>
      <c r="AH137" s="14"/>
      <c r="AI137" s="41"/>
    </row>
    <row r="138" spans="1:35" x14ac:dyDescent="0.35">
      <c r="A138" s="3" t="s">
        <v>176</v>
      </c>
      <c r="B138" s="3">
        <v>205</v>
      </c>
      <c r="C138" s="3" t="s">
        <v>28</v>
      </c>
      <c r="F138" s="61" t="s">
        <v>203</v>
      </c>
      <c r="G138" s="62" cm="1">
        <f t="array" ref="G138">IFERROR(_xlfn.STDEV.S(_xlfn._xlws.FILTER($B$34:$B$690,$A$34:$A$690=F138)),0)</f>
        <v>82.144385078957143</v>
      </c>
      <c r="H138" s="3">
        <f t="shared" si="5"/>
        <v>1</v>
      </c>
      <c r="I138" s="51">
        <v>162.80000000000001</v>
      </c>
      <c r="AH138" s="14"/>
      <c r="AI138" s="41"/>
    </row>
    <row r="139" spans="1:35" x14ac:dyDescent="0.35">
      <c r="A139" s="3" t="s">
        <v>176</v>
      </c>
      <c r="B139" s="3">
        <v>175</v>
      </c>
      <c r="C139" s="3" t="s">
        <v>28</v>
      </c>
      <c r="F139" s="61" t="s">
        <v>425</v>
      </c>
      <c r="G139" s="62" cm="1">
        <f t="array" ref="G139">IFERROR(_xlfn.STDEV.S(_xlfn._xlws.FILTER($B$34:$B$690,$A$34:$A$690=F139)),0)</f>
        <v>82.867363901598807</v>
      </c>
      <c r="H139" s="3">
        <f t="shared" si="5"/>
        <v>1</v>
      </c>
      <c r="I139" s="51">
        <v>169</v>
      </c>
      <c r="AH139" s="14"/>
      <c r="AI139" s="41"/>
    </row>
    <row r="140" spans="1:35" x14ac:dyDescent="0.35">
      <c r="A140" s="3" t="s">
        <v>176</v>
      </c>
      <c r="B140" s="3">
        <v>179</v>
      </c>
      <c r="C140" s="3" t="s">
        <v>56</v>
      </c>
      <c r="F140" s="61" t="s">
        <v>19</v>
      </c>
      <c r="G140" s="62" cm="1">
        <f t="array" ref="G140">IFERROR(_xlfn.STDEV.S(_xlfn._xlws.FILTER($B$34:$B$690,$A$34:$A$690=F140)),0)</f>
        <v>83.048178787978244</v>
      </c>
      <c r="H140" s="3">
        <f t="shared" si="5"/>
        <v>1</v>
      </c>
      <c r="I140" s="51">
        <v>112</v>
      </c>
      <c r="AH140" s="14"/>
      <c r="AI140" s="41"/>
    </row>
    <row r="141" spans="1:35" x14ac:dyDescent="0.35">
      <c r="A141" s="3" t="s">
        <v>687</v>
      </c>
      <c r="B141" s="3">
        <v>21</v>
      </c>
      <c r="C141" s="3" t="s">
        <v>28</v>
      </c>
      <c r="F141" s="61" t="s">
        <v>1926</v>
      </c>
      <c r="G141" s="62" cm="1">
        <f t="array" ref="G141">IFERROR(_xlfn.STDEV.S(_xlfn._xlws.FILTER($B$34:$B$690,$A$34:$A$690=F141)),0)</f>
        <v>83.827203221865872</v>
      </c>
      <c r="H141" s="3">
        <f t="shared" si="5"/>
        <v>1</v>
      </c>
      <c r="I141" s="51">
        <v>185</v>
      </c>
      <c r="AH141" s="14"/>
      <c r="AI141" s="41"/>
    </row>
    <row r="142" spans="1:35" x14ac:dyDescent="0.35">
      <c r="A142" s="3" t="s">
        <v>687</v>
      </c>
      <c r="B142" s="3">
        <v>280</v>
      </c>
      <c r="C142" s="3" t="s">
        <v>28</v>
      </c>
      <c r="F142" s="61" t="s">
        <v>1054</v>
      </c>
      <c r="G142" s="62" cm="1">
        <f t="array" ref="G142">IFERROR(_xlfn.STDEV.S(_xlfn._xlws.FILTER($B$34:$B$690,$A$34:$A$690=F142)),0)</f>
        <v>84.211539193469989</v>
      </c>
      <c r="H142" s="3">
        <f t="shared" si="5"/>
        <v>1</v>
      </c>
      <c r="I142" s="51">
        <v>116.75</v>
      </c>
      <c r="AH142" s="14"/>
      <c r="AI142" s="41"/>
    </row>
    <row r="143" spans="1:35" x14ac:dyDescent="0.35">
      <c r="A143" s="3" t="s">
        <v>616</v>
      </c>
      <c r="B143" s="3">
        <v>2</v>
      </c>
      <c r="C143" s="3" t="s">
        <v>56</v>
      </c>
      <c r="F143" s="61" t="s">
        <v>1568</v>
      </c>
      <c r="G143" s="62" cm="1">
        <f t="array" ref="G143">IFERROR(_xlfn.STDEV.S(_xlfn._xlws.FILTER($B$34:$B$690,$A$34:$A$690=F143)),0)</f>
        <v>84.852813742385706</v>
      </c>
      <c r="H143" s="3">
        <f t="shared" si="5"/>
        <v>1</v>
      </c>
      <c r="I143" s="51">
        <v>200</v>
      </c>
      <c r="AH143" s="14"/>
      <c r="AI143" s="41"/>
    </row>
    <row r="144" spans="1:35" x14ac:dyDescent="0.35">
      <c r="A144" s="3" t="s">
        <v>616</v>
      </c>
      <c r="B144" s="3">
        <v>9</v>
      </c>
      <c r="C144" s="3" t="s">
        <v>28</v>
      </c>
      <c r="F144" s="61" t="s">
        <v>181</v>
      </c>
      <c r="G144" s="62" cm="1">
        <f t="array" ref="G144">IFERROR(_xlfn.STDEV.S(_xlfn._xlws.FILTER($B$34:$B$690,$A$34:$A$690=F144)),0)</f>
        <v>86.746757864487364</v>
      </c>
      <c r="H144" s="3">
        <f t="shared" si="5"/>
        <v>1</v>
      </c>
      <c r="I144" s="51">
        <v>165</v>
      </c>
      <c r="AH144" s="14"/>
      <c r="AI144" s="41"/>
    </row>
    <row r="145" spans="1:35" x14ac:dyDescent="0.35">
      <c r="A145" s="3" t="s">
        <v>616</v>
      </c>
      <c r="B145" s="3">
        <v>173</v>
      </c>
      <c r="C145" s="3" t="s">
        <v>56</v>
      </c>
      <c r="F145" s="61" t="s">
        <v>1671</v>
      </c>
      <c r="G145" s="62" cm="1">
        <f t="array" ref="G145">IFERROR(_xlfn.STDEV.S(_xlfn._xlws.FILTER($B$34:$B$690,$A$34:$A$690=F145)),0)</f>
        <v>86.758284906975888</v>
      </c>
      <c r="H145" s="3">
        <f t="shared" si="5"/>
        <v>1</v>
      </c>
      <c r="I145" s="51">
        <v>98</v>
      </c>
      <c r="AH145" s="14"/>
      <c r="AI145" s="41"/>
    </row>
    <row r="146" spans="1:35" x14ac:dyDescent="0.35">
      <c r="A146" s="3" t="s">
        <v>616</v>
      </c>
      <c r="B146" s="3">
        <v>71</v>
      </c>
      <c r="C146" s="3" t="s">
        <v>56</v>
      </c>
      <c r="F146" s="61" t="s">
        <v>166</v>
      </c>
      <c r="G146" s="62" cm="1">
        <f t="array" ref="G146">IFERROR(_xlfn.STDEV.S(_xlfn._xlws.FILTER($B$34:$B$690,$A$34:$A$690=F146)),0)</f>
        <v>86.949985623920611</v>
      </c>
      <c r="H146" s="3">
        <f t="shared" si="5"/>
        <v>1</v>
      </c>
      <c r="I146" s="51">
        <v>87.5</v>
      </c>
      <c r="AH146" s="14"/>
      <c r="AI146" s="41"/>
    </row>
    <row r="147" spans="1:35" x14ac:dyDescent="0.35">
      <c r="A147" s="3" t="s">
        <v>2260</v>
      </c>
      <c r="B147" s="3">
        <v>174</v>
      </c>
      <c r="C147" s="3" t="s">
        <v>28</v>
      </c>
      <c r="F147" s="61" t="s">
        <v>1004</v>
      </c>
      <c r="G147" s="62" cm="1">
        <f t="array" ref="G147">IFERROR(_xlfn.STDEV.S(_xlfn._xlws.FILTER($B$34:$B$690,$A$34:$A$690=F147)),0)</f>
        <v>86.974134085945352</v>
      </c>
      <c r="H147" s="3">
        <f t="shared" si="5"/>
        <v>1</v>
      </c>
      <c r="I147" s="51">
        <v>130.5</v>
      </c>
      <c r="AH147" s="14"/>
      <c r="AI147" s="41"/>
    </row>
    <row r="148" spans="1:35" x14ac:dyDescent="0.35">
      <c r="A148" s="3" t="s">
        <v>2260</v>
      </c>
      <c r="B148" s="3">
        <v>3</v>
      </c>
      <c r="C148" s="3" t="s">
        <v>56</v>
      </c>
      <c r="F148" s="61" t="s">
        <v>1877</v>
      </c>
      <c r="G148" s="62" cm="1">
        <f t="array" ref="G148">IFERROR(_xlfn.STDEV.S(_xlfn._xlws.FILTER($B$34:$B$690,$A$34:$A$690=F148)),0)</f>
        <v>87.030645943445307</v>
      </c>
      <c r="H148" s="3">
        <f t="shared" si="5"/>
        <v>1</v>
      </c>
      <c r="I148" s="51">
        <v>89.333333333333329</v>
      </c>
      <c r="AH148" s="14"/>
      <c r="AI148" s="41"/>
    </row>
    <row r="149" spans="1:35" x14ac:dyDescent="0.35">
      <c r="A149" s="3" t="s">
        <v>628</v>
      </c>
      <c r="B149" s="3">
        <v>6</v>
      </c>
      <c r="C149" s="3" t="s">
        <v>28</v>
      </c>
      <c r="F149" s="61" t="s">
        <v>1127</v>
      </c>
      <c r="G149" s="62" cm="1">
        <f t="array" ref="G149">IFERROR(_xlfn.STDEV.S(_xlfn._xlws.FILTER($B$34:$B$690,$A$34:$A$690=F149)),0)</f>
        <v>87.366851074458808</v>
      </c>
      <c r="H149" s="3">
        <f t="shared" si="5"/>
        <v>1</v>
      </c>
      <c r="I149" s="51">
        <v>109.16666666666667</v>
      </c>
      <c r="AH149" s="14"/>
      <c r="AI149" s="41"/>
    </row>
    <row r="150" spans="1:35" x14ac:dyDescent="0.35">
      <c r="A150" s="3" t="s">
        <v>628</v>
      </c>
      <c r="B150" s="3">
        <v>201</v>
      </c>
      <c r="C150" s="3" t="s">
        <v>28</v>
      </c>
      <c r="F150" s="61" t="s">
        <v>3109</v>
      </c>
      <c r="G150" s="62" cm="1">
        <f t="array" ref="G150">IFERROR(_xlfn.STDEV.S(_xlfn._xlws.FILTER($B$34:$B$690,$A$34:$A$690=F150)),0)</f>
        <v>87.681240867131891</v>
      </c>
      <c r="H150" s="3">
        <f t="shared" si="5"/>
        <v>1</v>
      </c>
      <c r="I150" s="51">
        <v>66</v>
      </c>
      <c r="AH150" s="14"/>
      <c r="AI150" s="41"/>
    </row>
    <row r="151" spans="1:35" x14ac:dyDescent="0.35">
      <c r="A151" s="3" t="s">
        <v>536</v>
      </c>
      <c r="B151" s="3">
        <v>225</v>
      </c>
      <c r="C151" s="3" t="s">
        <v>28</v>
      </c>
      <c r="F151" s="61" t="s">
        <v>221</v>
      </c>
      <c r="G151" s="62" cm="1">
        <f t="array" ref="G151">IFERROR(_xlfn.STDEV.S(_xlfn._xlws.FILTER($B$34:$B$690,$A$34:$A$690=F151)),0)</f>
        <v>87.762938267433441</v>
      </c>
      <c r="H151" s="3">
        <f t="shared" si="5"/>
        <v>1</v>
      </c>
      <c r="I151" s="51">
        <v>133.66666666666666</v>
      </c>
      <c r="AH151" s="14"/>
      <c r="AI151" s="41"/>
    </row>
    <row r="152" spans="1:35" x14ac:dyDescent="0.35">
      <c r="A152" s="3" t="s">
        <v>536</v>
      </c>
      <c r="B152" s="3">
        <v>246</v>
      </c>
      <c r="C152" s="3" t="s">
        <v>56</v>
      </c>
      <c r="F152" s="61" t="s">
        <v>540</v>
      </c>
      <c r="G152" s="62" cm="1">
        <f t="array" ref="G152">IFERROR(_xlfn.STDEV.S(_xlfn._xlws.FILTER($B$34:$B$690,$A$34:$A$690=F152)),0)</f>
        <v>88.160837866556889</v>
      </c>
      <c r="H152" s="3">
        <f t="shared" si="5"/>
        <v>1</v>
      </c>
      <c r="I152" s="51">
        <v>136.33333333333334</v>
      </c>
      <c r="AH152" s="14"/>
      <c r="AI152" s="41"/>
    </row>
    <row r="153" spans="1:35" x14ac:dyDescent="0.35">
      <c r="A153" s="3" t="s">
        <v>536</v>
      </c>
      <c r="B153" s="3">
        <v>118</v>
      </c>
      <c r="C153" s="3" t="s">
        <v>56</v>
      </c>
      <c r="F153" s="61" t="s">
        <v>207</v>
      </c>
      <c r="G153" s="62" cm="1">
        <f t="array" ref="G153">IFERROR(_xlfn.STDEV.S(_xlfn._xlws.FILTER($B$34:$B$690,$A$34:$A$690=F153)),0)</f>
        <v>89.184079296699579</v>
      </c>
      <c r="H153" s="3">
        <f t="shared" si="5"/>
        <v>1</v>
      </c>
      <c r="I153" s="51">
        <v>83.6</v>
      </c>
      <c r="AH153" s="14"/>
      <c r="AI153" s="41"/>
    </row>
    <row r="154" spans="1:35" x14ac:dyDescent="0.35">
      <c r="A154" s="3" t="s">
        <v>536</v>
      </c>
      <c r="B154" s="3">
        <v>48</v>
      </c>
      <c r="C154" s="3" t="s">
        <v>28</v>
      </c>
      <c r="F154" s="61" t="s">
        <v>1595</v>
      </c>
      <c r="G154" s="62" cm="1">
        <f t="array" ref="G154">IFERROR(_xlfn.STDEV.S(_xlfn._xlws.FILTER($B$34:$B$690,$A$34:$A$690=F154)),0)</f>
        <v>92.718211084266855</v>
      </c>
      <c r="H154" s="3">
        <f t="shared" si="5"/>
        <v>1</v>
      </c>
      <c r="I154" s="51">
        <v>85</v>
      </c>
      <c r="AH154" s="14"/>
      <c r="AI154" s="41"/>
    </row>
    <row r="155" spans="1:35" x14ac:dyDescent="0.35">
      <c r="A155" s="3" t="s">
        <v>1286</v>
      </c>
      <c r="B155" s="3">
        <v>110</v>
      </c>
      <c r="C155" s="3" t="s">
        <v>56</v>
      </c>
      <c r="F155" s="61" t="s">
        <v>1402</v>
      </c>
      <c r="G155" s="62" cm="1">
        <f t="array" ref="G155">IFERROR(_xlfn.STDEV.S(_xlfn._xlws.FILTER($B$34:$B$690,$A$34:$A$690=F155)),0)</f>
        <v>92.908557194695476</v>
      </c>
      <c r="H155" s="3">
        <f t="shared" si="5"/>
        <v>1</v>
      </c>
      <c r="I155" s="51">
        <v>126</v>
      </c>
      <c r="AH155" s="14"/>
      <c r="AI155" s="41"/>
    </row>
    <row r="156" spans="1:35" x14ac:dyDescent="0.35">
      <c r="A156" s="3" t="s">
        <v>1286</v>
      </c>
      <c r="B156" s="3">
        <v>191</v>
      </c>
      <c r="C156" s="3" t="s">
        <v>28</v>
      </c>
      <c r="F156" s="61" t="s">
        <v>189</v>
      </c>
      <c r="G156" s="62" cm="1">
        <f t="array" ref="G156">IFERROR(_xlfn.STDEV.S(_xlfn._xlws.FILTER($B$34:$B$690,$A$34:$A$690=F156)),0)</f>
        <v>92.956979296876895</v>
      </c>
      <c r="H156" s="3">
        <f t="shared" si="5"/>
        <v>1</v>
      </c>
      <c r="I156" s="51">
        <v>185</v>
      </c>
      <c r="AH156" s="14"/>
      <c r="AI156" s="41"/>
    </row>
    <row r="157" spans="1:35" x14ac:dyDescent="0.35">
      <c r="A157" s="3" t="s">
        <v>1286</v>
      </c>
      <c r="B157" s="3">
        <v>120</v>
      </c>
      <c r="C157" s="3" t="s">
        <v>28</v>
      </c>
      <c r="F157" s="61" t="s">
        <v>536</v>
      </c>
      <c r="G157" s="62" cm="1">
        <f t="array" ref="G157">IFERROR(_xlfn.STDEV.S(_xlfn._xlws.FILTER($B$34:$B$690,$A$34:$A$690=F157)),0)</f>
        <v>92.963702594077006</v>
      </c>
      <c r="H157" s="3">
        <f t="shared" si="5"/>
        <v>1</v>
      </c>
      <c r="I157" s="51">
        <v>159.25</v>
      </c>
      <c r="AH157" s="14"/>
      <c r="AI157" s="41"/>
    </row>
    <row r="158" spans="1:35" x14ac:dyDescent="0.35">
      <c r="A158" s="3" t="s">
        <v>221</v>
      </c>
      <c r="B158" s="3">
        <v>235</v>
      </c>
      <c r="C158" s="3" t="s">
        <v>28</v>
      </c>
      <c r="F158" s="61" t="s">
        <v>97</v>
      </c>
      <c r="G158" s="62" cm="1">
        <f t="array" ref="G158">IFERROR(_xlfn.STDEV.S(_xlfn._xlws.FILTER($B$34:$B$690,$A$34:$A$690=F158)),0)</f>
        <v>93.45765529550448</v>
      </c>
      <c r="H158" s="3">
        <f t="shared" si="5"/>
        <v>1</v>
      </c>
      <c r="I158" s="51">
        <v>154.66666666666666</v>
      </c>
      <c r="AH158" s="14"/>
      <c r="AI158" s="41"/>
    </row>
    <row r="159" spans="1:35" x14ac:dyDescent="0.35">
      <c r="A159" s="3" t="s">
        <v>221</v>
      </c>
      <c r="B159" s="3">
        <v>82</v>
      </c>
      <c r="C159" s="3" t="s">
        <v>56</v>
      </c>
      <c r="F159" s="61" t="s">
        <v>1704</v>
      </c>
      <c r="G159" s="62" cm="1">
        <f t="array" ref="G159">IFERROR(_xlfn.STDEV.S(_xlfn._xlws.FILTER($B$34:$B$690,$A$34:$A$690=F159)),0)</f>
        <v>94.521602469135772</v>
      </c>
      <c r="H159" s="3">
        <f t="shared" si="5"/>
        <v>1</v>
      </c>
      <c r="I159" s="51">
        <v>89.333333333333329</v>
      </c>
      <c r="AH159" s="14"/>
      <c r="AI159" s="41"/>
    </row>
    <row r="160" spans="1:35" x14ac:dyDescent="0.35">
      <c r="A160" s="3" t="s">
        <v>221</v>
      </c>
      <c r="B160" s="3">
        <v>84</v>
      </c>
      <c r="C160" s="3" t="s">
        <v>28</v>
      </c>
      <c r="F160" s="61" t="s">
        <v>729</v>
      </c>
      <c r="G160" s="62" cm="1">
        <f t="array" ref="G160">IFERROR(_xlfn.STDEV.S(_xlfn._xlws.FILTER($B$34:$B$690,$A$34:$A$690=F160)),0)</f>
        <v>94.752308678997366</v>
      </c>
      <c r="H160" s="3">
        <f t="shared" si="5"/>
        <v>1</v>
      </c>
      <c r="I160" s="51">
        <v>99</v>
      </c>
      <c r="AH160" s="14"/>
      <c r="AI160" s="41"/>
    </row>
    <row r="161" spans="1:35" x14ac:dyDescent="0.35">
      <c r="A161" s="3" t="s">
        <v>92</v>
      </c>
      <c r="B161" s="3">
        <v>168</v>
      </c>
      <c r="C161" s="3" t="s">
        <v>28</v>
      </c>
      <c r="F161" s="61" t="s">
        <v>133</v>
      </c>
      <c r="G161" s="62" cm="1">
        <f t="array" ref="G161">IFERROR(_xlfn.STDEV.S(_xlfn._xlws.FILTER($B$34:$B$690,$A$34:$A$690=F161)),0)</f>
        <v>94.752308678997366</v>
      </c>
      <c r="H161" s="3">
        <f t="shared" si="5"/>
        <v>1</v>
      </c>
      <c r="I161" s="51">
        <v>89</v>
      </c>
      <c r="AH161" s="14"/>
      <c r="AI161" s="41"/>
    </row>
    <row r="162" spans="1:35" x14ac:dyDescent="0.35">
      <c r="A162" s="3" t="s">
        <v>92</v>
      </c>
      <c r="B162" s="3">
        <v>134</v>
      </c>
      <c r="C162" s="3" t="s">
        <v>56</v>
      </c>
      <c r="F162" s="61" t="s">
        <v>254</v>
      </c>
      <c r="G162" s="62" cm="1">
        <f t="array" ref="G162">IFERROR(_xlfn.STDEV.S(_xlfn._xlws.FILTER($B$34:$B$690,$A$34:$A$690=F162)),0)</f>
        <v>94.77341399358788</v>
      </c>
      <c r="H162" s="3">
        <f t="shared" ref="H162:H193" si="6">IF(G162&gt;0,1,0)</f>
        <v>1</v>
      </c>
      <c r="I162" s="51">
        <v>135</v>
      </c>
      <c r="AH162" s="14"/>
      <c r="AI162" s="41"/>
    </row>
    <row r="163" spans="1:35" x14ac:dyDescent="0.35">
      <c r="A163" s="3" t="s">
        <v>26</v>
      </c>
      <c r="B163" s="3">
        <v>48</v>
      </c>
      <c r="C163" s="3" t="s">
        <v>28</v>
      </c>
      <c r="F163" s="61" t="s">
        <v>1609</v>
      </c>
      <c r="G163" s="62" cm="1">
        <f t="array" ref="G163">IFERROR(_xlfn.STDEV.S(_xlfn._xlws.FILTER($B$34:$B$690,$A$34:$A$690=F163)),0)</f>
        <v>94.931554290446542</v>
      </c>
      <c r="H163" s="3">
        <f t="shared" si="6"/>
        <v>1</v>
      </c>
      <c r="I163" s="51">
        <v>108</v>
      </c>
      <c r="AH163" s="14"/>
      <c r="AI163" s="41"/>
    </row>
    <row r="164" spans="1:35" x14ac:dyDescent="0.35">
      <c r="A164" s="3" t="s">
        <v>26</v>
      </c>
      <c r="B164" s="3">
        <v>94</v>
      </c>
      <c r="C164" s="3" t="s">
        <v>56</v>
      </c>
      <c r="F164" s="61" t="s">
        <v>157</v>
      </c>
      <c r="G164" s="62" cm="1">
        <f t="array" ref="G164">IFERROR(_xlfn.STDEV.S(_xlfn._xlws.FILTER($B$34:$B$690,$A$34:$A$690=F164)),0)</f>
        <v>95.007017284689724</v>
      </c>
      <c r="H164" s="3">
        <f t="shared" si="6"/>
        <v>1</v>
      </c>
      <c r="I164" s="51">
        <v>143.66666666666666</v>
      </c>
      <c r="AH164" s="14"/>
      <c r="AI164" s="41"/>
    </row>
    <row r="165" spans="1:35" x14ac:dyDescent="0.35">
      <c r="A165" s="3" t="s">
        <v>26</v>
      </c>
      <c r="B165" s="3">
        <v>81</v>
      </c>
      <c r="C165" s="3" t="s">
        <v>28</v>
      </c>
      <c r="F165" s="61" t="s">
        <v>43</v>
      </c>
      <c r="G165" s="62" cm="1">
        <f t="array" ref="G165">IFERROR(_xlfn.STDEV.S(_xlfn._xlws.FILTER($B$34:$B$690,$A$34:$A$690=F165)),0)</f>
        <v>95.702316238079277</v>
      </c>
      <c r="H165" s="3">
        <f t="shared" si="6"/>
        <v>1</v>
      </c>
      <c r="I165" s="51">
        <v>101.6</v>
      </c>
      <c r="AH165" s="14"/>
      <c r="AI165" s="41"/>
    </row>
    <row r="166" spans="1:35" x14ac:dyDescent="0.35">
      <c r="A166" s="3" t="s">
        <v>2980</v>
      </c>
      <c r="B166" s="3">
        <v>24</v>
      </c>
      <c r="C166" s="3" t="s">
        <v>28</v>
      </c>
      <c r="F166" s="61" t="s">
        <v>1346</v>
      </c>
      <c r="G166" s="62" cm="1">
        <f t="array" ref="G166">IFERROR(_xlfn.STDEV.S(_xlfn._xlws.FILTER($B$34:$B$690,$A$34:$A$690=F166)),0)</f>
        <v>96.140522153772395</v>
      </c>
      <c r="H166" s="3">
        <f t="shared" si="6"/>
        <v>1</v>
      </c>
      <c r="I166" s="51">
        <v>153</v>
      </c>
      <c r="AH166" s="14"/>
      <c r="AI166" s="41"/>
    </row>
    <row r="167" spans="1:35" x14ac:dyDescent="0.35">
      <c r="A167" s="3" t="s">
        <v>2081</v>
      </c>
      <c r="B167" s="3">
        <v>15</v>
      </c>
      <c r="C167" s="3" t="s">
        <v>28</v>
      </c>
      <c r="F167" s="61" t="s">
        <v>721</v>
      </c>
      <c r="G167" s="62" cm="1">
        <f t="array" ref="G167">IFERROR(_xlfn.STDEV.S(_xlfn._xlws.FILTER($B$34:$B$690,$A$34:$A$690=F167)),0)</f>
        <v>96.166522241370458</v>
      </c>
      <c r="H167" s="3">
        <f t="shared" si="6"/>
        <v>1</v>
      </c>
      <c r="I167" s="51">
        <v>80</v>
      </c>
      <c r="AH167" s="14"/>
      <c r="AI167" s="41"/>
    </row>
    <row r="168" spans="1:35" x14ac:dyDescent="0.35">
      <c r="A168" s="3" t="s">
        <v>425</v>
      </c>
      <c r="B168" s="3">
        <v>160</v>
      </c>
      <c r="C168" s="3" t="s">
        <v>56</v>
      </c>
      <c r="F168" s="61" t="s">
        <v>886</v>
      </c>
      <c r="G168" s="62" cm="1">
        <f t="array" ref="G168">IFERROR(_xlfn.STDEV.S(_xlfn._xlws.FILTER($B$34:$B$690,$A$34:$A$690=F168)),0)</f>
        <v>97.580735803743565</v>
      </c>
      <c r="H168" s="3">
        <f t="shared" si="6"/>
        <v>1</v>
      </c>
      <c r="I168" s="51">
        <v>184</v>
      </c>
      <c r="AH168" s="14"/>
      <c r="AI168" s="41"/>
    </row>
    <row r="169" spans="1:35" x14ac:dyDescent="0.35">
      <c r="A169" s="3" t="s">
        <v>425</v>
      </c>
      <c r="B169" s="3">
        <v>256</v>
      </c>
      <c r="C169" s="3" t="s">
        <v>56</v>
      </c>
      <c r="F169" s="61" t="s">
        <v>171</v>
      </c>
      <c r="G169" s="62" cm="1">
        <f t="array" ref="G169">IFERROR(_xlfn.STDEV.S(_xlfn._xlws.FILTER($B$34:$B$690,$A$34:$A$690=F169)),0)</f>
        <v>98.652589085808259</v>
      </c>
      <c r="H169" s="3">
        <f t="shared" si="6"/>
        <v>1</v>
      </c>
      <c r="I169" s="51">
        <v>135.5</v>
      </c>
      <c r="AH169" s="14"/>
      <c r="AI169" s="41"/>
    </row>
    <row r="170" spans="1:35" x14ac:dyDescent="0.35">
      <c r="A170" s="3" t="s">
        <v>425</v>
      </c>
      <c r="B170" s="3">
        <v>91</v>
      </c>
      <c r="C170" s="3" t="s">
        <v>56</v>
      </c>
      <c r="F170" s="61" t="s">
        <v>813</v>
      </c>
      <c r="G170" s="62" cm="1">
        <f t="array" ref="G170">IFERROR(_xlfn.STDEV.S(_xlfn._xlws.FILTER($B$34:$B$690,$A$34:$A$690=F170)),0)</f>
        <v>100.04124149569516</v>
      </c>
      <c r="H170" s="3">
        <f t="shared" si="6"/>
        <v>1</v>
      </c>
      <c r="I170" s="51">
        <v>209.25</v>
      </c>
      <c r="AH170" s="14"/>
      <c r="AI170" s="41"/>
    </row>
    <row r="171" spans="1:35" x14ac:dyDescent="0.35">
      <c r="A171" s="3" t="s">
        <v>3253</v>
      </c>
      <c r="B171" s="3">
        <v>95</v>
      </c>
      <c r="C171" s="3" t="s">
        <v>28</v>
      </c>
      <c r="F171" s="61" t="s">
        <v>138</v>
      </c>
      <c r="G171" s="62" cm="1">
        <f t="array" ref="G171">IFERROR(_xlfn.STDEV.S(_xlfn._xlws.FILTER($B$34:$B$690,$A$34:$A$690=F171)),0)</f>
        <v>100.19328542594282</v>
      </c>
      <c r="H171" s="3">
        <f t="shared" si="6"/>
        <v>1</v>
      </c>
      <c r="I171" s="51">
        <v>93.777777777777771</v>
      </c>
      <c r="AH171" s="14"/>
      <c r="AI171" s="41"/>
    </row>
    <row r="172" spans="1:35" x14ac:dyDescent="0.35">
      <c r="A172" s="3" t="s">
        <v>1077</v>
      </c>
      <c r="B172" s="3">
        <v>14</v>
      </c>
      <c r="C172" s="3" t="s">
        <v>28</v>
      </c>
      <c r="F172" s="61" t="s">
        <v>1766</v>
      </c>
      <c r="G172" s="62" cm="1">
        <f t="array" ref="G172">IFERROR(_xlfn.STDEV.S(_xlfn._xlws.FILTER($B$34:$B$690,$A$34:$A$690=F172)),0)</f>
        <v>100.40916292848975</v>
      </c>
      <c r="H172" s="3">
        <f t="shared" si="6"/>
        <v>1</v>
      </c>
      <c r="I172" s="51">
        <v>73</v>
      </c>
      <c r="AH172" s="14"/>
      <c r="AI172" s="41"/>
    </row>
    <row r="173" spans="1:35" x14ac:dyDescent="0.35">
      <c r="A173" s="3" t="s">
        <v>2652</v>
      </c>
      <c r="B173" s="3">
        <v>182</v>
      </c>
      <c r="C173" s="3" t="s">
        <v>28</v>
      </c>
      <c r="F173" s="61" t="s">
        <v>868</v>
      </c>
      <c r="G173" s="62" cm="1">
        <f t="array" ref="G173">IFERROR(_xlfn.STDEV.S(_xlfn._xlws.FILTER($B$34:$B$690,$A$34:$A$690=F173)),0)</f>
        <v>103.94469683442249</v>
      </c>
      <c r="H173" s="3">
        <f t="shared" si="6"/>
        <v>1</v>
      </c>
      <c r="I173" s="51">
        <v>205.5</v>
      </c>
      <c r="AH173" s="14"/>
      <c r="AI173" s="41"/>
    </row>
    <row r="174" spans="1:35" x14ac:dyDescent="0.35">
      <c r="A174" s="3" t="s">
        <v>2652</v>
      </c>
      <c r="B174" s="3">
        <v>124</v>
      </c>
      <c r="C174" s="3" t="s">
        <v>28</v>
      </c>
      <c r="F174" s="61" t="s">
        <v>1040</v>
      </c>
      <c r="G174" s="62" cm="1">
        <f t="array" ref="G174">IFERROR(_xlfn.STDEV.S(_xlfn._xlws.FILTER($B$34:$B$690,$A$34:$A$690=F174)),0)</f>
        <v>104</v>
      </c>
      <c r="H174" s="3">
        <f t="shared" si="6"/>
        <v>1</v>
      </c>
      <c r="I174" s="51">
        <v>183</v>
      </c>
      <c r="AH174" s="14"/>
      <c r="AI174" s="41"/>
    </row>
    <row r="175" spans="1:35" x14ac:dyDescent="0.35">
      <c r="A175" s="3" t="s">
        <v>2769</v>
      </c>
      <c r="B175" s="3">
        <v>9</v>
      </c>
      <c r="C175" s="3" t="s">
        <v>28</v>
      </c>
      <c r="F175" s="61" t="s">
        <v>1012</v>
      </c>
      <c r="G175" s="62" cm="1">
        <f t="array" ref="G175">IFERROR(_xlfn.STDEV.S(_xlfn._xlws.FILTER($B$34:$B$690,$A$34:$A$690=F175)),0)</f>
        <v>105.35891039679558</v>
      </c>
      <c r="H175" s="3">
        <f t="shared" si="6"/>
        <v>1</v>
      </c>
      <c r="I175" s="51">
        <v>122.5</v>
      </c>
      <c r="AH175" s="14"/>
      <c r="AI175" s="41"/>
    </row>
    <row r="176" spans="1:35" x14ac:dyDescent="0.35">
      <c r="A176" s="3" t="s">
        <v>3384</v>
      </c>
      <c r="B176" s="3">
        <v>129</v>
      </c>
      <c r="C176" s="3" t="s">
        <v>56</v>
      </c>
      <c r="F176" s="61" t="s">
        <v>112</v>
      </c>
      <c r="G176" s="62" cm="1">
        <f t="array" ref="G176">IFERROR(_xlfn.STDEV.S(_xlfn._xlws.FILTER($B$34:$B$690,$A$34:$A$690=F176)),0)</f>
        <v>107.34174397688906</v>
      </c>
      <c r="H176" s="3">
        <f t="shared" si="6"/>
        <v>1</v>
      </c>
      <c r="I176" s="51">
        <v>155.75</v>
      </c>
      <c r="AH176" s="14"/>
      <c r="AI176" s="41"/>
    </row>
    <row r="177" spans="1:35" x14ac:dyDescent="0.35">
      <c r="A177" s="3" t="s">
        <v>409</v>
      </c>
      <c r="B177" s="3">
        <v>12</v>
      </c>
      <c r="C177" s="3" t="s">
        <v>28</v>
      </c>
      <c r="F177" s="61" t="s">
        <v>1743</v>
      </c>
      <c r="G177" s="62" cm="1">
        <f t="array" ref="G177">IFERROR(_xlfn.STDEV.S(_xlfn._xlws.FILTER($B$34:$B$690,$A$34:$A$690=F177)),0)</f>
        <v>108.5094465933727</v>
      </c>
      <c r="H177" s="3">
        <f t="shared" si="6"/>
        <v>1</v>
      </c>
      <c r="I177" s="51">
        <v>181.4</v>
      </c>
      <c r="AH177" s="14"/>
      <c r="AI177" s="41"/>
    </row>
    <row r="178" spans="1:35" x14ac:dyDescent="0.35">
      <c r="A178" s="3" t="s">
        <v>2067</v>
      </c>
      <c r="B178" s="3">
        <v>45</v>
      </c>
      <c r="C178" s="3" t="s">
        <v>28</v>
      </c>
      <c r="F178" s="61" t="s">
        <v>570</v>
      </c>
      <c r="G178" s="62" cm="1">
        <f t="array" ref="G178">IFERROR(_xlfn.STDEV.S(_xlfn._xlws.FILTER($B$34:$B$690,$A$34:$A$690=F178)),0)</f>
        <v>112.74307074051158</v>
      </c>
      <c r="H178" s="3">
        <f t="shared" si="6"/>
        <v>1</v>
      </c>
      <c r="I178" s="51">
        <v>77</v>
      </c>
      <c r="AH178" s="14"/>
      <c r="AI178" s="41"/>
    </row>
    <row r="179" spans="1:35" x14ac:dyDescent="0.35">
      <c r="A179" s="3" t="s">
        <v>2525</v>
      </c>
      <c r="B179" s="3">
        <v>110</v>
      </c>
      <c r="C179" s="3" t="s">
        <v>56</v>
      </c>
      <c r="F179" s="61" t="s">
        <v>2925</v>
      </c>
      <c r="G179" s="62" cm="1">
        <f t="array" ref="G179">IFERROR(_xlfn.STDEV.S(_xlfn._xlws.FILTER($B$34:$B$690,$A$34:$A$690=F179)),0)</f>
        <v>113.31960701190827</v>
      </c>
      <c r="H179" s="3">
        <f t="shared" si="6"/>
        <v>1</v>
      </c>
      <c r="I179" s="51">
        <v>114.33333333333333</v>
      </c>
      <c r="AH179" s="14"/>
      <c r="AI179" s="41"/>
    </row>
    <row r="180" spans="1:35" x14ac:dyDescent="0.35">
      <c r="A180" s="3" t="s">
        <v>2233</v>
      </c>
      <c r="B180" s="3">
        <v>194</v>
      </c>
      <c r="C180" s="3" t="s">
        <v>28</v>
      </c>
      <c r="F180" s="61" t="s">
        <v>1378</v>
      </c>
      <c r="G180" s="62" cm="1">
        <f t="array" ref="G180">IFERROR(_xlfn.STDEV.S(_xlfn._xlws.FILTER($B$34:$B$690,$A$34:$A$690=F180)),0)</f>
        <v>113.71455491712571</v>
      </c>
      <c r="H180" s="3">
        <f t="shared" si="6"/>
        <v>1</v>
      </c>
      <c r="I180" s="51">
        <v>194</v>
      </c>
      <c r="AH180" s="14"/>
      <c r="AI180" s="41"/>
    </row>
    <row r="181" spans="1:35" x14ac:dyDescent="0.35">
      <c r="A181" s="3" t="s">
        <v>2233</v>
      </c>
      <c r="B181" s="3">
        <v>148</v>
      </c>
      <c r="C181" s="3" t="s">
        <v>56</v>
      </c>
      <c r="F181" s="61" t="s">
        <v>321</v>
      </c>
      <c r="G181" s="62" cm="1">
        <f t="array" ref="G181">IFERROR(_xlfn.STDEV.S(_xlfn._xlws.FILTER($B$34:$B$690,$A$34:$A$690=F181)),0)</f>
        <v>115.29527310345381</v>
      </c>
      <c r="H181" s="3">
        <f t="shared" si="6"/>
        <v>1</v>
      </c>
      <c r="I181" s="51">
        <v>136</v>
      </c>
      <c r="AH181" s="14"/>
      <c r="AI181" s="41"/>
    </row>
    <row r="182" spans="1:35" x14ac:dyDescent="0.35">
      <c r="A182" s="3" t="s">
        <v>996</v>
      </c>
      <c r="B182" s="3">
        <v>63</v>
      </c>
      <c r="C182" s="3" t="s">
        <v>28</v>
      </c>
      <c r="F182" s="61" t="s">
        <v>1307</v>
      </c>
      <c r="G182" s="62" cm="1">
        <f t="array" ref="G182">IFERROR(_xlfn.STDEV.S(_xlfn._xlws.FILTER($B$34:$B$690,$A$34:$A$690=F182)),0)</f>
        <v>115.96551211459379</v>
      </c>
      <c r="H182" s="3">
        <f t="shared" si="6"/>
        <v>1</v>
      </c>
      <c r="I182" s="51">
        <v>105</v>
      </c>
      <c r="AH182" s="14"/>
      <c r="AI182" s="41"/>
    </row>
    <row r="183" spans="1:35" x14ac:dyDescent="0.35">
      <c r="A183" s="3" t="s">
        <v>996</v>
      </c>
      <c r="B183" s="3">
        <v>129</v>
      </c>
      <c r="C183" s="3" t="s">
        <v>56</v>
      </c>
      <c r="F183" s="61" t="s">
        <v>1000</v>
      </c>
      <c r="G183" s="62" cm="1">
        <f t="array" ref="G183">IFERROR(_xlfn.STDEV.S(_xlfn._xlws.FILTER($B$34:$B$690,$A$34:$A$690=F183)),0)</f>
        <v>116.03591398068676</v>
      </c>
      <c r="H183" s="3">
        <f t="shared" si="6"/>
        <v>1</v>
      </c>
      <c r="I183" s="51">
        <v>208.33333333333334</v>
      </c>
      <c r="AH183" s="14"/>
      <c r="AI183" s="41"/>
    </row>
    <row r="184" spans="1:35" x14ac:dyDescent="0.35">
      <c r="A184" s="3" t="s">
        <v>996</v>
      </c>
      <c r="B184" s="3">
        <v>179</v>
      </c>
      <c r="C184" s="3" t="s">
        <v>28</v>
      </c>
      <c r="F184" s="61" t="s">
        <v>1261</v>
      </c>
      <c r="G184" s="62" cm="1">
        <f t="array" ref="G184">IFERROR(_xlfn.STDEV.S(_xlfn._xlws.FILTER($B$34:$B$690,$A$34:$A$690=F184)),0)</f>
        <v>116.67261889578035</v>
      </c>
      <c r="H184" s="3">
        <f t="shared" si="6"/>
        <v>1</v>
      </c>
      <c r="I184" s="51">
        <v>152.5</v>
      </c>
      <c r="AH184" s="14"/>
      <c r="AI184" s="41"/>
    </row>
    <row r="185" spans="1:35" x14ac:dyDescent="0.35">
      <c r="A185" s="3" t="s">
        <v>996</v>
      </c>
      <c r="B185" s="3">
        <v>140</v>
      </c>
      <c r="C185" s="3" t="s">
        <v>56</v>
      </c>
      <c r="F185" s="61" t="s">
        <v>747</v>
      </c>
      <c r="G185" s="62" cm="1">
        <f t="array" ref="G185">IFERROR(_xlfn.STDEV.S(_xlfn._xlws.FILTER($B$34:$B$690,$A$34:$A$690=F185)),0)</f>
        <v>116.67261889578035</v>
      </c>
      <c r="H185" s="3">
        <f t="shared" si="6"/>
        <v>1</v>
      </c>
      <c r="I185" s="51">
        <v>202.5</v>
      </c>
      <c r="AH185" s="14"/>
      <c r="AI185" s="41"/>
    </row>
    <row r="186" spans="1:35" x14ac:dyDescent="0.35">
      <c r="A186" s="3" t="s">
        <v>19</v>
      </c>
      <c r="B186" s="3">
        <v>200</v>
      </c>
      <c r="C186" s="3" t="s">
        <v>28</v>
      </c>
      <c r="F186" s="61" t="s">
        <v>1156</v>
      </c>
      <c r="G186" s="62" cm="1">
        <f t="array" ref="G186">IFERROR(_xlfn.STDEV.S(_xlfn._xlws.FILTER($B$34:$B$690,$A$34:$A$690=F186)),0)</f>
        <v>117.91098337305138</v>
      </c>
      <c r="H186" s="3">
        <f t="shared" si="6"/>
        <v>1</v>
      </c>
      <c r="I186" s="51">
        <v>148</v>
      </c>
      <c r="AH186" s="14"/>
      <c r="AI186" s="41"/>
    </row>
    <row r="187" spans="1:35" x14ac:dyDescent="0.35">
      <c r="A187" s="3" t="s">
        <v>19</v>
      </c>
      <c r="B187" s="3">
        <v>101</v>
      </c>
      <c r="C187" s="3" t="s">
        <v>28</v>
      </c>
      <c r="F187" s="61" t="s">
        <v>421</v>
      </c>
      <c r="G187" s="62" cm="1">
        <f t="array" ref="G187">IFERROR(_xlfn.STDEV.S(_xlfn._xlws.FILTER($B$34:$B$690,$A$34:$A$690=F187)),0)</f>
        <v>118.79393923933998</v>
      </c>
      <c r="H187" s="3">
        <f t="shared" si="6"/>
        <v>1</v>
      </c>
      <c r="I187" s="51">
        <v>201</v>
      </c>
      <c r="AH187" s="14"/>
      <c r="AI187" s="41"/>
    </row>
    <row r="188" spans="1:35" x14ac:dyDescent="0.35">
      <c r="A188" s="3" t="s">
        <v>19</v>
      </c>
      <c r="B188" s="3">
        <v>35</v>
      </c>
      <c r="C188" s="3" t="s">
        <v>28</v>
      </c>
      <c r="F188" s="61" t="s">
        <v>259</v>
      </c>
      <c r="G188" s="62" cm="1">
        <f t="array" ref="G188">IFERROR(_xlfn.STDEV.S(_xlfn._xlws.FILTER($B$34:$B$690,$A$34:$A$690=F188)),0)</f>
        <v>119.16934728919736</v>
      </c>
      <c r="H188" s="3">
        <f t="shared" si="6"/>
        <v>1</v>
      </c>
      <c r="I188" s="51">
        <v>118.33333333333333</v>
      </c>
      <c r="AH188" s="14"/>
      <c r="AI188" s="41"/>
    </row>
    <row r="189" spans="1:35" x14ac:dyDescent="0.35">
      <c r="A189" s="3" t="s">
        <v>1139</v>
      </c>
      <c r="B189" s="3">
        <v>39</v>
      </c>
      <c r="C189" s="3" t="s">
        <v>28</v>
      </c>
      <c r="F189" s="61" t="s">
        <v>231</v>
      </c>
      <c r="G189" s="62" cm="1">
        <f t="array" ref="G189">IFERROR(_xlfn.STDEV.S(_xlfn._xlws.FILTER($B$34:$B$690,$A$34:$A$690=F189)),0)</f>
        <v>119.50104602052653</v>
      </c>
      <c r="H189" s="3">
        <f t="shared" si="6"/>
        <v>1</v>
      </c>
      <c r="I189" s="51">
        <v>198.5</v>
      </c>
      <c r="AH189" s="14"/>
      <c r="AI189" s="41"/>
    </row>
    <row r="190" spans="1:35" x14ac:dyDescent="0.35">
      <c r="A190" s="3" t="s">
        <v>1139</v>
      </c>
      <c r="B190" s="3">
        <v>224</v>
      </c>
      <c r="C190" s="3" t="s">
        <v>28</v>
      </c>
      <c r="F190" s="61" t="s">
        <v>2260</v>
      </c>
      <c r="G190" s="62" cm="1">
        <f t="array" ref="G190">IFERROR(_xlfn.STDEV.S(_xlfn._xlws.FILTER($B$34:$B$690,$A$34:$A$690=F190)),0)</f>
        <v>120.91525958289962</v>
      </c>
      <c r="H190" s="3">
        <f t="shared" si="6"/>
        <v>1</v>
      </c>
      <c r="I190" s="51">
        <v>88.5</v>
      </c>
      <c r="AH190" s="14"/>
      <c r="AI190" s="41"/>
    </row>
    <row r="191" spans="1:35" x14ac:dyDescent="0.35">
      <c r="A191" s="3" t="s">
        <v>1346</v>
      </c>
      <c r="B191" s="3">
        <v>210</v>
      </c>
      <c r="C191" s="3" t="s">
        <v>56</v>
      </c>
      <c r="F191" s="61" t="s">
        <v>381</v>
      </c>
      <c r="G191" s="62" cm="1">
        <f t="array" ref="G191">IFERROR(_xlfn.STDEV.S(_xlfn._xlws.FILTER($B$34:$B$690,$A$34:$A$690=F191)),0)</f>
        <v>120.91525958289962</v>
      </c>
      <c r="H191" s="3">
        <f t="shared" si="6"/>
        <v>1</v>
      </c>
      <c r="I191" s="51">
        <v>195.5</v>
      </c>
      <c r="AH191" s="14"/>
      <c r="AI191" s="41"/>
    </row>
    <row r="192" spans="1:35" x14ac:dyDescent="0.35">
      <c r="A192" s="3" t="s">
        <v>1346</v>
      </c>
      <c r="B192" s="3">
        <v>207</v>
      </c>
      <c r="C192" s="3" t="s">
        <v>28</v>
      </c>
      <c r="F192" s="61" t="s">
        <v>818</v>
      </c>
      <c r="G192" s="62" cm="1">
        <f t="array" ref="G192">IFERROR(_xlfn.STDEV.S(_xlfn._xlws.FILTER($B$34:$B$690,$A$34:$A$690=F192)),0)</f>
        <v>122.12664192004407</v>
      </c>
      <c r="H192" s="3">
        <f t="shared" si="6"/>
        <v>1</v>
      </c>
      <c r="I192" s="51">
        <v>98.75</v>
      </c>
      <c r="AH192" s="14"/>
      <c r="AI192" s="41"/>
    </row>
    <row r="193" spans="1:35" x14ac:dyDescent="0.35">
      <c r="A193" s="3" t="s">
        <v>1346</v>
      </c>
      <c r="B193" s="3">
        <v>42</v>
      </c>
      <c r="C193" s="3" t="s">
        <v>56</v>
      </c>
      <c r="F193" s="61" t="s">
        <v>1160</v>
      </c>
      <c r="G193" s="62" cm="1">
        <f t="array" ref="G193">IFERROR(_xlfn.STDEV.S(_xlfn._xlws.FILTER($B$34:$B$690,$A$34:$A$690=F193)),0)</f>
        <v>123.74368670764582</v>
      </c>
      <c r="H193" s="3">
        <f t="shared" si="6"/>
        <v>1</v>
      </c>
      <c r="I193" s="51">
        <v>167.5</v>
      </c>
      <c r="AH193" s="14"/>
      <c r="AI193" s="41"/>
    </row>
    <row r="194" spans="1:35" x14ac:dyDescent="0.35">
      <c r="A194" s="3" t="s">
        <v>244</v>
      </c>
      <c r="B194" s="3">
        <v>12</v>
      </c>
      <c r="C194" s="3" t="s">
        <v>56</v>
      </c>
      <c r="F194" s="61" t="s">
        <v>405</v>
      </c>
      <c r="G194" s="62" cm="1">
        <f t="array" ref="G194">IFERROR(_xlfn.STDEV.S(_xlfn._xlws.FILTER($B$34:$B$690,$A$34:$A$690=F194)),0)</f>
        <v>125.28500841414879</v>
      </c>
      <c r="H194" s="3">
        <f t="shared" ref="H194:H218" si="7">IF(G194&gt;0,1,0)</f>
        <v>1</v>
      </c>
      <c r="I194" s="51">
        <v>125.66666666666667</v>
      </c>
      <c r="AH194" s="14"/>
      <c r="AI194" s="41"/>
    </row>
    <row r="195" spans="1:35" x14ac:dyDescent="0.35">
      <c r="A195" s="3" t="s">
        <v>3371</v>
      </c>
      <c r="B195" s="3">
        <v>99</v>
      </c>
      <c r="C195" s="3" t="s">
        <v>56</v>
      </c>
      <c r="F195" s="61" t="s">
        <v>54</v>
      </c>
      <c r="G195" s="62" cm="1">
        <f t="array" ref="G195">IFERROR(_xlfn.STDEV.S(_xlfn._xlws.FILTER($B$34:$B$690,$A$34:$A$690=F195)),0)</f>
        <v>125.7417989373462</v>
      </c>
      <c r="H195" s="3">
        <f t="shared" si="7"/>
        <v>1</v>
      </c>
      <c r="I195" s="51">
        <v>152</v>
      </c>
      <c r="AH195" s="14"/>
      <c r="AI195" s="41"/>
    </row>
    <row r="196" spans="1:35" x14ac:dyDescent="0.35">
      <c r="A196" s="3" t="s">
        <v>2984</v>
      </c>
      <c r="B196" s="3">
        <v>237</v>
      </c>
      <c r="C196" s="3" t="s">
        <v>28</v>
      </c>
      <c r="F196" s="61" t="s">
        <v>2180</v>
      </c>
      <c r="G196" s="62" cm="1">
        <f t="array" ref="G196">IFERROR(_xlfn.STDEV.S(_xlfn._xlws.FILTER($B$34:$B$690,$A$34:$A$690=F196)),0)</f>
        <v>129.22976953215283</v>
      </c>
      <c r="H196" s="3">
        <f t="shared" si="7"/>
        <v>1</v>
      </c>
      <c r="I196" s="51">
        <v>149.66666666666666</v>
      </c>
      <c r="AH196" s="14"/>
      <c r="AI196" s="41"/>
    </row>
    <row r="197" spans="1:35" x14ac:dyDescent="0.35">
      <c r="A197" s="3" t="s">
        <v>904</v>
      </c>
      <c r="B197" s="3">
        <v>223</v>
      </c>
      <c r="C197" s="3" t="s">
        <v>28</v>
      </c>
      <c r="F197" s="61" t="s">
        <v>2504</v>
      </c>
      <c r="G197" s="62" cm="1">
        <f t="array" ref="G197">IFERROR(_xlfn.STDEV.S(_xlfn._xlws.FILTER($B$34:$B$690,$A$34:$A$690=F197)),0)</f>
        <v>130.10764773832474</v>
      </c>
      <c r="H197" s="3">
        <f t="shared" si="7"/>
        <v>1</v>
      </c>
      <c r="I197" s="51">
        <v>214</v>
      </c>
      <c r="AH197" s="14"/>
      <c r="AI197" s="41"/>
    </row>
    <row r="198" spans="1:35" x14ac:dyDescent="0.35">
      <c r="A198" s="3" t="s">
        <v>904</v>
      </c>
      <c r="B198" s="3">
        <v>164</v>
      </c>
      <c r="C198" s="3" t="s">
        <v>56</v>
      </c>
      <c r="F198" s="61" t="s">
        <v>1139</v>
      </c>
      <c r="G198" s="62" cm="1">
        <f t="array" ref="G198">IFERROR(_xlfn.STDEV.S(_xlfn._xlws.FILTER($B$34:$B$690,$A$34:$A$690=F198)),0)</f>
        <v>130.8147545195113</v>
      </c>
      <c r="H198" s="3">
        <f t="shared" si="7"/>
        <v>1</v>
      </c>
      <c r="I198" s="51">
        <v>131.5</v>
      </c>
      <c r="AH198" s="14"/>
      <c r="AI198" s="41"/>
    </row>
    <row r="199" spans="1:35" x14ac:dyDescent="0.35">
      <c r="A199" s="3" t="s">
        <v>678</v>
      </c>
      <c r="B199" s="3">
        <v>209</v>
      </c>
      <c r="C199" s="3" t="s">
        <v>56</v>
      </c>
      <c r="F199" s="61" t="s">
        <v>1599</v>
      </c>
      <c r="G199" s="62" cm="1">
        <f t="array" ref="G199">IFERROR(_xlfn.STDEV.S(_xlfn._xlws.FILTER($B$34:$B$690,$A$34:$A$690=F199)),0)</f>
        <v>133.61262415405713</v>
      </c>
      <c r="H199" s="3">
        <f t="shared" si="7"/>
        <v>1</v>
      </c>
      <c r="I199" s="51">
        <v>218.66666666666666</v>
      </c>
      <c r="AH199" s="14"/>
      <c r="AI199" s="41"/>
    </row>
    <row r="200" spans="1:35" x14ac:dyDescent="0.35">
      <c r="A200" s="3" t="s">
        <v>678</v>
      </c>
      <c r="B200" s="3">
        <v>103</v>
      </c>
      <c r="C200" s="3" t="s">
        <v>56</v>
      </c>
      <c r="F200" s="61" t="s">
        <v>2008</v>
      </c>
      <c r="G200" s="62" cm="1">
        <f t="array" ref="G200">IFERROR(_xlfn.STDEV.S(_xlfn._xlws.FILTER($B$34:$B$690,$A$34:$A$690=F200)),0)</f>
        <v>133.64318164425748</v>
      </c>
      <c r="H200" s="3">
        <f t="shared" si="7"/>
        <v>1</v>
      </c>
      <c r="I200" s="51">
        <v>130.5</v>
      </c>
      <c r="AH200" s="14"/>
      <c r="AI200" s="41"/>
    </row>
    <row r="201" spans="1:35" x14ac:dyDescent="0.35">
      <c r="A201" s="3" t="s">
        <v>678</v>
      </c>
      <c r="B201" s="3">
        <v>265</v>
      </c>
      <c r="C201" s="3" t="s">
        <v>56</v>
      </c>
      <c r="F201" s="61" t="s">
        <v>628</v>
      </c>
      <c r="G201" s="62" cm="1">
        <f t="array" ref="G201">IFERROR(_xlfn.STDEV.S(_xlfn._xlws.FILTER($B$34:$B$690,$A$34:$A$690=F201)),0)</f>
        <v>137.88582233137677</v>
      </c>
      <c r="H201" s="3">
        <f t="shared" si="7"/>
        <v>1</v>
      </c>
      <c r="I201" s="51">
        <v>103.5</v>
      </c>
      <c r="AH201" s="14"/>
      <c r="AI201" s="41"/>
    </row>
    <row r="202" spans="1:35" x14ac:dyDescent="0.35">
      <c r="A202" s="3" t="s">
        <v>678</v>
      </c>
      <c r="B202" s="3">
        <v>165</v>
      </c>
      <c r="C202" s="3" t="s">
        <v>56</v>
      </c>
      <c r="F202" s="61" t="s">
        <v>277</v>
      </c>
      <c r="G202" s="62" cm="1">
        <f t="array" ref="G202">IFERROR(_xlfn.STDEV.S(_xlfn._xlws.FILTER($B$34:$B$690,$A$34:$A$690=F202)),0)</f>
        <v>140.43266476619081</v>
      </c>
      <c r="H202" s="3">
        <f t="shared" si="7"/>
        <v>1</v>
      </c>
      <c r="I202" s="51">
        <v>135.33333333333334</v>
      </c>
      <c r="AH202" s="14"/>
      <c r="AI202" s="41"/>
    </row>
    <row r="203" spans="1:35" x14ac:dyDescent="0.35">
      <c r="A203" s="3" t="s">
        <v>678</v>
      </c>
      <c r="B203" s="3">
        <v>131</v>
      </c>
      <c r="C203" s="3" t="s">
        <v>28</v>
      </c>
      <c r="F203" s="61" t="s">
        <v>33</v>
      </c>
      <c r="G203" s="62" cm="1">
        <f t="array" ref="G203">IFERROR(_xlfn.STDEV.S(_xlfn._xlws.FILTER($B$34:$B$690,$A$34:$A$690=F203)),0)</f>
        <v>143.64655698391567</v>
      </c>
      <c r="H203" s="3">
        <f t="shared" si="7"/>
        <v>1</v>
      </c>
      <c r="I203" s="51">
        <v>107.66666666666667</v>
      </c>
      <c r="AH203" s="14"/>
      <c r="AI203" s="41"/>
    </row>
    <row r="204" spans="1:35" x14ac:dyDescent="0.35">
      <c r="A204" s="3" t="s">
        <v>1557</v>
      </c>
      <c r="B204" s="3">
        <v>266</v>
      </c>
      <c r="C204" s="3" t="s">
        <v>56</v>
      </c>
      <c r="F204" s="61" t="s">
        <v>199</v>
      </c>
      <c r="G204" s="62" cm="1">
        <f t="array" ref="G204">IFERROR(_xlfn.STDEV.S(_xlfn._xlws.FILTER($B$34:$B$690,$A$34:$A$690=F204)),0)</f>
        <v>145.02955363846166</v>
      </c>
      <c r="H204" s="3">
        <f t="shared" si="7"/>
        <v>1</v>
      </c>
      <c r="I204" s="51">
        <v>180.28571428571428</v>
      </c>
      <c r="AH204" s="14"/>
      <c r="AI204" s="41"/>
    </row>
    <row r="205" spans="1:35" x14ac:dyDescent="0.35">
      <c r="A205" s="3" t="s">
        <v>1557</v>
      </c>
      <c r="B205" s="3">
        <v>274</v>
      </c>
      <c r="C205" s="3" t="s">
        <v>28</v>
      </c>
      <c r="F205" s="61" t="s">
        <v>725</v>
      </c>
      <c r="G205" s="62" cm="1">
        <f t="array" ref="G205">IFERROR(_xlfn.STDEV.S(_xlfn._xlws.FILTER($B$34:$B$690,$A$34:$A$690=F205)),0)</f>
        <v>147.07821048680188</v>
      </c>
      <c r="H205" s="3">
        <f t="shared" si="7"/>
        <v>1</v>
      </c>
      <c r="I205" s="51">
        <v>171</v>
      </c>
      <c r="AH205" s="14"/>
      <c r="AI205" s="41"/>
    </row>
    <row r="206" spans="1:35" x14ac:dyDescent="0.35">
      <c r="A206" s="3" t="s">
        <v>128</v>
      </c>
      <c r="B206" s="3">
        <v>138</v>
      </c>
      <c r="C206" s="3" t="s">
        <v>28</v>
      </c>
      <c r="F206" s="61" t="s">
        <v>2223</v>
      </c>
      <c r="G206" s="62" cm="1">
        <f t="array" ref="G206">IFERROR(_xlfn.STDEV.S(_xlfn._xlws.FILTER($B$34:$B$690,$A$34:$A$690=F206)),0)</f>
        <v>147.78531726798843</v>
      </c>
      <c r="H206" s="3">
        <f t="shared" si="7"/>
        <v>1</v>
      </c>
      <c r="I206" s="51">
        <v>147.5</v>
      </c>
      <c r="AH206" s="14"/>
      <c r="AI206" s="41"/>
    </row>
    <row r="207" spans="1:35" x14ac:dyDescent="0.35">
      <c r="A207" s="3" t="s">
        <v>128</v>
      </c>
      <c r="B207" s="3">
        <v>77</v>
      </c>
      <c r="C207" s="3" t="s">
        <v>28</v>
      </c>
      <c r="F207" s="61" t="s">
        <v>633</v>
      </c>
      <c r="G207" s="62" cm="1">
        <f t="array" ref="G207">IFERROR(_xlfn.STDEV.S(_xlfn._xlws.FILTER($B$34:$B$690,$A$34:$A$690=F207)),0)</f>
        <v>149.19953083036154</v>
      </c>
      <c r="H207" s="3">
        <f t="shared" si="7"/>
        <v>1</v>
      </c>
      <c r="I207" s="51">
        <v>194.5</v>
      </c>
      <c r="AH207" s="14"/>
      <c r="AI207" s="41"/>
    </row>
    <row r="208" spans="1:35" x14ac:dyDescent="0.35">
      <c r="A208" s="3" t="s">
        <v>1987</v>
      </c>
      <c r="B208" s="3">
        <v>78</v>
      </c>
      <c r="C208" s="3" t="s">
        <v>56</v>
      </c>
      <c r="F208" s="61" t="s">
        <v>356</v>
      </c>
      <c r="G208" s="62" cm="1">
        <f t="array" ref="G208">IFERROR(_xlfn.STDEV.S(_xlfn._xlws.FILTER($B$34:$B$690,$A$34:$A$690=F208)),0)</f>
        <v>149.29166085217219</v>
      </c>
      <c r="H208" s="3">
        <f t="shared" si="7"/>
        <v>1</v>
      </c>
      <c r="I208" s="51">
        <v>117</v>
      </c>
      <c r="AH208" s="14"/>
      <c r="AI208" s="41"/>
    </row>
    <row r="209" spans="1:35" x14ac:dyDescent="0.35">
      <c r="A209" s="3" t="s">
        <v>1307</v>
      </c>
      <c r="B209" s="3">
        <v>187</v>
      </c>
      <c r="C209" s="3" t="s">
        <v>56</v>
      </c>
      <c r="F209" s="61" t="s">
        <v>641</v>
      </c>
      <c r="G209" s="62" cm="1">
        <f t="array" ref="G209">IFERROR(_xlfn.STDEV.S(_xlfn._xlws.FILTER($B$34:$B$690,$A$34:$A$690=F209)),0)</f>
        <v>153.85610160146393</v>
      </c>
      <c r="H209" s="3">
        <f t="shared" si="7"/>
        <v>1</v>
      </c>
      <c r="I209" s="51">
        <v>172.2</v>
      </c>
      <c r="AH209" s="14"/>
      <c r="AI209" s="41"/>
    </row>
    <row r="210" spans="1:35" x14ac:dyDescent="0.35">
      <c r="A210" s="3" t="s">
        <v>1307</v>
      </c>
      <c r="B210" s="3">
        <v>23</v>
      </c>
      <c r="C210" s="3" t="s">
        <v>56</v>
      </c>
      <c r="F210" s="61" t="s">
        <v>482</v>
      </c>
      <c r="G210" s="62" cm="1">
        <f t="array" ref="G210">IFERROR(_xlfn.STDEV.S(_xlfn._xlws.FILTER($B$34:$B$690,$A$34:$A$690=F210)),0)</f>
        <v>158.61588823317794</v>
      </c>
      <c r="H210" s="3">
        <f t="shared" si="7"/>
        <v>1</v>
      </c>
      <c r="I210" s="51">
        <v>132</v>
      </c>
      <c r="AH210" s="14"/>
      <c r="AI210" s="41"/>
    </row>
    <row r="211" spans="1:35" x14ac:dyDescent="0.35">
      <c r="A211" s="3" t="s">
        <v>570</v>
      </c>
      <c r="B211" s="3">
        <v>6</v>
      </c>
      <c r="C211" s="3" t="s">
        <v>56</v>
      </c>
      <c r="F211" s="61" t="s">
        <v>1318</v>
      </c>
      <c r="G211" s="62" cm="1">
        <f t="array" ref="G211">IFERROR(_xlfn.STDEV.S(_xlfn._xlws.FILTER($B$34:$B$690,$A$34:$A$690=F211)),0)</f>
        <v>173.24116139070415</v>
      </c>
      <c r="H211" s="3">
        <f t="shared" si="7"/>
        <v>1</v>
      </c>
      <c r="I211" s="51">
        <v>139.5</v>
      </c>
      <c r="AH211" s="14"/>
      <c r="AI211" s="41"/>
    </row>
    <row r="212" spans="1:35" x14ac:dyDescent="0.35">
      <c r="A212" s="3" t="s">
        <v>570</v>
      </c>
      <c r="B212" s="3">
        <v>18</v>
      </c>
      <c r="C212" s="3" t="s">
        <v>28</v>
      </c>
      <c r="F212" s="61" t="s">
        <v>687</v>
      </c>
      <c r="G212" s="62" cm="1">
        <f t="array" ref="G212">IFERROR(_xlfn.STDEV.S(_xlfn._xlws.FILTER($B$34:$B$690,$A$34:$A$690=F212)),0)</f>
        <v>183.14065632731581</v>
      </c>
      <c r="H212" s="3">
        <f t="shared" si="7"/>
        <v>1</v>
      </c>
      <c r="I212" s="51">
        <v>150.5</v>
      </c>
      <c r="AH212" s="14"/>
      <c r="AI212" s="41"/>
    </row>
    <row r="213" spans="1:35" x14ac:dyDescent="0.35">
      <c r="A213" s="3" t="s">
        <v>570</v>
      </c>
      <c r="B213" s="3">
        <v>207</v>
      </c>
      <c r="C213" s="3" t="s">
        <v>28</v>
      </c>
      <c r="F213" s="61" t="s">
        <v>2496</v>
      </c>
      <c r="G213" s="62" cm="1">
        <f t="array" ref="G213">IFERROR(_xlfn.STDEV.S(_xlfn._xlws.FILTER($B$34:$B$690,$A$34:$A$690=F213)),0)</f>
        <v>189.50461735799473</v>
      </c>
      <c r="H213" s="3">
        <f t="shared" si="7"/>
        <v>1</v>
      </c>
      <c r="I213" s="51">
        <v>137</v>
      </c>
      <c r="AH213" s="14"/>
      <c r="AI213" s="41"/>
    </row>
    <row r="214" spans="1:35" x14ac:dyDescent="0.35">
      <c r="A214" s="3" t="s">
        <v>1617</v>
      </c>
      <c r="B214" s="3">
        <v>17</v>
      </c>
      <c r="C214" s="3" t="s">
        <v>28</v>
      </c>
      <c r="F214" s="61" t="s">
        <v>161</v>
      </c>
      <c r="G214" s="62" cm="1">
        <f t="array" ref="G214">IFERROR(_xlfn.STDEV.S(_xlfn._xlws.FILTER($B$34:$B$690,$A$34:$A$690=F214)),0)</f>
        <v>190.91883092036784</v>
      </c>
      <c r="H214" s="3">
        <f t="shared" si="7"/>
        <v>1</v>
      </c>
      <c r="I214" s="51">
        <v>145</v>
      </c>
      <c r="AH214" s="14"/>
      <c r="AI214" s="41"/>
    </row>
    <row r="215" spans="1:35" x14ac:dyDescent="0.35">
      <c r="A215" s="3" t="s">
        <v>1617</v>
      </c>
      <c r="B215" s="3">
        <v>165</v>
      </c>
      <c r="C215" s="3" t="s">
        <v>28</v>
      </c>
      <c r="F215" s="61" t="s">
        <v>1073</v>
      </c>
      <c r="G215" s="62" cm="1">
        <f t="array" ref="G215">IFERROR(_xlfn.STDEV.S(_xlfn._xlws.FILTER($B$34:$B$690,$A$34:$A$690=F215)),0)</f>
        <v>204.35385976291224</v>
      </c>
      <c r="H215" s="3">
        <f t="shared" si="7"/>
        <v>1</v>
      </c>
      <c r="I215" s="51">
        <v>160.5</v>
      </c>
      <c r="AH215" s="14"/>
      <c r="AI215" s="41"/>
    </row>
    <row r="216" spans="1:35" x14ac:dyDescent="0.35">
      <c r="A216" s="3" t="s">
        <v>1617</v>
      </c>
      <c r="B216" s="3">
        <v>37</v>
      </c>
      <c r="C216" s="3" t="s">
        <v>56</v>
      </c>
      <c r="F216" s="61" t="s">
        <v>66</v>
      </c>
      <c r="G216" s="62" cm="1">
        <f t="array" ref="G216">IFERROR(_xlfn.STDEV.S(_xlfn._xlws.FILTER($B$34:$B$690,$A$34:$A$690=F216)),0)</f>
        <v>216.37467504308356</v>
      </c>
      <c r="H216" s="3">
        <f t="shared" si="7"/>
        <v>1</v>
      </c>
      <c r="I216" s="51">
        <v>155</v>
      </c>
      <c r="AH216" s="14"/>
      <c r="AI216" s="41"/>
    </row>
    <row r="217" spans="1:35" x14ac:dyDescent="0.35">
      <c r="A217" s="3" t="s">
        <v>3095</v>
      </c>
      <c r="B217" s="3">
        <v>149</v>
      </c>
      <c r="C217" s="3" t="s">
        <v>56</v>
      </c>
      <c r="F217" s="61" t="s">
        <v>1236</v>
      </c>
      <c r="G217" s="62" cm="1">
        <f t="array" ref="G217">IFERROR(_xlfn.STDEV.S(_xlfn._xlws.FILTER($B$34:$B$690,$A$34:$A$690=F217)),0)</f>
        <v>236.88077169749343</v>
      </c>
      <c r="H217" s="3">
        <f t="shared" si="7"/>
        <v>1</v>
      </c>
      <c r="I217" s="51">
        <v>169.5</v>
      </c>
      <c r="AH217" s="14"/>
      <c r="AI217" s="41"/>
    </row>
    <row r="218" spans="1:35" x14ac:dyDescent="0.35">
      <c r="A218" s="3" t="s">
        <v>86</v>
      </c>
      <c r="B218" s="3">
        <v>27</v>
      </c>
      <c r="C218" s="3" t="s">
        <v>28</v>
      </c>
      <c r="F218" s="61" t="s">
        <v>429</v>
      </c>
      <c r="G218" s="62" cm="1">
        <f t="array" ref="G218">IFERROR(_xlfn.STDEV.S(_xlfn._xlws.FILTER($B$34:$B$690,$A$34:$A$690=F218)),0)</f>
        <v>244.65894629054543</v>
      </c>
      <c r="H218" s="3">
        <f t="shared" si="7"/>
        <v>1</v>
      </c>
      <c r="I218" s="51">
        <v>179</v>
      </c>
      <c r="AH218" s="14"/>
      <c r="AI218" s="41"/>
    </row>
    <row r="219" spans="1:35" x14ac:dyDescent="0.35">
      <c r="A219" s="3" t="s">
        <v>1770</v>
      </c>
      <c r="B219" s="3">
        <v>148</v>
      </c>
      <c r="C219" s="3" t="s">
        <v>56</v>
      </c>
      <c r="F219" s="61" t="s">
        <v>1842</v>
      </c>
      <c r="G219" s="62" cm="1">
        <f t="array" ref="G219">IFERROR(_xlfn.STDEV.S(_xlfn._xlws.FILTER($B$34:$B$690,$A$34:$A$690=F219)),0)</f>
        <v>0</v>
      </c>
      <c r="H219" s="3">
        <f t="shared" ref="H219:H226" si="8">IF(G219&gt;0,1,0)</f>
        <v>0</v>
      </c>
      <c r="AH219" s="14" t="s">
        <v>1110</v>
      </c>
      <c r="AI219" s="41">
        <v>103</v>
      </c>
    </row>
    <row r="220" spans="1:35" x14ac:dyDescent="0.35">
      <c r="A220" s="3" t="s">
        <v>1770</v>
      </c>
      <c r="B220" s="3">
        <v>72</v>
      </c>
      <c r="C220" s="3" t="s">
        <v>28</v>
      </c>
      <c r="F220" s="61" t="s">
        <v>2163</v>
      </c>
      <c r="G220" s="62" cm="1">
        <f t="array" ref="G220">IFERROR(_xlfn.STDEV.S(_xlfn._xlws.FILTER($B$34:$B$690,$A$34:$A$690=F220)),0)</f>
        <v>0</v>
      </c>
      <c r="H220" s="3">
        <f t="shared" si="8"/>
        <v>0</v>
      </c>
      <c r="AH220" s="14" t="s">
        <v>388</v>
      </c>
      <c r="AI220" s="41">
        <v>115.5</v>
      </c>
    </row>
    <row r="221" spans="1:35" x14ac:dyDescent="0.35">
      <c r="A221" s="3" t="s">
        <v>532</v>
      </c>
      <c r="B221" s="3">
        <v>61</v>
      </c>
      <c r="C221" s="3" t="s">
        <v>56</v>
      </c>
      <c r="F221" s="61" t="s">
        <v>1105</v>
      </c>
      <c r="G221" s="62" cm="1">
        <f t="array" ref="G221">IFERROR(_xlfn.STDEV.S(_xlfn._xlws.FILTER($B$34:$B$690,$A$34:$A$690=F221)),0)</f>
        <v>0</v>
      </c>
      <c r="H221" s="3">
        <f t="shared" si="8"/>
        <v>0</v>
      </c>
      <c r="AH221" s="14" t="s">
        <v>696</v>
      </c>
      <c r="AI221" s="41">
        <v>90.666666666666671</v>
      </c>
    </row>
    <row r="222" spans="1:35" x14ac:dyDescent="0.35">
      <c r="A222" s="3" t="s">
        <v>532</v>
      </c>
      <c r="B222" s="3">
        <v>92</v>
      </c>
      <c r="C222" s="3" t="s">
        <v>56</v>
      </c>
      <c r="F222" s="61" t="s">
        <v>3358</v>
      </c>
      <c r="G222" s="62" cm="1">
        <f t="array" ref="G222">IFERROR(_xlfn.STDEV.S(_xlfn._xlws.FILTER($B$34:$B$690,$A$34:$A$690=F222)),0)</f>
        <v>0</v>
      </c>
      <c r="H222" s="3">
        <f t="shared" si="8"/>
        <v>0</v>
      </c>
      <c r="AH222" s="14" t="s">
        <v>1465</v>
      </c>
      <c r="AI222" s="41">
        <v>23</v>
      </c>
    </row>
    <row r="223" spans="1:35" x14ac:dyDescent="0.35">
      <c r="A223" s="3" t="s">
        <v>1365</v>
      </c>
      <c r="B223" s="3">
        <v>216</v>
      </c>
      <c r="C223" s="3" t="s">
        <v>28</v>
      </c>
      <c r="F223" s="61" t="s">
        <v>545</v>
      </c>
      <c r="G223" s="62" cm="1">
        <f t="array" ref="G223">IFERROR(_xlfn.STDEV.S(_xlfn._xlws.FILTER($B$34:$B$690,$A$34:$A$690=F223)),0)</f>
        <v>0</v>
      </c>
      <c r="H223" s="3">
        <f t="shared" si="8"/>
        <v>0</v>
      </c>
      <c r="AH223" s="14" t="s">
        <v>1328</v>
      </c>
      <c r="AI223" s="41">
        <v>81</v>
      </c>
    </row>
    <row r="224" spans="1:35" x14ac:dyDescent="0.35">
      <c r="A224" s="3" t="s">
        <v>922</v>
      </c>
      <c r="B224" s="3">
        <v>35</v>
      </c>
      <c r="C224" s="3" t="s">
        <v>28</v>
      </c>
      <c r="F224" s="61" t="s">
        <v>1143</v>
      </c>
      <c r="G224" s="62" cm="1">
        <f t="array" ref="G224">IFERROR(_xlfn.STDEV.S(_xlfn._xlws.FILTER($B$34:$B$690,$A$34:$A$690=F224)),0)</f>
        <v>0</v>
      </c>
      <c r="H224" s="3">
        <f t="shared" si="8"/>
        <v>0</v>
      </c>
      <c r="AH224" s="14" t="s">
        <v>2199</v>
      </c>
      <c r="AI224" s="41">
        <v>6</v>
      </c>
    </row>
    <row r="225" spans="1:35" x14ac:dyDescent="0.35">
      <c r="A225" s="3" t="s">
        <v>922</v>
      </c>
      <c r="B225" s="3">
        <v>91</v>
      </c>
      <c r="C225" s="3" t="s">
        <v>56</v>
      </c>
      <c r="F225" s="61" t="s">
        <v>522</v>
      </c>
      <c r="G225" s="62" cm="1">
        <f t="array" ref="G225">IFERROR(_xlfn.STDEV.S(_xlfn._xlws.FILTER($B$34:$B$690,$A$34:$A$690=F225)),0)</f>
        <v>0</v>
      </c>
      <c r="H225" s="3">
        <f t="shared" si="8"/>
        <v>0</v>
      </c>
      <c r="AH225" s="14" t="s">
        <v>264</v>
      </c>
      <c r="AI225" s="41">
        <v>159</v>
      </c>
    </row>
    <row r="226" spans="1:35" x14ac:dyDescent="0.35">
      <c r="A226" s="3" t="s">
        <v>922</v>
      </c>
      <c r="B226" s="3">
        <v>84</v>
      </c>
      <c r="C226" s="3" t="s">
        <v>56</v>
      </c>
      <c r="F226" s="61" t="s">
        <v>2128</v>
      </c>
      <c r="G226" s="62" cm="1">
        <f t="array" ref="G226">IFERROR(_xlfn.STDEV.S(_xlfn._xlws.FILTER($B$34:$B$690,$A$34:$A$690=F226)),0)</f>
        <v>0</v>
      </c>
      <c r="H226" s="3">
        <f t="shared" si="8"/>
        <v>0</v>
      </c>
      <c r="AH226" s="14" t="s">
        <v>583</v>
      </c>
      <c r="AI226" s="41">
        <v>53</v>
      </c>
    </row>
    <row r="227" spans="1:35" x14ac:dyDescent="0.35">
      <c r="A227" s="3" t="s">
        <v>922</v>
      </c>
      <c r="B227" s="3">
        <v>95</v>
      </c>
      <c r="C227" s="3" t="s">
        <v>56</v>
      </c>
      <c r="F227" s="61" t="s">
        <v>3194</v>
      </c>
      <c r="G227" s="62" cm="1">
        <f t="array" ref="G227">IFERROR(_xlfn.STDEV.S(_xlfn._xlws.FILTER($B$34:$B$690,$A$34:$A$690=F227)),0)</f>
        <v>0</v>
      </c>
      <c r="H227" s="3">
        <f t="shared" ref="H227:H290" si="9">IF(G227&gt;0,1,0)</f>
        <v>0</v>
      </c>
      <c r="AH227" s="14" t="s">
        <v>1708</v>
      </c>
      <c r="AI227" s="41">
        <v>228</v>
      </c>
    </row>
    <row r="228" spans="1:35" x14ac:dyDescent="0.35">
      <c r="A228" s="3" t="s">
        <v>1735</v>
      </c>
      <c r="B228" s="3">
        <v>52</v>
      </c>
      <c r="C228" s="3" t="s">
        <v>56</v>
      </c>
      <c r="F228" s="61" t="s">
        <v>1282</v>
      </c>
      <c r="G228" s="62" cm="1">
        <f t="array" ref="G228">IFERROR(_xlfn.STDEV.S(_xlfn._xlws.FILTER($B$34:$B$690,$A$34:$A$690=F228)),0)</f>
        <v>0</v>
      </c>
      <c r="H228" s="3">
        <f t="shared" si="9"/>
        <v>0</v>
      </c>
      <c r="AH228" s="14" t="s">
        <v>2167</v>
      </c>
      <c r="AI228" s="41">
        <v>198.5</v>
      </c>
    </row>
    <row r="229" spans="1:35" x14ac:dyDescent="0.35">
      <c r="A229" s="3" t="s">
        <v>76</v>
      </c>
      <c r="B229" s="3">
        <v>1</v>
      </c>
      <c r="C229" s="3" t="s">
        <v>56</v>
      </c>
      <c r="F229" s="61" t="s">
        <v>1564</v>
      </c>
      <c r="G229" s="62" cm="1">
        <f t="array" ref="G229">IFERROR(_xlfn.STDEV.S(_xlfn._xlws.FILTER($B$34:$B$690,$A$34:$A$690=F229)),0)</f>
        <v>0</v>
      </c>
      <c r="H229" s="3">
        <f t="shared" si="9"/>
        <v>0</v>
      </c>
      <c r="AH229" s="14" t="s">
        <v>203</v>
      </c>
      <c r="AI229" s="41">
        <v>162.80000000000001</v>
      </c>
    </row>
    <row r="230" spans="1:35" x14ac:dyDescent="0.35">
      <c r="A230" s="3" t="s">
        <v>550</v>
      </c>
      <c r="B230" s="3">
        <v>91</v>
      </c>
      <c r="C230" s="3" t="s">
        <v>56</v>
      </c>
      <c r="F230" s="61" t="s">
        <v>2243</v>
      </c>
      <c r="G230" s="62" cm="1">
        <f t="array" ref="G230">IFERROR(_xlfn.STDEV.S(_xlfn._xlws.FILTER($B$34:$B$690,$A$34:$A$690=F230)),0)</f>
        <v>0</v>
      </c>
      <c r="H230" s="3">
        <f t="shared" si="9"/>
        <v>0</v>
      </c>
      <c r="AH230" s="14" t="s">
        <v>2253</v>
      </c>
      <c r="AI230" s="41">
        <v>26</v>
      </c>
    </row>
    <row r="231" spans="1:35" x14ac:dyDescent="0.35">
      <c r="A231" s="3" t="s">
        <v>171</v>
      </c>
      <c r="B231" s="3">
        <v>184</v>
      </c>
      <c r="C231" s="3" t="s">
        <v>56</v>
      </c>
      <c r="F231" s="61" t="s">
        <v>2677</v>
      </c>
      <c r="G231" s="62" cm="1">
        <f t="array" ref="G231">IFERROR(_xlfn.STDEV.S(_xlfn._xlws.FILTER($B$34:$B$690,$A$34:$A$690=F231)),0)</f>
        <v>0</v>
      </c>
      <c r="H231" s="3">
        <f t="shared" si="9"/>
        <v>0</v>
      </c>
      <c r="AH231" s="14" t="s">
        <v>249</v>
      </c>
      <c r="AI231" s="41">
        <v>214</v>
      </c>
    </row>
    <row r="232" spans="1:35" x14ac:dyDescent="0.35">
      <c r="A232" s="3" t="s">
        <v>171</v>
      </c>
      <c r="B232" s="3">
        <v>34</v>
      </c>
      <c r="C232" s="3" t="s">
        <v>56</v>
      </c>
      <c r="F232" s="61" t="s">
        <v>2033</v>
      </c>
      <c r="G232" s="62" cm="1">
        <f t="array" ref="G232">IFERROR(_xlfn.STDEV.S(_xlfn._xlws.FILTER($B$34:$B$690,$A$34:$A$690=F232)),0)</f>
        <v>0</v>
      </c>
      <c r="H232" s="3">
        <f t="shared" si="9"/>
        <v>0</v>
      </c>
      <c r="AH232" s="14" t="s">
        <v>1599</v>
      </c>
      <c r="AI232" s="41">
        <v>218.66666666666666</v>
      </c>
    </row>
    <row r="233" spans="1:35" x14ac:dyDescent="0.35">
      <c r="A233" s="3" t="s">
        <v>171</v>
      </c>
      <c r="B233" s="3">
        <v>249</v>
      </c>
      <c r="C233" s="3" t="s">
        <v>28</v>
      </c>
      <c r="F233" s="61" t="s">
        <v>1418</v>
      </c>
      <c r="G233" s="62" cm="1">
        <f t="array" ref="G233">IFERROR(_xlfn.STDEV.S(_xlfn._xlws.FILTER($B$34:$B$690,$A$34:$A$690=F233)),0)</f>
        <v>0</v>
      </c>
      <c r="H233" s="3">
        <f t="shared" si="9"/>
        <v>0</v>
      </c>
      <c r="AH233" s="14" t="s">
        <v>351</v>
      </c>
      <c r="AI233" s="41">
        <v>68</v>
      </c>
    </row>
    <row r="234" spans="1:35" x14ac:dyDescent="0.35">
      <c r="A234" s="3" t="s">
        <v>171</v>
      </c>
      <c r="B234" s="3">
        <v>75</v>
      </c>
      <c r="C234" s="3" t="s">
        <v>56</v>
      </c>
      <c r="F234" s="61" t="s">
        <v>1540</v>
      </c>
      <c r="G234" s="62" cm="1">
        <f t="array" ref="G234">IFERROR(_xlfn.STDEV.S(_xlfn._xlws.FILTER($B$34:$B$690,$A$34:$A$690=F234)),0)</f>
        <v>0</v>
      </c>
      <c r="H234" s="3">
        <f t="shared" si="9"/>
        <v>0</v>
      </c>
      <c r="AH234" s="14" t="s">
        <v>763</v>
      </c>
      <c r="AI234" s="41">
        <v>174</v>
      </c>
    </row>
    <row r="235" spans="1:35" x14ac:dyDescent="0.35">
      <c r="A235" s="3" t="s">
        <v>364</v>
      </c>
      <c r="B235" s="3">
        <v>65</v>
      </c>
      <c r="C235" s="3" t="s">
        <v>56</v>
      </c>
      <c r="F235" s="61" t="s">
        <v>908</v>
      </c>
      <c r="G235" s="62" cm="1">
        <f t="array" ref="G235">IFERROR(_xlfn.STDEV.S(_xlfn._xlws.FILTER($B$34:$B$690,$A$34:$A$690=F235)),0)</f>
        <v>0</v>
      </c>
      <c r="H235" s="3">
        <f t="shared" si="9"/>
        <v>0</v>
      </c>
      <c r="AH235" s="14" t="s">
        <v>1249</v>
      </c>
      <c r="AI235" s="41">
        <v>49.5</v>
      </c>
    </row>
    <row r="236" spans="1:35" x14ac:dyDescent="0.35">
      <c r="A236" s="3" t="s">
        <v>364</v>
      </c>
      <c r="B236" s="3">
        <v>37</v>
      </c>
      <c r="C236" s="3" t="s">
        <v>56</v>
      </c>
      <c r="F236" s="61" t="s">
        <v>2219</v>
      </c>
      <c r="G236" s="62" cm="1">
        <f t="array" ref="G236">IFERROR(_xlfn.STDEV.S(_xlfn._xlws.FILTER($B$34:$B$690,$A$34:$A$690=F236)),0)</f>
        <v>0</v>
      </c>
      <c r="H236" s="3">
        <f t="shared" si="9"/>
        <v>0</v>
      </c>
      <c r="AH236" s="14" t="s">
        <v>729</v>
      </c>
      <c r="AI236" s="41">
        <v>99</v>
      </c>
    </row>
    <row r="237" spans="1:35" x14ac:dyDescent="0.35">
      <c r="A237" s="3" t="s">
        <v>364</v>
      </c>
      <c r="B237" s="3">
        <v>103</v>
      </c>
      <c r="C237" s="3" t="s">
        <v>28</v>
      </c>
      <c r="F237" s="61" t="s">
        <v>1509</v>
      </c>
      <c r="G237" s="62" cm="1">
        <f t="array" ref="G237">IFERROR(_xlfn.STDEV.S(_xlfn._xlws.FILTER($B$34:$B$690,$A$34:$A$690=F237)),0)</f>
        <v>0</v>
      </c>
      <c r="H237" s="3">
        <f t="shared" si="9"/>
        <v>0</v>
      </c>
      <c r="AH237" s="14" t="s">
        <v>2144</v>
      </c>
      <c r="AI237" s="41">
        <v>166</v>
      </c>
    </row>
    <row r="238" spans="1:35" x14ac:dyDescent="0.35">
      <c r="A238" s="3" t="s">
        <v>1568</v>
      </c>
      <c r="B238" s="3">
        <v>260</v>
      </c>
      <c r="C238" s="3" t="s">
        <v>28</v>
      </c>
      <c r="F238" s="61" t="s">
        <v>2980</v>
      </c>
      <c r="G238" s="62" cm="1">
        <f t="array" ref="G238">IFERROR(_xlfn.STDEV.S(_xlfn._xlws.FILTER($B$34:$B$690,$A$34:$A$690=F238)),0)</f>
        <v>0</v>
      </c>
      <c r="H238" s="3">
        <f t="shared" si="9"/>
        <v>0</v>
      </c>
      <c r="AH238" s="14" t="s">
        <v>1697</v>
      </c>
      <c r="AI238" s="41">
        <v>49</v>
      </c>
    </row>
    <row r="239" spans="1:35" x14ac:dyDescent="0.35">
      <c r="A239" s="3" t="s">
        <v>1568</v>
      </c>
      <c r="B239" s="3">
        <v>140</v>
      </c>
      <c r="C239" s="3" t="s">
        <v>28</v>
      </c>
      <c r="F239" s="61" t="s">
        <v>2081</v>
      </c>
      <c r="G239" s="62" cm="1">
        <f t="array" ref="G239">IFERROR(_xlfn.STDEV.S(_xlfn._xlws.FILTER($B$34:$B$690,$A$34:$A$690=F239)),0)</f>
        <v>0</v>
      </c>
      <c r="H239" s="3">
        <f t="shared" si="9"/>
        <v>0</v>
      </c>
      <c r="AH239" s="14" t="s">
        <v>207</v>
      </c>
      <c r="AI239" s="41">
        <v>83.6</v>
      </c>
    </row>
    <row r="240" spans="1:35" x14ac:dyDescent="0.35">
      <c r="A240" s="3" t="s">
        <v>268</v>
      </c>
      <c r="B240" s="3">
        <v>47</v>
      </c>
      <c r="C240" s="3" t="s">
        <v>56</v>
      </c>
      <c r="F240" s="61" t="s">
        <v>3253</v>
      </c>
      <c r="G240" s="62" cm="1">
        <f t="array" ref="G240">IFERROR(_xlfn.STDEV.S(_xlfn._xlws.FILTER($B$34:$B$690,$A$34:$A$690=F240)),0)</f>
        <v>0</v>
      </c>
      <c r="H240" s="3">
        <f t="shared" si="9"/>
        <v>0</v>
      </c>
      <c r="AH240" s="14" t="s">
        <v>1303</v>
      </c>
      <c r="AI240" s="41">
        <v>100.66666666666667</v>
      </c>
    </row>
    <row r="241" spans="1:35" x14ac:dyDescent="0.35">
      <c r="A241" s="3" t="s">
        <v>268</v>
      </c>
      <c r="B241" s="3">
        <v>116</v>
      </c>
      <c r="C241" s="3" t="s">
        <v>56</v>
      </c>
      <c r="F241" s="61" t="s">
        <v>1077</v>
      </c>
      <c r="G241" s="62" cm="1">
        <f t="array" ref="G241">IFERROR(_xlfn.STDEV.S(_xlfn._xlws.FILTER($B$34:$B$690,$A$34:$A$690=F241)),0)</f>
        <v>0</v>
      </c>
      <c r="H241" s="3">
        <f t="shared" si="9"/>
        <v>0</v>
      </c>
      <c r="AH241" s="14" t="s">
        <v>2542</v>
      </c>
      <c r="AI241" s="41">
        <v>58</v>
      </c>
    </row>
    <row r="242" spans="1:35" x14ac:dyDescent="0.35">
      <c r="A242" s="3" t="s">
        <v>641</v>
      </c>
      <c r="B242" s="3">
        <v>18</v>
      </c>
      <c r="C242" s="3" t="s">
        <v>28</v>
      </c>
      <c r="F242" s="61" t="s">
        <v>2769</v>
      </c>
      <c r="G242" s="62" cm="1">
        <f t="array" ref="G242">IFERROR(_xlfn.STDEV.S(_xlfn._xlws.FILTER($B$34:$B$690,$A$34:$A$690=F242)),0)</f>
        <v>0</v>
      </c>
      <c r="H242" s="3">
        <f t="shared" si="9"/>
        <v>0</v>
      </c>
      <c r="AH242" s="14" t="s">
        <v>2455</v>
      </c>
      <c r="AI242" s="41">
        <v>115</v>
      </c>
    </row>
    <row r="243" spans="1:35" x14ac:dyDescent="0.35">
      <c r="A243" s="3" t="s">
        <v>641</v>
      </c>
      <c r="B243" s="3">
        <v>148</v>
      </c>
      <c r="C243" s="3" t="s">
        <v>56</v>
      </c>
      <c r="F243" s="61" t="s">
        <v>3384</v>
      </c>
      <c r="G243" s="62" cm="1">
        <f t="array" ref="G243">IFERROR(_xlfn.STDEV.S(_xlfn._xlws.FILTER($B$34:$B$690,$A$34:$A$690=F243)),0)</f>
        <v>0</v>
      </c>
      <c r="H243" s="3">
        <f t="shared" si="9"/>
        <v>0</v>
      </c>
      <c r="AH243" s="14" t="s">
        <v>2496</v>
      </c>
      <c r="AI243" s="41">
        <v>137</v>
      </c>
    </row>
    <row r="244" spans="1:35" x14ac:dyDescent="0.35">
      <c r="A244" s="3" t="s">
        <v>641</v>
      </c>
      <c r="B244" s="3">
        <v>33</v>
      </c>
      <c r="C244" s="3" t="s">
        <v>28</v>
      </c>
      <c r="F244" s="61" t="s">
        <v>409</v>
      </c>
      <c r="G244" s="62" cm="1">
        <f t="array" ref="G244">IFERROR(_xlfn.STDEV.S(_xlfn._xlws.FILTER($B$34:$B$690,$A$34:$A$690=F244)),0)</f>
        <v>0</v>
      </c>
      <c r="H244" s="3">
        <f t="shared" si="9"/>
        <v>0</v>
      </c>
      <c r="AH244" s="14" t="s">
        <v>608</v>
      </c>
      <c r="AI244" s="41">
        <v>189.5</v>
      </c>
    </row>
    <row r="245" spans="1:35" x14ac:dyDescent="0.35">
      <c r="A245" s="3" t="s">
        <v>641</v>
      </c>
      <c r="B245" s="3">
        <v>315</v>
      </c>
      <c r="C245" s="3" t="s">
        <v>28</v>
      </c>
      <c r="F245" s="61" t="s">
        <v>2067</v>
      </c>
      <c r="G245" s="62" cm="1">
        <f t="array" ref="G245">IFERROR(_xlfn.STDEV.S(_xlfn._xlws.FILTER($B$34:$B$690,$A$34:$A$690=F245)),0)</f>
        <v>0</v>
      </c>
      <c r="H245" s="3">
        <f t="shared" si="9"/>
        <v>0</v>
      </c>
      <c r="AH245" s="14" t="s">
        <v>1997</v>
      </c>
      <c r="AI245" s="41">
        <v>70</v>
      </c>
    </row>
    <row r="246" spans="1:35" x14ac:dyDescent="0.35">
      <c r="A246" s="3" t="s">
        <v>641</v>
      </c>
      <c r="B246" s="3">
        <v>347</v>
      </c>
      <c r="C246" s="3" t="s">
        <v>56</v>
      </c>
      <c r="F246" s="61" t="s">
        <v>2525</v>
      </c>
      <c r="G246" s="62" cm="1">
        <f t="array" ref="G246">IFERROR(_xlfn.STDEV.S(_xlfn._xlws.FILTER($B$34:$B$690,$A$34:$A$690=F246)),0)</f>
        <v>0</v>
      </c>
      <c r="H246" s="3">
        <f t="shared" si="9"/>
        <v>0</v>
      </c>
      <c r="AH246" s="14" t="s">
        <v>912</v>
      </c>
      <c r="AI246" s="41">
        <v>154.66666666666666</v>
      </c>
    </row>
    <row r="247" spans="1:35" x14ac:dyDescent="0.35">
      <c r="A247" s="3" t="s">
        <v>2856</v>
      </c>
      <c r="B247" s="3">
        <v>69</v>
      </c>
      <c r="C247" s="3" t="s">
        <v>56</v>
      </c>
      <c r="F247" s="61" t="s">
        <v>244</v>
      </c>
      <c r="G247" s="62" cm="1">
        <f t="array" ref="G247">IFERROR(_xlfn.STDEV.S(_xlfn._xlws.FILTER($B$34:$B$690,$A$34:$A$690=F247)),0)</f>
        <v>0</v>
      </c>
      <c r="H247" s="3">
        <f t="shared" si="9"/>
        <v>0</v>
      </c>
      <c r="AH247" s="14" t="s">
        <v>926</v>
      </c>
      <c r="AI247" s="41">
        <v>123.25</v>
      </c>
    </row>
    <row r="248" spans="1:35" x14ac:dyDescent="0.35">
      <c r="A248" s="3" t="s">
        <v>2856</v>
      </c>
      <c r="B248" s="3">
        <v>57</v>
      </c>
      <c r="C248" s="3" t="s">
        <v>56</v>
      </c>
      <c r="F248" s="61" t="s">
        <v>3371</v>
      </c>
      <c r="G248" s="62" cm="1">
        <f t="array" ref="G248">IFERROR(_xlfn.STDEV.S(_xlfn._xlws.FILTER($B$34:$B$690,$A$34:$A$690=F248)),0)</f>
        <v>0</v>
      </c>
      <c r="H248" s="3">
        <f t="shared" si="9"/>
        <v>0</v>
      </c>
      <c r="AH248" s="14" t="s">
        <v>1194</v>
      </c>
      <c r="AI248" s="41">
        <v>121</v>
      </c>
    </row>
    <row r="249" spans="1:35" x14ac:dyDescent="0.35">
      <c r="A249" s="3" t="s">
        <v>2856</v>
      </c>
      <c r="B249" s="3">
        <v>36</v>
      </c>
      <c r="C249" s="3" t="s">
        <v>28</v>
      </c>
      <c r="F249" s="61" t="s">
        <v>2984</v>
      </c>
      <c r="G249" s="62" cm="1">
        <f t="array" ref="G249">IFERROR(_xlfn.STDEV.S(_xlfn._xlws.FILTER($B$34:$B$690,$A$34:$A$690=F249)),0)</f>
        <v>0</v>
      </c>
      <c r="H249" s="3">
        <f t="shared" si="9"/>
        <v>0</v>
      </c>
      <c r="AH249" s="14" t="s">
        <v>112</v>
      </c>
      <c r="AI249" s="41">
        <v>155.75</v>
      </c>
    </row>
    <row r="250" spans="1:35" x14ac:dyDescent="0.35">
      <c r="A250" s="3" t="s">
        <v>2856</v>
      </c>
      <c r="B250" s="3">
        <v>182</v>
      </c>
      <c r="C250" s="3" t="s">
        <v>28</v>
      </c>
      <c r="F250" s="61" t="s">
        <v>1987</v>
      </c>
      <c r="G250" s="62" cm="1">
        <f t="array" ref="G250">IFERROR(_xlfn.STDEV.S(_xlfn._xlws.FILTER($B$34:$B$690,$A$34:$A$690=F250)),0)</f>
        <v>0</v>
      </c>
      <c r="H250" s="3">
        <f t="shared" si="9"/>
        <v>0</v>
      </c>
      <c r="AH250" s="14" t="s">
        <v>254</v>
      </c>
      <c r="AI250" s="41">
        <v>135</v>
      </c>
    </row>
    <row r="251" spans="1:35" x14ac:dyDescent="0.35">
      <c r="A251" s="3" t="s">
        <v>1595</v>
      </c>
      <c r="B251" s="3">
        <v>7</v>
      </c>
      <c r="C251" s="3" t="s">
        <v>28</v>
      </c>
      <c r="F251" s="61" t="s">
        <v>3095</v>
      </c>
      <c r="G251" s="62" cm="1">
        <f t="array" ref="G251">IFERROR(_xlfn.STDEV.S(_xlfn._xlws.FILTER($B$34:$B$690,$A$34:$A$690=F251)),0)</f>
        <v>0</v>
      </c>
      <c r="H251" s="3">
        <f t="shared" si="9"/>
        <v>0</v>
      </c>
      <c r="AH251" s="14" t="s">
        <v>486</v>
      </c>
      <c r="AI251" s="41">
        <v>19</v>
      </c>
    </row>
    <row r="252" spans="1:35" x14ac:dyDescent="0.35">
      <c r="A252" s="3" t="s">
        <v>1595</v>
      </c>
      <c r="B252" s="3">
        <v>113</v>
      </c>
      <c r="C252" s="3" t="s">
        <v>28</v>
      </c>
      <c r="F252" s="61" t="s">
        <v>86</v>
      </c>
      <c r="G252" s="62" cm="1">
        <f t="array" ref="G252">IFERROR(_xlfn.STDEV.S(_xlfn._xlws.FILTER($B$34:$B$690,$A$34:$A$690=F252)),0)</f>
        <v>0</v>
      </c>
      <c r="H252" s="3">
        <f t="shared" si="9"/>
        <v>0</v>
      </c>
      <c r="AH252" s="14" t="s">
        <v>1398</v>
      </c>
      <c r="AI252" s="41">
        <v>51</v>
      </c>
    </row>
    <row r="253" spans="1:35" x14ac:dyDescent="0.35">
      <c r="A253" s="3" t="s">
        <v>1595</v>
      </c>
      <c r="B253" s="3">
        <v>16</v>
      </c>
      <c r="C253" s="3" t="s">
        <v>56</v>
      </c>
      <c r="F253" s="61" t="s">
        <v>1365</v>
      </c>
      <c r="G253" s="62" cm="1">
        <f t="array" ref="G253">IFERROR(_xlfn.STDEV.S(_xlfn._xlws.FILTER($B$34:$B$690,$A$34:$A$690=F253)),0)</f>
        <v>0</v>
      </c>
      <c r="H253" s="3">
        <f t="shared" si="9"/>
        <v>0</v>
      </c>
      <c r="AH253" s="14" t="s">
        <v>808</v>
      </c>
      <c r="AI253" s="41">
        <v>288</v>
      </c>
    </row>
    <row r="254" spans="1:35" x14ac:dyDescent="0.35">
      <c r="A254" s="3" t="s">
        <v>1595</v>
      </c>
      <c r="B254" s="3">
        <v>204</v>
      </c>
      <c r="C254" s="3" t="s">
        <v>56</v>
      </c>
      <c r="F254" s="61" t="s">
        <v>1735</v>
      </c>
      <c r="G254" s="62" cm="1">
        <f t="array" ref="G254">IFERROR(_xlfn.STDEV.S(_xlfn._xlws.FILTER($B$34:$B$690,$A$34:$A$690=F254)),0)</f>
        <v>0</v>
      </c>
      <c r="H254" s="3">
        <f t="shared" si="9"/>
        <v>0</v>
      </c>
      <c r="AH254" s="14" t="s">
        <v>231</v>
      </c>
      <c r="AI254" s="41">
        <v>198.5</v>
      </c>
    </row>
    <row r="255" spans="1:35" x14ac:dyDescent="0.35">
      <c r="A255" s="3" t="s">
        <v>2448</v>
      </c>
      <c r="B255" s="3">
        <v>22</v>
      </c>
      <c r="C255" s="3" t="s">
        <v>56</v>
      </c>
      <c r="F255" s="61" t="s">
        <v>76</v>
      </c>
      <c r="G255" s="62" cm="1">
        <f t="array" ref="G255">IFERROR(_xlfn.STDEV.S(_xlfn._xlws.FILTER($B$34:$B$690,$A$34:$A$690=F255)),0)</f>
        <v>0</v>
      </c>
      <c r="H255" s="3">
        <f t="shared" si="9"/>
        <v>0</v>
      </c>
      <c r="AH255" s="14" t="s">
        <v>2713</v>
      </c>
      <c r="AI255" s="41">
        <v>107</v>
      </c>
    </row>
    <row r="256" spans="1:35" x14ac:dyDescent="0.35">
      <c r="A256" s="3" t="s">
        <v>868</v>
      </c>
      <c r="B256" s="3">
        <v>132</v>
      </c>
      <c r="C256" s="3" t="s">
        <v>56</v>
      </c>
      <c r="F256" s="61" t="s">
        <v>550</v>
      </c>
      <c r="G256" s="62" cm="1">
        <f t="array" ref="G256">IFERROR(_xlfn.STDEV.S(_xlfn._xlws.FILTER($B$34:$B$690,$A$34:$A$690=F256)),0)</f>
        <v>0</v>
      </c>
      <c r="H256" s="3">
        <f t="shared" si="9"/>
        <v>0</v>
      </c>
      <c r="AH256" s="14" t="s">
        <v>281</v>
      </c>
      <c r="AI256" s="41">
        <v>142</v>
      </c>
    </row>
    <row r="257" spans="1:35" x14ac:dyDescent="0.35">
      <c r="A257" s="3" t="s">
        <v>868</v>
      </c>
      <c r="B257" s="3">
        <v>279</v>
      </c>
      <c r="C257" s="3" t="s">
        <v>56</v>
      </c>
      <c r="F257" s="61" t="s">
        <v>2448</v>
      </c>
      <c r="G257" s="62" cm="1">
        <f t="array" ref="G257">IFERROR(_xlfn.STDEV.S(_xlfn._xlws.FILTER($B$34:$B$690,$A$34:$A$690=F257)),0)</f>
        <v>0</v>
      </c>
      <c r="H257" s="3">
        <f t="shared" si="9"/>
        <v>0</v>
      </c>
      <c r="AH257" s="14" t="s">
        <v>1156</v>
      </c>
      <c r="AI257" s="41">
        <v>148</v>
      </c>
    </row>
    <row r="258" spans="1:35" x14ac:dyDescent="0.35">
      <c r="A258" s="3" t="s">
        <v>1261</v>
      </c>
      <c r="B258" s="3">
        <v>235</v>
      </c>
      <c r="C258" s="3" t="s">
        <v>56</v>
      </c>
      <c r="F258" s="61" t="s">
        <v>3105</v>
      </c>
      <c r="G258" s="62" cm="1">
        <f t="array" ref="G258">IFERROR(_xlfn.STDEV.S(_xlfn._xlws.FILTER($B$34:$B$690,$A$34:$A$690=F258)),0)</f>
        <v>0</v>
      </c>
      <c r="H258" s="3">
        <f t="shared" si="9"/>
        <v>0</v>
      </c>
      <c r="AH258" s="14" t="s">
        <v>157</v>
      </c>
      <c r="AI258" s="41">
        <v>143.66666666666666</v>
      </c>
    </row>
    <row r="259" spans="1:35" x14ac:dyDescent="0.35">
      <c r="A259" s="3" t="s">
        <v>1261</v>
      </c>
      <c r="B259" s="3">
        <v>70</v>
      </c>
      <c r="C259" s="3" t="s">
        <v>56</v>
      </c>
      <c r="F259" s="61" t="s">
        <v>1829</v>
      </c>
      <c r="G259" s="62" cm="1">
        <f t="array" ref="G259">IFERROR(_xlfn.STDEV.S(_xlfn._xlws.FILTER($B$34:$B$690,$A$34:$A$690=F259)),0)</f>
        <v>0</v>
      </c>
      <c r="H259" s="3">
        <f t="shared" si="9"/>
        <v>0</v>
      </c>
      <c r="AH259" s="14" t="s">
        <v>1877</v>
      </c>
      <c r="AI259" s="41">
        <v>89.333333333333329</v>
      </c>
    </row>
    <row r="260" spans="1:35" x14ac:dyDescent="0.35">
      <c r="A260" s="3" t="s">
        <v>3105</v>
      </c>
      <c r="B260" s="3">
        <v>96</v>
      </c>
      <c r="C260" s="3" t="s">
        <v>56</v>
      </c>
      <c r="F260" s="61" t="s">
        <v>2303</v>
      </c>
      <c r="G260" s="62" cm="1">
        <f t="array" ref="G260">IFERROR(_xlfn.STDEV.S(_xlfn._xlws.FILTER($B$34:$B$690,$A$34:$A$690=F260)),0)</f>
        <v>0</v>
      </c>
      <c r="H260" s="3">
        <f t="shared" si="9"/>
        <v>0</v>
      </c>
      <c r="AH260" s="14" t="s">
        <v>212</v>
      </c>
      <c r="AI260" s="41">
        <v>58</v>
      </c>
    </row>
    <row r="261" spans="1:35" x14ac:dyDescent="0.35">
      <c r="A261" s="3" t="s">
        <v>813</v>
      </c>
      <c r="B261" s="3">
        <v>309</v>
      </c>
      <c r="C261" s="3" t="s">
        <v>56</v>
      </c>
      <c r="F261" s="61" t="s">
        <v>2893</v>
      </c>
      <c r="G261" s="62" cm="1">
        <f t="array" ref="G261">IFERROR(_xlfn.STDEV.S(_xlfn._xlws.FILTER($B$34:$B$690,$A$34:$A$690=F261)),0)</f>
        <v>0</v>
      </c>
      <c r="H261" s="3">
        <f t="shared" si="9"/>
        <v>0</v>
      </c>
      <c r="AH261" s="14" t="s">
        <v>527</v>
      </c>
      <c r="AI261" s="41">
        <v>303</v>
      </c>
    </row>
    <row r="262" spans="1:35" x14ac:dyDescent="0.35">
      <c r="A262" s="3" t="s">
        <v>813</v>
      </c>
      <c r="B262" s="3">
        <v>71</v>
      </c>
      <c r="C262" s="3" t="s">
        <v>56</v>
      </c>
      <c r="F262" s="61" t="s">
        <v>2941</v>
      </c>
      <c r="G262" s="62" cm="1">
        <f t="array" ref="G262">IFERROR(_xlfn.STDEV.S(_xlfn._xlws.FILTER($B$34:$B$690,$A$34:$A$690=F262)),0)</f>
        <v>0</v>
      </c>
      <c r="H262" s="3">
        <f t="shared" si="9"/>
        <v>0</v>
      </c>
      <c r="AH262" s="14" t="s">
        <v>1805</v>
      </c>
      <c r="AI262" s="41">
        <v>46</v>
      </c>
    </row>
    <row r="263" spans="1:35" x14ac:dyDescent="0.35">
      <c r="A263" s="3" t="s">
        <v>813</v>
      </c>
      <c r="B263" s="3">
        <v>239</v>
      </c>
      <c r="C263" s="3" t="s">
        <v>28</v>
      </c>
      <c r="F263" s="61" t="s">
        <v>71</v>
      </c>
      <c r="G263" s="62" cm="1">
        <f t="array" ref="G263">IFERROR(_xlfn.STDEV.S(_xlfn._xlws.FILTER($B$34:$B$690,$A$34:$A$690=F263)),0)</f>
        <v>0</v>
      </c>
      <c r="H263" s="3">
        <f t="shared" si="9"/>
        <v>0</v>
      </c>
      <c r="AH263" s="14" t="s">
        <v>1180</v>
      </c>
      <c r="AI263" s="41">
        <v>90</v>
      </c>
    </row>
    <row r="264" spans="1:35" x14ac:dyDescent="0.35">
      <c r="A264" s="3" t="s">
        <v>813</v>
      </c>
      <c r="B264" s="3">
        <v>218</v>
      </c>
      <c r="C264" s="3" t="s">
        <v>56</v>
      </c>
      <c r="F264" s="61" t="s">
        <v>1739</v>
      </c>
      <c r="G264" s="62" cm="1">
        <f t="array" ref="G264">IFERROR(_xlfn.STDEV.S(_xlfn._xlws.FILTER($B$34:$B$690,$A$34:$A$690=F264)),0)</f>
        <v>0</v>
      </c>
      <c r="H264" s="3">
        <f t="shared" si="9"/>
        <v>0</v>
      </c>
      <c r="AH264" s="14" t="s">
        <v>259</v>
      </c>
      <c r="AI264" s="41">
        <v>118.33333333333333</v>
      </c>
    </row>
    <row r="265" spans="1:35" x14ac:dyDescent="0.35">
      <c r="A265" s="3" t="s">
        <v>1829</v>
      </c>
      <c r="B265" s="3">
        <v>55</v>
      </c>
      <c r="C265" s="3" t="s">
        <v>56</v>
      </c>
      <c r="F265" s="61" t="s">
        <v>509</v>
      </c>
      <c r="G265" s="62" cm="1">
        <f t="array" ref="G265">IFERROR(_xlfn.STDEV.S(_xlfn._xlws.FILTER($B$34:$B$690,$A$34:$A$690=F265)),0)</f>
        <v>0</v>
      </c>
      <c r="H265" s="3">
        <f t="shared" si="9"/>
        <v>0</v>
      </c>
      <c r="AH265" s="14" t="s">
        <v>1578</v>
      </c>
      <c r="AI265" s="41">
        <v>162.33333333333334</v>
      </c>
    </row>
    <row r="266" spans="1:35" x14ac:dyDescent="0.35">
      <c r="A266" s="3" t="s">
        <v>2303</v>
      </c>
      <c r="B266" s="3">
        <v>45</v>
      </c>
      <c r="C266" s="3" t="s">
        <v>56</v>
      </c>
      <c r="F266" s="61" t="s">
        <v>2535</v>
      </c>
      <c r="G266" s="62" cm="1">
        <f t="array" ref="G266">IFERROR(_xlfn.STDEV.S(_xlfn._xlws.FILTER($B$34:$B$690,$A$34:$A$690=F266)),0)</f>
        <v>0</v>
      </c>
      <c r="H266" s="3">
        <f t="shared" si="9"/>
        <v>0</v>
      </c>
      <c r="AH266" s="14" t="s">
        <v>1020</v>
      </c>
      <c r="AI266" s="41">
        <v>136</v>
      </c>
    </row>
    <row r="267" spans="1:35" x14ac:dyDescent="0.35">
      <c r="A267" s="3" t="s">
        <v>1253</v>
      </c>
      <c r="B267" s="3">
        <v>11</v>
      </c>
      <c r="C267" s="3" t="s">
        <v>56</v>
      </c>
      <c r="F267" s="61" t="s">
        <v>338</v>
      </c>
      <c r="G267" s="62" cm="1">
        <f t="array" ref="G267">IFERROR(_xlfn.STDEV.S(_xlfn._xlws.FILTER($B$34:$B$690,$A$34:$A$690=F267)),0)</f>
        <v>0</v>
      </c>
      <c r="H267" s="3">
        <f t="shared" si="9"/>
        <v>0</v>
      </c>
      <c r="AH267" s="14" t="s">
        <v>774</v>
      </c>
      <c r="AI267" s="41">
        <v>26</v>
      </c>
    </row>
    <row r="268" spans="1:35" x14ac:dyDescent="0.35">
      <c r="A268" s="3" t="s">
        <v>1253</v>
      </c>
      <c r="B268" s="3">
        <v>115</v>
      </c>
      <c r="C268" s="3" t="s">
        <v>56</v>
      </c>
      <c r="F268" s="61" t="s">
        <v>1819</v>
      </c>
      <c r="G268" s="62" cm="1">
        <f t="array" ref="G268">IFERROR(_xlfn.STDEV.S(_xlfn._xlws.FILTER($B$34:$B$690,$A$34:$A$690=F268)),0)</f>
        <v>0</v>
      </c>
      <c r="H268" s="3">
        <f t="shared" si="9"/>
        <v>0</v>
      </c>
      <c r="AH268" s="14" t="s">
        <v>2564</v>
      </c>
      <c r="AI268" s="41">
        <v>192</v>
      </c>
    </row>
    <row r="269" spans="1:35" x14ac:dyDescent="0.35">
      <c r="A269" s="3" t="s">
        <v>2893</v>
      </c>
      <c r="B269" s="3">
        <v>57</v>
      </c>
      <c r="C269" s="3" t="s">
        <v>28</v>
      </c>
      <c r="F269" s="61" t="s">
        <v>1712</v>
      </c>
      <c r="G269" s="62" cm="1">
        <f t="array" ref="G269">IFERROR(_xlfn.STDEV.S(_xlfn._xlws.FILTER($B$34:$B$690,$A$34:$A$690=F269)),0)</f>
        <v>0</v>
      </c>
      <c r="H269" s="3">
        <f t="shared" si="9"/>
        <v>0</v>
      </c>
      <c r="AH269" s="14" t="s">
        <v>1743</v>
      </c>
      <c r="AI269" s="41">
        <v>181.4</v>
      </c>
    </row>
    <row r="270" spans="1:35" x14ac:dyDescent="0.35">
      <c r="A270" s="3" t="s">
        <v>1479</v>
      </c>
      <c r="B270" s="3">
        <v>77</v>
      </c>
      <c r="C270" s="3" t="s">
        <v>56</v>
      </c>
      <c r="F270" s="61" t="s">
        <v>194</v>
      </c>
      <c r="G270" s="62" cm="1">
        <f t="array" ref="G270">IFERROR(_xlfn.STDEV.S(_xlfn._xlws.FILTER($B$34:$B$690,$A$34:$A$690=F270)),0)</f>
        <v>0</v>
      </c>
      <c r="H270" s="3">
        <f t="shared" si="9"/>
        <v>0</v>
      </c>
      <c r="AH270" s="14" t="s">
        <v>2041</v>
      </c>
      <c r="AI270" s="41">
        <v>93</v>
      </c>
    </row>
    <row r="271" spans="1:35" x14ac:dyDescent="0.35">
      <c r="A271" s="3" t="s">
        <v>1479</v>
      </c>
      <c r="B271" s="3">
        <v>95</v>
      </c>
      <c r="C271" s="3" t="s">
        <v>28</v>
      </c>
      <c r="F271" s="61" t="s">
        <v>1475</v>
      </c>
      <c r="G271" s="62" cm="1">
        <f t="array" ref="G271">IFERROR(_xlfn.STDEV.S(_xlfn._xlws.FILTER($B$34:$B$690,$A$34:$A$690=F271)),0)</f>
        <v>0</v>
      </c>
      <c r="H271" s="3">
        <f t="shared" si="9"/>
        <v>0</v>
      </c>
      <c r="AH271" s="14" t="s">
        <v>1550</v>
      </c>
      <c r="AI271" s="41">
        <v>62.5</v>
      </c>
    </row>
    <row r="272" spans="1:35" x14ac:dyDescent="0.35">
      <c r="A272" s="3" t="s">
        <v>504</v>
      </c>
      <c r="B272" s="3">
        <v>18</v>
      </c>
      <c r="C272" s="3" t="s">
        <v>56</v>
      </c>
      <c r="F272" s="61" t="s">
        <v>1906</v>
      </c>
      <c r="G272" s="62" cm="1">
        <f t="array" ref="G272">IFERROR(_xlfn.STDEV.S(_xlfn._xlws.FILTER($B$34:$B$690,$A$34:$A$690=F272)),0)</f>
        <v>0</v>
      </c>
      <c r="H272" s="3">
        <f t="shared" si="9"/>
        <v>0</v>
      </c>
      <c r="AH272" s="14" t="s">
        <v>875</v>
      </c>
      <c r="AI272" s="41">
        <v>79</v>
      </c>
    </row>
    <row r="273" spans="1:35" x14ac:dyDescent="0.35">
      <c r="A273" s="3" t="s">
        <v>504</v>
      </c>
      <c r="B273" s="3">
        <v>44</v>
      </c>
      <c r="C273" s="3" t="s">
        <v>28</v>
      </c>
      <c r="F273" s="61" t="s">
        <v>1351</v>
      </c>
      <c r="G273" s="62" cm="1">
        <f t="array" ref="G273">IFERROR(_xlfn.STDEV.S(_xlfn._xlws.FILTER($B$34:$B$690,$A$34:$A$690=F273)),0)</f>
        <v>0</v>
      </c>
      <c r="H273" s="3">
        <f t="shared" si="9"/>
        <v>0</v>
      </c>
      <c r="AH273" s="14" t="s">
        <v>3091</v>
      </c>
      <c r="AI273" s="41">
        <v>113</v>
      </c>
    </row>
    <row r="274" spans="1:35" x14ac:dyDescent="0.35">
      <c r="A274" s="3" t="s">
        <v>504</v>
      </c>
      <c r="B274" s="3">
        <v>74</v>
      </c>
      <c r="C274" s="3" t="s">
        <v>28</v>
      </c>
      <c r="F274" s="61" t="s">
        <v>2403</v>
      </c>
      <c r="G274" s="62" cm="1">
        <f t="array" ref="G274">IFERROR(_xlfn.STDEV.S(_xlfn._xlws.FILTER($B$34:$B$690,$A$34:$A$690=F274)),0)</f>
        <v>0</v>
      </c>
      <c r="H274" s="3">
        <f t="shared" si="9"/>
        <v>0</v>
      </c>
      <c r="AH274" s="14" t="s">
        <v>943</v>
      </c>
      <c r="AI274" s="41">
        <v>186.5</v>
      </c>
    </row>
    <row r="275" spans="1:35" x14ac:dyDescent="0.35">
      <c r="A275" s="3" t="s">
        <v>2941</v>
      </c>
      <c r="B275" s="3">
        <v>111</v>
      </c>
      <c r="C275" s="3" t="s">
        <v>28</v>
      </c>
      <c r="F275" s="61" t="s">
        <v>882</v>
      </c>
      <c r="G275" s="62" cm="1">
        <f t="array" ref="G275">IFERROR(_xlfn.STDEV.S(_xlfn._xlws.FILTER($B$34:$B$690,$A$34:$A$690=F275)),0)</f>
        <v>0</v>
      </c>
      <c r="H275" s="3">
        <f t="shared" si="9"/>
        <v>0</v>
      </c>
      <c r="AH275" s="14" t="s">
        <v>1402</v>
      </c>
      <c r="AI275" s="41">
        <v>126</v>
      </c>
    </row>
    <row r="276" spans="1:35" x14ac:dyDescent="0.35">
      <c r="A276" s="3" t="s">
        <v>71</v>
      </c>
      <c r="B276" s="3">
        <v>161</v>
      </c>
      <c r="C276" s="3" t="s">
        <v>28</v>
      </c>
      <c r="F276" s="61" t="s">
        <v>1332</v>
      </c>
      <c r="G276" s="62" cm="1">
        <f t="array" ref="G276">IFERROR(_xlfn.STDEV.S(_xlfn._xlws.FILTER($B$34:$B$690,$A$34:$A$690=F276)),0)</f>
        <v>0</v>
      </c>
      <c r="H276" s="3">
        <f t="shared" si="9"/>
        <v>0</v>
      </c>
      <c r="AH276" s="14" t="s">
        <v>948</v>
      </c>
      <c r="AI276" s="41">
        <v>70</v>
      </c>
    </row>
    <row r="277" spans="1:35" x14ac:dyDescent="0.35">
      <c r="A277" s="3" t="s">
        <v>1054</v>
      </c>
      <c r="B277" s="3">
        <v>10</v>
      </c>
      <c r="C277" s="3" t="s">
        <v>56</v>
      </c>
      <c r="F277" s="61" t="s">
        <v>2363</v>
      </c>
      <c r="G277" s="62" cm="1">
        <f t="array" ref="G277">IFERROR(_xlfn.STDEV.S(_xlfn._xlws.FILTER($B$34:$B$690,$A$34:$A$690=F277)),0)</f>
        <v>0</v>
      </c>
      <c r="H277" s="3">
        <f t="shared" si="9"/>
        <v>0</v>
      </c>
      <c r="AH277" s="14" t="s">
        <v>393</v>
      </c>
      <c r="AI277" s="41">
        <v>156</v>
      </c>
    </row>
    <row r="278" spans="1:35" x14ac:dyDescent="0.35">
      <c r="A278" s="3" t="s">
        <v>1054</v>
      </c>
      <c r="B278" s="3">
        <v>121</v>
      </c>
      <c r="C278" s="3" t="s">
        <v>28</v>
      </c>
      <c r="F278" s="61" t="s">
        <v>2568</v>
      </c>
      <c r="G278" s="62" cm="1">
        <f t="array" ref="G278">IFERROR(_xlfn.STDEV.S(_xlfn._xlws.FILTER($B$34:$B$690,$A$34:$A$690=F278)),0)</f>
        <v>0</v>
      </c>
      <c r="H278" s="3">
        <f t="shared" si="9"/>
        <v>0</v>
      </c>
      <c r="AH278" s="14" t="s">
        <v>466</v>
      </c>
      <c r="AI278" s="41">
        <v>137</v>
      </c>
    </row>
    <row r="279" spans="1:35" x14ac:dyDescent="0.35">
      <c r="A279" s="3" t="s">
        <v>1054</v>
      </c>
      <c r="B279" s="3">
        <v>120</v>
      </c>
      <c r="C279" s="3" t="s">
        <v>56</v>
      </c>
      <c r="F279" s="61" t="s">
        <v>347</v>
      </c>
      <c r="G279" s="62" cm="1">
        <f t="array" ref="G279">IFERROR(_xlfn.STDEV.S(_xlfn._xlws.FILTER($B$34:$B$690,$A$34:$A$690=F279)),0)</f>
        <v>0</v>
      </c>
      <c r="H279" s="3">
        <f t="shared" si="9"/>
        <v>0</v>
      </c>
      <c r="AH279" s="14" t="s">
        <v>3309</v>
      </c>
      <c r="AI279" s="41">
        <v>116</v>
      </c>
    </row>
    <row r="280" spans="1:35" x14ac:dyDescent="0.35">
      <c r="A280" s="3" t="s">
        <v>1054</v>
      </c>
      <c r="B280" s="3">
        <v>216</v>
      </c>
      <c r="C280" s="3" t="s">
        <v>28</v>
      </c>
      <c r="F280" s="61" t="s">
        <v>1498</v>
      </c>
      <c r="G280" s="62" cm="1">
        <f t="array" ref="G280">IFERROR(_xlfn.STDEV.S(_xlfn._xlws.FILTER($B$34:$B$690,$A$34:$A$690=F280)),0)</f>
        <v>0</v>
      </c>
      <c r="H280" s="3">
        <f t="shared" si="9"/>
        <v>0</v>
      </c>
      <c r="AH280" s="14" t="s">
        <v>451</v>
      </c>
      <c r="AI280" s="41">
        <v>101</v>
      </c>
    </row>
    <row r="281" spans="1:35" x14ac:dyDescent="0.35">
      <c r="A281" s="3" t="s">
        <v>900</v>
      </c>
      <c r="B281" s="3">
        <v>115</v>
      </c>
      <c r="C281" s="3" t="s">
        <v>56</v>
      </c>
      <c r="F281" s="61" t="s">
        <v>1370</v>
      </c>
      <c r="G281" s="62" cm="1">
        <f t="array" ref="G281">IFERROR(_xlfn.STDEV.S(_xlfn._xlws.FILTER($B$34:$B$690,$A$34:$A$690=F281)),0)</f>
        <v>0</v>
      </c>
      <c r="H281" s="3">
        <f t="shared" si="9"/>
        <v>0</v>
      </c>
      <c r="AH281" s="14" t="s">
        <v>972</v>
      </c>
      <c r="AI281" s="41">
        <v>62.666666666666664</v>
      </c>
    </row>
    <row r="282" spans="1:35" x14ac:dyDescent="0.35">
      <c r="A282" s="3" t="s">
        <v>900</v>
      </c>
      <c r="B282" s="3">
        <v>122</v>
      </c>
      <c r="C282" s="3" t="s">
        <v>28</v>
      </c>
      <c r="F282" s="61" t="s">
        <v>1438</v>
      </c>
      <c r="G282" s="62" cm="1">
        <f t="array" ref="G282">IFERROR(_xlfn.STDEV.S(_xlfn._xlws.FILTER($B$34:$B$690,$A$34:$A$690=F282)),0)</f>
        <v>0</v>
      </c>
      <c r="H282" s="3">
        <f t="shared" si="9"/>
        <v>0</v>
      </c>
      <c r="AH282" s="14" t="s">
        <v>1455</v>
      </c>
      <c r="AI282" s="41">
        <v>224</v>
      </c>
    </row>
    <row r="283" spans="1:35" x14ac:dyDescent="0.35">
      <c r="A283" s="3" t="s">
        <v>900</v>
      </c>
      <c r="B283" s="3">
        <v>104</v>
      </c>
      <c r="C283" s="3" t="s">
        <v>28</v>
      </c>
      <c r="F283" s="61" t="s">
        <v>1675</v>
      </c>
      <c r="G283" s="62" cm="1">
        <f t="array" ref="G283">IFERROR(_xlfn.STDEV.S(_xlfn._xlws.FILTER($B$34:$B$690,$A$34:$A$690=F283)),0)</f>
        <v>0</v>
      </c>
      <c r="H283" s="3">
        <f t="shared" si="9"/>
        <v>0</v>
      </c>
      <c r="AH283" s="14" t="s">
        <v>1505</v>
      </c>
      <c r="AI283" s="41">
        <v>71</v>
      </c>
    </row>
    <row r="284" spans="1:35" x14ac:dyDescent="0.35">
      <c r="A284" s="3" t="s">
        <v>1000</v>
      </c>
      <c r="B284" s="3">
        <v>164</v>
      </c>
      <c r="C284" s="3" t="s">
        <v>28</v>
      </c>
      <c r="F284" s="61" t="s">
        <v>1582</v>
      </c>
      <c r="G284" s="62" cm="1">
        <f t="array" ref="G284">IFERROR(_xlfn.STDEV.S(_xlfn._xlws.FILTER($B$34:$B$690,$A$34:$A$690=F284)),0)</f>
        <v>0</v>
      </c>
      <c r="H284" s="3">
        <f t="shared" si="9"/>
        <v>0</v>
      </c>
      <c r="AH284" s="14" t="s">
        <v>321</v>
      </c>
      <c r="AI284" s="41">
        <v>136</v>
      </c>
    </row>
    <row r="285" spans="1:35" x14ac:dyDescent="0.35">
      <c r="A285" s="3" t="s">
        <v>1000</v>
      </c>
      <c r="B285" s="3">
        <v>121</v>
      </c>
      <c r="C285" s="3" t="s">
        <v>56</v>
      </c>
      <c r="F285" s="61" t="s">
        <v>2815</v>
      </c>
      <c r="G285" s="62" cm="1">
        <f t="array" ref="G285">IFERROR(_xlfn.STDEV.S(_xlfn._xlws.FILTER($B$34:$B$690,$A$34:$A$690=F285)),0)</f>
        <v>0</v>
      </c>
      <c r="H285" s="3">
        <f t="shared" si="9"/>
        <v>0</v>
      </c>
      <c r="AH285" s="14" t="s">
        <v>147</v>
      </c>
      <c r="AI285" s="41">
        <v>97.5</v>
      </c>
    </row>
    <row r="286" spans="1:35" x14ac:dyDescent="0.35">
      <c r="A286" s="3" t="s">
        <v>1000</v>
      </c>
      <c r="B286" s="3">
        <v>340</v>
      </c>
      <c r="C286" s="3" t="s">
        <v>28</v>
      </c>
      <c r="F286" s="61" t="s">
        <v>398</v>
      </c>
      <c r="G286" s="62" cm="1">
        <f t="array" ref="G286">IFERROR(_xlfn.STDEV.S(_xlfn._xlws.FILTER($B$34:$B$690,$A$34:$A$690=F286)),0)</f>
        <v>0</v>
      </c>
      <c r="H286" s="3">
        <f t="shared" si="9"/>
        <v>0</v>
      </c>
      <c r="AH286" s="14" t="s">
        <v>1271</v>
      </c>
      <c r="AI286" s="41">
        <v>62</v>
      </c>
    </row>
    <row r="287" spans="1:35" x14ac:dyDescent="0.35">
      <c r="A287" s="3" t="s">
        <v>2504</v>
      </c>
      <c r="B287" s="3">
        <v>306</v>
      </c>
      <c r="C287" s="3" t="s">
        <v>28</v>
      </c>
      <c r="F287" s="61" t="s">
        <v>3266</v>
      </c>
      <c r="G287" s="62" cm="1">
        <f t="array" ref="G287">IFERROR(_xlfn.STDEV.S(_xlfn._xlws.FILTER($B$34:$B$690,$A$34:$A$690=F287)),0)</f>
        <v>0</v>
      </c>
      <c r="H287" s="3">
        <f t="shared" si="9"/>
        <v>0</v>
      </c>
      <c r="AH287" s="14" t="s">
        <v>1164</v>
      </c>
      <c r="AI287" s="41">
        <v>61</v>
      </c>
    </row>
    <row r="288" spans="1:35" x14ac:dyDescent="0.35">
      <c r="A288" s="3" t="s">
        <v>2504</v>
      </c>
      <c r="B288" s="3">
        <v>122</v>
      </c>
      <c r="C288" s="3" t="s">
        <v>56</v>
      </c>
      <c r="F288" s="61" t="s">
        <v>2723</v>
      </c>
      <c r="G288" s="62" cm="1">
        <f t="array" ref="G288">IFERROR(_xlfn.STDEV.S(_xlfn._xlws.FILTER($B$34:$B$690,$A$34:$A$690=F288)),0)</f>
        <v>0</v>
      </c>
      <c r="H288" s="3">
        <f t="shared" si="9"/>
        <v>0</v>
      </c>
      <c r="AH288" s="14" t="s">
        <v>447</v>
      </c>
      <c r="AI288" s="41">
        <v>35</v>
      </c>
    </row>
    <row r="289" spans="1:35" x14ac:dyDescent="0.35">
      <c r="A289" s="3" t="s">
        <v>1739</v>
      </c>
      <c r="B289" s="3">
        <v>60</v>
      </c>
      <c r="C289" s="3" t="s">
        <v>28</v>
      </c>
      <c r="F289" s="61" t="s">
        <v>1214</v>
      </c>
      <c r="G289" s="62" cm="1">
        <f t="array" ref="G289">IFERROR(_xlfn.STDEV.S(_xlfn._xlws.FILTER($B$34:$B$690,$A$34:$A$690=F289)),0)</f>
        <v>0</v>
      </c>
      <c r="H289" s="3">
        <f t="shared" si="9"/>
        <v>0</v>
      </c>
      <c r="AH289" s="14" t="s">
        <v>458</v>
      </c>
      <c r="AI289" s="41">
        <v>227.33333333333334</v>
      </c>
    </row>
    <row r="290" spans="1:35" x14ac:dyDescent="0.35">
      <c r="A290" s="3" t="s">
        <v>620</v>
      </c>
      <c r="B290" s="3">
        <v>78</v>
      </c>
      <c r="C290" s="3" t="s">
        <v>28</v>
      </c>
      <c r="F290" s="61" t="s">
        <v>152</v>
      </c>
      <c r="G290" s="62" cm="1">
        <f t="array" ref="G290">IFERROR(_xlfn.STDEV.S(_xlfn._xlws.FILTER($B$34:$B$690,$A$34:$A$690=F290)),0)</f>
        <v>0</v>
      </c>
      <c r="H290" s="3">
        <f t="shared" si="9"/>
        <v>0</v>
      </c>
      <c r="AH290" s="14" t="s">
        <v>133</v>
      </c>
      <c r="AI290" s="41">
        <v>89</v>
      </c>
    </row>
    <row r="291" spans="1:35" x14ac:dyDescent="0.35">
      <c r="A291" s="3" t="s">
        <v>620</v>
      </c>
      <c r="B291" s="3">
        <v>62</v>
      </c>
      <c r="C291" s="3" t="s">
        <v>56</v>
      </c>
      <c r="F291" s="61" t="s">
        <v>657</v>
      </c>
      <c r="G291" s="62" cm="1">
        <f t="array" ref="G291">IFERROR(_xlfn.STDEV.S(_xlfn._xlws.FILTER($B$34:$B$690,$A$34:$A$690=F291)),0)</f>
        <v>0</v>
      </c>
      <c r="H291" s="3">
        <f t="shared" ref="H291:H348" si="10">IF(G291&gt;0,1,0)</f>
        <v>0</v>
      </c>
      <c r="AH291" s="14" t="s">
        <v>2223</v>
      </c>
      <c r="AI291" s="41">
        <v>147.5</v>
      </c>
    </row>
    <row r="292" spans="1:35" x14ac:dyDescent="0.35">
      <c r="A292" s="3" t="s">
        <v>692</v>
      </c>
      <c r="B292" s="3">
        <v>64</v>
      </c>
      <c r="C292" s="3" t="s">
        <v>28</v>
      </c>
      <c r="F292" s="61" t="s">
        <v>1110</v>
      </c>
      <c r="G292" s="62" cm="1">
        <f t="array" ref="G292">IFERROR(_xlfn.STDEV.S(_xlfn._xlws.FILTER($B$34:$B$690,$A$34:$A$690=F292)),0)</f>
        <v>0</v>
      </c>
      <c r="H292" s="3">
        <f t="shared" si="10"/>
        <v>0</v>
      </c>
      <c r="AH292" s="14" t="s">
        <v>2328</v>
      </c>
      <c r="AI292" s="41">
        <v>190</v>
      </c>
    </row>
    <row r="293" spans="1:35" x14ac:dyDescent="0.35">
      <c r="A293" s="3" t="s">
        <v>692</v>
      </c>
      <c r="B293" s="3">
        <v>142</v>
      </c>
      <c r="C293" s="3" t="s">
        <v>56</v>
      </c>
      <c r="F293" s="61" t="s">
        <v>1328</v>
      </c>
      <c r="G293" s="62" cm="1">
        <f t="array" ref="G293">IFERROR(_xlfn.STDEV.S(_xlfn._xlws.FILTER($B$34:$B$690,$A$34:$A$690=F293)),0)</f>
        <v>0</v>
      </c>
      <c r="H293" s="3">
        <f t="shared" si="10"/>
        <v>0</v>
      </c>
      <c r="AH293" s="14" t="s">
        <v>1207</v>
      </c>
      <c r="AI293" s="41">
        <v>61.666666666666664</v>
      </c>
    </row>
    <row r="294" spans="1:35" x14ac:dyDescent="0.35">
      <c r="A294" s="3" t="s">
        <v>692</v>
      </c>
      <c r="B294" s="3">
        <v>122</v>
      </c>
      <c r="C294" s="3" t="s">
        <v>28</v>
      </c>
      <c r="F294" s="61" t="s">
        <v>2199</v>
      </c>
      <c r="G294" s="62" cm="1">
        <f t="array" ref="G294">IFERROR(_xlfn.STDEV.S(_xlfn._xlws.FILTER($B$34:$B$690,$A$34:$A$690=F294)),0)</f>
        <v>0</v>
      </c>
      <c r="H294" s="3">
        <f t="shared" si="10"/>
        <v>0</v>
      </c>
      <c r="AH294" s="14" t="s">
        <v>1795</v>
      </c>
      <c r="AI294" s="41">
        <v>115.5</v>
      </c>
    </row>
    <row r="295" spans="1:35" x14ac:dyDescent="0.35">
      <c r="A295" s="3" t="s">
        <v>692</v>
      </c>
      <c r="B295" s="3">
        <v>19</v>
      </c>
      <c r="C295" s="3" t="s">
        <v>56</v>
      </c>
      <c r="F295" s="61" t="s">
        <v>264</v>
      </c>
      <c r="G295" s="62" cm="1">
        <f t="array" ref="G295">IFERROR(_xlfn.STDEV.S(_xlfn._xlws.FILTER($B$34:$B$690,$A$34:$A$690=F295)),0)</f>
        <v>0</v>
      </c>
      <c r="H295" s="3">
        <f t="shared" si="10"/>
        <v>0</v>
      </c>
      <c r="AH295" s="14" t="s">
        <v>2639</v>
      </c>
      <c r="AI295" s="41">
        <v>50</v>
      </c>
    </row>
    <row r="296" spans="1:35" x14ac:dyDescent="0.35">
      <c r="A296" s="3" t="s">
        <v>181</v>
      </c>
      <c r="B296" s="3">
        <v>110</v>
      </c>
      <c r="C296" s="3" t="s">
        <v>56</v>
      </c>
      <c r="F296" s="61" t="s">
        <v>583</v>
      </c>
      <c r="G296" s="62" cm="1">
        <f t="array" ref="G296">IFERROR(_xlfn.STDEV.S(_xlfn._xlws.FILTER($B$34:$B$690,$A$34:$A$690=F296)),0)</f>
        <v>0</v>
      </c>
      <c r="H296" s="3">
        <f t="shared" si="10"/>
        <v>0</v>
      </c>
      <c r="AH296" s="14" t="s">
        <v>316</v>
      </c>
      <c r="AI296" s="41">
        <v>93.5</v>
      </c>
    </row>
    <row r="297" spans="1:35" x14ac:dyDescent="0.35">
      <c r="A297" s="3" t="s">
        <v>181</v>
      </c>
      <c r="B297" s="3">
        <v>265</v>
      </c>
      <c r="C297" s="3" t="s">
        <v>56</v>
      </c>
      <c r="F297" s="61" t="s">
        <v>1708</v>
      </c>
      <c r="G297" s="62" cm="1">
        <f t="array" ref="G297">IFERROR(_xlfn.STDEV.S(_xlfn._xlws.FILTER($B$34:$B$690,$A$34:$A$690=F297)),0)</f>
        <v>0</v>
      </c>
      <c r="H297" s="3">
        <f t="shared" si="10"/>
        <v>0</v>
      </c>
      <c r="AH297" s="14" t="s">
        <v>2900</v>
      </c>
      <c r="AI297" s="41">
        <v>113</v>
      </c>
    </row>
    <row r="298" spans="1:35" x14ac:dyDescent="0.35">
      <c r="A298" s="3" t="s">
        <v>181</v>
      </c>
      <c r="B298" s="3">
        <v>120</v>
      </c>
      <c r="C298" s="3" t="s">
        <v>56</v>
      </c>
      <c r="F298" s="61" t="s">
        <v>2253</v>
      </c>
      <c r="G298" s="62" cm="1">
        <f t="array" ref="G298">IFERROR(_xlfn.STDEV.S(_xlfn._xlws.FILTER($B$34:$B$690,$A$34:$A$690=F298)),0)</f>
        <v>0</v>
      </c>
      <c r="H298" s="3">
        <f t="shared" si="10"/>
        <v>0</v>
      </c>
      <c r="AH298" s="14" t="s">
        <v>2994</v>
      </c>
      <c r="AI298" s="41">
        <v>81</v>
      </c>
    </row>
    <row r="299" spans="1:35" x14ac:dyDescent="0.35">
      <c r="A299" s="3" t="s">
        <v>509</v>
      </c>
      <c r="B299" s="3">
        <v>190</v>
      </c>
      <c r="C299" s="3" t="s">
        <v>56</v>
      </c>
      <c r="F299" s="61" t="s">
        <v>249</v>
      </c>
      <c r="G299" s="62" cm="1">
        <f t="array" ref="G299">IFERROR(_xlfn.STDEV.S(_xlfn._xlws.FILTER($B$34:$B$690,$A$34:$A$690=F299)),0)</f>
        <v>0</v>
      </c>
      <c r="H299" s="3">
        <f t="shared" si="10"/>
        <v>0</v>
      </c>
      <c r="AH299" s="14" t="s">
        <v>962</v>
      </c>
      <c r="AI299" s="41">
        <v>166</v>
      </c>
    </row>
    <row r="300" spans="1:35" x14ac:dyDescent="0.35">
      <c r="A300" s="3" t="s">
        <v>43</v>
      </c>
      <c r="B300" s="3">
        <v>105</v>
      </c>
      <c r="C300" s="3" t="s">
        <v>28</v>
      </c>
      <c r="F300" s="61" t="s">
        <v>351</v>
      </c>
      <c r="G300" s="62" cm="1">
        <f t="array" ref="G300">IFERROR(_xlfn.STDEV.S(_xlfn._xlws.FILTER($B$34:$B$690,$A$34:$A$690=F300)),0)</f>
        <v>0</v>
      </c>
      <c r="H300" s="3">
        <f t="shared" si="10"/>
        <v>0</v>
      </c>
      <c r="AH300" s="14" t="s">
        <v>670</v>
      </c>
      <c r="AI300" s="41">
        <v>106.5</v>
      </c>
    </row>
    <row r="301" spans="1:35" x14ac:dyDescent="0.35">
      <c r="A301" s="3" t="s">
        <v>43</v>
      </c>
      <c r="B301" s="3">
        <v>119</v>
      </c>
      <c r="C301" s="3" t="s">
        <v>28</v>
      </c>
      <c r="F301" s="61" t="s">
        <v>2144</v>
      </c>
      <c r="G301" s="62" cm="1">
        <f t="array" ref="G301">IFERROR(_xlfn.STDEV.S(_xlfn._xlws.FILTER($B$34:$B$690,$A$34:$A$690=F301)),0)</f>
        <v>0</v>
      </c>
      <c r="H301" s="3">
        <f t="shared" si="10"/>
        <v>0</v>
      </c>
      <c r="AH301" s="14" t="s">
        <v>166</v>
      </c>
      <c r="AI301" s="41">
        <v>87.5</v>
      </c>
    </row>
    <row r="302" spans="1:35" x14ac:dyDescent="0.35">
      <c r="A302" s="3" t="s">
        <v>43</v>
      </c>
      <c r="B302" s="3">
        <v>92</v>
      </c>
      <c r="C302" s="3" t="s">
        <v>28</v>
      </c>
      <c r="F302" s="61" t="s">
        <v>1697</v>
      </c>
      <c r="G302" s="62" cm="1">
        <f t="array" ref="G302">IFERROR(_xlfn.STDEV.S(_xlfn._xlws.FILTER($B$34:$B$690,$A$34:$A$690=F302)),0)</f>
        <v>0</v>
      </c>
      <c r="H302" s="3">
        <f t="shared" si="10"/>
        <v>0</v>
      </c>
      <c r="AH302" s="14" t="s">
        <v>360</v>
      </c>
      <c r="AI302" s="41">
        <v>146</v>
      </c>
    </row>
    <row r="303" spans="1:35" x14ac:dyDescent="0.35">
      <c r="A303" s="3" t="s">
        <v>43</v>
      </c>
      <c r="B303" s="3">
        <v>153</v>
      </c>
      <c r="C303" s="3" t="s">
        <v>28</v>
      </c>
      <c r="F303" s="61" t="s">
        <v>2455</v>
      </c>
      <c r="G303" s="62" cm="1">
        <f t="array" ref="G303">IFERROR(_xlfn.STDEV.S(_xlfn._xlws.FILTER($B$34:$B$690,$A$34:$A$690=F303)),0)</f>
        <v>0</v>
      </c>
      <c r="H303" s="3">
        <f t="shared" si="10"/>
        <v>0</v>
      </c>
      <c r="AH303" s="14" t="s">
        <v>2500</v>
      </c>
      <c r="AI303" s="41">
        <v>279</v>
      </c>
    </row>
    <row r="304" spans="1:35" x14ac:dyDescent="0.35">
      <c r="A304" s="3" t="s">
        <v>43</v>
      </c>
      <c r="B304" s="3">
        <v>76</v>
      </c>
      <c r="C304" s="3" t="s">
        <v>56</v>
      </c>
      <c r="F304" s="61" t="s">
        <v>1997</v>
      </c>
      <c r="G304" s="62" cm="1">
        <f t="array" ref="G304">IFERROR(_xlfn.STDEV.S(_xlfn._xlws.FILTER($B$34:$B$690,$A$34:$A$690=F304)),0)</f>
        <v>0</v>
      </c>
      <c r="H304" s="3">
        <f t="shared" si="10"/>
        <v>0</v>
      </c>
      <c r="AH304" s="14" t="s">
        <v>555</v>
      </c>
      <c r="AI304" s="41">
        <v>234</v>
      </c>
    </row>
    <row r="305" spans="1:35" x14ac:dyDescent="0.35">
      <c r="A305" s="3" t="s">
        <v>43</v>
      </c>
      <c r="B305" s="3">
        <v>13</v>
      </c>
      <c r="C305" s="3" t="s">
        <v>56</v>
      </c>
      <c r="F305" s="61" t="s">
        <v>1194</v>
      </c>
      <c r="G305" s="62" cm="1">
        <f t="array" ref="G305">IFERROR(_xlfn.STDEV.S(_xlfn._xlws.FILTER($B$34:$B$690,$A$34:$A$690=F305)),0)</f>
        <v>0</v>
      </c>
      <c r="H305" s="3">
        <f t="shared" si="10"/>
        <v>0</v>
      </c>
      <c r="AH305" s="14" t="s">
        <v>1374</v>
      </c>
      <c r="AI305" s="41">
        <v>129.5</v>
      </c>
    </row>
    <row r="306" spans="1:35" x14ac:dyDescent="0.35">
      <c r="A306" s="3" t="s">
        <v>43</v>
      </c>
      <c r="B306" s="3">
        <v>57</v>
      </c>
      <c r="C306" s="3" t="s">
        <v>28</v>
      </c>
      <c r="F306" s="61" t="s">
        <v>486</v>
      </c>
      <c r="G306" s="62" cm="1">
        <f t="array" ref="G306">IFERROR(_xlfn.STDEV.S(_xlfn._xlws.FILTER($B$34:$B$690,$A$34:$A$690=F306)),0)</f>
        <v>0</v>
      </c>
      <c r="H306" s="3">
        <f t="shared" si="10"/>
        <v>0</v>
      </c>
      <c r="AH306" s="14" t="s">
        <v>1050</v>
      </c>
      <c r="AI306" s="41">
        <v>125</v>
      </c>
    </row>
    <row r="307" spans="1:35" x14ac:dyDescent="0.35">
      <c r="A307" s="3" t="s">
        <v>43</v>
      </c>
      <c r="B307" s="3">
        <v>343</v>
      </c>
      <c r="C307" s="3" t="s">
        <v>28</v>
      </c>
      <c r="F307" s="61" t="s">
        <v>1398</v>
      </c>
      <c r="G307" s="62" cm="1">
        <f t="array" ref="G307">IFERROR(_xlfn.STDEV.S(_xlfn._xlws.FILTER($B$34:$B$690,$A$34:$A$690=F307)),0)</f>
        <v>0</v>
      </c>
      <c r="H307" s="3">
        <f t="shared" si="10"/>
        <v>0</v>
      </c>
      <c r="AH307" s="14" t="s">
        <v>478</v>
      </c>
      <c r="AI307" s="41">
        <v>153</v>
      </c>
    </row>
    <row r="308" spans="1:35" x14ac:dyDescent="0.35">
      <c r="A308" s="3" t="s">
        <v>43</v>
      </c>
      <c r="B308" s="3">
        <v>23</v>
      </c>
      <c r="C308" s="3" t="s">
        <v>56</v>
      </c>
      <c r="F308" s="61" t="s">
        <v>808</v>
      </c>
      <c r="G308" s="62" cm="1">
        <f t="array" ref="G308">IFERROR(_xlfn.STDEV.S(_xlfn._xlws.FILTER($B$34:$B$690,$A$34:$A$690=F308)),0)</f>
        <v>0</v>
      </c>
      <c r="H308" s="3">
        <f t="shared" si="10"/>
        <v>0</v>
      </c>
      <c r="AH308" s="14" t="s">
        <v>1296</v>
      </c>
      <c r="AI308" s="41">
        <v>131.33333333333334</v>
      </c>
    </row>
    <row r="309" spans="1:35" x14ac:dyDescent="0.35">
      <c r="A309" s="3" t="s">
        <v>43</v>
      </c>
      <c r="B309" s="3">
        <v>35</v>
      </c>
      <c r="C309" s="3" t="s">
        <v>28</v>
      </c>
      <c r="F309" s="61" t="s">
        <v>281</v>
      </c>
      <c r="G309" s="62" cm="1">
        <f t="array" ref="G309">IFERROR(_xlfn.STDEV.S(_xlfn._xlws.FILTER($B$34:$B$690,$A$34:$A$690=F309)),0)</f>
        <v>0</v>
      </c>
      <c r="H309" s="3">
        <f t="shared" si="10"/>
        <v>0</v>
      </c>
      <c r="AH309" s="14" t="s">
        <v>1134</v>
      </c>
      <c r="AI309" s="41">
        <v>215</v>
      </c>
    </row>
    <row r="310" spans="1:35" x14ac:dyDescent="0.35">
      <c r="A310" s="3" t="s">
        <v>2535</v>
      </c>
      <c r="B310" s="3">
        <v>209</v>
      </c>
      <c r="C310" s="3" t="s">
        <v>28</v>
      </c>
      <c r="F310" s="61" t="s">
        <v>212</v>
      </c>
      <c r="G310" s="62" cm="1">
        <f t="array" ref="G310">IFERROR(_xlfn.STDEV.S(_xlfn._xlws.FILTER($B$34:$B$690,$A$34:$A$690=F310)),0)</f>
        <v>0</v>
      </c>
      <c r="H310" s="3">
        <f t="shared" si="10"/>
        <v>0</v>
      </c>
      <c r="AH310" s="14" t="s">
        <v>637</v>
      </c>
      <c r="AI310" s="41">
        <v>55</v>
      </c>
    </row>
    <row r="311" spans="1:35" x14ac:dyDescent="0.35">
      <c r="A311" s="3" t="s">
        <v>338</v>
      </c>
      <c r="B311" s="3">
        <v>25</v>
      </c>
      <c r="C311" s="3" t="s">
        <v>28</v>
      </c>
      <c r="F311" s="61" t="s">
        <v>527</v>
      </c>
      <c r="G311" s="62" cm="1">
        <f t="array" ref="G311">IFERROR(_xlfn.STDEV.S(_xlfn._xlws.FILTER($B$34:$B$690,$A$34:$A$690=F311)),0)</f>
        <v>0</v>
      </c>
      <c r="H311" s="3">
        <f t="shared" si="10"/>
        <v>0</v>
      </c>
      <c r="AH311" s="14" t="s">
        <v>747</v>
      </c>
      <c r="AI311" s="41">
        <v>202.5</v>
      </c>
    </row>
    <row r="312" spans="1:35" x14ac:dyDescent="0.35">
      <c r="A312" s="3" t="s">
        <v>1819</v>
      </c>
      <c r="B312" s="3">
        <v>86</v>
      </c>
      <c r="C312" s="3" t="s">
        <v>56</v>
      </c>
      <c r="F312" s="61" t="s">
        <v>1805</v>
      </c>
      <c r="G312" s="62" cm="1">
        <f t="array" ref="G312">IFERROR(_xlfn.STDEV.S(_xlfn._xlws.FILTER($B$34:$B$690,$A$34:$A$690=F312)),0)</f>
        <v>0</v>
      </c>
      <c r="H312" s="3">
        <f t="shared" si="10"/>
        <v>0</v>
      </c>
      <c r="AH312" s="14" t="s">
        <v>740</v>
      </c>
      <c r="AI312" s="41">
        <v>209</v>
      </c>
    </row>
    <row r="313" spans="1:35" x14ac:dyDescent="0.35">
      <c r="A313" s="3" t="s">
        <v>989</v>
      </c>
      <c r="B313" s="3">
        <v>183</v>
      </c>
      <c r="C313" s="3" t="s">
        <v>56</v>
      </c>
      <c r="F313" s="61" t="s">
        <v>774</v>
      </c>
      <c r="G313" s="62" cm="1">
        <f t="array" ref="G313">IFERROR(_xlfn.STDEV.S(_xlfn._xlws.FILTER($B$34:$B$690,$A$34:$A$690=F313)),0)</f>
        <v>0</v>
      </c>
      <c r="H313" s="3">
        <f t="shared" si="10"/>
        <v>0</v>
      </c>
      <c r="AH313" s="14" t="s">
        <v>2462</v>
      </c>
      <c r="AI313" s="41">
        <v>298</v>
      </c>
    </row>
    <row r="314" spans="1:35" x14ac:dyDescent="0.35">
      <c r="A314" s="3" t="s">
        <v>989</v>
      </c>
      <c r="B314" s="3">
        <v>210</v>
      </c>
      <c r="C314" s="3" t="s">
        <v>28</v>
      </c>
      <c r="F314" s="61" t="s">
        <v>2564</v>
      </c>
      <c r="G314" s="62" cm="1">
        <f t="array" ref="G314">IFERROR(_xlfn.STDEV.S(_xlfn._xlws.FILTER($B$34:$B$690,$A$34:$A$690=F314)),0)</f>
        <v>0</v>
      </c>
      <c r="H314" s="3">
        <f t="shared" si="10"/>
        <v>0</v>
      </c>
      <c r="AH314" s="14" t="s">
        <v>429</v>
      </c>
      <c r="AI314" s="41">
        <v>179</v>
      </c>
    </row>
    <row r="315" spans="1:35" x14ac:dyDescent="0.35">
      <c r="A315" s="3" t="s">
        <v>2112</v>
      </c>
      <c r="B315" s="3">
        <v>37</v>
      </c>
      <c r="C315" s="3" t="s">
        <v>28</v>
      </c>
      <c r="F315" s="61" t="s">
        <v>2041</v>
      </c>
      <c r="G315" s="62" cm="1">
        <f t="array" ref="G315">IFERROR(_xlfn.STDEV.S(_xlfn._xlws.FILTER($B$34:$B$690,$A$34:$A$690=F315)),0)</f>
        <v>0</v>
      </c>
      <c r="H315" s="3">
        <f t="shared" si="10"/>
        <v>0</v>
      </c>
      <c r="AH315" s="14" t="s">
        <v>372</v>
      </c>
      <c r="AI315" s="41">
        <v>25.5</v>
      </c>
    </row>
    <row r="316" spans="1:35" x14ac:dyDescent="0.35">
      <c r="A316" s="3" t="s">
        <v>2112</v>
      </c>
      <c r="B316" s="3">
        <v>60</v>
      </c>
      <c r="C316" s="3" t="s">
        <v>56</v>
      </c>
      <c r="F316" s="61" t="s">
        <v>875</v>
      </c>
      <c r="G316" s="62" cm="1">
        <f t="array" ref="G316">IFERROR(_xlfn.STDEV.S(_xlfn._xlws.FILTER($B$34:$B$690,$A$34:$A$690=F316)),0)</f>
        <v>0</v>
      </c>
      <c r="H316" s="3">
        <f t="shared" si="10"/>
        <v>0</v>
      </c>
      <c r="AH316" s="14" t="s">
        <v>334</v>
      </c>
      <c r="AI316" s="41">
        <v>122</v>
      </c>
    </row>
    <row r="317" spans="1:35" x14ac:dyDescent="0.35">
      <c r="A317" s="3" t="s">
        <v>1712</v>
      </c>
      <c r="B317" s="3">
        <v>180</v>
      </c>
      <c r="C317" s="3" t="s">
        <v>56</v>
      </c>
      <c r="F317" s="61" t="s">
        <v>3091</v>
      </c>
      <c r="G317" s="62" cm="1">
        <f t="array" ref="G317">IFERROR(_xlfn.STDEV.S(_xlfn._xlws.FILTER($B$34:$B$690,$A$34:$A$690=F317)),0)</f>
        <v>0</v>
      </c>
      <c r="H317" s="3">
        <f t="shared" si="10"/>
        <v>0</v>
      </c>
      <c r="AH317" s="14" t="s">
        <v>759</v>
      </c>
      <c r="AI317" s="41">
        <v>20</v>
      </c>
    </row>
    <row r="318" spans="1:35" x14ac:dyDescent="0.35">
      <c r="A318" s="3" t="s">
        <v>633</v>
      </c>
      <c r="B318" s="3">
        <v>89</v>
      </c>
      <c r="C318" s="3" t="s">
        <v>28</v>
      </c>
      <c r="F318" s="61" t="s">
        <v>948</v>
      </c>
      <c r="G318" s="62" cm="1">
        <f t="array" ref="G318">IFERROR(_xlfn.STDEV.S(_xlfn._xlws.FILTER($B$34:$B$690,$A$34:$A$690=F318)),0)</f>
        <v>0</v>
      </c>
      <c r="H318" s="3">
        <f t="shared" si="10"/>
        <v>0</v>
      </c>
      <c r="AH318" s="14" t="s">
        <v>661</v>
      </c>
      <c r="AI318" s="41">
        <v>180</v>
      </c>
    </row>
    <row r="319" spans="1:35" x14ac:dyDescent="0.35">
      <c r="A319" s="3" t="s">
        <v>633</v>
      </c>
      <c r="B319" s="3">
        <v>300</v>
      </c>
      <c r="C319" s="3" t="s">
        <v>56</v>
      </c>
      <c r="F319" s="61" t="s">
        <v>393</v>
      </c>
      <c r="G319" s="62" cm="1">
        <f t="array" ref="G319">IFERROR(_xlfn.STDEV.S(_xlfn._xlws.FILTER($B$34:$B$690,$A$34:$A$690=F319)),0)</f>
        <v>0</v>
      </c>
      <c r="H319" s="3">
        <f t="shared" si="10"/>
        <v>0</v>
      </c>
      <c r="AH319" s="14" t="s">
        <v>491</v>
      </c>
      <c r="AI319" s="41">
        <v>40</v>
      </c>
    </row>
    <row r="320" spans="1:35" x14ac:dyDescent="0.35">
      <c r="A320" s="3" t="s">
        <v>1236</v>
      </c>
      <c r="B320" s="3">
        <v>337</v>
      </c>
      <c r="C320" s="3" t="s">
        <v>56</v>
      </c>
      <c r="F320" s="61" t="s">
        <v>3309</v>
      </c>
      <c r="G320" s="62" cm="1">
        <f t="array" ref="G320">IFERROR(_xlfn.STDEV.S(_xlfn._xlws.FILTER($B$34:$B$690,$A$34:$A$690=F320)),0)</f>
        <v>0</v>
      </c>
      <c r="H320" s="3">
        <f t="shared" si="10"/>
        <v>0</v>
      </c>
      <c r="AH320" s="14" t="s">
        <v>1318</v>
      </c>
      <c r="AI320" s="41">
        <v>139.5</v>
      </c>
    </row>
    <row r="321" spans="1:35" x14ac:dyDescent="0.35">
      <c r="A321" s="3" t="s">
        <v>1236</v>
      </c>
      <c r="B321" s="3">
        <v>2</v>
      </c>
      <c r="C321" s="3" t="s">
        <v>28</v>
      </c>
      <c r="F321" s="61" t="s">
        <v>451</v>
      </c>
      <c r="G321" s="62" cm="1">
        <f t="array" ref="G321">IFERROR(_xlfn.STDEV.S(_xlfn._xlws.FILTER($B$34:$B$690,$A$34:$A$690=F321)),0)</f>
        <v>0</v>
      </c>
      <c r="H321" s="3">
        <f t="shared" si="10"/>
        <v>0</v>
      </c>
      <c r="AH321" s="14" t="s">
        <v>3452</v>
      </c>
      <c r="AI321" s="41">
        <v>7</v>
      </c>
    </row>
    <row r="322" spans="1:35" x14ac:dyDescent="0.35">
      <c r="A322" s="3" t="s">
        <v>356</v>
      </c>
      <c r="B322" s="3">
        <v>21</v>
      </c>
      <c r="C322" s="3" t="s">
        <v>56</v>
      </c>
      <c r="F322" s="61" t="s">
        <v>1455</v>
      </c>
      <c r="G322" s="62" cm="1">
        <f t="array" ref="G322">IFERROR(_xlfn.STDEV.S(_xlfn._xlws.FILTER($B$34:$B$690,$A$34:$A$690=F322)),0)</f>
        <v>0</v>
      </c>
      <c r="H322" s="3">
        <f t="shared" si="10"/>
        <v>0</v>
      </c>
      <c r="AH322" s="14" t="s">
        <v>496</v>
      </c>
      <c r="AI322" s="41">
        <v>83</v>
      </c>
    </row>
    <row r="323" spans="1:35" x14ac:dyDescent="0.35">
      <c r="A323" s="3" t="s">
        <v>356</v>
      </c>
      <c r="B323" s="3">
        <v>41</v>
      </c>
      <c r="C323" s="3" t="s">
        <v>28</v>
      </c>
      <c r="F323" s="61" t="s">
        <v>1164</v>
      </c>
      <c r="G323" s="62" cm="1">
        <f t="array" ref="G323">IFERROR(_xlfn.STDEV.S(_xlfn._xlws.FILTER($B$34:$B$690,$A$34:$A$690=F323)),0)</f>
        <v>0</v>
      </c>
      <c r="H323" s="3">
        <f t="shared" si="10"/>
        <v>0</v>
      </c>
      <c r="AH323" s="14" t="s">
        <v>381</v>
      </c>
      <c r="AI323" s="41">
        <v>195.5</v>
      </c>
    </row>
    <row r="324" spans="1:35" x14ac:dyDescent="0.35">
      <c r="A324" s="3" t="s">
        <v>356</v>
      </c>
      <c r="B324" s="3">
        <v>289</v>
      </c>
      <c r="C324" s="3" t="s">
        <v>56</v>
      </c>
      <c r="F324" s="61" t="s">
        <v>447</v>
      </c>
      <c r="G324" s="62" cm="1">
        <f t="array" ref="G324">IFERROR(_xlfn.STDEV.S(_xlfn._xlws.FILTER($B$34:$B$690,$A$34:$A$690=F324)),0)</f>
        <v>0</v>
      </c>
      <c r="H324" s="3">
        <f t="shared" si="10"/>
        <v>0</v>
      </c>
      <c r="AH324" s="14" t="s">
        <v>2206</v>
      </c>
      <c r="AI324" s="41">
        <v>132</v>
      </c>
    </row>
    <row r="325" spans="1:35" x14ac:dyDescent="0.35">
      <c r="A325" s="3" t="s">
        <v>1203</v>
      </c>
      <c r="B325" s="3">
        <v>121</v>
      </c>
      <c r="C325" s="3" t="s">
        <v>56</v>
      </c>
      <c r="F325" s="61" t="s">
        <v>2328</v>
      </c>
      <c r="G325" s="62" cm="1">
        <f t="array" ref="G325">IFERROR(_xlfn.STDEV.S(_xlfn._xlws.FILTER($B$34:$B$690,$A$34:$A$690=F325)),0)</f>
        <v>0</v>
      </c>
      <c r="H325" s="3">
        <f t="shared" si="10"/>
        <v>0</v>
      </c>
      <c r="AH325" s="14" t="s">
        <v>1184</v>
      </c>
      <c r="AI325" s="41">
        <v>66</v>
      </c>
    </row>
    <row r="326" spans="1:35" x14ac:dyDescent="0.35">
      <c r="A326" s="3" t="s">
        <v>1203</v>
      </c>
      <c r="B326" s="3">
        <v>128</v>
      </c>
      <c r="C326" s="3" t="s">
        <v>28</v>
      </c>
      <c r="F326" s="61" t="s">
        <v>2639</v>
      </c>
      <c r="G326" s="62" cm="1">
        <f t="array" ref="G326">IFERROR(_xlfn.STDEV.S(_xlfn._xlws.FILTER($B$34:$B$690,$A$34:$A$690=F326)),0)</f>
        <v>0</v>
      </c>
      <c r="H326" s="3">
        <f t="shared" si="10"/>
        <v>0</v>
      </c>
      <c r="AH326" s="14" t="s">
        <v>48</v>
      </c>
      <c r="AI326" s="41">
        <v>123.5</v>
      </c>
    </row>
    <row r="327" spans="1:35" x14ac:dyDescent="0.35">
      <c r="A327" s="3" t="s">
        <v>1073</v>
      </c>
      <c r="B327" s="3">
        <v>16</v>
      </c>
      <c r="C327" s="3" t="s">
        <v>56</v>
      </c>
      <c r="F327" s="61" t="s">
        <v>2900</v>
      </c>
      <c r="G327" s="62" cm="1">
        <f t="array" ref="G327">IFERROR(_xlfn.STDEV.S(_xlfn._xlws.FILTER($B$34:$B$690,$A$34:$A$690=F327)),0)</f>
        <v>0</v>
      </c>
      <c r="H327" s="3">
        <f t="shared" si="10"/>
        <v>0</v>
      </c>
      <c r="AH327" s="14" t="s">
        <v>1336</v>
      </c>
      <c r="AI327" s="41">
        <v>190</v>
      </c>
    </row>
    <row r="328" spans="1:35" x14ac:dyDescent="0.35">
      <c r="A328" s="3" t="s">
        <v>1073</v>
      </c>
      <c r="B328" s="3">
        <v>305</v>
      </c>
      <c r="C328" s="3" t="s">
        <v>56</v>
      </c>
      <c r="F328" s="61" t="s">
        <v>2994</v>
      </c>
      <c r="G328" s="62" cm="1">
        <f t="array" ref="G328">IFERROR(_xlfn.STDEV.S(_xlfn._xlws.FILTER($B$34:$B$690,$A$34:$A$690=F328)),0)</f>
        <v>0</v>
      </c>
      <c r="H328" s="3">
        <f t="shared" si="10"/>
        <v>0</v>
      </c>
      <c r="AH328" s="14" t="s">
        <v>226</v>
      </c>
      <c r="AI328" s="41">
        <v>108.5</v>
      </c>
    </row>
    <row r="329" spans="1:35" x14ac:dyDescent="0.35">
      <c r="A329" s="3" t="s">
        <v>54</v>
      </c>
      <c r="B329" s="3">
        <v>273</v>
      </c>
      <c r="C329" s="3" t="s">
        <v>56</v>
      </c>
      <c r="F329" s="61" t="s">
        <v>360</v>
      </c>
      <c r="G329" s="62" cm="1">
        <f t="array" ref="G329">IFERROR(_xlfn.STDEV.S(_xlfn._xlws.FILTER($B$34:$B$690,$A$34:$A$690=F329)),0)</f>
        <v>0</v>
      </c>
      <c r="H329" s="3">
        <f t="shared" si="10"/>
        <v>0</v>
      </c>
      <c r="AH329" s="14" t="s">
        <v>770</v>
      </c>
      <c r="AI329" s="41">
        <v>22</v>
      </c>
    </row>
    <row r="330" spans="1:35" x14ac:dyDescent="0.35">
      <c r="A330" s="3" t="s">
        <v>54</v>
      </c>
      <c r="B330" s="3">
        <v>22</v>
      </c>
      <c r="C330" s="3" t="s">
        <v>28</v>
      </c>
      <c r="F330" s="61" t="s">
        <v>2500</v>
      </c>
      <c r="G330" s="62" cm="1">
        <f t="array" ref="G330">IFERROR(_xlfn.STDEV.S(_xlfn._xlws.FILTER($B$34:$B$690,$A$34:$A$690=F330)),0)</f>
        <v>0</v>
      </c>
      <c r="H330" s="3">
        <f t="shared" si="10"/>
        <v>0</v>
      </c>
      <c r="AH330" s="14" t="s">
        <v>2077</v>
      </c>
      <c r="AI330" s="41">
        <v>203</v>
      </c>
    </row>
    <row r="331" spans="1:35" x14ac:dyDescent="0.35">
      <c r="A331" s="3" t="s">
        <v>54</v>
      </c>
      <c r="B331" s="3">
        <v>161</v>
      </c>
      <c r="C331" s="3" t="s">
        <v>56</v>
      </c>
      <c r="F331" s="61" t="s">
        <v>555</v>
      </c>
      <c r="G331" s="62" cm="1">
        <f t="array" ref="G331">IFERROR(_xlfn.STDEV.S(_xlfn._xlws.FILTER($B$34:$B$690,$A$34:$A$690=F331)),0)</f>
        <v>0</v>
      </c>
      <c r="H331" s="3">
        <f t="shared" si="10"/>
        <v>0</v>
      </c>
      <c r="AH331" s="14" t="s">
        <v>161</v>
      </c>
      <c r="AI331" s="41">
        <v>145</v>
      </c>
    </row>
    <row r="332" spans="1:35" x14ac:dyDescent="0.35">
      <c r="A332" s="3" t="s">
        <v>2413</v>
      </c>
      <c r="B332" s="3">
        <v>2</v>
      </c>
      <c r="C332" s="3" t="s">
        <v>28</v>
      </c>
      <c r="F332" s="61" t="s">
        <v>1134</v>
      </c>
      <c r="G332" s="62" cm="1">
        <f t="array" ref="G332">IFERROR(_xlfn.STDEV.S(_xlfn._xlws.FILTER($B$34:$B$690,$A$34:$A$690=F332)),0)</f>
        <v>0</v>
      </c>
      <c r="H332" s="3">
        <f t="shared" si="10"/>
        <v>0</v>
      </c>
      <c r="AH332" s="14" t="s">
        <v>818</v>
      </c>
      <c r="AI332" s="41">
        <v>98.75</v>
      </c>
    </row>
    <row r="333" spans="1:35" x14ac:dyDescent="0.35">
      <c r="A333" s="3" t="s">
        <v>2413</v>
      </c>
      <c r="B333" s="3">
        <v>106</v>
      </c>
      <c r="C333" s="3" t="s">
        <v>56</v>
      </c>
      <c r="F333" s="61" t="s">
        <v>637</v>
      </c>
      <c r="G333" s="62" cm="1">
        <f t="array" ref="G333">IFERROR(_xlfn.STDEV.S(_xlfn._xlws.FILTER($B$34:$B$690,$A$34:$A$690=F333)),0)</f>
        <v>0</v>
      </c>
      <c r="H333" s="3">
        <f t="shared" si="10"/>
        <v>0</v>
      </c>
      <c r="AH333" s="14" t="s">
        <v>434</v>
      </c>
      <c r="AI333" s="41">
        <v>68.75</v>
      </c>
    </row>
    <row r="334" spans="1:35" x14ac:dyDescent="0.35">
      <c r="A334" s="3" t="s">
        <v>1175</v>
      </c>
      <c r="B334" s="3">
        <v>192</v>
      </c>
      <c r="C334" s="3" t="s">
        <v>28</v>
      </c>
      <c r="F334" s="61" t="s">
        <v>740</v>
      </c>
      <c r="G334" s="62" cm="1">
        <f t="array" ref="G334">IFERROR(_xlfn.STDEV.S(_xlfn._xlws.FILTER($B$34:$B$690,$A$34:$A$690=F334)),0)</f>
        <v>0</v>
      </c>
      <c r="H334" s="3">
        <f t="shared" si="10"/>
        <v>0</v>
      </c>
      <c r="AH334" s="14" t="s">
        <v>933</v>
      </c>
      <c r="AI334" s="41">
        <v>158.5</v>
      </c>
    </row>
    <row r="335" spans="1:35" x14ac:dyDescent="0.35">
      <c r="A335" s="3" t="s">
        <v>1175</v>
      </c>
      <c r="B335" s="3">
        <v>189</v>
      </c>
      <c r="C335" s="3" t="s">
        <v>56</v>
      </c>
      <c r="F335" s="61" t="s">
        <v>2462</v>
      </c>
      <c r="G335" s="62" cm="1">
        <f t="array" ref="G335">IFERROR(_xlfn.STDEV.S(_xlfn._xlws.FILTER($B$34:$B$690,$A$34:$A$690=F335)),0)</f>
        <v>0</v>
      </c>
      <c r="H335" s="3">
        <f t="shared" si="10"/>
        <v>0</v>
      </c>
      <c r="AH335" s="14" t="s">
        <v>1378</v>
      </c>
      <c r="AI335" s="41">
        <v>194</v>
      </c>
    </row>
    <row r="336" spans="1:35" x14ac:dyDescent="0.35">
      <c r="A336" s="3" t="s">
        <v>1175</v>
      </c>
      <c r="B336" s="3">
        <v>187</v>
      </c>
      <c r="C336" s="3" t="s">
        <v>56</v>
      </c>
      <c r="F336" s="61" t="s">
        <v>759</v>
      </c>
      <c r="G336" s="62" cm="1">
        <f t="array" ref="G336">IFERROR(_xlfn.STDEV.S(_xlfn._xlws.FILTER($B$34:$B$690,$A$34:$A$690=F336)),0)</f>
        <v>0</v>
      </c>
      <c r="H336" s="3">
        <f t="shared" si="10"/>
        <v>0</v>
      </c>
      <c r="AH336" s="14" t="s">
        <v>1004</v>
      </c>
      <c r="AI336" s="41">
        <v>130.5</v>
      </c>
    </row>
    <row r="337" spans="1:35" x14ac:dyDescent="0.35">
      <c r="A337" s="3" t="s">
        <v>1175</v>
      </c>
      <c r="B337" s="3">
        <v>28</v>
      </c>
      <c r="C337" s="3" t="s">
        <v>56</v>
      </c>
      <c r="F337" s="61" t="s">
        <v>661</v>
      </c>
      <c r="G337" s="62" cm="1">
        <f t="array" ref="G337">IFERROR(_xlfn.STDEV.S(_xlfn._xlws.FILTER($B$34:$B$690,$A$34:$A$690=F337)),0)</f>
        <v>0</v>
      </c>
      <c r="H337" s="3">
        <f t="shared" si="10"/>
        <v>0</v>
      </c>
      <c r="AH337" s="14" t="s">
        <v>2008</v>
      </c>
      <c r="AI337" s="41">
        <v>130.5</v>
      </c>
    </row>
    <row r="338" spans="1:35" x14ac:dyDescent="0.35">
      <c r="A338" s="3" t="s">
        <v>1040</v>
      </c>
      <c r="B338" s="3">
        <v>183</v>
      </c>
      <c r="C338" s="3" t="s">
        <v>28</v>
      </c>
      <c r="F338" s="61" t="s">
        <v>491</v>
      </c>
      <c r="G338" s="62" cm="1">
        <f t="array" ref="G338">IFERROR(_xlfn.STDEV.S(_xlfn._xlws.FILTER($B$34:$B$690,$A$34:$A$690=F338)),0)</f>
        <v>0</v>
      </c>
      <c r="H338" s="3">
        <f t="shared" si="10"/>
        <v>0</v>
      </c>
      <c r="AH338" s="14" t="s">
        <v>3109</v>
      </c>
      <c r="AI338" s="41">
        <v>66</v>
      </c>
    </row>
    <row r="339" spans="1:35" x14ac:dyDescent="0.35">
      <c r="A339" s="3" t="s">
        <v>1040</v>
      </c>
      <c r="B339" s="3">
        <v>287</v>
      </c>
      <c r="C339" s="3" t="s">
        <v>56</v>
      </c>
      <c r="F339" s="61" t="s">
        <v>3452</v>
      </c>
      <c r="G339" s="62" cm="1">
        <f t="array" ref="G339">IFERROR(_xlfn.STDEV.S(_xlfn._xlws.FILTER($B$34:$B$690,$A$34:$A$690=F339)),0)</f>
        <v>0</v>
      </c>
      <c r="H339" s="3">
        <f t="shared" si="10"/>
        <v>0</v>
      </c>
      <c r="AH339" s="14" t="s">
        <v>1609</v>
      </c>
      <c r="AI339" s="41">
        <v>108</v>
      </c>
    </row>
    <row r="340" spans="1:35" x14ac:dyDescent="0.35">
      <c r="A340" s="3" t="s">
        <v>1040</v>
      </c>
      <c r="B340" s="3">
        <v>79</v>
      </c>
      <c r="C340" s="3" t="s">
        <v>56</v>
      </c>
      <c r="F340" s="61" t="s">
        <v>496</v>
      </c>
      <c r="G340" s="62" cm="1">
        <f t="array" ref="G340">IFERROR(_xlfn.STDEV.S(_xlfn._xlws.FILTER($B$34:$B$690,$A$34:$A$690=F340)),0)</f>
        <v>0</v>
      </c>
      <c r="H340" s="3">
        <f t="shared" si="10"/>
        <v>0</v>
      </c>
      <c r="AH340" s="14" t="s">
        <v>1766</v>
      </c>
      <c r="AI340" s="41">
        <v>73</v>
      </c>
    </row>
    <row r="341" spans="1:35" x14ac:dyDescent="0.35">
      <c r="A341" s="3" t="s">
        <v>194</v>
      </c>
      <c r="B341" s="3">
        <v>123</v>
      </c>
      <c r="C341" s="3" t="s">
        <v>28</v>
      </c>
      <c r="F341" s="61" t="s">
        <v>2206</v>
      </c>
      <c r="G341" s="62" cm="1">
        <f t="array" ref="G341">IFERROR(_xlfn.STDEV.S(_xlfn._xlws.FILTER($B$34:$B$690,$A$34:$A$690=F341)),0)</f>
        <v>0</v>
      </c>
      <c r="H341" s="3">
        <f t="shared" si="10"/>
        <v>0</v>
      </c>
      <c r="AH341" s="14" t="s">
        <v>1431</v>
      </c>
      <c r="AI341" s="41">
        <v>291</v>
      </c>
    </row>
    <row r="342" spans="1:35" x14ac:dyDescent="0.35">
      <c r="A342" s="3" t="s">
        <v>540</v>
      </c>
      <c r="B342" s="3">
        <v>90</v>
      </c>
      <c r="C342" s="3" t="s">
        <v>56</v>
      </c>
      <c r="F342" s="61" t="s">
        <v>1184</v>
      </c>
      <c r="G342" s="62" cm="1">
        <f t="array" ref="G342">IFERROR(_xlfn.STDEV.S(_xlfn._xlws.FILTER($B$34:$B$690,$A$34:$A$690=F342)),0)</f>
        <v>0</v>
      </c>
      <c r="H342" s="3">
        <f t="shared" si="10"/>
        <v>0</v>
      </c>
      <c r="AH342" s="14" t="s">
        <v>601</v>
      </c>
      <c r="AI342" s="41">
        <v>57.5</v>
      </c>
    </row>
    <row r="343" spans="1:35" x14ac:dyDescent="0.35">
      <c r="A343" s="3" t="s">
        <v>540</v>
      </c>
      <c r="B343" s="3">
        <v>81</v>
      </c>
      <c r="C343" s="3" t="s">
        <v>56</v>
      </c>
      <c r="F343" s="61" t="s">
        <v>1336</v>
      </c>
      <c r="G343" s="62" cm="1">
        <f t="array" ref="G343">IFERROR(_xlfn.STDEV.S(_xlfn._xlws.FILTER($B$34:$B$690,$A$34:$A$690=F343)),0)</f>
        <v>0</v>
      </c>
      <c r="H343" s="3">
        <f t="shared" si="10"/>
        <v>0</v>
      </c>
      <c r="AH343" s="14" t="s">
        <v>893</v>
      </c>
      <c r="AI343" s="41">
        <v>61</v>
      </c>
    </row>
    <row r="344" spans="1:35" x14ac:dyDescent="0.35">
      <c r="A344" s="3" t="s">
        <v>540</v>
      </c>
      <c r="B344" s="3">
        <v>238</v>
      </c>
      <c r="C344" s="3" t="s">
        <v>28</v>
      </c>
      <c r="F344" s="61" t="s">
        <v>2077</v>
      </c>
      <c r="G344" s="62" cm="1">
        <f t="array" ref="G344">IFERROR(_xlfn.STDEV.S(_xlfn._xlws.FILTER($B$34:$B$690,$A$34:$A$690=F344)),0)</f>
        <v>0</v>
      </c>
      <c r="H344" s="3">
        <f t="shared" si="10"/>
        <v>0</v>
      </c>
      <c r="AH344" s="14" t="s">
        <v>61</v>
      </c>
      <c r="AI344" s="41">
        <v>16</v>
      </c>
    </row>
    <row r="345" spans="1:35" x14ac:dyDescent="0.35">
      <c r="A345" s="3" t="s">
        <v>1394</v>
      </c>
      <c r="B345" s="3">
        <v>69</v>
      </c>
      <c r="C345" s="3" t="s">
        <v>28</v>
      </c>
      <c r="F345" s="61" t="s">
        <v>1431</v>
      </c>
      <c r="G345" s="62" cm="1">
        <f t="array" ref="G345">IFERROR(_xlfn.STDEV.S(_xlfn._xlws.FILTER($B$34:$B$690,$A$34:$A$690=F345)),0)</f>
        <v>0</v>
      </c>
      <c r="H345" s="3">
        <f t="shared" si="10"/>
        <v>0</v>
      </c>
      <c r="AH345" s="14" t="s">
        <v>2001</v>
      </c>
      <c r="AI345" s="41">
        <v>63.75</v>
      </c>
    </row>
    <row r="346" spans="1:35" x14ac:dyDescent="0.35">
      <c r="A346" s="3" t="s">
        <v>1394</v>
      </c>
      <c r="B346" s="3">
        <v>130</v>
      </c>
      <c r="C346" s="3" t="s">
        <v>56</v>
      </c>
      <c r="F346" s="61" t="s">
        <v>893</v>
      </c>
      <c r="G346" s="62" cm="1">
        <f t="array" ref="G346">IFERROR(_xlfn.STDEV.S(_xlfn._xlws.FILTER($B$34:$B$690,$A$34:$A$690=F346)),0)</f>
        <v>0</v>
      </c>
      <c r="H346" s="3">
        <f t="shared" si="10"/>
        <v>0</v>
      </c>
      <c r="AH346" s="14" t="s">
        <v>1756</v>
      </c>
      <c r="AI346" s="41">
        <v>53</v>
      </c>
    </row>
    <row r="347" spans="1:35" x14ac:dyDescent="0.35">
      <c r="A347" s="3" t="s">
        <v>1394</v>
      </c>
      <c r="B347" s="3">
        <v>14</v>
      </c>
      <c r="C347" s="3" t="s">
        <v>28</v>
      </c>
      <c r="F347" s="61" t="s">
        <v>1756</v>
      </c>
      <c r="G347" s="62" cm="1">
        <f t="array" ref="G347">IFERROR(_xlfn.STDEV.S(_xlfn._xlws.FILTER($B$34:$B$690,$A$34:$A$690=F347)),0)</f>
        <v>0</v>
      </c>
      <c r="H347" s="3">
        <f t="shared" si="10"/>
        <v>0</v>
      </c>
      <c r="AH347" s="14" t="s">
        <v>1913</v>
      </c>
      <c r="AI347" s="41">
        <v>79</v>
      </c>
    </row>
    <row r="348" spans="1:35" x14ac:dyDescent="0.35">
      <c r="A348" s="3" t="s">
        <v>1475</v>
      </c>
      <c r="B348" s="3">
        <v>229</v>
      </c>
      <c r="C348" s="3" t="s">
        <v>28</v>
      </c>
      <c r="F348" s="61" t="s">
        <v>1913</v>
      </c>
      <c r="G348" s="62" cm="1">
        <f t="array" ref="G348">IFERROR(_xlfn.STDEV.S(_xlfn._xlws.FILTER($B$34:$B$690,$A$34:$A$690=F348)),0)</f>
        <v>0</v>
      </c>
      <c r="H348" s="3">
        <f t="shared" si="10"/>
        <v>0</v>
      </c>
    </row>
    <row r="349" spans="1:35" x14ac:dyDescent="0.35">
      <c r="A349" s="3" t="s">
        <v>1906</v>
      </c>
      <c r="B349" s="3">
        <v>191</v>
      </c>
      <c r="C349" s="3" t="s">
        <v>28</v>
      </c>
      <c r="F349" s="14"/>
    </row>
    <row r="350" spans="1:35" x14ac:dyDescent="0.35">
      <c r="A350" s="3" t="s">
        <v>1351</v>
      </c>
      <c r="B350" s="3">
        <v>25</v>
      </c>
      <c r="C350" s="3" t="s">
        <v>28</v>
      </c>
      <c r="F350" s="14"/>
    </row>
    <row r="351" spans="1:35" x14ac:dyDescent="0.35">
      <c r="A351" s="3" t="s">
        <v>421</v>
      </c>
      <c r="B351" s="3">
        <v>117</v>
      </c>
      <c r="C351" s="3" t="s">
        <v>56</v>
      </c>
      <c r="F351" s="14"/>
    </row>
    <row r="352" spans="1:35" x14ac:dyDescent="0.35">
      <c r="A352" s="3" t="s">
        <v>421</v>
      </c>
      <c r="B352" s="3">
        <v>285</v>
      </c>
      <c r="C352" s="3" t="s">
        <v>28</v>
      </c>
      <c r="F352" s="14"/>
    </row>
    <row r="353" spans="1:6" x14ac:dyDescent="0.35">
      <c r="A353" s="3" t="s">
        <v>138</v>
      </c>
      <c r="B353" s="3">
        <v>128</v>
      </c>
      <c r="C353" s="3" t="s">
        <v>28</v>
      </c>
      <c r="F353" s="14"/>
    </row>
    <row r="354" spans="1:6" x14ac:dyDescent="0.35">
      <c r="A354" s="3" t="s">
        <v>138</v>
      </c>
      <c r="B354" s="3">
        <v>4</v>
      </c>
      <c r="C354" s="3" t="s">
        <v>28</v>
      </c>
      <c r="F354" s="14"/>
    </row>
    <row r="355" spans="1:6" x14ac:dyDescent="0.35">
      <c r="A355" s="3" t="s">
        <v>138</v>
      </c>
      <c r="B355" s="3">
        <v>122</v>
      </c>
      <c r="C355" s="3" t="s">
        <v>28</v>
      </c>
      <c r="F355" s="14"/>
    </row>
    <row r="356" spans="1:6" x14ac:dyDescent="0.35">
      <c r="A356" s="3" t="s">
        <v>138</v>
      </c>
      <c r="B356" s="3">
        <v>10</v>
      </c>
      <c r="C356" s="3" t="s">
        <v>28</v>
      </c>
      <c r="F356" s="14"/>
    </row>
    <row r="357" spans="1:6" x14ac:dyDescent="0.35">
      <c r="A357" s="3" t="s">
        <v>138</v>
      </c>
      <c r="B357" s="3">
        <v>152</v>
      </c>
      <c r="C357" s="3" t="s">
        <v>28</v>
      </c>
      <c r="F357" s="14"/>
    </row>
    <row r="358" spans="1:6" x14ac:dyDescent="0.35">
      <c r="A358" s="3" t="s">
        <v>138</v>
      </c>
      <c r="B358" s="3">
        <v>311</v>
      </c>
      <c r="C358" s="3" t="s">
        <v>28</v>
      </c>
      <c r="F358" s="14"/>
    </row>
    <row r="359" spans="1:6" x14ac:dyDescent="0.35">
      <c r="A359" s="3" t="s">
        <v>138</v>
      </c>
      <c r="B359" s="3">
        <v>8</v>
      </c>
      <c r="C359" s="3" t="s">
        <v>56</v>
      </c>
      <c r="F359" s="14"/>
    </row>
    <row r="360" spans="1:6" x14ac:dyDescent="0.35">
      <c r="A360" s="3" t="s">
        <v>138</v>
      </c>
      <c r="B360" s="3">
        <v>21</v>
      </c>
      <c r="C360" s="3" t="s">
        <v>28</v>
      </c>
      <c r="F360" s="14"/>
    </row>
    <row r="361" spans="1:6" x14ac:dyDescent="0.35">
      <c r="A361" s="3" t="s">
        <v>138</v>
      </c>
      <c r="B361" s="3">
        <v>88</v>
      </c>
      <c r="C361" s="3" t="s">
        <v>28</v>
      </c>
      <c r="F361" s="14"/>
    </row>
    <row r="362" spans="1:6" x14ac:dyDescent="0.35">
      <c r="A362" s="3" t="s">
        <v>343</v>
      </c>
      <c r="B362" s="3">
        <v>30</v>
      </c>
      <c r="C362" s="3" t="s">
        <v>56</v>
      </c>
      <c r="F362" s="14"/>
    </row>
    <row r="363" spans="1:6" x14ac:dyDescent="0.35">
      <c r="A363" s="3" t="s">
        <v>343</v>
      </c>
      <c r="B363" s="3">
        <v>38</v>
      </c>
      <c r="C363" s="3" t="s">
        <v>56</v>
      </c>
      <c r="F363" s="14"/>
    </row>
    <row r="364" spans="1:6" x14ac:dyDescent="0.35">
      <c r="A364" s="3" t="s">
        <v>2403</v>
      </c>
      <c r="B364" s="3">
        <v>140</v>
      </c>
      <c r="C364" s="3" t="s">
        <v>56</v>
      </c>
      <c r="F364" s="14"/>
    </row>
    <row r="365" spans="1:6" x14ac:dyDescent="0.35">
      <c r="A365" s="3" t="s">
        <v>882</v>
      </c>
      <c r="B365" s="3">
        <v>194</v>
      </c>
      <c r="C365" s="3" t="s">
        <v>28</v>
      </c>
      <c r="F365" s="14"/>
    </row>
    <row r="366" spans="1:6" x14ac:dyDescent="0.35">
      <c r="A366" s="3" t="s">
        <v>513</v>
      </c>
      <c r="B366" s="3">
        <v>263</v>
      </c>
      <c r="C366" s="3" t="s">
        <v>56</v>
      </c>
      <c r="F366" s="14"/>
    </row>
    <row r="367" spans="1:6" x14ac:dyDescent="0.35">
      <c r="A367" s="3" t="s">
        <v>513</v>
      </c>
      <c r="B367" s="3">
        <v>311</v>
      </c>
      <c r="C367" s="3" t="s">
        <v>56</v>
      </c>
      <c r="F367" s="14"/>
    </row>
    <row r="368" spans="1:6" x14ac:dyDescent="0.35">
      <c r="A368" s="3" t="s">
        <v>2180</v>
      </c>
      <c r="B368" s="3">
        <v>265</v>
      </c>
      <c r="C368" s="3" t="s">
        <v>28</v>
      </c>
      <c r="F368" s="14"/>
    </row>
    <row r="369" spans="1:6" x14ac:dyDescent="0.35">
      <c r="A369" s="3" t="s">
        <v>2180</v>
      </c>
      <c r="B369" s="3">
        <v>174</v>
      </c>
      <c r="C369" s="3" t="s">
        <v>28</v>
      </c>
      <c r="F369" s="14"/>
    </row>
    <row r="370" spans="1:6" x14ac:dyDescent="0.35">
      <c r="A370" s="3" t="s">
        <v>2180</v>
      </c>
      <c r="B370" s="3">
        <v>10</v>
      </c>
      <c r="C370" s="3" t="s">
        <v>56</v>
      </c>
      <c r="F370" s="14"/>
    </row>
    <row r="371" spans="1:6" x14ac:dyDescent="0.35">
      <c r="A371" s="3" t="s">
        <v>312</v>
      </c>
      <c r="B371" s="3">
        <v>38</v>
      </c>
      <c r="C371" s="3" t="s">
        <v>56</v>
      </c>
      <c r="F371" s="14"/>
    </row>
    <row r="372" spans="1:6" x14ac:dyDescent="0.35">
      <c r="A372" s="3" t="s">
        <v>312</v>
      </c>
      <c r="B372" s="3">
        <v>126</v>
      </c>
      <c r="C372" s="3" t="s">
        <v>56</v>
      </c>
      <c r="F372" s="14"/>
    </row>
    <row r="373" spans="1:6" x14ac:dyDescent="0.35">
      <c r="A373" s="3" t="s">
        <v>312</v>
      </c>
      <c r="B373" s="3">
        <v>30</v>
      </c>
      <c r="C373" s="3" t="s">
        <v>56</v>
      </c>
      <c r="F373" s="14"/>
    </row>
    <row r="374" spans="1:6" x14ac:dyDescent="0.35">
      <c r="A374" s="3" t="s">
        <v>1332</v>
      </c>
      <c r="B374" s="3">
        <v>134</v>
      </c>
      <c r="C374" s="3" t="s">
        <v>56</v>
      </c>
      <c r="F374" s="14"/>
    </row>
    <row r="375" spans="1:6" x14ac:dyDescent="0.35">
      <c r="A375" s="3" t="s">
        <v>886</v>
      </c>
      <c r="B375" s="3">
        <v>253</v>
      </c>
      <c r="C375" s="3" t="s">
        <v>28</v>
      </c>
      <c r="F375" s="14"/>
    </row>
    <row r="376" spans="1:6" x14ac:dyDescent="0.35">
      <c r="A376" s="3" t="s">
        <v>886</v>
      </c>
      <c r="B376" s="3">
        <v>115</v>
      </c>
      <c r="C376" s="3" t="s">
        <v>28</v>
      </c>
      <c r="F376" s="14"/>
    </row>
    <row r="377" spans="1:6" x14ac:dyDescent="0.35">
      <c r="A377" s="3" t="s">
        <v>405</v>
      </c>
      <c r="B377" s="3">
        <v>45</v>
      </c>
      <c r="C377" s="3" t="s">
        <v>56</v>
      </c>
      <c r="F377" s="14"/>
    </row>
    <row r="378" spans="1:6" x14ac:dyDescent="0.35">
      <c r="A378" s="3" t="s">
        <v>405</v>
      </c>
      <c r="B378" s="3">
        <v>270</v>
      </c>
      <c r="C378" s="3" t="s">
        <v>28</v>
      </c>
      <c r="F378" s="14"/>
    </row>
    <row r="379" spans="1:6" x14ac:dyDescent="0.35">
      <c r="A379" s="3" t="s">
        <v>405</v>
      </c>
      <c r="B379" s="3">
        <v>62</v>
      </c>
      <c r="C379" s="3" t="s">
        <v>56</v>
      </c>
      <c r="F379" s="14"/>
    </row>
    <row r="380" spans="1:6" x14ac:dyDescent="0.35">
      <c r="A380" s="3" t="s">
        <v>2363</v>
      </c>
      <c r="B380" s="3">
        <v>340</v>
      </c>
      <c r="C380" s="3" t="s">
        <v>56</v>
      </c>
      <c r="F380" s="14"/>
    </row>
    <row r="381" spans="1:6" x14ac:dyDescent="0.35">
      <c r="A381" s="3" t="s">
        <v>1926</v>
      </c>
      <c r="B381" s="3">
        <v>252</v>
      </c>
      <c r="C381" s="3" t="s">
        <v>56</v>
      </c>
      <c r="F381" s="14"/>
    </row>
    <row r="382" spans="1:6" x14ac:dyDescent="0.35">
      <c r="A382" s="3" t="s">
        <v>1926</v>
      </c>
      <c r="B382" s="3">
        <v>212</v>
      </c>
      <c r="C382" s="3" t="s">
        <v>28</v>
      </c>
      <c r="F382" s="14"/>
    </row>
    <row r="383" spans="1:6" x14ac:dyDescent="0.35">
      <c r="A383" s="3" t="s">
        <v>1926</v>
      </c>
      <c r="B383" s="3">
        <v>91</v>
      </c>
      <c r="C383" s="3" t="s">
        <v>28</v>
      </c>
      <c r="F383" s="14"/>
    </row>
    <row r="384" spans="1:6" x14ac:dyDescent="0.35">
      <c r="A384" s="3" t="s">
        <v>2568</v>
      </c>
      <c r="B384" s="3">
        <v>115</v>
      </c>
      <c r="C384" s="3" t="s">
        <v>28</v>
      </c>
    </row>
    <row r="385" spans="1:3" x14ac:dyDescent="0.35">
      <c r="A385" s="3" t="s">
        <v>347</v>
      </c>
      <c r="B385" s="3">
        <v>51</v>
      </c>
      <c r="C385" s="3" t="s">
        <v>56</v>
      </c>
    </row>
    <row r="386" spans="1:3" x14ac:dyDescent="0.35">
      <c r="A386" s="3" t="s">
        <v>1498</v>
      </c>
      <c r="B386" s="3">
        <v>201</v>
      </c>
      <c r="C386" s="3" t="s">
        <v>56</v>
      </c>
    </row>
    <row r="387" spans="1:3" x14ac:dyDescent="0.35">
      <c r="A387" s="3" t="s">
        <v>1370</v>
      </c>
      <c r="B387" s="3">
        <v>132</v>
      </c>
      <c r="C387" s="3" t="s">
        <v>56</v>
      </c>
    </row>
    <row r="388" spans="1:3" x14ac:dyDescent="0.35">
      <c r="A388" s="3" t="s">
        <v>294</v>
      </c>
      <c r="B388" s="3">
        <v>116</v>
      </c>
      <c r="C388" s="3" t="s">
        <v>28</v>
      </c>
    </row>
    <row r="389" spans="1:3" x14ac:dyDescent="0.35">
      <c r="A389" s="3" t="s">
        <v>294</v>
      </c>
      <c r="B389" s="3">
        <v>183</v>
      </c>
      <c r="C389" s="3" t="s">
        <v>28</v>
      </c>
    </row>
    <row r="390" spans="1:3" x14ac:dyDescent="0.35">
      <c r="A390" s="3" t="s">
        <v>755</v>
      </c>
      <c r="B390" s="3">
        <v>161</v>
      </c>
      <c r="C390" s="3" t="s">
        <v>56</v>
      </c>
    </row>
    <row r="391" spans="1:3" x14ac:dyDescent="0.35">
      <c r="A391" s="3" t="s">
        <v>755</v>
      </c>
      <c r="B391" s="3">
        <v>12</v>
      </c>
      <c r="C391" s="3" t="s">
        <v>28</v>
      </c>
    </row>
    <row r="392" spans="1:3" x14ac:dyDescent="0.35">
      <c r="A392" s="3" t="s">
        <v>755</v>
      </c>
      <c r="B392" s="3">
        <v>73</v>
      </c>
      <c r="C392" s="3" t="s">
        <v>28</v>
      </c>
    </row>
    <row r="393" spans="1:3" x14ac:dyDescent="0.35">
      <c r="A393" s="3" t="s">
        <v>1438</v>
      </c>
      <c r="B393" s="3">
        <v>69</v>
      </c>
      <c r="C393" s="3" t="s">
        <v>56</v>
      </c>
    </row>
    <row r="394" spans="1:3" x14ac:dyDescent="0.35">
      <c r="A394" s="3" t="s">
        <v>66</v>
      </c>
      <c r="B394" s="3">
        <v>2</v>
      </c>
      <c r="C394" s="3" t="s">
        <v>56</v>
      </c>
    </row>
    <row r="395" spans="1:3" x14ac:dyDescent="0.35">
      <c r="A395" s="3" t="s">
        <v>66</v>
      </c>
      <c r="B395" s="3">
        <v>308</v>
      </c>
      <c r="C395" s="3" t="s">
        <v>28</v>
      </c>
    </row>
    <row r="396" spans="1:3" x14ac:dyDescent="0.35">
      <c r="A396" s="3" t="s">
        <v>1675</v>
      </c>
      <c r="B396" s="3">
        <v>335</v>
      </c>
      <c r="C396" s="3" t="s">
        <v>28</v>
      </c>
    </row>
    <row r="397" spans="1:3" x14ac:dyDescent="0.35">
      <c r="A397" s="3" t="s">
        <v>1160</v>
      </c>
      <c r="B397" s="3">
        <v>255</v>
      </c>
      <c r="C397" s="3" t="s">
        <v>28</v>
      </c>
    </row>
    <row r="398" spans="1:3" x14ac:dyDescent="0.35">
      <c r="A398" s="3" t="s">
        <v>1160</v>
      </c>
      <c r="B398" s="3">
        <v>80</v>
      </c>
      <c r="C398" s="3" t="s">
        <v>56</v>
      </c>
    </row>
    <row r="399" spans="1:3" x14ac:dyDescent="0.35">
      <c r="A399" s="3" t="s">
        <v>1582</v>
      </c>
      <c r="B399" s="3">
        <v>206</v>
      </c>
      <c r="C399" s="3" t="s">
        <v>28</v>
      </c>
    </row>
    <row r="400" spans="1:3" x14ac:dyDescent="0.35">
      <c r="A400" s="3" t="s">
        <v>299</v>
      </c>
      <c r="B400" s="3">
        <v>213</v>
      </c>
      <c r="C400" s="3" t="s">
        <v>56</v>
      </c>
    </row>
    <row r="401" spans="1:3" x14ac:dyDescent="0.35">
      <c r="A401" s="3" t="s">
        <v>299</v>
      </c>
      <c r="B401" s="3">
        <v>121</v>
      </c>
      <c r="C401" s="3" t="s">
        <v>28</v>
      </c>
    </row>
    <row r="402" spans="1:3" x14ac:dyDescent="0.35">
      <c r="A402" s="3" t="s">
        <v>2815</v>
      </c>
      <c r="B402" s="3">
        <v>178</v>
      </c>
      <c r="C402" s="3" t="s">
        <v>56</v>
      </c>
    </row>
    <row r="403" spans="1:3" x14ac:dyDescent="0.35">
      <c r="A403" s="3" t="s">
        <v>721</v>
      </c>
      <c r="B403" s="3">
        <v>148</v>
      </c>
      <c r="C403" s="3" t="s">
        <v>56</v>
      </c>
    </row>
    <row r="404" spans="1:3" x14ac:dyDescent="0.35">
      <c r="A404" s="3" t="s">
        <v>721</v>
      </c>
      <c r="B404" s="3">
        <v>12</v>
      </c>
      <c r="C404" s="3" t="s">
        <v>28</v>
      </c>
    </row>
    <row r="405" spans="1:3" x14ac:dyDescent="0.35">
      <c r="A405" s="3" t="s">
        <v>578</v>
      </c>
      <c r="B405" s="3">
        <v>87</v>
      </c>
      <c r="C405" s="3" t="s">
        <v>56</v>
      </c>
    </row>
    <row r="406" spans="1:3" x14ac:dyDescent="0.35">
      <c r="A406" s="3" t="s">
        <v>578</v>
      </c>
      <c r="B406" s="3">
        <v>100</v>
      </c>
      <c r="C406" s="3" t="s">
        <v>28</v>
      </c>
    </row>
    <row r="407" spans="1:3" x14ac:dyDescent="0.35">
      <c r="A407" s="3" t="s">
        <v>578</v>
      </c>
      <c r="B407" s="3">
        <v>125</v>
      </c>
      <c r="C407" s="3" t="s">
        <v>28</v>
      </c>
    </row>
    <row r="408" spans="1:3" x14ac:dyDescent="0.35">
      <c r="A408" s="3" t="s">
        <v>778</v>
      </c>
      <c r="B408" s="3">
        <v>36</v>
      </c>
      <c r="C408" s="3" t="s">
        <v>28</v>
      </c>
    </row>
    <row r="409" spans="1:3" x14ac:dyDescent="0.35">
      <c r="A409" s="3" t="s">
        <v>778</v>
      </c>
      <c r="B409" s="3">
        <v>72</v>
      </c>
      <c r="C409" s="3" t="s">
        <v>28</v>
      </c>
    </row>
    <row r="410" spans="1:3" x14ac:dyDescent="0.35">
      <c r="A410" s="3" t="s">
        <v>778</v>
      </c>
      <c r="B410" s="3">
        <v>106</v>
      </c>
      <c r="C410" s="3" t="s">
        <v>56</v>
      </c>
    </row>
    <row r="411" spans="1:3" x14ac:dyDescent="0.35">
      <c r="A411" s="3" t="s">
        <v>778</v>
      </c>
      <c r="B411" s="3">
        <v>171</v>
      </c>
      <c r="C411" s="3" t="s">
        <v>28</v>
      </c>
    </row>
    <row r="412" spans="1:3" x14ac:dyDescent="0.35">
      <c r="A412" s="3" t="s">
        <v>778</v>
      </c>
      <c r="B412" s="3">
        <v>152</v>
      </c>
      <c r="C412" s="3" t="s">
        <v>28</v>
      </c>
    </row>
    <row r="413" spans="1:3" x14ac:dyDescent="0.35">
      <c r="A413" s="3" t="s">
        <v>778</v>
      </c>
      <c r="B413" s="3">
        <v>52</v>
      </c>
      <c r="C413" s="3" t="s">
        <v>56</v>
      </c>
    </row>
    <row r="414" spans="1:3" x14ac:dyDescent="0.35">
      <c r="A414" s="3" t="s">
        <v>398</v>
      </c>
      <c r="B414" s="3">
        <v>51</v>
      </c>
      <c r="C414" s="3" t="s">
        <v>28</v>
      </c>
    </row>
    <row r="415" spans="1:3" x14ac:dyDescent="0.35">
      <c r="A415" s="3" t="s">
        <v>3266</v>
      </c>
      <c r="B415" s="3">
        <v>51</v>
      </c>
      <c r="C415" s="3" t="s">
        <v>28</v>
      </c>
    </row>
    <row r="416" spans="1:3" x14ac:dyDescent="0.35">
      <c r="A416" s="3" t="s">
        <v>2723</v>
      </c>
      <c r="B416" s="3">
        <v>232</v>
      </c>
      <c r="C416" s="3" t="s">
        <v>28</v>
      </c>
    </row>
    <row r="417" spans="1:3" x14ac:dyDescent="0.35">
      <c r="A417" s="3" t="s">
        <v>2925</v>
      </c>
      <c r="B417" s="3">
        <v>245</v>
      </c>
      <c r="C417" s="3" t="s">
        <v>56</v>
      </c>
    </row>
    <row r="418" spans="1:3" x14ac:dyDescent="0.35">
      <c r="A418" s="3" t="s">
        <v>2925</v>
      </c>
      <c r="B418" s="3">
        <v>55</v>
      </c>
      <c r="C418" s="3" t="s">
        <v>28</v>
      </c>
    </row>
    <row r="419" spans="1:3" x14ac:dyDescent="0.35">
      <c r="A419" s="3" t="s">
        <v>2925</v>
      </c>
      <c r="B419" s="3">
        <v>43</v>
      </c>
      <c r="C419" s="3" t="s">
        <v>28</v>
      </c>
    </row>
    <row r="420" spans="1:3" x14ac:dyDescent="0.35">
      <c r="A420" s="3" t="s">
        <v>588</v>
      </c>
      <c r="B420" s="3">
        <v>105</v>
      </c>
      <c r="C420" s="3" t="s">
        <v>56</v>
      </c>
    </row>
    <row r="421" spans="1:3" x14ac:dyDescent="0.35">
      <c r="A421" s="3" t="s">
        <v>588</v>
      </c>
      <c r="B421" s="3">
        <v>169</v>
      </c>
      <c r="C421" s="3" t="s">
        <v>56</v>
      </c>
    </row>
    <row r="422" spans="1:3" x14ac:dyDescent="0.35">
      <c r="A422" s="3" t="s">
        <v>588</v>
      </c>
      <c r="B422" s="3">
        <v>148</v>
      </c>
      <c r="C422" s="3" t="s">
        <v>28</v>
      </c>
    </row>
    <row r="423" spans="1:3" x14ac:dyDescent="0.35">
      <c r="A423" s="3" t="s">
        <v>1214</v>
      </c>
      <c r="B423" s="3">
        <v>104</v>
      </c>
      <c r="C423" s="3" t="s">
        <v>56</v>
      </c>
    </row>
    <row r="424" spans="1:3" x14ac:dyDescent="0.35">
      <c r="A424" s="3" t="s">
        <v>152</v>
      </c>
      <c r="B424" s="3">
        <v>119</v>
      </c>
      <c r="C424" s="3" t="s">
        <v>56</v>
      </c>
    </row>
    <row r="425" spans="1:3" x14ac:dyDescent="0.35">
      <c r="A425" s="3" t="s">
        <v>657</v>
      </c>
      <c r="B425" s="3">
        <v>203</v>
      </c>
      <c r="C425" s="3" t="s">
        <v>56</v>
      </c>
    </row>
    <row r="426" spans="1:3" x14ac:dyDescent="0.35">
      <c r="A426" s="3" t="s">
        <v>1536</v>
      </c>
      <c r="B426" s="3">
        <v>275</v>
      </c>
      <c r="C426" s="3" t="s">
        <v>56</v>
      </c>
    </row>
    <row r="427" spans="1:3" x14ac:dyDescent="0.35">
      <c r="A427" s="3" t="s">
        <v>1536</v>
      </c>
      <c r="B427" s="3">
        <v>216</v>
      </c>
      <c r="C427" s="3" t="s">
        <v>28</v>
      </c>
    </row>
    <row r="428" spans="1:3" x14ac:dyDescent="0.35">
      <c r="A428" s="3" t="s">
        <v>1536</v>
      </c>
      <c r="B428" s="3">
        <v>150</v>
      </c>
      <c r="C428" s="3" t="s">
        <v>28</v>
      </c>
    </row>
    <row r="429" spans="1:3" x14ac:dyDescent="0.35">
      <c r="A429" s="3" t="s">
        <v>199</v>
      </c>
      <c r="B429" s="3">
        <v>237</v>
      </c>
      <c r="C429" s="3" t="s">
        <v>56</v>
      </c>
    </row>
    <row r="430" spans="1:3" x14ac:dyDescent="0.35">
      <c r="A430" s="3" t="s">
        <v>199</v>
      </c>
      <c r="B430" s="3">
        <v>277</v>
      </c>
      <c r="C430" s="3" t="s">
        <v>28</v>
      </c>
    </row>
    <row r="431" spans="1:3" x14ac:dyDescent="0.35">
      <c r="A431" s="3" t="s">
        <v>199</v>
      </c>
      <c r="B431" s="3">
        <v>97</v>
      </c>
      <c r="C431" s="3" t="s">
        <v>56</v>
      </c>
    </row>
    <row r="432" spans="1:3" x14ac:dyDescent="0.35">
      <c r="A432" s="3" t="s">
        <v>199</v>
      </c>
      <c r="B432" s="3">
        <v>1</v>
      </c>
      <c r="C432" s="3" t="s">
        <v>28</v>
      </c>
    </row>
    <row r="433" spans="1:3" x14ac:dyDescent="0.35">
      <c r="A433" s="3" t="s">
        <v>199</v>
      </c>
      <c r="B433" s="3">
        <v>351</v>
      </c>
      <c r="C433" s="3" t="s">
        <v>56</v>
      </c>
    </row>
    <row r="434" spans="1:3" x14ac:dyDescent="0.35">
      <c r="A434" s="3" t="s">
        <v>199</v>
      </c>
      <c r="B434" s="3">
        <v>297</v>
      </c>
      <c r="C434" s="3" t="s">
        <v>28</v>
      </c>
    </row>
    <row r="435" spans="1:3" x14ac:dyDescent="0.35">
      <c r="A435" s="3" t="s">
        <v>199</v>
      </c>
      <c r="B435" s="3">
        <v>2</v>
      </c>
      <c r="C435" s="3" t="s">
        <v>56</v>
      </c>
    </row>
    <row r="436" spans="1:3" x14ac:dyDescent="0.35">
      <c r="A436" s="3" t="s">
        <v>1012</v>
      </c>
      <c r="B436" s="3">
        <v>197</v>
      </c>
      <c r="C436" s="3" t="s">
        <v>56</v>
      </c>
    </row>
    <row r="437" spans="1:3" x14ac:dyDescent="0.35">
      <c r="A437" s="3" t="s">
        <v>1012</v>
      </c>
      <c r="B437" s="3">
        <v>48</v>
      </c>
      <c r="C437" s="3" t="s">
        <v>28</v>
      </c>
    </row>
    <row r="438" spans="1:3" x14ac:dyDescent="0.35">
      <c r="A438" s="3" t="s">
        <v>1110</v>
      </c>
      <c r="B438" s="3">
        <v>103</v>
      </c>
      <c r="C438" s="3" t="s">
        <v>28</v>
      </c>
    </row>
    <row r="439" spans="1:3" x14ac:dyDescent="0.35">
      <c r="A439" s="3" t="s">
        <v>388</v>
      </c>
      <c r="B439" s="3">
        <v>137</v>
      </c>
      <c r="C439" s="3" t="s">
        <v>56</v>
      </c>
    </row>
    <row r="440" spans="1:3" x14ac:dyDescent="0.35">
      <c r="A440" s="3" t="s">
        <v>388</v>
      </c>
      <c r="B440" s="3">
        <v>7</v>
      </c>
      <c r="C440" s="3" t="s">
        <v>28</v>
      </c>
    </row>
    <row r="441" spans="1:3" x14ac:dyDescent="0.35">
      <c r="A441" s="3" t="s">
        <v>388</v>
      </c>
      <c r="B441" s="3">
        <v>144</v>
      </c>
      <c r="C441" s="3" t="s">
        <v>56</v>
      </c>
    </row>
    <row r="442" spans="1:3" x14ac:dyDescent="0.35">
      <c r="A442" s="3" t="s">
        <v>388</v>
      </c>
      <c r="B442" s="3">
        <v>160</v>
      </c>
      <c r="C442" s="3" t="s">
        <v>56</v>
      </c>
    </row>
    <row r="443" spans="1:3" x14ac:dyDescent="0.35">
      <c r="A443" s="3" t="s">
        <v>388</v>
      </c>
      <c r="B443" s="3">
        <v>104</v>
      </c>
      <c r="C443" s="3" t="s">
        <v>28</v>
      </c>
    </row>
    <row r="444" spans="1:3" x14ac:dyDescent="0.35">
      <c r="A444" s="3" t="s">
        <v>388</v>
      </c>
      <c r="B444" s="3">
        <v>141</v>
      </c>
      <c r="C444" s="3" t="s">
        <v>56</v>
      </c>
    </row>
    <row r="445" spans="1:3" x14ac:dyDescent="0.35">
      <c r="A445" s="3" t="s">
        <v>696</v>
      </c>
      <c r="B445" s="3">
        <v>58</v>
      </c>
      <c r="C445" s="3" t="s">
        <v>28</v>
      </c>
    </row>
    <row r="446" spans="1:3" x14ac:dyDescent="0.35">
      <c r="A446" s="3" t="s">
        <v>696</v>
      </c>
      <c r="B446" s="3">
        <v>162</v>
      </c>
      <c r="C446" s="3" t="s">
        <v>56</v>
      </c>
    </row>
    <row r="447" spans="1:3" x14ac:dyDescent="0.35">
      <c r="A447" s="3" t="s">
        <v>696</v>
      </c>
      <c r="B447" s="3">
        <v>52</v>
      </c>
      <c r="C447" s="3" t="s">
        <v>28</v>
      </c>
    </row>
    <row r="448" spans="1:3" x14ac:dyDescent="0.35">
      <c r="A448" s="3" t="s">
        <v>1465</v>
      </c>
      <c r="B448" s="3">
        <v>32</v>
      </c>
      <c r="C448" s="3" t="s">
        <v>28</v>
      </c>
    </row>
    <row r="449" spans="1:3" x14ac:dyDescent="0.35">
      <c r="A449" s="3" t="s">
        <v>1465</v>
      </c>
      <c r="B449" s="3">
        <v>14</v>
      </c>
      <c r="C449" s="3" t="s">
        <v>28</v>
      </c>
    </row>
    <row r="450" spans="1:3" x14ac:dyDescent="0.35">
      <c r="A450" s="3" t="s">
        <v>1328</v>
      </c>
      <c r="B450" s="3">
        <v>81</v>
      </c>
      <c r="C450" s="3" t="s">
        <v>56</v>
      </c>
    </row>
    <row r="451" spans="1:3" x14ac:dyDescent="0.35">
      <c r="A451" s="3" t="s">
        <v>2199</v>
      </c>
      <c r="B451" s="3">
        <v>6</v>
      </c>
      <c r="C451" s="3" t="s">
        <v>28</v>
      </c>
    </row>
    <row r="452" spans="1:3" x14ac:dyDescent="0.35">
      <c r="A452" s="3" t="s">
        <v>264</v>
      </c>
      <c r="B452" s="3">
        <v>159</v>
      </c>
      <c r="C452" s="3" t="s">
        <v>28</v>
      </c>
    </row>
    <row r="453" spans="1:3" x14ac:dyDescent="0.35">
      <c r="A453" s="3" t="s">
        <v>583</v>
      </c>
      <c r="B453" s="3">
        <v>53</v>
      </c>
      <c r="C453" s="3" t="s">
        <v>28</v>
      </c>
    </row>
    <row r="454" spans="1:3" x14ac:dyDescent="0.35">
      <c r="A454" s="3" t="s">
        <v>1708</v>
      </c>
      <c r="B454" s="3">
        <v>228</v>
      </c>
      <c r="C454" s="3" t="s">
        <v>56</v>
      </c>
    </row>
    <row r="455" spans="1:3" x14ac:dyDescent="0.35">
      <c r="A455" s="3" t="s">
        <v>2167</v>
      </c>
      <c r="B455" s="3">
        <v>182</v>
      </c>
      <c r="C455" s="3" t="s">
        <v>56</v>
      </c>
    </row>
    <row r="456" spans="1:3" x14ac:dyDescent="0.35">
      <c r="A456" s="3" t="s">
        <v>2167</v>
      </c>
      <c r="B456" s="3">
        <v>215</v>
      </c>
      <c r="C456" s="3" t="s">
        <v>56</v>
      </c>
    </row>
    <row r="457" spans="1:3" x14ac:dyDescent="0.35">
      <c r="A457" s="3" t="s">
        <v>203</v>
      </c>
      <c r="B457" s="3">
        <v>105</v>
      </c>
      <c r="C457" s="3" t="s">
        <v>56</v>
      </c>
    </row>
    <row r="458" spans="1:3" x14ac:dyDescent="0.35">
      <c r="A458" s="3" t="s">
        <v>203</v>
      </c>
      <c r="B458" s="3">
        <v>52</v>
      </c>
      <c r="C458" s="3" t="s">
        <v>28</v>
      </c>
    </row>
    <row r="459" spans="1:3" x14ac:dyDescent="0.35">
      <c r="A459" s="3" t="s">
        <v>203</v>
      </c>
      <c r="B459" s="3">
        <v>224</v>
      </c>
      <c r="C459" s="3" t="s">
        <v>56</v>
      </c>
    </row>
    <row r="460" spans="1:3" x14ac:dyDescent="0.35">
      <c r="A460" s="3" t="s">
        <v>203</v>
      </c>
      <c r="B460" s="3">
        <v>247</v>
      </c>
      <c r="C460" s="3" t="s">
        <v>56</v>
      </c>
    </row>
    <row r="461" spans="1:3" x14ac:dyDescent="0.35">
      <c r="A461" s="3" t="s">
        <v>203</v>
      </c>
      <c r="B461" s="3">
        <v>186</v>
      </c>
      <c r="C461" s="3" t="s">
        <v>56</v>
      </c>
    </row>
    <row r="462" spans="1:3" x14ac:dyDescent="0.35">
      <c r="A462" s="3" t="s">
        <v>2253</v>
      </c>
      <c r="B462" s="3">
        <v>26</v>
      </c>
      <c r="C462" s="3" t="s">
        <v>28</v>
      </c>
    </row>
    <row r="463" spans="1:3" x14ac:dyDescent="0.35">
      <c r="A463" s="3" t="s">
        <v>249</v>
      </c>
      <c r="B463" s="3">
        <v>214</v>
      </c>
      <c r="C463" s="3" t="s">
        <v>28</v>
      </c>
    </row>
    <row r="464" spans="1:3" x14ac:dyDescent="0.35">
      <c r="A464" s="3" t="s">
        <v>1599</v>
      </c>
      <c r="B464" s="3">
        <v>319</v>
      </c>
      <c r="C464" s="3" t="s">
        <v>56</v>
      </c>
    </row>
    <row r="465" spans="1:3" x14ac:dyDescent="0.35">
      <c r="A465" s="3" t="s">
        <v>1599</v>
      </c>
      <c r="B465" s="3">
        <v>270</v>
      </c>
      <c r="C465" s="3" t="s">
        <v>56</v>
      </c>
    </row>
    <row r="466" spans="1:3" x14ac:dyDescent="0.35">
      <c r="A466" s="3" t="s">
        <v>1599</v>
      </c>
      <c r="B466" s="3">
        <v>67</v>
      </c>
      <c r="C466" s="3" t="s">
        <v>28</v>
      </c>
    </row>
    <row r="467" spans="1:3" x14ac:dyDescent="0.35">
      <c r="A467" s="3" t="s">
        <v>351</v>
      </c>
      <c r="B467" s="3">
        <v>68</v>
      </c>
      <c r="C467" s="3" t="s">
        <v>56</v>
      </c>
    </row>
    <row r="468" spans="1:3" x14ac:dyDescent="0.35">
      <c r="A468" s="3" t="s">
        <v>763</v>
      </c>
      <c r="B468" s="3">
        <v>225</v>
      </c>
      <c r="C468" s="3" t="s">
        <v>56</v>
      </c>
    </row>
    <row r="469" spans="1:3" x14ac:dyDescent="0.35">
      <c r="A469" s="3" t="s">
        <v>763</v>
      </c>
      <c r="B469" s="3">
        <v>123</v>
      </c>
      <c r="C469" s="3" t="s">
        <v>56</v>
      </c>
    </row>
    <row r="470" spans="1:3" x14ac:dyDescent="0.35">
      <c r="A470" s="3" t="s">
        <v>1249</v>
      </c>
      <c r="B470" s="3">
        <v>47</v>
      </c>
      <c r="C470" s="3" t="s">
        <v>56</v>
      </c>
    </row>
    <row r="471" spans="1:3" x14ac:dyDescent="0.35">
      <c r="A471" s="3" t="s">
        <v>1249</v>
      </c>
      <c r="B471" s="3">
        <v>52</v>
      </c>
      <c r="C471" s="3" t="s">
        <v>28</v>
      </c>
    </row>
    <row r="472" spans="1:3" x14ac:dyDescent="0.35">
      <c r="A472" s="3" t="s">
        <v>729</v>
      </c>
      <c r="B472" s="3">
        <v>166</v>
      </c>
      <c r="C472" s="3" t="s">
        <v>28</v>
      </c>
    </row>
    <row r="473" spans="1:3" x14ac:dyDescent="0.35">
      <c r="A473" s="3" t="s">
        <v>729</v>
      </c>
      <c r="B473" s="3">
        <v>32</v>
      </c>
      <c r="C473" s="3" t="s">
        <v>28</v>
      </c>
    </row>
    <row r="474" spans="1:3" x14ac:dyDescent="0.35">
      <c r="A474" s="3" t="s">
        <v>2144</v>
      </c>
      <c r="B474" s="3">
        <v>166</v>
      </c>
      <c r="C474" s="3" t="s">
        <v>56</v>
      </c>
    </row>
    <row r="475" spans="1:3" x14ac:dyDescent="0.35">
      <c r="A475" s="3" t="s">
        <v>1697</v>
      </c>
      <c r="B475" s="3">
        <v>49</v>
      </c>
      <c r="C475" s="3" t="s">
        <v>56</v>
      </c>
    </row>
    <row r="476" spans="1:3" x14ac:dyDescent="0.35">
      <c r="A476" s="3" t="s">
        <v>207</v>
      </c>
      <c r="B476" s="3">
        <v>71</v>
      </c>
      <c r="C476" s="3" t="s">
        <v>56</v>
      </c>
    </row>
    <row r="477" spans="1:3" x14ac:dyDescent="0.35">
      <c r="A477" s="3" t="s">
        <v>207</v>
      </c>
      <c r="B477" s="3">
        <v>113</v>
      </c>
      <c r="C477" s="3" t="s">
        <v>56</v>
      </c>
    </row>
    <row r="478" spans="1:3" x14ac:dyDescent="0.35">
      <c r="A478" s="3" t="s">
        <v>207</v>
      </c>
      <c r="B478" s="3">
        <v>221</v>
      </c>
      <c r="C478" s="3" t="s">
        <v>56</v>
      </c>
    </row>
    <row r="479" spans="1:3" x14ac:dyDescent="0.35">
      <c r="A479" s="3" t="s">
        <v>207</v>
      </c>
      <c r="B479" s="3">
        <v>10</v>
      </c>
      <c r="C479" s="3" t="s">
        <v>28</v>
      </c>
    </row>
    <row r="480" spans="1:3" x14ac:dyDescent="0.35">
      <c r="A480" s="3" t="s">
        <v>207</v>
      </c>
      <c r="B480" s="3">
        <v>3</v>
      </c>
      <c r="C480" s="3" t="s">
        <v>56</v>
      </c>
    </row>
    <row r="481" spans="1:3" x14ac:dyDescent="0.35">
      <c r="A481" s="3" t="s">
        <v>1303</v>
      </c>
      <c r="B481" s="3">
        <v>124</v>
      </c>
      <c r="C481" s="3" t="s">
        <v>56</v>
      </c>
    </row>
    <row r="482" spans="1:3" x14ac:dyDescent="0.35">
      <c r="A482" s="3" t="s">
        <v>1303</v>
      </c>
      <c r="B482" s="3">
        <v>139</v>
      </c>
      <c r="C482" s="3" t="s">
        <v>28</v>
      </c>
    </row>
    <row r="483" spans="1:3" x14ac:dyDescent="0.35">
      <c r="A483" s="3" t="s">
        <v>1303</v>
      </c>
      <c r="B483" s="3">
        <v>39</v>
      </c>
      <c r="C483" s="3" t="s">
        <v>28</v>
      </c>
    </row>
    <row r="484" spans="1:3" x14ac:dyDescent="0.35">
      <c r="A484" s="3" t="s">
        <v>2542</v>
      </c>
      <c r="B484" s="3">
        <v>74</v>
      </c>
      <c r="C484" s="3" t="s">
        <v>28</v>
      </c>
    </row>
    <row r="485" spans="1:3" x14ac:dyDescent="0.35">
      <c r="A485" s="3" t="s">
        <v>2542</v>
      </c>
      <c r="B485" s="3">
        <v>42</v>
      </c>
      <c r="C485" s="3" t="s">
        <v>28</v>
      </c>
    </row>
    <row r="486" spans="1:3" x14ac:dyDescent="0.35">
      <c r="A486" s="3" t="s">
        <v>2455</v>
      </c>
      <c r="B486" s="3">
        <v>115</v>
      </c>
      <c r="C486" s="3" t="s">
        <v>28</v>
      </c>
    </row>
    <row r="487" spans="1:3" x14ac:dyDescent="0.35">
      <c r="A487" s="3" t="s">
        <v>2496</v>
      </c>
      <c r="B487" s="3">
        <v>271</v>
      </c>
      <c r="C487" s="3" t="s">
        <v>28</v>
      </c>
    </row>
    <row r="488" spans="1:3" x14ac:dyDescent="0.35">
      <c r="A488" s="3" t="s">
        <v>2496</v>
      </c>
      <c r="B488" s="3">
        <v>3</v>
      </c>
      <c r="C488" s="3" t="s">
        <v>28</v>
      </c>
    </row>
    <row r="489" spans="1:3" x14ac:dyDescent="0.35">
      <c r="A489" s="3" t="s">
        <v>608</v>
      </c>
      <c r="B489" s="3">
        <v>175</v>
      </c>
      <c r="C489" s="3" t="s">
        <v>56</v>
      </c>
    </row>
    <row r="490" spans="1:3" x14ac:dyDescent="0.35">
      <c r="A490" s="3" t="s">
        <v>608</v>
      </c>
      <c r="B490" s="3">
        <v>204</v>
      </c>
      <c r="C490" s="3" t="s">
        <v>28</v>
      </c>
    </row>
    <row r="491" spans="1:3" x14ac:dyDescent="0.35">
      <c r="A491" s="3" t="s">
        <v>1997</v>
      </c>
      <c r="B491" s="3">
        <v>70</v>
      </c>
      <c r="C491" s="3" t="s">
        <v>56</v>
      </c>
    </row>
    <row r="492" spans="1:3" x14ac:dyDescent="0.35">
      <c r="A492" s="3" t="s">
        <v>912</v>
      </c>
      <c r="B492" s="3">
        <v>216</v>
      </c>
      <c r="C492" s="3" t="s">
        <v>28</v>
      </c>
    </row>
    <row r="493" spans="1:3" x14ac:dyDescent="0.35">
      <c r="A493" s="3" t="s">
        <v>912</v>
      </c>
      <c r="B493" s="3">
        <v>79</v>
      </c>
      <c r="C493" s="3" t="s">
        <v>56</v>
      </c>
    </row>
    <row r="494" spans="1:3" x14ac:dyDescent="0.35">
      <c r="A494" s="3" t="s">
        <v>912</v>
      </c>
      <c r="B494" s="3">
        <v>169</v>
      </c>
      <c r="C494" s="3" t="s">
        <v>28</v>
      </c>
    </row>
    <row r="495" spans="1:3" x14ac:dyDescent="0.35">
      <c r="A495" s="3" t="s">
        <v>926</v>
      </c>
      <c r="B495" s="3">
        <v>87</v>
      </c>
      <c r="C495" s="3" t="s">
        <v>28</v>
      </c>
    </row>
    <row r="496" spans="1:3" x14ac:dyDescent="0.35">
      <c r="A496" s="3" t="s">
        <v>926</v>
      </c>
      <c r="B496" s="3">
        <v>117</v>
      </c>
      <c r="C496" s="3" t="s">
        <v>56</v>
      </c>
    </row>
    <row r="497" spans="1:3" x14ac:dyDescent="0.35">
      <c r="A497" s="3" t="s">
        <v>926</v>
      </c>
      <c r="B497" s="3">
        <v>203</v>
      </c>
      <c r="C497" s="3" t="s">
        <v>28</v>
      </c>
    </row>
    <row r="498" spans="1:3" x14ac:dyDescent="0.35">
      <c r="A498" s="3" t="s">
        <v>926</v>
      </c>
      <c r="B498" s="3">
        <v>86</v>
      </c>
      <c r="C498" s="3" t="s">
        <v>56</v>
      </c>
    </row>
    <row r="499" spans="1:3" x14ac:dyDescent="0.35">
      <c r="A499" s="3" t="s">
        <v>1194</v>
      </c>
      <c r="B499" s="3">
        <v>121</v>
      </c>
      <c r="C499" s="3" t="s">
        <v>56</v>
      </c>
    </row>
    <row r="500" spans="1:3" x14ac:dyDescent="0.35">
      <c r="A500" s="3" t="s">
        <v>112</v>
      </c>
      <c r="B500" s="3">
        <v>90</v>
      </c>
      <c r="C500" s="3" t="s">
        <v>56</v>
      </c>
    </row>
    <row r="501" spans="1:3" x14ac:dyDescent="0.35">
      <c r="A501" s="3" t="s">
        <v>112</v>
      </c>
      <c r="B501" s="3">
        <v>57</v>
      </c>
      <c r="C501" s="3" t="s">
        <v>28</v>
      </c>
    </row>
    <row r="502" spans="1:3" x14ac:dyDescent="0.35">
      <c r="A502" s="3" t="s">
        <v>112</v>
      </c>
      <c r="B502" s="3">
        <v>297</v>
      </c>
      <c r="C502" s="3" t="s">
        <v>28</v>
      </c>
    </row>
    <row r="503" spans="1:3" x14ac:dyDescent="0.35">
      <c r="A503" s="3" t="s">
        <v>112</v>
      </c>
      <c r="B503" s="3">
        <v>179</v>
      </c>
      <c r="C503" s="3" t="s">
        <v>28</v>
      </c>
    </row>
    <row r="504" spans="1:3" x14ac:dyDescent="0.35">
      <c r="A504" s="3" t="s">
        <v>254</v>
      </c>
      <c r="B504" s="3">
        <v>60</v>
      </c>
      <c r="C504" s="3" t="s">
        <v>28</v>
      </c>
    </row>
    <row r="505" spans="1:3" x14ac:dyDescent="0.35">
      <c r="A505" s="3" t="s">
        <v>254</v>
      </c>
      <c r="B505" s="3">
        <v>266</v>
      </c>
      <c r="C505" s="3" t="s">
        <v>28</v>
      </c>
    </row>
    <row r="506" spans="1:3" x14ac:dyDescent="0.35">
      <c r="A506" s="3" t="s">
        <v>254</v>
      </c>
      <c r="B506" s="3">
        <v>143</v>
      </c>
      <c r="C506" s="3" t="s">
        <v>28</v>
      </c>
    </row>
    <row r="507" spans="1:3" x14ac:dyDescent="0.35">
      <c r="A507" s="3" t="s">
        <v>254</v>
      </c>
      <c r="B507" s="3">
        <v>71</v>
      </c>
      <c r="C507" s="3" t="s">
        <v>28</v>
      </c>
    </row>
    <row r="508" spans="1:3" x14ac:dyDescent="0.35">
      <c r="A508" s="3" t="s">
        <v>486</v>
      </c>
      <c r="B508" s="3">
        <v>19</v>
      </c>
      <c r="C508" s="3" t="s">
        <v>28</v>
      </c>
    </row>
    <row r="509" spans="1:3" x14ac:dyDescent="0.35">
      <c r="A509" s="3" t="s">
        <v>1398</v>
      </c>
      <c r="B509" s="3">
        <v>51</v>
      </c>
      <c r="C509" s="3" t="s">
        <v>56</v>
      </c>
    </row>
    <row r="510" spans="1:3" x14ac:dyDescent="0.35">
      <c r="A510" s="3" t="s">
        <v>808</v>
      </c>
      <c r="B510" s="3">
        <v>288</v>
      </c>
      <c r="C510" s="3" t="s">
        <v>56</v>
      </c>
    </row>
    <row r="511" spans="1:3" x14ac:dyDescent="0.35">
      <c r="A511" s="3" t="s">
        <v>231</v>
      </c>
      <c r="B511" s="3">
        <v>114</v>
      </c>
      <c r="C511" s="3" t="s">
        <v>56</v>
      </c>
    </row>
    <row r="512" spans="1:3" x14ac:dyDescent="0.35">
      <c r="A512" s="3" t="s">
        <v>231</v>
      </c>
      <c r="B512" s="3">
        <v>283</v>
      </c>
      <c r="C512" s="3" t="s">
        <v>56</v>
      </c>
    </row>
    <row r="513" spans="1:3" x14ac:dyDescent="0.35">
      <c r="A513" s="3" t="s">
        <v>2713</v>
      </c>
      <c r="B513" s="3">
        <v>51</v>
      </c>
      <c r="C513" s="3" t="s">
        <v>56</v>
      </c>
    </row>
    <row r="514" spans="1:3" x14ac:dyDescent="0.35">
      <c r="A514" s="3" t="s">
        <v>2713</v>
      </c>
      <c r="B514" s="3">
        <v>163</v>
      </c>
      <c r="C514" s="3" t="s">
        <v>56</v>
      </c>
    </row>
    <row r="515" spans="1:3" x14ac:dyDescent="0.35">
      <c r="A515" s="3" t="s">
        <v>281</v>
      </c>
      <c r="B515" s="3">
        <v>142</v>
      </c>
      <c r="C515" s="3" t="s">
        <v>56</v>
      </c>
    </row>
    <row r="516" spans="1:3" x14ac:dyDescent="0.35">
      <c r="A516" s="3" t="s">
        <v>1156</v>
      </c>
      <c r="B516" s="3">
        <v>42</v>
      </c>
      <c r="C516" s="3" t="s">
        <v>56</v>
      </c>
    </row>
    <row r="517" spans="1:3" x14ac:dyDescent="0.35">
      <c r="A517" s="3" t="s">
        <v>1156</v>
      </c>
      <c r="B517" s="3">
        <v>127</v>
      </c>
      <c r="C517" s="3" t="s">
        <v>28</v>
      </c>
    </row>
    <row r="518" spans="1:3" x14ac:dyDescent="0.35">
      <c r="A518" s="3" t="s">
        <v>1156</v>
      </c>
      <c r="B518" s="3">
        <v>275</v>
      </c>
      <c r="C518" s="3" t="s">
        <v>56</v>
      </c>
    </row>
    <row r="519" spans="1:3" x14ac:dyDescent="0.35">
      <c r="A519" s="3" t="s">
        <v>157</v>
      </c>
      <c r="B519" s="3">
        <v>238</v>
      </c>
      <c r="C519" s="3" t="s">
        <v>28</v>
      </c>
    </row>
    <row r="520" spans="1:3" x14ac:dyDescent="0.35">
      <c r="A520" s="3" t="s">
        <v>157</v>
      </c>
      <c r="B520" s="3">
        <v>48</v>
      </c>
      <c r="C520" s="3" t="s">
        <v>56</v>
      </c>
    </row>
    <row r="521" spans="1:3" x14ac:dyDescent="0.35">
      <c r="A521" s="3" t="s">
        <v>157</v>
      </c>
      <c r="B521" s="3">
        <v>145</v>
      </c>
      <c r="C521" s="3" t="s">
        <v>56</v>
      </c>
    </row>
    <row r="522" spans="1:3" x14ac:dyDescent="0.35">
      <c r="A522" s="3" t="s">
        <v>1877</v>
      </c>
      <c r="B522" s="3">
        <v>61</v>
      </c>
      <c r="C522" s="3" t="s">
        <v>56</v>
      </c>
    </row>
    <row r="523" spans="1:3" x14ac:dyDescent="0.35">
      <c r="A523" s="3" t="s">
        <v>1877</v>
      </c>
      <c r="B523" s="3">
        <v>20</v>
      </c>
      <c r="C523" s="3" t="s">
        <v>28</v>
      </c>
    </row>
    <row r="524" spans="1:3" x14ac:dyDescent="0.35">
      <c r="A524" s="3" t="s">
        <v>1877</v>
      </c>
      <c r="B524" s="3">
        <v>187</v>
      </c>
      <c r="C524" s="3" t="s">
        <v>28</v>
      </c>
    </row>
    <row r="525" spans="1:3" x14ac:dyDescent="0.35">
      <c r="A525" s="3" t="s">
        <v>212</v>
      </c>
      <c r="B525" s="3">
        <v>58</v>
      </c>
      <c r="C525" s="3" t="s">
        <v>56</v>
      </c>
    </row>
    <row r="526" spans="1:3" x14ac:dyDescent="0.35">
      <c r="A526" s="3" t="s">
        <v>527</v>
      </c>
      <c r="B526" s="3">
        <v>303</v>
      </c>
      <c r="C526" s="3" t="s">
        <v>28</v>
      </c>
    </row>
    <row r="527" spans="1:3" x14ac:dyDescent="0.35">
      <c r="A527" s="3" t="s">
        <v>1805</v>
      </c>
      <c r="B527" s="3">
        <v>46</v>
      </c>
      <c r="C527" s="3" t="s">
        <v>56</v>
      </c>
    </row>
    <row r="528" spans="1:3" x14ac:dyDescent="0.35">
      <c r="A528" s="3" t="s">
        <v>1180</v>
      </c>
      <c r="B528" s="3">
        <v>130</v>
      </c>
      <c r="C528" s="3" t="s">
        <v>56</v>
      </c>
    </row>
    <row r="529" spans="1:3" x14ac:dyDescent="0.35">
      <c r="A529" s="3" t="s">
        <v>1180</v>
      </c>
      <c r="B529" s="3">
        <v>50</v>
      </c>
      <c r="C529" s="3" t="s">
        <v>56</v>
      </c>
    </row>
    <row r="530" spans="1:3" x14ac:dyDescent="0.35">
      <c r="A530" s="3" t="s">
        <v>259</v>
      </c>
      <c r="B530" s="3">
        <v>241</v>
      </c>
      <c r="C530" s="3" t="s">
        <v>28</v>
      </c>
    </row>
    <row r="531" spans="1:3" x14ac:dyDescent="0.35">
      <c r="A531" s="3" t="s">
        <v>259</v>
      </c>
      <c r="B531" s="3">
        <v>111</v>
      </c>
      <c r="C531" s="3" t="s">
        <v>28</v>
      </c>
    </row>
    <row r="532" spans="1:3" x14ac:dyDescent="0.35">
      <c r="A532" s="3" t="s">
        <v>259</v>
      </c>
      <c r="B532" s="3">
        <v>3</v>
      </c>
      <c r="C532" s="3" t="s">
        <v>56</v>
      </c>
    </row>
    <row r="533" spans="1:3" x14ac:dyDescent="0.35">
      <c r="A533" s="3" t="s">
        <v>1578</v>
      </c>
      <c r="B533" s="3">
        <v>123</v>
      </c>
      <c r="C533" s="3" t="s">
        <v>28</v>
      </c>
    </row>
    <row r="534" spans="1:3" x14ac:dyDescent="0.35">
      <c r="A534" s="3" t="s">
        <v>1578</v>
      </c>
      <c r="B534" s="3">
        <v>220</v>
      </c>
      <c r="C534" s="3" t="s">
        <v>28</v>
      </c>
    </row>
    <row r="535" spans="1:3" x14ac:dyDescent="0.35">
      <c r="A535" s="3" t="s">
        <v>1578</v>
      </c>
      <c r="B535" s="3">
        <v>144</v>
      </c>
      <c r="C535" s="3" t="s">
        <v>56</v>
      </c>
    </row>
    <row r="536" spans="1:3" x14ac:dyDescent="0.35">
      <c r="A536" s="3" t="s">
        <v>1020</v>
      </c>
      <c r="B536" s="3">
        <v>67</v>
      </c>
      <c r="C536" s="3" t="s">
        <v>56</v>
      </c>
    </row>
    <row r="537" spans="1:3" x14ac:dyDescent="0.35">
      <c r="A537" s="3" t="s">
        <v>1020</v>
      </c>
      <c r="B537" s="3">
        <v>138</v>
      </c>
      <c r="C537" s="3" t="s">
        <v>56</v>
      </c>
    </row>
    <row r="538" spans="1:3" x14ac:dyDescent="0.35">
      <c r="A538" s="3" t="s">
        <v>1020</v>
      </c>
      <c r="B538" s="3">
        <v>203</v>
      </c>
      <c r="C538" s="3" t="s">
        <v>28</v>
      </c>
    </row>
    <row r="539" spans="1:3" x14ac:dyDescent="0.35">
      <c r="A539" s="3" t="s">
        <v>774</v>
      </c>
      <c r="B539" s="3">
        <v>26</v>
      </c>
      <c r="C539" s="3" t="s">
        <v>28</v>
      </c>
    </row>
    <row r="540" spans="1:3" x14ac:dyDescent="0.35">
      <c r="A540" s="3" t="s">
        <v>2564</v>
      </c>
      <c r="B540" s="3">
        <v>192</v>
      </c>
      <c r="C540" s="3" t="s">
        <v>56</v>
      </c>
    </row>
    <row r="541" spans="1:3" x14ac:dyDescent="0.35">
      <c r="A541" s="3" t="s">
        <v>1743</v>
      </c>
      <c r="B541" s="3">
        <v>107</v>
      </c>
      <c r="C541" s="3" t="s">
        <v>28</v>
      </c>
    </row>
    <row r="542" spans="1:3" x14ac:dyDescent="0.35">
      <c r="A542" s="3" t="s">
        <v>1743</v>
      </c>
      <c r="B542" s="3">
        <v>102</v>
      </c>
      <c r="C542" s="3" t="s">
        <v>56</v>
      </c>
    </row>
    <row r="543" spans="1:3" x14ac:dyDescent="0.35">
      <c r="A543" s="3" t="s">
        <v>1743</v>
      </c>
      <c r="B543" s="3">
        <v>343</v>
      </c>
      <c r="C543" s="3" t="s">
        <v>28</v>
      </c>
    </row>
    <row r="544" spans="1:3" x14ac:dyDescent="0.35">
      <c r="A544" s="3" t="s">
        <v>1743</v>
      </c>
      <c r="B544" s="3">
        <v>245</v>
      </c>
      <c r="C544" s="3" t="s">
        <v>28</v>
      </c>
    </row>
    <row r="545" spans="1:3" x14ac:dyDescent="0.35">
      <c r="A545" s="3" t="s">
        <v>1743</v>
      </c>
      <c r="B545" s="3">
        <v>110</v>
      </c>
      <c r="C545" s="3" t="s">
        <v>56</v>
      </c>
    </row>
    <row r="546" spans="1:3" x14ac:dyDescent="0.35">
      <c r="A546" s="3" t="s">
        <v>2041</v>
      </c>
      <c r="B546" s="3">
        <v>93</v>
      </c>
      <c r="C546" s="3" t="s">
        <v>56</v>
      </c>
    </row>
    <row r="547" spans="1:3" x14ac:dyDescent="0.35">
      <c r="A547" s="3" t="s">
        <v>1550</v>
      </c>
      <c r="B547" s="3">
        <v>55</v>
      </c>
      <c r="C547" s="3" t="s">
        <v>56</v>
      </c>
    </row>
    <row r="548" spans="1:3" x14ac:dyDescent="0.35">
      <c r="A548" s="3" t="s">
        <v>1550</v>
      </c>
      <c r="B548" s="3">
        <v>70</v>
      </c>
      <c r="C548" s="3" t="s">
        <v>28</v>
      </c>
    </row>
    <row r="549" spans="1:3" x14ac:dyDescent="0.35">
      <c r="A549" s="3" t="s">
        <v>875</v>
      </c>
      <c r="B549" s="3">
        <v>79</v>
      </c>
      <c r="C549" s="3" t="s">
        <v>56</v>
      </c>
    </row>
    <row r="550" spans="1:3" x14ac:dyDescent="0.35">
      <c r="A550" s="3" t="s">
        <v>3091</v>
      </c>
      <c r="B550" s="3">
        <v>113</v>
      </c>
      <c r="C550" s="3" t="s">
        <v>56</v>
      </c>
    </row>
    <row r="551" spans="1:3" x14ac:dyDescent="0.35">
      <c r="A551" s="3" t="s">
        <v>943</v>
      </c>
      <c r="B551" s="3">
        <v>185</v>
      </c>
      <c r="C551" s="3" t="s">
        <v>28</v>
      </c>
    </row>
    <row r="552" spans="1:3" x14ac:dyDescent="0.35">
      <c r="A552" s="3" t="s">
        <v>943</v>
      </c>
      <c r="B552" s="3">
        <v>188</v>
      </c>
      <c r="C552" s="3" t="s">
        <v>56</v>
      </c>
    </row>
    <row r="553" spans="1:3" x14ac:dyDescent="0.35">
      <c r="A553" s="3" t="s">
        <v>1402</v>
      </c>
      <c r="B553" s="3">
        <v>238</v>
      </c>
      <c r="C553" s="3" t="s">
        <v>28</v>
      </c>
    </row>
    <row r="554" spans="1:3" x14ac:dyDescent="0.35">
      <c r="A554" s="3" t="s">
        <v>1402</v>
      </c>
      <c r="B554" s="3">
        <v>16</v>
      </c>
      <c r="C554" s="3" t="s">
        <v>28</v>
      </c>
    </row>
    <row r="555" spans="1:3" x14ac:dyDescent="0.35">
      <c r="A555" s="3" t="s">
        <v>1402</v>
      </c>
      <c r="B555" s="3">
        <v>100</v>
      </c>
      <c r="C555" s="3" t="s">
        <v>28</v>
      </c>
    </row>
    <row r="556" spans="1:3" x14ac:dyDescent="0.35">
      <c r="A556" s="3" t="s">
        <v>1402</v>
      </c>
      <c r="B556" s="3">
        <v>150</v>
      </c>
      <c r="C556" s="3" t="s">
        <v>56</v>
      </c>
    </row>
    <row r="557" spans="1:3" x14ac:dyDescent="0.35">
      <c r="A557" s="3" t="s">
        <v>948</v>
      </c>
      <c r="B557" s="3">
        <v>70</v>
      </c>
      <c r="C557" s="3" t="s">
        <v>56</v>
      </c>
    </row>
    <row r="558" spans="1:3" x14ac:dyDescent="0.35">
      <c r="A558" s="3" t="s">
        <v>393</v>
      </c>
      <c r="B558" s="3">
        <v>156</v>
      </c>
      <c r="C558" s="3" t="s">
        <v>56</v>
      </c>
    </row>
    <row r="559" spans="1:3" x14ac:dyDescent="0.35">
      <c r="A559" s="3" t="s">
        <v>466</v>
      </c>
      <c r="B559" s="3">
        <v>185</v>
      </c>
      <c r="C559" s="3" t="s">
        <v>56</v>
      </c>
    </row>
    <row r="560" spans="1:3" x14ac:dyDescent="0.35">
      <c r="A560" s="3" t="s">
        <v>466</v>
      </c>
      <c r="B560" s="3">
        <v>89</v>
      </c>
      <c r="C560" s="3" t="s">
        <v>56</v>
      </c>
    </row>
    <row r="561" spans="1:3" x14ac:dyDescent="0.35">
      <c r="A561" s="3" t="s">
        <v>3309</v>
      </c>
      <c r="B561" s="3">
        <v>116</v>
      </c>
      <c r="C561" s="3" t="s">
        <v>28</v>
      </c>
    </row>
    <row r="562" spans="1:3" x14ac:dyDescent="0.35">
      <c r="A562" s="3" t="s">
        <v>451</v>
      </c>
      <c r="B562" s="3">
        <v>101</v>
      </c>
      <c r="C562" s="3" t="s">
        <v>56</v>
      </c>
    </row>
    <row r="563" spans="1:3" x14ac:dyDescent="0.35">
      <c r="A563" s="3" t="s">
        <v>972</v>
      </c>
      <c r="B563" s="3">
        <v>65</v>
      </c>
      <c r="C563" s="3" t="s">
        <v>56</v>
      </c>
    </row>
    <row r="564" spans="1:3" x14ac:dyDescent="0.35">
      <c r="A564" s="3" t="s">
        <v>972</v>
      </c>
      <c r="B564" s="3">
        <v>27</v>
      </c>
      <c r="C564" s="3" t="s">
        <v>56</v>
      </c>
    </row>
    <row r="565" spans="1:3" x14ac:dyDescent="0.35">
      <c r="A565" s="3" t="s">
        <v>972</v>
      </c>
      <c r="B565" s="3">
        <v>96</v>
      </c>
      <c r="C565" s="3" t="s">
        <v>56</v>
      </c>
    </row>
    <row r="566" spans="1:3" x14ac:dyDescent="0.35">
      <c r="A566" s="3" t="s">
        <v>1455</v>
      </c>
      <c r="B566" s="3">
        <v>224</v>
      </c>
      <c r="C566" s="3" t="s">
        <v>56</v>
      </c>
    </row>
    <row r="567" spans="1:3" x14ac:dyDescent="0.35">
      <c r="A567" s="3" t="s">
        <v>1505</v>
      </c>
      <c r="B567" s="3">
        <v>97</v>
      </c>
      <c r="C567" s="3" t="s">
        <v>28</v>
      </c>
    </row>
    <row r="568" spans="1:3" x14ac:dyDescent="0.35">
      <c r="A568" s="3" t="s">
        <v>1505</v>
      </c>
      <c r="B568" s="3">
        <v>105</v>
      </c>
      <c r="C568" s="3" t="s">
        <v>56</v>
      </c>
    </row>
    <row r="569" spans="1:3" x14ac:dyDescent="0.35">
      <c r="A569" s="3" t="s">
        <v>1505</v>
      </c>
      <c r="B569" s="3">
        <v>11</v>
      </c>
      <c r="C569" s="3" t="s">
        <v>56</v>
      </c>
    </row>
    <row r="570" spans="1:3" x14ac:dyDescent="0.35">
      <c r="A570" s="3" t="s">
        <v>321</v>
      </c>
      <c r="B570" s="3">
        <v>100</v>
      </c>
      <c r="C570" s="3" t="s">
        <v>28</v>
      </c>
    </row>
    <row r="571" spans="1:3" x14ac:dyDescent="0.35">
      <c r="A571" s="3" t="s">
        <v>321</v>
      </c>
      <c r="B571" s="3">
        <v>265</v>
      </c>
      <c r="C571" s="3" t="s">
        <v>56</v>
      </c>
    </row>
    <row r="572" spans="1:3" x14ac:dyDescent="0.35">
      <c r="A572" s="3" t="s">
        <v>321</v>
      </c>
      <c r="B572" s="3">
        <v>43</v>
      </c>
      <c r="C572" s="3" t="s">
        <v>28</v>
      </c>
    </row>
    <row r="573" spans="1:3" x14ac:dyDescent="0.35">
      <c r="A573" s="3" t="s">
        <v>147</v>
      </c>
      <c r="B573" s="3">
        <v>124</v>
      </c>
      <c r="C573" s="3" t="s">
        <v>56</v>
      </c>
    </row>
    <row r="574" spans="1:3" x14ac:dyDescent="0.35">
      <c r="A574" s="3" t="s">
        <v>147</v>
      </c>
      <c r="B574" s="3">
        <v>71</v>
      </c>
      <c r="C574" s="3" t="s">
        <v>56</v>
      </c>
    </row>
    <row r="575" spans="1:3" x14ac:dyDescent="0.35">
      <c r="A575" s="3" t="s">
        <v>1271</v>
      </c>
      <c r="B575" s="3">
        <v>12</v>
      </c>
      <c r="C575" s="3" t="s">
        <v>56</v>
      </c>
    </row>
    <row r="576" spans="1:3" x14ac:dyDescent="0.35">
      <c r="A576" s="3" t="s">
        <v>1271</v>
      </c>
      <c r="B576" s="3">
        <v>81</v>
      </c>
      <c r="C576" s="3" t="s">
        <v>56</v>
      </c>
    </row>
    <row r="577" spans="1:3" x14ac:dyDescent="0.35">
      <c r="A577" s="3" t="s">
        <v>1271</v>
      </c>
      <c r="B577" s="3">
        <v>93</v>
      </c>
      <c r="C577" s="3" t="s">
        <v>28</v>
      </c>
    </row>
    <row r="578" spans="1:3" x14ac:dyDescent="0.35">
      <c r="A578" s="3" t="s">
        <v>1164</v>
      </c>
      <c r="B578" s="3">
        <v>61</v>
      </c>
      <c r="C578" s="3" t="s">
        <v>28</v>
      </c>
    </row>
    <row r="579" spans="1:3" x14ac:dyDescent="0.35">
      <c r="A579" s="3" t="s">
        <v>447</v>
      </c>
      <c r="B579" s="3">
        <v>35</v>
      </c>
      <c r="C579" s="3" t="s">
        <v>56</v>
      </c>
    </row>
    <row r="580" spans="1:3" x14ac:dyDescent="0.35">
      <c r="A580" s="3" t="s">
        <v>458</v>
      </c>
      <c r="B580" s="3">
        <v>214</v>
      </c>
      <c r="C580" s="3" t="s">
        <v>56</v>
      </c>
    </row>
    <row r="581" spans="1:3" x14ac:dyDescent="0.35">
      <c r="A581" s="3" t="s">
        <v>458</v>
      </c>
      <c r="B581" s="3">
        <v>192</v>
      </c>
      <c r="C581" s="3" t="s">
        <v>56</v>
      </c>
    </row>
    <row r="582" spans="1:3" x14ac:dyDescent="0.35">
      <c r="A582" s="3" t="s">
        <v>458</v>
      </c>
      <c r="B582" s="3">
        <v>276</v>
      </c>
      <c r="C582" s="3" t="s">
        <v>56</v>
      </c>
    </row>
    <row r="583" spans="1:3" x14ac:dyDescent="0.35">
      <c r="A583" s="3" t="s">
        <v>133</v>
      </c>
      <c r="B583" s="3">
        <v>22</v>
      </c>
      <c r="C583" s="3" t="s">
        <v>56</v>
      </c>
    </row>
    <row r="584" spans="1:3" x14ac:dyDescent="0.35">
      <c r="A584" s="3" t="s">
        <v>133</v>
      </c>
      <c r="B584" s="3">
        <v>156</v>
      </c>
      <c r="C584" s="3" t="s">
        <v>28</v>
      </c>
    </row>
    <row r="585" spans="1:3" x14ac:dyDescent="0.35">
      <c r="A585" s="3" t="s">
        <v>2223</v>
      </c>
      <c r="B585" s="3">
        <v>252</v>
      </c>
      <c r="C585" s="3" t="s">
        <v>56</v>
      </c>
    </row>
    <row r="586" spans="1:3" x14ac:dyDescent="0.35">
      <c r="A586" s="3" t="s">
        <v>2223</v>
      </c>
      <c r="B586" s="3">
        <v>43</v>
      </c>
      <c r="C586" s="3" t="s">
        <v>56</v>
      </c>
    </row>
    <row r="587" spans="1:3" x14ac:dyDescent="0.35">
      <c r="A587" s="3" t="s">
        <v>2328</v>
      </c>
      <c r="B587" s="3">
        <v>190</v>
      </c>
      <c r="C587" s="3" t="s">
        <v>56</v>
      </c>
    </row>
    <row r="588" spans="1:3" x14ac:dyDescent="0.35">
      <c r="A588" s="3" t="s">
        <v>1207</v>
      </c>
      <c r="B588" s="3">
        <v>106</v>
      </c>
      <c r="C588" s="3" t="s">
        <v>56</v>
      </c>
    </row>
    <row r="589" spans="1:3" x14ac:dyDescent="0.35">
      <c r="A589" s="3" t="s">
        <v>1207</v>
      </c>
      <c r="B589" s="3">
        <v>37</v>
      </c>
      <c r="C589" s="3" t="s">
        <v>28</v>
      </c>
    </row>
    <row r="590" spans="1:3" x14ac:dyDescent="0.35">
      <c r="A590" s="3" t="s">
        <v>1207</v>
      </c>
      <c r="B590" s="3">
        <v>42</v>
      </c>
      <c r="C590" s="3" t="s">
        <v>56</v>
      </c>
    </row>
    <row r="591" spans="1:3" x14ac:dyDescent="0.35">
      <c r="A591" s="3" t="s">
        <v>1795</v>
      </c>
      <c r="B591" s="3">
        <v>167</v>
      </c>
      <c r="C591" s="3" t="s">
        <v>28</v>
      </c>
    </row>
    <row r="592" spans="1:3" x14ac:dyDescent="0.35">
      <c r="A592" s="3" t="s">
        <v>1795</v>
      </c>
      <c r="B592" s="3">
        <v>64</v>
      </c>
      <c r="C592" s="3" t="s">
        <v>28</v>
      </c>
    </row>
    <row r="593" spans="1:3" x14ac:dyDescent="0.35">
      <c r="A593" s="3" t="s">
        <v>2639</v>
      </c>
      <c r="B593" s="3">
        <v>50</v>
      </c>
      <c r="C593" s="3" t="s">
        <v>28</v>
      </c>
    </row>
    <row r="594" spans="1:3" x14ac:dyDescent="0.35">
      <c r="A594" s="3" t="s">
        <v>316</v>
      </c>
      <c r="B594" s="3">
        <v>154</v>
      </c>
      <c r="C594" s="3" t="s">
        <v>28</v>
      </c>
    </row>
    <row r="595" spans="1:3" x14ac:dyDescent="0.35">
      <c r="A595" s="3" t="s">
        <v>316</v>
      </c>
      <c r="B595" s="3">
        <v>3</v>
      </c>
      <c r="C595" s="3" t="s">
        <v>28</v>
      </c>
    </row>
    <row r="596" spans="1:3" x14ac:dyDescent="0.35">
      <c r="A596" s="3" t="s">
        <v>316</v>
      </c>
      <c r="B596" s="3">
        <v>79</v>
      </c>
      <c r="C596" s="3" t="s">
        <v>56</v>
      </c>
    </row>
    <row r="597" spans="1:3" x14ac:dyDescent="0.35">
      <c r="A597" s="3" t="s">
        <v>316</v>
      </c>
      <c r="B597" s="3">
        <v>138</v>
      </c>
      <c r="C597" s="3" t="s">
        <v>56</v>
      </c>
    </row>
    <row r="598" spans="1:3" x14ac:dyDescent="0.35">
      <c r="A598" s="3" t="s">
        <v>2900</v>
      </c>
      <c r="B598" s="3">
        <v>113</v>
      </c>
      <c r="C598" s="3" t="s">
        <v>28</v>
      </c>
    </row>
    <row r="599" spans="1:3" x14ac:dyDescent="0.35">
      <c r="A599" s="3" t="s">
        <v>2994</v>
      </c>
      <c r="B599" s="3">
        <v>81</v>
      </c>
      <c r="C599" s="3" t="s">
        <v>56</v>
      </c>
    </row>
    <row r="600" spans="1:3" x14ac:dyDescent="0.35">
      <c r="A600" s="3" t="s">
        <v>962</v>
      </c>
      <c r="B600" s="3">
        <v>223</v>
      </c>
      <c r="C600" s="3" t="s">
        <v>56</v>
      </c>
    </row>
    <row r="601" spans="1:3" x14ac:dyDescent="0.35">
      <c r="A601" s="3" t="s">
        <v>962</v>
      </c>
      <c r="B601" s="3">
        <v>109</v>
      </c>
      <c r="C601" s="3" t="s">
        <v>56</v>
      </c>
    </row>
    <row r="602" spans="1:3" x14ac:dyDescent="0.35">
      <c r="A602" s="3" t="s">
        <v>670</v>
      </c>
      <c r="B602" s="3">
        <v>134</v>
      </c>
      <c r="C602" s="3" t="s">
        <v>28</v>
      </c>
    </row>
    <row r="603" spans="1:3" x14ac:dyDescent="0.35">
      <c r="A603" s="3" t="s">
        <v>670</v>
      </c>
      <c r="B603" s="3">
        <v>79</v>
      </c>
      <c r="C603" s="3" t="s">
        <v>56</v>
      </c>
    </row>
    <row r="604" spans="1:3" x14ac:dyDescent="0.35">
      <c r="A604" s="3" t="s">
        <v>166</v>
      </c>
      <c r="B604" s="3">
        <v>249</v>
      </c>
      <c r="C604" s="3" t="s">
        <v>56</v>
      </c>
    </row>
    <row r="605" spans="1:3" x14ac:dyDescent="0.35">
      <c r="A605" s="3" t="s">
        <v>166</v>
      </c>
      <c r="B605" s="3">
        <v>54</v>
      </c>
      <c r="C605" s="3" t="s">
        <v>28</v>
      </c>
    </row>
    <row r="606" spans="1:3" x14ac:dyDescent="0.35">
      <c r="A606" s="3" t="s">
        <v>166</v>
      </c>
      <c r="B606" s="3">
        <v>16</v>
      </c>
      <c r="C606" s="3" t="s">
        <v>28</v>
      </c>
    </row>
    <row r="607" spans="1:3" x14ac:dyDescent="0.35">
      <c r="A607" s="3" t="s">
        <v>166</v>
      </c>
      <c r="B607" s="3">
        <v>70</v>
      </c>
      <c r="C607" s="3" t="s">
        <v>28</v>
      </c>
    </row>
    <row r="608" spans="1:3" x14ac:dyDescent="0.35">
      <c r="A608" s="3" t="s">
        <v>166</v>
      </c>
      <c r="B608" s="3">
        <v>115</v>
      </c>
      <c r="C608" s="3" t="s">
        <v>28</v>
      </c>
    </row>
    <row r="609" spans="1:3" x14ac:dyDescent="0.35">
      <c r="A609" s="3" t="s">
        <v>166</v>
      </c>
      <c r="B609" s="3">
        <v>21</v>
      </c>
      <c r="C609" s="3" t="s">
        <v>56</v>
      </c>
    </row>
    <row r="610" spans="1:3" x14ac:dyDescent="0.35">
      <c r="A610" s="3" t="s">
        <v>360</v>
      </c>
      <c r="B610" s="3">
        <v>146</v>
      </c>
      <c r="C610" s="3" t="s">
        <v>56</v>
      </c>
    </row>
    <row r="611" spans="1:3" x14ac:dyDescent="0.35">
      <c r="A611" s="3" t="s">
        <v>2500</v>
      </c>
      <c r="B611" s="3">
        <v>279</v>
      </c>
      <c r="C611" s="3" t="s">
        <v>28</v>
      </c>
    </row>
    <row r="612" spans="1:3" x14ac:dyDescent="0.35">
      <c r="A612" s="3" t="s">
        <v>555</v>
      </c>
      <c r="B612" s="3">
        <v>234</v>
      </c>
      <c r="C612" s="3" t="s">
        <v>56</v>
      </c>
    </row>
    <row r="613" spans="1:3" x14ac:dyDescent="0.35">
      <c r="A613" s="3" t="s">
        <v>1374</v>
      </c>
      <c r="B613" s="3">
        <v>96</v>
      </c>
      <c r="C613" s="3" t="s">
        <v>56</v>
      </c>
    </row>
    <row r="614" spans="1:3" x14ac:dyDescent="0.35">
      <c r="A614" s="3" t="s">
        <v>1374</v>
      </c>
      <c r="B614" s="3">
        <v>163</v>
      </c>
      <c r="C614" s="3" t="s">
        <v>28</v>
      </c>
    </row>
    <row r="615" spans="1:3" x14ac:dyDescent="0.35">
      <c r="A615" s="3" t="s">
        <v>1050</v>
      </c>
      <c r="B615" s="3">
        <v>126</v>
      </c>
      <c r="C615" s="3" t="s">
        <v>28</v>
      </c>
    </row>
    <row r="616" spans="1:3" x14ac:dyDescent="0.35">
      <c r="A616" s="3" t="s">
        <v>1050</v>
      </c>
      <c r="B616" s="3">
        <v>124</v>
      </c>
      <c r="C616" s="3" t="s">
        <v>56</v>
      </c>
    </row>
    <row r="617" spans="1:3" x14ac:dyDescent="0.35">
      <c r="A617" s="3" t="s">
        <v>478</v>
      </c>
      <c r="B617" s="3">
        <v>169</v>
      </c>
      <c r="C617" s="3" t="s">
        <v>56</v>
      </c>
    </row>
    <row r="618" spans="1:3" x14ac:dyDescent="0.35">
      <c r="A618" s="3" t="s">
        <v>478</v>
      </c>
      <c r="B618" s="3">
        <v>137</v>
      </c>
      <c r="C618" s="3" t="s">
        <v>28</v>
      </c>
    </row>
    <row r="619" spans="1:3" x14ac:dyDescent="0.35">
      <c r="A619" s="3" t="s">
        <v>1296</v>
      </c>
      <c r="B619" s="3">
        <v>53</v>
      </c>
      <c r="C619" s="3" t="s">
        <v>28</v>
      </c>
    </row>
    <row r="620" spans="1:3" x14ac:dyDescent="0.35">
      <c r="A620" s="3" t="s">
        <v>1296</v>
      </c>
      <c r="B620" s="3">
        <v>183</v>
      </c>
      <c r="C620" s="3" t="s">
        <v>56</v>
      </c>
    </row>
    <row r="621" spans="1:3" x14ac:dyDescent="0.35">
      <c r="A621" s="3" t="s">
        <v>1296</v>
      </c>
      <c r="B621" s="3">
        <v>158</v>
      </c>
      <c r="C621" s="3" t="s">
        <v>28</v>
      </c>
    </row>
    <row r="622" spans="1:3" x14ac:dyDescent="0.35">
      <c r="A622" s="3" t="s">
        <v>1134</v>
      </c>
      <c r="B622" s="3">
        <v>215</v>
      </c>
      <c r="C622" s="3" t="s">
        <v>28</v>
      </c>
    </row>
    <row r="623" spans="1:3" x14ac:dyDescent="0.35">
      <c r="A623" s="3" t="s">
        <v>637</v>
      </c>
      <c r="B623" s="3">
        <v>55</v>
      </c>
      <c r="C623" s="3" t="s">
        <v>28</v>
      </c>
    </row>
    <row r="624" spans="1:3" x14ac:dyDescent="0.35">
      <c r="A624" s="3" t="s">
        <v>747</v>
      </c>
      <c r="B624" s="3">
        <v>285</v>
      </c>
      <c r="C624" s="3" t="s">
        <v>28</v>
      </c>
    </row>
    <row r="625" spans="1:3" x14ac:dyDescent="0.35">
      <c r="A625" s="3" t="s">
        <v>747</v>
      </c>
      <c r="B625" s="3">
        <v>120</v>
      </c>
      <c r="C625" s="3" t="s">
        <v>56</v>
      </c>
    </row>
    <row r="626" spans="1:3" x14ac:dyDescent="0.35">
      <c r="A626" s="3" t="s">
        <v>740</v>
      </c>
      <c r="B626" s="3">
        <v>209</v>
      </c>
      <c r="C626" s="3" t="s">
        <v>56</v>
      </c>
    </row>
    <row r="627" spans="1:3" x14ac:dyDescent="0.35">
      <c r="A627" s="3" t="s">
        <v>2462</v>
      </c>
      <c r="B627" s="3">
        <v>298</v>
      </c>
      <c r="C627" s="3" t="s">
        <v>56</v>
      </c>
    </row>
    <row r="628" spans="1:3" x14ac:dyDescent="0.35">
      <c r="A628" s="3" t="s">
        <v>429</v>
      </c>
      <c r="B628" s="3">
        <v>6</v>
      </c>
      <c r="C628" s="3" t="s">
        <v>56</v>
      </c>
    </row>
    <row r="629" spans="1:3" x14ac:dyDescent="0.35">
      <c r="A629" s="3" t="s">
        <v>429</v>
      </c>
      <c r="B629" s="3">
        <v>352</v>
      </c>
      <c r="C629" s="3" t="s">
        <v>28</v>
      </c>
    </row>
    <row r="630" spans="1:3" x14ac:dyDescent="0.35">
      <c r="A630" s="3" t="s">
        <v>372</v>
      </c>
      <c r="B630" s="3">
        <v>47</v>
      </c>
      <c r="C630" s="3" t="s">
        <v>28</v>
      </c>
    </row>
    <row r="631" spans="1:3" x14ac:dyDescent="0.35">
      <c r="A631" s="3" t="s">
        <v>372</v>
      </c>
      <c r="B631" s="3">
        <v>4</v>
      </c>
      <c r="C631" s="3" t="s">
        <v>56</v>
      </c>
    </row>
    <row r="632" spans="1:3" x14ac:dyDescent="0.35">
      <c r="A632" s="3" t="s">
        <v>334</v>
      </c>
      <c r="B632" s="3">
        <v>123</v>
      </c>
      <c r="C632" s="3" t="s">
        <v>56</v>
      </c>
    </row>
    <row r="633" spans="1:3" x14ac:dyDescent="0.35">
      <c r="A633" s="3" t="s">
        <v>334</v>
      </c>
      <c r="B633" s="3">
        <v>121</v>
      </c>
      <c r="C633" s="3" t="s">
        <v>28</v>
      </c>
    </row>
    <row r="634" spans="1:3" x14ac:dyDescent="0.35">
      <c r="A634" s="3" t="s">
        <v>759</v>
      </c>
      <c r="B634" s="3">
        <v>20</v>
      </c>
      <c r="C634" s="3" t="s">
        <v>28</v>
      </c>
    </row>
    <row r="635" spans="1:3" x14ac:dyDescent="0.35">
      <c r="A635" s="3" t="s">
        <v>661</v>
      </c>
      <c r="B635" s="3">
        <v>180</v>
      </c>
      <c r="C635" s="3" t="s">
        <v>56</v>
      </c>
    </row>
    <row r="636" spans="1:3" x14ac:dyDescent="0.35">
      <c r="A636" s="3" t="s">
        <v>491</v>
      </c>
      <c r="B636" s="3">
        <v>40</v>
      </c>
      <c r="C636" s="3" t="s">
        <v>28</v>
      </c>
    </row>
    <row r="637" spans="1:3" x14ac:dyDescent="0.35">
      <c r="A637" s="3" t="s">
        <v>1318</v>
      </c>
      <c r="B637" s="3">
        <v>262</v>
      </c>
      <c r="C637" s="3" t="s">
        <v>56</v>
      </c>
    </row>
    <row r="638" spans="1:3" x14ac:dyDescent="0.35">
      <c r="A638" s="3" t="s">
        <v>1318</v>
      </c>
      <c r="B638" s="3">
        <v>17</v>
      </c>
      <c r="C638" s="3" t="s">
        <v>56</v>
      </c>
    </row>
    <row r="639" spans="1:3" x14ac:dyDescent="0.35">
      <c r="A639" s="3" t="s">
        <v>3452</v>
      </c>
      <c r="B639" s="3">
        <v>7</v>
      </c>
      <c r="C639" s="3" t="s">
        <v>28</v>
      </c>
    </row>
    <row r="640" spans="1:3" x14ac:dyDescent="0.35">
      <c r="A640" s="3" t="s">
        <v>496</v>
      </c>
      <c r="B640" s="3">
        <v>83</v>
      </c>
      <c r="C640" s="3" t="s">
        <v>28</v>
      </c>
    </row>
    <row r="641" spans="1:3" x14ac:dyDescent="0.35">
      <c r="A641" s="3" t="s">
        <v>381</v>
      </c>
      <c r="B641" s="3">
        <v>281</v>
      </c>
      <c r="C641" s="3" t="s">
        <v>56</v>
      </c>
    </row>
    <row r="642" spans="1:3" x14ac:dyDescent="0.35">
      <c r="A642" s="3" t="s">
        <v>381</v>
      </c>
      <c r="B642" s="3">
        <v>110</v>
      </c>
      <c r="C642" s="3" t="s">
        <v>28</v>
      </c>
    </row>
    <row r="643" spans="1:3" x14ac:dyDescent="0.35">
      <c r="A643" s="3" t="s">
        <v>2206</v>
      </c>
      <c r="B643" s="3">
        <v>132</v>
      </c>
      <c r="C643" s="3" t="s">
        <v>56</v>
      </c>
    </row>
    <row r="644" spans="1:3" x14ac:dyDescent="0.35">
      <c r="A644" s="3" t="s">
        <v>1184</v>
      </c>
      <c r="B644" s="3">
        <v>66</v>
      </c>
      <c r="C644" s="3" t="s">
        <v>56</v>
      </c>
    </row>
    <row r="645" spans="1:3" x14ac:dyDescent="0.35">
      <c r="A645" s="3" t="s">
        <v>48</v>
      </c>
      <c r="B645" s="3">
        <v>98</v>
      </c>
      <c r="C645" s="3" t="s">
        <v>28</v>
      </c>
    </row>
    <row r="646" spans="1:3" x14ac:dyDescent="0.35">
      <c r="A646" s="3" t="s">
        <v>48</v>
      </c>
      <c r="B646" s="3">
        <v>149</v>
      </c>
      <c r="C646" s="3" t="s">
        <v>28</v>
      </c>
    </row>
    <row r="647" spans="1:3" x14ac:dyDescent="0.35">
      <c r="A647" s="3" t="s">
        <v>1336</v>
      </c>
      <c r="B647" s="3">
        <v>190</v>
      </c>
      <c r="C647" s="3" t="s">
        <v>28</v>
      </c>
    </row>
    <row r="648" spans="1:3" x14ac:dyDescent="0.35">
      <c r="A648" s="3" t="s">
        <v>226</v>
      </c>
      <c r="B648" s="3">
        <v>134</v>
      </c>
      <c r="C648" s="3" t="s">
        <v>56</v>
      </c>
    </row>
    <row r="649" spans="1:3" x14ac:dyDescent="0.35">
      <c r="A649" s="3" t="s">
        <v>226</v>
      </c>
      <c r="B649" s="3">
        <v>83</v>
      </c>
      <c r="C649" s="3" t="s">
        <v>56</v>
      </c>
    </row>
    <row r="650" spans="1:3" x14ac:dyDescent="0.35">
      <c r="A650" s="3" t="s">
        <v>770</v>
      </c>
      <c r="B650" s="3">
        <v>30</v>
      </c>
      <c r="C650" s="3" t="s">
        <v>56</v>
      </c>
    </row>
    <row r="651" spans="1:3" x14ac:dyDescent="0.35">
      <c r="A651" s="3" t="s">
        <v>770</v>
      </c>
      <c r="B651" s="3">
        <v>14</v>
      </c>
      <c r="C651" s="3" t="s">
        <v>28</v>
      </c>
    </row>
    <row r="652" spans="1:3" x14ac:dyDescent="0.35">
      <c r="A652" s="3" t="s">
        <v>2077</v>
      </c>
      <c r="B652" s="3">
        <v>203</v>
      </c>
      <c r="C652" s="3" t="s">
        <v>28</v>
      </c>
    </row>
    <row r="653" spans="1:3" x14ac:dyDescent="0.35">
      <c r="A653" s="3" t="s">
        <v>161</v>
      </c>
      <c r="B653" s="3">
        <v>280</v>
      </c>
      <c r="C653" s="3" t="s">
        <v>28</v>
      </c>
    </row>
    <row r="654" spans="1:3" x14ac:dyDescent="0.35">
      <c r="A654" s="3" t="s">
        <v>161</v>
      </c>
      <c r="B654" s="3">
        <v>10</v>
      </c>
      <c r="C654" s="3" t="s">
        <v>56</v>
      </c>
    </row>
    <row r="655" spans="1:3" x14ac:dyDescent="0.35">
      <c r="A655" s="3" t="s">
        <v>818</v>
      </c>
      <c r="B655" s="3">
        <v>266</v>
      </c>
      <c r="C655" s="3" t="s">
        <v>28</v>
      </c>
    </row>
    <row r="656" spans="1:3" x14ac:dyDescent="0.35">
      <c r="A656" s="3" t="s">
        <v>818</v>
      </c>
      <c r="B656" s="3">
        <v>1</v>
      </c>
      <c r="C656" s="3" t="s">
        <v>28</v>
      </c>
    </row>
    <row r="657" spans="1:3" x14ac:dyDescent="0.35">
      <c r="A657" s="3" t="s">
        <v>818</v>
      </c>
      <c r="B657" s="3">
        <v>113</v>
      </c>
      <c r="C657" s="3" t="s">
        <v>56</v>
      </c>
    </row>
    <row r="658" spans="1:3" x14ac:dyDescent="0.35">
      <c r="A658" s="3" t="s">
        <v>818</v>
      </c>
      <c r="B658" s="3">
        <v>15</v>
      </c>
      <c r="C658" s="3" t="s">
        <v>56</v>
      </c>
    </row>
    <row r="659" spans="1:3" x14ac:dyDescent="0.35">
      <c r="A659" s="3" t="s">
        <v>434</v>
      </c>
      <c r="B659" s="3">
        <v>135</v>
      </c>
      <c r="C659" s="3" t="s">
        <v>28</v>
      </c>
    </row>
    <row r="660" spans="1:3" x14ac:dyDescent="0.35">
      <c r="A660" s="3" t="s">
        <v>434</v>
      </c>
      <c r="B660" s="3">
        <v>10</v>
      </c>
      <c r="C660" s="3" t="s">
        <v>56</v>
      </c>
    </row>
    <row r="661" spans="1:3" x14ac:dyDescent="0.35">
      <c r="A661" s="3" t="s">
        <v>434</v>
      </c>
      <c r="B661" s="3">
        <v>95</v>
      </c>
      <c r="C661" s="3" t="s">
        <v>56</v>
      </c>
    </row>
    <row r="662" spans="1:3" x14ac:dyDescent="0.35">
      <c r="A662" s="3" t="s">
        <v>434</v>
      </c>
      <c r="B662" s="3">
        <v>35</v>
      </c>
      <c r="C662" s="3" t="s">
        <v>28</v>
      </c>
    </row>
    <row r="663" spans="1:3" x14ac:dyDescent="0.35">
      <c r="A663" s="3" t="s">
        <v>933</v>
      </c>
      <c r="B663" s="3">
        <v>174</v>
      </c>
      <c r="C663" s="3" t="s">
        <v>28</v>
      </c>
    </row>
    <row r="664" spans="1:3" x14ac:dyDescent="0.35">
      <c r="A664" s="3" t="s">
        <v>933</v>
      </c>
      <c r="B664" s="3">
        <v>143</v>
      </c>
      <c r="C664" s="3" t="s">
        <v>56</v>
      </c>
    </row>
    <row r="665" spans="1:3" x14ac:dyDescent="0.35">
      <c r="A665" s="3" t="s">
        <v>1378</v>
      </c>
      <c r="B665" s="3">
        <v>289</v>
      </c>
      <c r="C665" s="3" t="s">
        <v>28</v>
      </c>
    </row>
    <row r="666" spans="1:3" x14ac:dyDescent="0.35">
      <c r="A666" s="3" t="s">
        <v>1378</v>
      </c>
      <c r="B666" s="3">
        <v>225</v>
      </c>
      <c r="C666" s="3" t="s">
        <v>28</v>
      </c>
    </row>
    <row r="667" spans="1:3" x14ac:dyDescent="0.35">
      <c r="A667" s="3" t="s">
        <v>1378</v>
      </c>
      <c r="B667" s="3">
        <v>68</v>
      </c>
      <c r="C667" s="3" t="s">
        <v>28</v>
      </c>
    </row>
    <row r="668" spans="1:3" x14ac:dyDescent="0.35">
      <c r="A668" s="3" t="s">
        <v>1004</v>
      </c>
      <c r="B668" s="3">
        <v>69</v>
      </c>
      <c r="C668" s="3" t="s">
        <v>56</v>
      </c>
    </row>
    <row r="669" spans="1:3" x14ac:dyDescent="0.35">
      <c r="A669" s="3" t="s">
        <v>1004</v>
      </c>
      <c r="B669" s="3">
        <v>192</v>
      </c>
      <c r="C669" s="3" t="s">
        <v>28</v>
      </c>
    </row>
    <row r="670" spans="1:3" x14ac:dyDescent="0.35">
      <c r="A670" s="3" t="s">
        <v>2008</v>
      </c>
      <c r="B670" s="3">
        <v>225</v>
      </c>
      <c r="C670" s="3" t="s">
        <v>56</v>
      </c>
    </row>
    <row r="671" spans="1:3" x14ac:dyDescent="0.35">
      <c r="A671" s="3" t="s">
        <v>2008</v>
      </c>
      <c r="B671" s="3">
        <v>36</v>
      </c>
      <c r="C671" s="3" t="s">
        <v>56</v>
      </c>
    </row>
    <row r="672" spans="1:3" x14ac:dyDescent="0.35">
      <c r="A672" s="3" t="s">
        <v>3109</v>
      </c>
      <c r="B672" s="3">
        <v>4</v>
      </c>
      <c r="C672" s="3" t="s">
        <v>28</v>
      </c>
    </row>
    <row r="673" spans="1:3" x14ac:dyDescent="0.35">
      <c r="A673" s="3" t="s">
        <v>3109</v>
      </c>
      <c r="B673" s="3">
        <v>128</v>
      </c>
      <c r="C673" s="3" t="s">
        <v>56</v>
      </c>
    </row>
    <row r="674" spans="1:3" x14ac:dyDescent="0.35">
      <c r="A674" s="3" t="s">
        <v>1609</v>
      </c>
      <c r="B674" s="3">
        <v>190</v>
      </c>
      <c r="C674" s="3" t="s">
        <v>28</v>
      </c>
    </row>
    <row r="675" spans="1:3" x14ac:dyDescent="0.35">
      <c r="A675" s="3" t="s">
        <v>1609</v>
      </c>
      <c r="B675" s="3">
        <v>4</v>
      </c>
      <c r="C675" s="3" t="s">
        <v>28</v>
      </c>
    </row>
    <row r="676" spans="1:3" x14ac:dyDescent="0.35">
      <c r="A676" s="3" t="s">
        <v>1609</v>
      </c>
      <c r="B676" s="3">
        <v>130</v>
      </c>
      <c r="C676" s="3" t="s">
        <v>56</v>
      </c>
    </row>
    <row r="677" spans="1:3" x14ac:dyDescent="0.35">
      <c r="A677" s="3" t="s">
        <v>1766</v>
      </c>
      <c r="B677" s="3">
        <v>144</v>
      </c>
      <c r="C677" s="3" t="s">
        <v>56</v>
      </c>
    </row>
    <row r="678" spans="1:3" x14ac:dyDescent="0.35">
      <c r="A678" s="3" t="s">
        <v>1766</v>
      </c>
      <c r="B678" s="3">
        <v>2</v>
      </c>
      <c r="C678" s="3" t="s">
        <v>28</v>
      </c>
    </row>
    <row r="679" spans="1:3" x14ac:dyDescent="0.35">
      <c r="A679" s="3" t="s">
        <v>1431</v>
      </c>
      <c r="B679" s="3">
        <v>291</v>
      </c>
      <c r="C679" s="3" t="s">
        <v>56</v>
      </c>
    </row>
    <row r="680" spans="1:3" x14ac:dyDescent="0.35">
      <c r="A680" s="3" t="s">
        <v>601</v>
      </c>
      <c r="B680" s="3">
        <v>101</v>
      </c>
      <c r="C680" s="3" t="s">
        <v>56</v>
      </c>
    </row>
    <row r="681" spans="1:3" x14ac:dyDescent="0.35">
      <c r="A681" s="3" t="s">
        <v>601</v>
      </c>
      <c r="B681" s="3">
        <v>14</v>
      </c>
      <c r="C681" s="3" t="s">
        <v>28</v>
      </c>
    </row>
    <row r="682" spans="1:3" x14ac:dyDescent="0.35">
      <c r="A682" s="3" t="s">
        <v>893</v>
      </c>
      <c r="B682" s="3">
        <v>61</v>
      </c>
      <c r="C682" s="3" t="s">
        <v>28</v>
      </c>
    </row>
    <row r="683" spans="1:3" x14ac:dyDescent="0.35">
      <c r="A683" s="3" t="s">
        <v>61</v>
      </c>
      <c r="B683" s="3">
        <v>3</v>
      </c>
      <c r="C683" s="3" t="s">
        <v>56</v>
      </c>
    </row>
    <row r="684" spans="1:3" x14ac:dyDescent="0.35">
      <c r="A684" s="3" t="s">
        <v>61</v>
      </c>
      <c r="B684" s="3">
        <v>29</v>
      </c>
      <c r="C684" s="3" t="s">
        <v>28</v>
      </c>
    </row>
    <row r="685" spans="1:3" x14ac:dyDescent="0.35">
      <c r="A685" s="3" t="s">
        <v>2001</v>
      </c>
      <c r="B685" s="3">
        <v>66</v>
      </c>
      <c r="C685" s="3" t="s">
        <v>28</v>
      </c>
    </row>
    <row r="686" spans="1:3" x14ac:dyDescent="0.35">
      <c r="A686" s="3" t="s">
        <v>2001</v>
      </c>
      <c r="B686" s="3">
        <v>74</v>
      </c>
      <c r="C686" s="3" t="s">
        <v>56</v>
      </c>
    </row>
    <row r="687" spans="1:3" x14ac:dyDescent="0.35">
      <c r="A687" s="3" t="s">
        <v>2001</v>
      </c>
      <c r="B687" s="3">
        <v>51</v>
      </c>
      <c r="C687" s="3" t="s">
        <v>56</v>
      </c>
    </row>
    <row r="688" spans="1:3" x14ac:dyDescent="0.35">
      <c r="A688" s="3" t="s">
        <v>2001</v>
      </c>
      <c r="B688" s="3">
        <v>64</v>
      </c>
      <c r="C688" s="3" t="s">
        <v>56</v>
      </c>
    </row>
    <row r="689" spans="1:12" x14ac:dyDescent="0.35">
      <c r="A689" s="3" t="s">
        <v>1756</v>
      </c>
      <c r="B689" s="3">
        <v>53</v>
      </c>
      <c r="C689" s="3" t="s">
        <v>28</v>
      </c>
    </row>
    <row r="690" spans="1:12" x14ac:dyDescent="0.35">
      <c r="A690" s="3" t="s">
        <v>1913</v>
      </c>
      <c r="B690" s="3">
        <v>79</v>
      </c>
      <c r="C690" s="3" t="s">
        <v>56</v>
      </c>
    </row>
    <row r="693" spans="1:12" x14ac:dyDescent="0.35">
      <c r="A693" s="13" t="s">
        <v>4</v>
      </c>
      <c r="B693" t="s">
        <v>3489</v>
      </c>
      <c r="E693" s="41">
        <f>AVERAGE(E695:E1009)</f>
        <v>121.75062484252959</v>
      </c>
    </row>
    <row r="694" spans="1:12" x14ac:dyDescent="0.35">
      <c r="D694" s="50" t="s">
        <v>3468</v>
      </c>
      <c r="E694" s="50" t="s">
        <v>3512</v>
      </c>
      <c r="H694" t="s">
        <v>3561</v>
      </c>
      <c r="I694" t="s">
        <v>3560</v>
      </c>
      <c r="K694" t="s">
        <v>3561</v>
      </c>
      <c r="L694" t="s">
        <v>3560</v>
      </c>
    </row>
    <row r="695" spans="1:12" x14ac:dyDescent="0.35">
      <c r="A695" s="13" t="s">
        <v>3468</v>
      </c>
      <c r="B695" t="s">
        <v>3512</v>
      </c>
      <c r="D695" s="14" t="s">
        <v>2363</v>
      </c>
      <c r="E695" s="41">
        <v>340</v>
      </c>
      <c r="H695" t="s">
        <v>76</v>
      </c>
      <c r="I695">
        <v>1</v>
      </c>
      <c r="K695" t="s">
        <v>2363</v>
      </c>
      <c r="L695">
        <v>340</v>
      </c>
    </row>
    <row r="696" spans="1:12" x14ac:dyDescent="0.35">
      <c r="A696" s="14" t="s">
        <v>1870</v>
      </c>
      <c r="B696" s="41">
        <v>67.5</v>
      </c>
      <c r="D696" s="14" t="s">
        <v>1675</v>
      </c>
      <c r="E696" s="41">
        <v>335</v>
      </c>
      <c r="H696" t="s">
        <v>2199</v>
      </c>
      <c r="I696">
        <v>6</v>
      </c>
      <c r="K696" t="s">
        <v>1675</v>
      </c>
      <c r="L696">
        <v>335</v>
      </c>
    </row>
    <row r="697" spans="1:12" x14ac:dyDescent="0.35">
      <c r="A697" s="14" t="s">
        <v>1842</v>
      </c>
      <c r="B697" s="41">
        <v>73</v>
      </c>
      <c r="D697" s="14" t="s">
        <v>527</v>
      </c>
      <c r="E697" s="41">
        <v>303</v>
      </c>
      <c r="H697" t="s">
        <v>3452</v>
      </c>
      <c r="I697">
        <v>7</v>
      </c>
      <c r="K697" t="s">
        <v>527</v>
      </c>
      <c r="L697">
        <v>303</v>
      </c>
    </row>
    <row r="698" spans="1:12" x14ac:dyDescent="0.35">
      <c r="A698" s="14" t="s">
        <v>376</v>
      </c>
      <c r="B698" s="41">
        <v>132.5</v>
      </c>
      <c r="D698" s="14" t="s">
        <v>2462</v>
      </c>
      <c r="E698" s="41">
        <v>298</v>
      </c>
      <c r="H698" t="s">
        <v>3358</v>
      </c>
      <c r="I698">
        <v>8</v>
      </c>
      <c r="K698" t="s">
        <v>2462</v>
      </c>
      <c r="L698">
        <v>298</v>
      </c>
    </row>
    <row r="699" spans="1:12" x14ac:dyDescent="0.35">
      <c r="A699" s="14" t="s">
        <v>2332</v>
      </c>
      <c r="B699" s="41">
        <v>130</v>
      </c>
      <c r="D699" s="14" t="s">
        <v>1431</v>
      </c>
      <c r="E699" s="41">
        <v>291</v>
      </c>
      <c r="H699" t="s">
        <v>2769</v>
      </c>
      <c r="I699">
        <v>9</v>
      </c>
      <c r="K699" t="s">
        <v>1431</v>
      </c>
      <c r="L699">
        <v>291</v>
      </c>
    </row>
    <row r="700" spans="1:12" x14ac:dyDescent="0.35">
      <c r="A700" s="14" t="s">
        <v>1719</v>
      </c>
      <c r="B700" s="41">
        <v>92.333333333333329</v>
      </c>
      <c r="D700" s="14" t="s">
        <v>808</v>
      </c>
      <c r="E700" s="41">
        <v>288</v>
      </c>
      <c r="H700" t="s">
        <v>409</v>
      </c>
      <c r="I700">
        <v>12</v>
      </c>
      <c r="K700" t="s">
        <v>808</v>
      </c>
      <c r="L700">
        <v>288</v>
      </c>
    </row>
    <row r="701" spans="1:12" x14ac:dyDescent="0.35">
      <c r="A701" s="14" t="s">
        <v>308</v>
      </c>
      <c r="B701" s="41">
        <v>172.5</v>
      </c>
      <c r="D701" s="14" t="s">
        <v>513</v>
      </c>
      <c r="E701" s="41">
        <v>287</v>
      </c>
      <c r="H701" t="s">
        <v>244</v>
      </c>
      <c r="I701">
        <v>12</v>
      </c>
      <c r="K701" t="s">
        <v>513</v>
      </c>
      <c r="L701">
        <v>287</v>
      </c>
    </row>
    <row r="702" spans="1:12" x14ac:dyDescent="0.35">
      <c r="A702" s="14" t="s">
        <v>725</v>
      </c>
      <c r="B702" s="41">
        <v>171</v>
      </c>
      <c r="D702" s="14" t="s">
        <v>2500</v>
      </c>
      <c r="E702" s="41">
        <v>279</v>
      </c>
      <c r="H702" t="s">
        <v>2033</v>
      </c>
      <c r="I702">
        <v>13</v>
      </c>
      <c r="K702" t="s">
        <v>2500</v>
      </c>
      <c r="L702">
        <v>279</v>
      </c>
    </row>
    <row r="703" spans="1:12" x14ac:dyDescent="0.35">
      <c r="A703" s="14" t="s">
        <v>2163</v>
      </c>
      <c r="B703" s="41">
        <v>219</v>
      </c>
      <c r="D703" s="14" t="s">
        <v>1557</v>
      </c>
      <c r="E703" s="41">
        <v>270</v>
      </c>
      <c r="H703" t="s">
        <v>1077</v>
      </c>
      <c r="I703">
        <v>14</v>
      </c>
      <c r="K703" t="s">
        <v>1557</v>
      </c>
      <c r="L703">
        <v>270</v>
      </c>
    </row>
    <row r="704" spans="1:12" x14ac:dyDescent="0.35">
      <c r="A704" s="14" t="s">
        <v>38</v>
      </c>
      <c r="B704" s="41">
        <v>27</v>
      </c>
      <c r="D704" s="14" t="s">
        <v>1540</v>
      </c>
      <c r="E704" s="41">
        <v>264</v>
      </c>
      <c r="H704" t="s">
        <v>2081</v>
      </c>
      <c r="I704">
        <v>15</v>
      </c>
      <c r="K704" t="s">
        <v>1540</v>
      </c>
      <c r="L704">
        <v>264</v>
      </c>
    </row>
    <row r="705" spans="1:9" x14ac:dyDescent="0.35">
      <c r="A705" s="14" t="s">
        <v>952</v>
      </c>
      <c r="B705" s="41">
        <v>49</v>
      </c>
      <c r="D705" s="14" t="s">
        <v>2219</v>
      </c>
      <c r="E705" s="41">
        <v>258</v>
      </c>
      <c r="H705" t="s">
        <v>61</v>
      </c>
      <c r="I705">
        <v>16</v>
      </c>
    </row>
    <row r="706" spans="1:9" x14ac:dyDescent="0.35">
      <c r="A706" s="14" t="s">
        <v>1105</v>
      </c>
      <c r="B706" s="41">
        <v>55</v>
      </c>
      <c r="D706" s="14" t="s">
        <v>2984</v>
      </c>
      <c r="E706" s="41">
        <v>237</v>
      </c>
    </row>
    <row r="707" spans="1:9" x14ac:dyDescent="0.35">
      <c r="A707" s="14" t="s">
        <v>1127</v>
      </c>
      <c r="B707" s="41">
        <v>109.16666666666667</v>
      </c>
      <c r="D707" s="14" t="s">
        <v>682</v>
      </c>
      <c r="E707" s="41">
        <v>236</v>
      </c>
    </row>
    <row r="708" spans="1:9" x14ac:dyDescent="0.35">
      <c r="A708" s="14" t="s">
        <v>1058</v>
      </c>
      <c r="B708" s="41">
        <v>74</v>
      </c>
      <c r="D708" s="14" t="s">
        <v>555</v>
      </c>
      <c r="E708" s="41">
        <v>234</v>
      </c>
    </row>
    <row r="709" spans="1:9" x14ac:dyDescent="0.35">
      <c r="A709" s="14" t="s">
        <v>117</v>
      </c>
      <c r="B709" s="41">
        <v>97.5</v>
      </c>
      <c r="D709" s="14" t="s">
        <v>2723</v>
      </c>
      <c r="E709" s="41">
        <v>232</v>
      </c>
    </row>
    <row r="710" spans="1:9" x14ac:dyDescent="0.35">
      <c r="A710" s="14" t="s">
        <v>1812</v>
      </c>
      <c r="B710" s="41">
        <v>39.5</v>
      </c>
      <c r="D710" s="14" t="s">
        <v>1475</v>
      </c>
      <c r="E710" s="41">
        <v>229</v>
      </c>
    </row>
    <row r="711" spans="1:9" x14ac:dyDescent="0.35">
      <c r="A711" s="14" t="s">
        <v>289</v>
      </c>
      <c r="B711" s="41">
        <v>196.5</v>
      </c>
      <c r="D711" s="14" t="s">
        <v>1708</v>
      </c>
      <c r="E711" s="41">
        <v>228</v>
      </c>
    </row>
    <row r="712" spans="1:9" x14ac:dyDescent="0.35">
      <c r="A712" s="14" t="s">
        <v>33</v>
      </c>
      <c r="B712" s="41">
        <v>107.66666666666667</v>
      </c>
      <c r="D712" s="14" t="s">
        <v>458</v>
      </c>
      <c r="E712" s="41">
        <v>227.33333333333334</v>
      </c>
    </row>
    <row r="713" spans="1:9" x14ac:dyDescent="0.35">
      <c r="A713" s="14" t="s">
        <v>682</v>
      </c>
      <c r="B713" s="41">
        <v>236</v>
      </c>
      <c r="D713" s="14" t="s">
        <v>1455</v>
      </c>
      <c r="E713" s="41">
        <v>224</v>
      </c>
    </row>
    <row r="714" spans="1:9" x14ac:dyDescent="0.35">
      <c r="A714" s="14" t="s">
        <v>107</v>
      </c>
      <c r="B714" s="41">
        <v>94.333333333333329</v>
      </c>
      <c r="D714" s="14" t="s">
        <v>2163</v>
      </c>
      <c r="E714" s="41">
        <v>219</v>
      </c>
    </row>
    <row r="715" spans="1:9" x14ac:dyDescent="0.35">
      <c r="A715" s="14" t="s">
        <v>3358</v>
      </c>
      <c r="B715" s="41">
        <v>8</v>
      </c>
      <c r="D715" s="14" t="s">
        <v>1418</v>
      </c>
      <c r="E715" s="41">
        <v>219</v>
      </c>
    </row>
    <row r="716" spans="1:9" x14ac:dyDescent="0.35">
      <c r="A716" s="14" t="s">
        <v>545</v>
      </c>
      <c r="B716" s="41">
        <v>21</v>
      </c>
      <c r="D716" s="14" t="s">
        <v>1599</v>
      </c>
      <c r="E716" s="41">
        <v>218.66666666666666</v>
      </c>
    </row>
    <row r="717" spans="1:9" x14ac:dyDescent="0.35">
      <c r="A717" s="14" t="s">
        <v>277</v>
      </c>
      <c r="B717" s="41">
        <v>135.33333333333334</v>
      </c>
      <c r="D717" s="14" t="s">
        <v>1365</v>
      </c>
      <c r="E717" s="41">
        <v>216</v>
      </c>
    </row>
    <row r="718" spans="1:9" x14ac:dyDescent="0.35">
      <c r="A718" s="14" t="s">
        <v>518</v>
      </c>
      <c r="B718" s="41">
        <v>119.6</v>
      </c>
      <c r="D718" s="14" t="s">
        <v>1134</v>
      </c>
      <c r="E718" s="41">
        <v>215</v>
      </c>
    </row>
    <row r="719" spans="1:9" x14ac:dyDescent="0.35">
      <c r="A719" s="14" t="s">
        <v>1143</v>
      </c>
      <c r="B719" s="41">
        <v>48</v>
      </c>
      <c r="D719" s="14" t="s">
        <v>2504</v>
      </c>
      <c r="E719" s="41">
        <v>214</v>
      </c>
    </row>
    <row r="720" spans="1:9" x14ac:dyDescent="0.35">
      <c r="A720" s="14" t="s">
        <v>522</v>
      </c>
      <c r="B720" s="41">
        <v>99</v>
      </c>
      <c r="D720" s="14" t="s">
        <v>249</v>
      </c>
      <c r="E720" s="41">
        <v>214</v>
      </c>
    </row>
    <row r="721" spans="1:5" x14ac:dyDescent="0.35">
      <c r="A721" s="14" t="s">
        <v>2128</v>
      </c>
      <c r="B721" s="41">
        <v>109</v>
      </c>
      <c r="D721" s="14" t="s">
        <v>1536</v>
      </c>
      <c r="E721" s="41">
        <v>213.66666666666666</v>
      </c>
    </row>
    <row r="722" spans="1:5" x14ac:dyDescent="0.35">
      <c r="A722" s="14" t="s">
        <v>1671</v>
      </c>
      <c r="B722" s="41">
        <v>98</v>
      </c>
      <c r="D722" s="14" t="s">
        <v>813</v>
      </c>
      <c r="E722" s="41">
        <v>209.25</v>
      </c>
    </row>
    <row r="723" spans="1:5" x14ac:dyDescent="0.35">
      <c r="A723" s="14" t="s">
        <v>3194</v>
      </c>
      <c r="B723" s="41">
        <v>158</v>
      </c>
      <c r="D723" s="14" t="s">
        <v>2535</v>
      </c>
      <c r="E723" s="41">
        <v>209</v>
      </c>
    </row>
    <row r="724" spans="1:5" x14ac:dyDescent="0.35">
      <c r="A724" s="14" t="s">
        <v>562</v>
      </c>
      <c r="B724" s="41">
        <v>52.25</v>
      </c>
      <c r="D724" s="14" t="s">
        <v>740</v>
      </c>
      <c r="E724" s="41">
        <v>209</v>
      </c>
    </row>
    <row r="725" spans="1:5" x14ac:dyDescent="0.35">
      <c r="A725" s="14" t="s">
        <v>1282</v>
      </c>
      <c r="B725" s="41">
        <v>63</v>
      </c>
      <c r="D725" s="14" t="s">
        <v>1000</v>
      </c>
      <c r="E725" s="41">
        <v>208.33333333333334</v>
      </c>
    </row>
    <row r="726" spans="1:5" x14ac:dyDescent="0.35">
      <c r="A726" s="14" t="s">
        <v>500</v>
      </c>
      <c r="B726" s="41">
        <v>106.66666666666667</v>
      </c>
      <c r="D726" s="14" t="s">
        <v>1582</v>
      </c>
      <c r="E726" s="41">
        <v>206</v>
      </c>
    </row>
    <row r="727" spans="1:5" x14ac:dyDescent="0.35">
      <c r="A727" s="14" t="s">
        <v>832</v>
      </c>
      <c r="B727" s="41">
        <v>55.666666666666664</v>
      </c>
      <c r="D727" s="14" t="s">
        <v>868</v>
      </c>
      <c r="E727" s="41">
        <v>205.5</v>
      </c>
    </row>
    <row r="728" spans="1:5" x14ac:dyDescent="0.35">
      <c r="A728" s="14" t="s">
        <v>1564</v>
      </c>
      <c r="B728" s="41">
        <v>56</v>
      </c>
      <c r="D728" s="14" t="s">
        <v>657</v>
      </c>
      <c r="E728" s="41">
        <v>203</v>
      </c>
    </row>
    <row r="729" spans="1:5" x14ac:dyDescent="0.35">
      <c r="A729" s="14" t="s">
        <v>2243</v>
      </c>
      <c r="B729" s="41">
        <v>178</v>
      </c>
      <c r="D729" s="14" t="s">
        <v>2077</v>
      </c>
      <c r="E729" s="41">
        <v>203</v>
      </c>
    </row>
    <row r="730" spans="1:5" x14ac:dyDescent="0.35">
      <c r="A730" s="14" t="s">
        <v>1704</v>
      </c>
      <c r="B730" s="41">
        <v>89.333333333333329</v>
      </c>
      <c r="D730" s="14" t="s">
        <v>747</v>
      </c>
      <c r="E730" s="41">
        <v>202.5</v>
      </c>
    </row>
    <row r="731" spans="1:5" x14ac:dyDescent="0.35">
      <c r="A731" s="14" t="s">
        <v>2677</v>
      </c>
      <c r="B731" s="41">
        <v>171</v>
      </c>
      <c r="D731" s="14" t="s">
        <v>421</v>
      </c>
      <c r="E731" s="41">
        <v>201</v>
      </c>
    </row>
    <row r="732" spans="1:5" x14ac:dyDescent="0.35">
      <c r="A732" s="14" t="s">
        <v>235</v>
      </c>
      <c r="B732" s="41">
        <v>157.33333333333334</v>
      </c>
      <c r="D732" s="14" t="s">
        <v>1498</v>
      </c>
      <c r="E732" s="41">
        <v>201</v>
      </c>
    </row>
    <row r="733" spans="1:5" x14ac:dyDescent="0.35">
      <c r="A733" s="14" t="s">
        <v>2033</v>
      </c>
      <c r="B733" s="41">
        <v>13</v>
      </c>
      <c r="D733" s="14" t="s">
        <v>1568</v>
      </c>
      <c r="E733" s="41">
        <v>200</v>
      </c>
    </row>
    <row r="734" spans="1:5" x14ac:dyDescent="0.35">
      <c r="A734" s="14" t="s">
        <v>1418</v>
      </c>
      <c r="B734" s="41">
        <v>219</v>
      </c>
      <c r="D734" s="14" t="s">
        <v>2167</v>
      </c>
      <c r="E734" s="41">
        <v>198.5</v>
      </c>
    </row>
    <row r="735" spans="1:5" x14ac:dyDescent="0.35">
      <c r="A735" s="14" t="s">
        <v>189</v>
      </c>
      <c r="B735" s="41">
        <v>185</v>
      </c>
      <c r="D735" s="14" t="s">
        <v>231</v>
      </c>
      <c r="E735" s="41">
        <v>198.5</v>
      </c>
    </row>
    <row r="736" spans="1:5" x14ac:dyDescent="0.35">
      <c r="A736" s="14" t="s">
        <v>1540</v>
      </c>
      <c r="B736" s="41">
        <v>264</v>
      </c>
      <c r="D736" s="14" t="s">
        <v>289</v>
      </c>
      <c r="E736" s="41">
        <v>196.5</v>
      </c>
    </row>
    <row r="737" spans="1:5" x14ac:dyDescent="0.35">
      <c r="A737" s="14" t="s">
        <v>482</v>
      </c>
      <c r="B737" s="41">
        <v>132</v>
      </c>
      <c r="D737" s="14" t="s">
        <v>989</v>
      </c>
      <c r="E737" s="41">
        <v>196.5</v>
      </c>
    </row>
    <row r="738" spans="1:5" x14ac:dyDescent="0.35">
      <c r="A738" s="14" t="s">
        <v>908</v>
      </c>
      <c r="B738" s="41">
        <v>18</v>
      </c>
      <c r="D738" s="14" t="s">
        <v>381</v>
      </c>
      <c r="E738" s="41">
        <v>195.5</v>
      </c>
    </row>
    <row r="739" spans="1:5" x14ac:dyDescent="0.35">
      <c r="A739" s="14" t="s">
        <v>2219</v>
      </c>
      <c r="B739" s="41">
        <v>258</v>
      </c>
      <c r="D739" s="14" t="s">
        <v>633</v>
      </c>
      <c r="E739" s="41">
        <v>194.5</v>
      </c>
    </row>
    <row r="740" spans="1:5" x14ac:dyDescent="0.35">
      <c r="A740" s="14" t="s">
        <v>97</v>
      </c>
      <c r="B740" s="41">
        <v>154.66666666666666</v>
      </c>
      <c r="D740" s="14" t="s">
        <v>882</v>
      </c>
      <c r="E740" s="41">
        <v>194</v>
      </c>
    </row>
    <row r="741" spans="1:5" x14ac:dyDescent="0.35">
      <c r="A741" s="14" t="s">
        <v>122</v>
      </c>
      <c r="B741" s="41">
        <v>126</v>
      </c>
      <c r="D741" s="14" t="s">
        <v>1378</v>
      </c>
      <c r="E741" s="41">
        <v>194</v>
      </c>
    </row>
    <row r="742" spans="1:5" x14ac:dyDescent="0.35">
      <c r="A742" s="14" t="s">
        <v>782</v>
      </c>
      <c r="B742" s="41">
        <v>91</v>
      </c>
      <c r="D742" s="14" t="s">
        <v>904</v>
      </c>
      <c r="E742" s="41">
        <v>193.5</v>
      </c>
    </row>
    <row r="743" spans="1:5" x14ac:dyDescent="0.35">
      <c r="A743" s="14" t="s">
        <v>81</v>
      </c>
      <c r="B743" s="41">
        <v>91</v>
      </c>
      <c r="D743" s="14" t="s">
        <v>2564</v>
      </c>
      <c r="E743" s="41">
        <v>192</v>
      </c>
    </row>
    <row r="744" spans="1:5" x14ac:dyDescent="0.35">
      <c r="A744" s="14" t="s">
        <v>1509</v>
      </c>
      <c r="B744" s="41">
        <v>189</v>
      </c>
      <c r="D744" s="14" t="s">
        <v>1906</v>
      </c>
      <c r="E744" s="41">
        <v>191</v>
      </c>
    </row>
    <row r="745" spans="1:5" x14ac:dyDescent="0.35">
      <c r="A745" s="14" t="s">
        <v>176</v>
      </c>
      <c r="B745" s="41">
        <v>186.33333333333334</v>
      </c>
      <c r="D745" s="14" t="s">
        <v>509</v>
      </c>
      <c r="E745" s="41">
        <v>190</v>
      </c>
    </row>
    <row r="746" spans="1:5" x14ac:dyDescent="0.35">
      <c r="A746" s="14" t="s">
        <v>687</v>
      </c>
      <c r="B746" s="41">
        <v>150.5</v>
      </c>
      <c r="D746" s="14" t="s">
        <v>2328</v>
      </c>
      <c r="E746" s="41">
        <v>190</v>
      </c>
    </row>
    <row r="747" spans="1:5" x14ac:dyDescent="0.35">
      <c r="A747" s="14" t="s">
        <v>616</v>
      </c>
      <c r="B747" s="41">
        <v>63.75</v>
      </c>
      <c r="D747" s="14" t="s">
        <v>1336</v>
      </c>
      <c r="E747" s="41">
        <v>190</v>
      </c>
    </row>
    <row r="748" spans="1:5" x14ac:dyDescent="0.35">
      <c r="A748" s="14" t="s">
        <v>2260</v>
      </c>
      <c r="B748" s="41">
        <v>88.5</v>
      </c>
      <c r="D748" s="14" t="s">
        <v>608</v>
      </c>
      <c r="E748" s="41">
        <v>189.5</v>
      </c>
    </row>
    <row r="749" spans="1:5" x14ac:dyDescent="0.35">
      <c r="A749" s="14" t="s">
        <v>628</v>
      </c>
      <c r="B749" s="41">
        <v>103.5</v>
      </c>
      <c r="D749" s="14" t="s">
        <v>1509</v>
      </c>
      <c r="E749" s="41">
        <v>189</v>
      </c>
    </row>
    <row r="750" spans="1:5" x14ac:dyDescent="0.35">
      <c r="A750" s="14" t="s">
        <v>536</v>
      </c>
      <c r="B750" s="41">
        <v>159.25</v>
      </c>
      <c r="D750" s="14" t="s">
        <v>943</v>
      </c>
      <c r="E750" s="41">
        <v>186.5</v>
      </c>
    </row>
    <row r="751" spans="1:5" x14ac:dyDescent="0.35">
      <c r="A751" s="14" t="s">
        <v>1286</v>
      </c>
      <c r="B751" s="41">
        <v>140.33333333333334</v>
      </c>
      <c r="D751" s="14" t="s">
        <v>176</v>
      </c>
      <c r="E751" s="41">
        <v>186.33333333333334</v>
      </c>
    </row>
    <row r="752" spans="1:5" x14ac:dyDescent="0.35">
      <c r="A752" s="14" t="s">
        <v>221</v>
      </c>
      <c r="B752" s="41">
        <v>133.66666666666666</v>
      </c>
      <c r="D752" s="14" t="s">
        <v>189</v>
      </c>
      <c r="E752" s="41">
        <v>185</v>
      </c>
    </row>
    <row r="753" spans="1:5" x14ac:dyDescent="0.35">
      <c r="A753" s="14" t="s">
        <v>92</v>
      </c>
      <c r="B753" s="41">
        <v>151</v>
      </c>
      <c r="D753" s="14" t="s">
        <v>1926</v>
      </c>
      <c r="E753" s="41">
        <v>185</v>
      </c>
    </row>
    <row r="754" spans="1:5" x14ac:dyDescent="0.35">
      <c r="A754" s="14" t="s">
        <v>26</v>
      </c>
      <c r="B754" s="41">
        <v>74.333333333333329</v>
      </c>
      <c r="D754" s="14" t="s">
        <v>886</v>
      </c>
      <c r="E754" s="41">
        <v>184</v>
      </c>
    </row>
    <row r="755" spans="1:5" x14ac:dyDescent="0.35">
      <c r="A755" s="14" t="s">
        <v>2980</v>
      </c>
      <c r="B755" s="41">
        <v>24</v>
      </c>
      <c r="D755" s="14" t="s">
        <v>1040</v>
      </c>
      <c r="E755" s="41">
        <v>183</v>
      </c>
    </row>
    <row r="756" spans="1:5" x14ac:dyDescent="0.35">
      <c r="A756" s="14" t="s">
        <v>2081</v>
      </c>
      <c r="B756" s="41">
        <v>15</v>
      </c>
      <c r="D756" s="14" t="s">
        <v>1743</v>
      </c>
      <c r="E756" s="41">
        <v>181.4</v>
      </c>
    </row>
    <row r="757" spans="1:5" x14ac:dyDescent="0.35">
      <c r="A757" s="14" t="s">
        <v>425</v>
      </c>
      <c r="B757" s="41">
        <v>169</v>
      </c>
      <c r="D757" s="14" t="s">
        <v>199</v>
      </c>
      <c r="E757" s="41">
        <v>180.28571428571428</v>
      </c>
    </row>
    <row r="758" spans="1:5" x14ac:dyDescent="0.35">
      <c r="A758" s="14" t="s">
        <v>3253</v>
      </c>
      <c r="B758" s="41">
        <v>95</v>
      </c>
      <c r="D758" s="14" t="s">
        <v>1712</v>
      </c>
      <c r="E758" s="41">
        <v>180</v>
      </c>
    </row>
    <row r="759" spans="1:5" x14ac:dyDescent="0.35">
      <c r="A759" s="14" t="s">
        <v>1077</v>
      </c>
      <c r="B759" s="41">
        <v>14</v>
      </c>
      <c r="D759" s="14" t="s">
        <v>661</v>
      </c>
      <c r="E759" s="41">
        <v>180</v>
      </c>
    </row>
    <row r="760" spans="1:5" x14ac:dyDescent="0.35">
      <c r="A760" s="14" t="s">
        <v>2652</v>
      </c>
      <c r="B760" s="41">
        <v>153</v>
      </c>
      <c r="D760" s="14" t="s">
        <v>429</v>
      </c>
      <c r="E760" s="41">
        <v>179</v>
      </c>
    </row>
    <row r="761" spans="1:5" x14ac:dyDescent="0.35">
      <c r="A761" s="14" t="s">
        <v>2769</v>
      </c>
      <c r="B761" s="41">
        <v>9</v>
      </c>
      <c r="D761" s="14" t="s">
        <v>2243</v>
      </c>
      <c r="E761" s="41">
        <v>178</v>
      </c>
    </row>
    <row r="762" spans="1:5" x14ac:dyDescent="0.35">
      <c r="A762" s="14" t="s">
        <v>3384</v>
      </c>
      <c r="B762" s="41">
        <v>129</v>
      </c>
      <c r="D762" s="14" t="s">
        <v>2815</v>
      </c>
      <c r="E762" s="41">
        <v>178</v>
      </c>
    </row>
    <row r="763" spans="1:5" x14ac:dyDescent="0.35">
      <c r="A763" s="14" t="s">
        <v>409</v>
      </c>
      <c r="B763" s="41">
        <v>12</v>
      </c>
      <c r="D763" s="14" t="s">
        <v>678</v>
      </c>
      <c r="E763" s="41">
        <v>174.6</v>
      </c>
    </row>
    <row r="764" spans="1:5" x14ac:dyDescent="0.35">
      <c r="A764" s="14" t="s">
        <v>2067</v>
      </c>
      <c r="B764" s="41">
        <v>45</v>
      </c>
      <c r="D764" s="14" t="s">
        <v>763</v>
      </c>
      <c r="E764" s="41">
        <v>174</v>
      </c>
    </row>
    <row r="765" spans="1:5" x14ac:dyDescent="0.35">
      <c r="A765" s="14" t="s">
        <v>2525</v>
      </c>
      <c r="B765" s="41">
        <v>110</v>
      </c>
      <c r="D765" s="14" t="s">
        <v>308</v>
      </c>
      <c r="E765" s="41">
        <v>172.5</v>
      </c>
    </row>
    <row r="766" spans="1:5" x14ac:dyDescent="0.35">
      <c r="A766" s="14" t="s">
        <v>2233</v>
      </c>
      <c r="B766" s="41">
        <v>171</v>
      </c>
      <c r="D766" s="14" t="s">
        <v>641</v>
      </c>
      <c r="E766" s="41">
        <v>172.2</v>
      </c>
    </row>
    <row r="767" spans="1:5" x14ac:dyDescent="0.35">
      <c r="A767" s="14" t="s">
        <v>996</v>
      </c>
      <c r="B767" s="41">
        <v>127.75</v>
      </c>
      <c r="D767" s="14" t="s">
        <v>725</v>
      </c>
      <c r="E767" s="41">
        <v>171</v>
      </c>
    </row>
    <row r="768" spans="1:5" x14ac:dyDescent="0.35">
      <c r="A768" s="14" t="s">
        <v>19</v>
      </c>
      <c r="B768" s="41">
        <v>112</v>
      </c>
      <c r="D768" s="14" t="s">
        <v>2677</v>
      </c>
      <c r="E768" s="41">
        <v>171</v>
      </c>
    </row>
    <row r="769" spans="1:5" x14ac:dyDescent="0.35">
      <c r="A769" s="14" t="s">
        <v>1139</v>
      </c>
      <c r="B769" s="41">
        <v>131.5</v>
      </c>
      <c r="D769" s="14" t="s">
        <v>2233</v>
      </c>
      <c r="E769" s="41">
        <v>171</v>
      </c>
    </row>
    <row r="770" spans="1:5" x14ac:dyDescent="0.35">
      <c r="A770" s="14" t="s">
        <v>1346</v>
      </c>
      <c r="B770" s="41">
        <v>153</v>
      </c>
      <c r="D770" s="14" t="s">
        <v>1236</v>
      </c>
      <c r="E770" s="41">
        <v>169.5</v>
      </c>
    </row>
    <row r="771" spans="1:5" x14ac:dyDescent="0.35">
      <c r="A771" s="14" t="s">
        <v>244</v>
      </c>
      <c r="B771" s="41">
        <v>12</v>
      </c>
      <c r="D771" s="14" t="s">
        <v>425</v>
      </c>
      <c r="E771" s="41">
        <v>169</v>
      </c>
    </row>
    <row r="772" spans="1:5" x14ac:dyDescent="0.35">
      <c r="A772" s="14" t="s">
        <v>3371</v>
      </c>
      <c r="B772" s="41">
        <v>99</v>
      </c>
      <c r="D772" s="14" t="s">
        <v>1160</v>
      </c>
      <c r="E772" s="41">
        <v>167.5</v>
      </c>
    </row>
    <row r="773" spans="1:5" x14ac:dyDescent="0.35">
      <c r="A773" s="14" t="s">
        <v>2984</v>
      </c>
      <c r="B773" s="41">
        <v>237</v>
      </c>
      <c r="D773" s="14" t="s">
        <v>299</v>
      </c>
      <c r="E773" s="41">
        <v>167</v>
      </c>
    </row>
    <row r="774" spans="1:5" x14ac:dyDescent="0.35">
      <c r="A774" s="14" t="s">
        <v>904</v>
      </c>
      <c r="B774" s="41">
        <v>193.5</v>
      </c>
      <c r="D774" s="14" t="s">
        <v>2144</v>
      </c>
      <c r="E774" s="41">
        <v>166</v>
      </c>
    </row>
    <row r="775" spans="1:5" x14ac:dyDescent="0.35">
      <c r="A775" s="14" t="s">
        <v>678</v>
      </c>
      <c r="B775" s="41">
        <v>174.6</v>
      </c>
      <c r="D775" s="14" t="s">
        <v>962</v>
      </c>
      <c r="E775" s="41">
        <v>166</v>
      </c>
    </row>
    <row r="776" spans="1:5" x14ac:dyDescent="0.35">
      <c r="A776" s="14" t="s">
        <v>1557</v>
      </c>
      <c r="B776" s="41">
        <v>270</v>
      </c>
      <c r="D776" s="14" t="s">
        <v>181</v>
      </c>
      <c r="E776" s="41">
        <v>165</v>
      </c>
    </row>
    <row r="777" spans="1:5" x14ac:dyDescent="0.35">
      <c r="A777" s="14" t="s">
        <v>128</v>
      </c>
      <c r="B777" s="41">
        <v>107.5</v>
      </c>
      <c r="D777" s="14" t="s">
        <v>203</v>
      </c>
      <c r="E777" s="41">
        <v>162.80000000000001</v>
      </c>
    </row>
    <row r="778" spans="1:5" x14ac:dyDescent="0.35">
      <c r="A778" s="14" t="s">
        <v>1987</v>
      </c>
      <c r="B778" s="41">
        <v>78</v>
      </c>
      <c r="D778" s="14" t="s">
        <v>1578</v>
      </c>
      <c r="E778" s="41">
        <v>162.33333333333334</v>
      </c>
    </row>
    <row r="779" spans="1:5" x14ac:dyDescent="0.35">
      <c r="A779" s="14" t="s">
        <v>1307</v>
      </c>
      <c r="B779" s="41">
        <v>105</v>
      </c>
      <c r="D779" s="14" t="s">
        <v>71</v>
      </c>
      <c r="E779" s="41">
        <v>161</v>
      </c>
    </row>
    <row r="780" spans="1:5" x14ac:dyDescent="0.35">
      <c r="A780" s="14" t="s">
        <v>570</v>
      </c>
      <c r="B780" s="41">
        <v>77</v>
      </c>
      <c r="D780" s="14" t="s">
        <v>1073</v>
      </c>
      <c r="E780" s="41">
        <v>160.5</v>
      </c>
    </row>
    <row r="781" spans="1:5" x14ac:dyDescent="0.35">
      <c r="A781" s="14" t="s">
        <v>1617</v>
      </c>
      <c r="B781" s="41">
        <v>73</v>
      </c>
      <c r="D781" s="14" t="s">
        <v>536</v>
      </c>
      <c r="E781" s="41">
        <v>159.25</v>
      </c>
    </row>
    <row r="782" spans="1:5" x14ac:dyDescent="0.35">
      <c r="A782" s="14" t="s">
        <v>3095</v>
      </c>
      <c r="B782" s="41">
        <v>149</v>
      </c>
      <c r="D782" s="14" t="s">
        <v>264</v>
      </c>
      <c r="E782" s="41">
        <v>159</v>
      </c>
    </row>
    <row r="783" spans="1:5" x14ac:dyDescent="0.35">
      <c r="A783" s="14" t="s">
        <v>86</v>
      </c>
      <c r="B783" s="41">
        <v>27</v>
      </c>
      <c r="D783" s="14" t="s">
        <v>933</v>
      </c>
      <c r="E783" s="41">
        <v>158.5</v>
      </c>
    </row>
    <row r="784" spans="1:5" x14ac:dyDescent="0.35">
      <c r="A784" s="14" t="s">
        <v>1770</v>
      </c>
      <c r="B784" s="41">
        <v>110</v>
      </c>
      <c r="D784" s="14" t="s">
        <v>3194</v>
      </c>
      <c r="E784" s="41">
        <v>158</v>
      </c>
    </row>
    <row r="785" spans="1:5" x14ac:dyDescent="0.35">
      <c r="A785" s="14" t="s">
        <v>532</v>
      </c>
      <c r="B785" s="41">
        <v>76.5</v>
      </c>
      <c r="D785" s="14" t="s">
        <v>235</v>
      </c>
      <c r="E785" s="41">
        <v>157.33333333333334</v>
      </c>
    </row>
    <row r="786" spans="1:5" x14ac:dyDescent="0.35">
      <c r="A786" s="14" t="s">
        <v>1365</v>
      </c>
      <c r="B786" s="41">
        <v>216</v>
      </c>
      <c r="D786" s="14" t="s">
        <v>393</v>
      </c>
      <c r="E786" s="41">
        <v>156</v>
      </c>
    </row>
    <row r="787" spans="1:5" x14ac:dyDescent="0.35">
      <c r="A787" s="14" t="s">
        <v>922</v>
      </c>
      <c r="B787" s="41">
        <v>76.25</v>
      </c>
      <c r="D787" s="14" t="s">
        <v>112</v>
      </c>
      <c r="E787" s="41">
        <v>155.75</v>
      </c>
    </row>
    <row r="788" spans="1:5" x14ac:dyDescent="0.35">
      <c r="A788" s="14" t="s">
        <v>1735</v>
      </c>
      <c r="B788" s="41">
        <v>52</v>
      </c>
      <c r="D788" s="14" t="s">
        <v>66</v>
      </c>
      <c r="E788" s="41">
        <v>155</v>
      </c>
    </row>
    <row r="789" spans="1:5" x14ac:dyDescent="0.35">
      <c r="A789" s="14" t="s">
        <v>76</v>
      </c>
      <c r="B789" s="41">
        <v>1</v>
      </c>
      <c r="D789" s="14" t="s">
        <v>97</v>
      </c>
      <c r="E789" s="41">
        <v>154.66666666666666</v>
      </c>
    </row>
    <row r="790" spans="1:5" x14ac:dyDescent="0.35">
      <c r="A790" s="14" t="s">
        <v>550</v>
      </c>
      <c r="B790" s="41">
        <v>91</v>
      </c>
      <c r="D790" s="14" t="s">
        <v>912</v>
      </c>
      <c r="E790" s="41">
        <v>154.66666666666666</v>
      </c>
    </row>
    <row r="791" spans="1:5" x14ac:dyDescent="0.35">
      <c r="A791" s="14" t="s">
        <v>171</v>
      </c>
      <c r="B791" s="41">
        <v>135.5</v>
      </c>
      <c r="D791" s="14" t="s">
        <v>2652</v>
      </c>
      <c r="E791" s="41">
        <v>153</v>
      </c>
    </row>
    <row r="792" spans="1:5" x14ac:dyDescent="0.35">
      <c r="A792" s="14" t="s">
        <v>364</v>
      </c>
      <c r="B792" s="41">
        <v>68.333333333333329</v>
      </c>
      <c r="D792" s="14" t="s">
        <v>1346</v>
      </c>
      <c r="E792" s="41">
        <v>153</v>
      </c>
    </row>
    <row r="793" spans="1:5" x14ac:dyDescent="0.35">
      <c r="A793" s="14" t="s">
        <v>1568</v>
      </c>
      <c r="B793" s="41">
        <v>200</v>
      </c>
      <c r="D793" s="14" t="s">
        <v>478</v>
      </c>
      <c r="E793" s="41">
        <v>153</v>
      </c>
    </row>
    <row r="794" spans="1:5" x14ac:dyDescent="0.35">
      <c r="A794" s="14" t="s">
        <v>268</v>
      </c>
      <c r="B794" s="41">
        <v>81.5</v>
      </c>
      <c r="D794" s="14" t="s">
        <v>1261</v>
      </c>
      <c r="E794" s="41">
        <v>152.5</v>
      </c>
    </row>
    <row r="795" spans="1:5" x14ac:dyDescent="0.35">
      <c r="A795" s="14" t="s">
        <v>641</v>
      </c>
      <c r="B795" s="41">
        <v>172.2</v>
      </c>
      <c r="D795" s="14" t="s">
        <v>54</v>
      </c>
      <c r="E795" s="41">
        <v>152</v>
      </c>
    </row>
    <row r="796" spans="1:5" x14ac:dyDescent="0.35">
      <c r="A796" s="14" t="s">
        <v>2856</v>
      </c>
      <c r="B796" s="41">
        <v>86</v>
      </c>
      <c r="D796" s="14" t="s">
        <v>92</v>
      </c>
      <c r="E796" s="41">
        <v>151</v>
      </c>
    </row>
    <row r="797" spans="1:5" x14ac:dyDescent="0.35">
      <c r="A797" s="14" t="s">
        <v>1595</v>
      </c>
      <c r="B797" s="41">
        <v>85</v>
      </c>
      <c r="D797" s="14" t="s">
        <v>687</v>
      </c>
      <c r="E797" s="41">
        <v>150.5</v>
      </c>
    </row>
    <row r="798" spans="1:5" x14ac:dyDescent="0.35">
      <c r="A798" s="14" t="s">
        <v>2448</v>
      </c>
      <c r="B798" s="41">
        <v>22</v>
      </c>
      <c r="D798" s="14" t="s">
        <v>2180</v>
      </c>
      <c r="E798" s="41">
        <v>149.66666666666666</v>
      </c>
    </row>
    <row r="799" spans="1:5" x14ac:dyDescent="0.35">
      <c r="A799" s="14" t="s">
        <v>868</v>
      </c>
      <c r="B799" s="41">
        <v>205.5</v>
      </c>
      <c r="D799" s="14" t="s">
        <v>294</v>
      </c>
      <c r="E799" s="41">
        <v>149.5</v>
      </c>
    </row>
    <row r="800" spans="1:5" x14ac:dyDescent="0.35">
      <c r="A800" s="14" t="s">
        <v>1261</v>
      </c>
      <c r="B800" s="41">
        <v>152.5</v>
      </c>
      <c r="D800" s="14" t="s">
        <v>3095</v>
      </c>
      <c r="E800" s="41">
        <v>149</v>
      </c>
    </row>
    <row r="801" spans="1:5" x14ac:dyDescent="0.35">
      <c r="A801" s="14" t="s">
        <v>3105</v>
      </c>
      <c r="B801" s="41">
        <v>96</v>
      </c>
      <c r="D801" s="14" t="s">
        <v>1175</v>
      </c>
      <c r="E801" s="41">
        <v>149</v>
      </c>
    </row>
    <row r="802" spans="1:5" x14ac:dyDescent="0.35">
      <c r="A802" s="14" t="s">
        <v>813</v>
      </c>
      <c r="B802" s="41">
        <v>209.25</v>
      </c>
      <c r="D802" s="14" t="s">
        <v>1156</v>
      </c>
      <c r="E802" s="41">
        <v>148</v>
      </c>
    </row>
    <row r="803" spans="1:5" x14ac:dyDescent="0.35">
      <c r="A803" s="14" t="s">
        <v>1829</v>
      </c>
      <c r="B803" s="41">
        <v>55</v>
      </c>
      <c r="D803" s="14" t="s">
        <v>2223</v>
      </c>
      <c r="E803" s="41">
        <v>147.5</v>
      </c>
    </row>
    <row r="804" spans="1:5" x14ac:dyDescent="0.35">
      <c r="A804" s="14" t="s">
        <v>2303</v>
      </c>
      <c r="B804" s="41">
        <v>45</v>
      </c>
      <c r="D804" s="14" t="s">
        <v>360</v>
      </c>
      <c r="E804" s="41">
        <v>146</v>
      </c>
    </row>
    <row r="805" spans="1:5" x14ac:dyDescent="0.35">
      <c r="A805" s="14" t="s">
        <v>1253</v>
      </c>
      <c r="B805" s="41">
        <v>63</v>
      </c>
      <c r="D805" s="14" t="s">
        <v>161</v>
      </c>
      <c r="E805" s="41">
        <v>145</v>
      </c>
    </row>
    <row r="806" spans="1:5" x14ac:dyDescent="0.35">
      <c r="A806" s="14" t="s">
        <v>2893</v>
      </c>
      <c r="B806" s="41">
        <v>57</v>
      </c>
      <c r="D806" s="14" t="s">
        <v>157</v>
      </c>
      <c r="E806" s="41">
        <v>143.66666666666666</v>
      </c>
    </row>
    <row r="807" spans="1:5" x14ac:dyDescent="0.35">
      <c r="A807" s="14" t="s">
        <v>1479</v>
      </c>
      <c r="B807" s="41">
        <v>86</v>
      </c>
      <c r="D807" s="14" t="s">
        <v>281</v>
      </c>
      <c r="E807" s="41">
        <v>142</v>
      </c>
    </row>
    <row r="808" spans="1:5" x14ac:dyDescent="0.35">
      <c r="A808" s="14" t="s">
        <v>504</v>
      </c>
      <c r="B808" s="41">
        <v>45.333333333333336</v>
      </c>
      <c r="D808" s="14" t="s">
        <v>588</v>
      </c>
      <c r="E808" s="41">
        <v>140.66666666666666</v>
      </c>
    </row>
    <row r="809" spans="1:5" x14ac:dyDescent="0.35">
      <c r="A809" s="14" t="s">
        <v>2941</v>
      </c>
      <c r="B809" s="41">
        <v>111</v>
      </c>
      <c r="D809" s="14" t="s">
        <v>1286</v>
      </c>
      <c r="E809" s="41">
        <v>140.33333333333334</v>
      </c>
    </row>
    <row r="810" spans="1:5" x14ac:dyDescent="0.35">
      <c r="A810" s="14" t="s">
        <v>71</v>
      </c>
      <c r="B810" s="41">
        <v>161</v>
      </c>
      <c r="D810" s="14" t="s">
        <v>2403</v>
      </c>
      <c r="E810" s="41">
        <v>140</v>
      </c>
    </row>
    <row r="811" spans="1:5" x14ac:dyDescent="0.35">
      <c r="A811" s="14" t="s">
        <v>1054</v>
      </c>
      <c r="B811" s="41">
        <v>116.75</v>
      </c>
      <c r="D811" s="14" t="s">
        <v>1318</v>
      </c>
      <c r="E811" s="41">
        <v>139.5</v>
      </c>
    </row>
    <row r="812" spans="1:5" x14ac:dyDescent="0.35">
      <c r="A812" s="14" t="s">
        <v>900</v>
      </c>
      <c r="B812" s="41">
        <v>113.66666666666667</v>
      </c>
      <c r="D812" s="14" t="s">
        <v>2496</v>
      </c>
      <c r="E812" s="41">
        <v>137</v>
      </c>
    </row>
    <row r="813" spans="1:5" x14ac:dyDescent="0.35">
      <c r="A813" s="14" t="s">
        <v>1000</v>
      </c>
      <c r="B813" s="41">
        <v>208.33333333333334</v>
      </c>
      <c r="D813" s="14" t="s">
        <v>466</v>
      </c>
      <c r="E813" s="41">
        <v>137</v>
      </c>
    </row>
    <row r="814" spans="1:5" x14ac:dyDescent="0.35">
      <c r="A814" s="14" t="s">
        <v>2504</v>
      </c>
      <c r="B814" s="41">
        <v>214</v>
      </c>
      <c r="D814" s="14" t="s">
        <v>540</v>
      </c>
      <c r="E814" s="41">
        <v>136.33333333333334</v>
      </c>
    </row>
    <row r="815" spans="1:5" x14ac:dyDescent="0.35">
      <c r="A815" s="14" t="s">
        <v>1739</v>
      </c>
      <c r="B815" s="41">
        <v>60</v>
      </c>
      <c r="D815" s="14" t="s">
        <v>1020</v>
      </c>
      <c r="E815" s="41">
        <v>136</v>
      </c>
    </row>
    <row r="816" spans="1:5" x14ac:dyDescent="0.35">
      <c r="A816" s="14" t="s">
        <v>620</v>
      </c>
      <c r="B816" s="41">
        <v>70</v>
      </c>
      <c r="D816" s="14" t="s">
        <v>321</v>
      </c>
      <c r="E816" s="41">
        <v>136</v>
      </c>
    </row>
    <row r="817" spans="1:5" x14ac:dyDescent="0.35">
      <c r="A817" s="14" t="s">
        <v>692</v>
      </c>
      <c r="B817" s="41">
        <v>86.75</v>
      </c>
      <c r="D817" s="14" t="s">
        <v>171</v>
      </c>
      <c r="E817" s="41">
        <v>135.5</v>
      </c>
    </row>
    <row r="818" spans="1:5" x14ac:dyDescent="0.35">
      <c r="A818" s="14" t="s">
        <v>181</v>
      </c>
      <c r="B818" s="41">
        <v>165</v>
      </c>
      <c r="D818" s="14" t="s">
        <v>277</v>
      </c>
      <c r="E818" s="41">
        <v>135.33333333333334</v>
      </c>
    </row>
    <row r="819" spans="1:5" x14ac:dyDescent="0.35">
      <c r="A819" s="14" t="s">
        <v>509</v>
      </c>
      <c r="B819" s="41">
        <v>190</v>
      </c>
      <c r="D819" s="14" t="s">
        <v>254</v>
      </c>
      <c r="E819" s="41">
        <v>135</v>
      </c>
    </row>
    <row r="820" spans="1:5" x14ac:dyDescent="0.35">
      <c r="A820" s="14" t="s">
        <v>43</v>
      </c>
      <c r="B820" s="41">
        <v>101.6</v>
      </c>
      <c r="D820" s="14" t="s">
        <v>1332</v>
      </c>
      <c r="E820" s="41">
        <v>134</v>
      </c>
    </row>
    <row r="821" spans="1:5" x14ac:dyDescent="0.35">
      <c r="A821" s="14" t="s">
        <v>2535</v>
      </c>
      <c r="B821" s="41">
        <v>209</v>
      </c>
      <c r="D821" s="14" t="s">
        <v>221</v>
      </c>
      <c r="E821" s="41">
        <v>133.66666666666666</v>
      </c>
    </row>
    <row r="822" spans="1:5" x14ac:dyDescent="0.35">
      <c r="A822" s="14" t="s">
        <v>338</v>
      </c>
      <c r="B822" s="41">
        <v>25</v>
      </c>
      <c r="D822" s="14" t="s">
        <v>376</v>
      </c>
      <c r="E822" s="41">
        <v>132.5</v>
      </c>
    </row>
    <row r="823" spans="1:5" x14ac:dyDescent="0.35">
      <c r="A823" s="14" t="s">
        <v>1819</v>
      </c>
      <c r="B823" s="41">
        <v>86</v>
      </c>
      <c r="D823" s="14" t="s">
        <v>482</v>
      </c>
      <c r="E823" s="41">
        <v>132</v>
      </c>
    </row>
    <row r="824" spans="1:5" x14ac:dyDescent="0.35">
      <c r="A824" s="14" t="s">
        <v>989</v>
      </c>
      <c r="B824" s="41">
        <v>196.5</v>
      </c>
      <c r="D824" s="14" t="s">
        <v>1370</v>
      </c>
      <c r="E824" s="41">
        <v>132</v>
      </c>
    </row>
    <row r="825" spans="1:5" x14ac:dyDescent="0.35">
      <c r="A825" s="14" t="s">
        <v>2112</v>
      </c>
      <c r="B825" s="41">
        <v>48.5</v>
      </c>
      <c r="D825" s="14" t="s">
        <v>2206</v>
      </c>
      <c r="E825" s="41">
        <v>132</v>
      </c>
    </row>
    <row r="826" spans="1:5" x14ac:dyDescent="0.35">
      <c r="A826" s="14" t="s">
        <v>1712</v>
      </c>
      <c r="B826" s="41">
        <v>180</v>
      </c>
      <c r="D826" s="14" t="s">
        <v>1139</v>
      </c>
      <c r="E826" s="41">
        <v>131.5</v>
      </c>
    </row>
    <row r="827" spans="1:5" x14ac:dyDescent="0.35">
      <c r="A827" s="14" t="s">
        <v>633</v>
      </c>
      <c r="B827" s="41">
        <v>194.5</v>
      </c>
      <c r="D827" s="14" t="s">
        <v>1296</v>
      </c>
      <c r="E827" s="41">
        <v>131.33333333333334</v>
      </c>
    </row>
    <row r="828" spans="1:5" x14ac:dyDescent="0.35">
      <c r="A828" s="14" t="s">
        <v>1236</v>
      </c>
      <c r="B828" s="41">
        <v>169.5</v>
      </c>
      <c r="D828" s="14" t="s">
        <v>1004</v>
      </c>
      <c r="E828" s="41">
        <v>130.5</v>
      </c>
    </row>
    <row r="829" spans="1:5" x14ac:dyDescent="0.35">
      <c r="A829" s="14" t="s">
        <v>356</v>
      </c>
      <c r="B829" s="41">
        <v>117</v>
      </c>
      <c r="D829" s="14" t="s">
        <v>2008</v>
      </c>
      <c r="E829" s="41">
        <v>130.5</v>
      </c>
    </row>
    <row r="830" spans="1:5" x14ac:dyDescent="0.35">
      <c r="A830" s="14" t="s">
        <v>1203</v>
      </c>
      <c r="B830" s="41">
        <v>124.5</v>
      </c>
      <c r="D830" s="14" t="s">
        <v>2332</v>
      </c>
      <c r="E830" s="41">
        <v>130</v>
      </c>
    </row>
    <row r="831" spans="1:5" x14ac:dyDescent="0.35">
      <c r="A831" s="14" t="s">
        <v>1073</v>
      </c>
      <c r="B831" s="41">
        <v>160.5</v>
      </c>
      <c r="D831" s="14" t="s">
        <v>1374</v>
      </c>
      <c r="E831" s="41">
        <v>129.5</v>
      </c>
    </row>
    <row r="832" spans="1:5" x14ac:dyDescent="0.35">
      <c r="A832" s="14" t="s">
        <v>54</v>
      </c>
      <c r="B832" s="41">
        <v>152</v>
      </c>
      <c r="D832" s="14" t="s">
        <v>3384</v>
      </c>
      <c r="E832" s="41">
        <v>129</v>
      </c>
    </row>
    <row r="833" spans="1:5" x14ac:dyDescent="0.35">
      <c r="A833" s="14" t="s">
        <v>2413</v>
      </c>
      <c r="B833" s="41">
        <v>54</v>
      </c>
      <c r="D833" s="14" t="s">
        <v>996</v>
      </c>
      <c r="E833" s="41">
        <v>127.75</v>
      </c>
    </row>
    <row r="834" spans="1:5" x14ac:dyDescent="0.35">
      <c r="A834" s="14" t="s">
        <v>1175</v>
      </c>
      <c r="B834" s="41">
        <v>149</v>
      </c>
      <c r="D834" s="14" t="s">
        <v>122</v>
      </c>
      <c r="E834" s="41">
        <v>126</v>
      </c>
    </row>
    <row r="835" spans="1:5" x14ac:dyDescent="0.35">
      <c r="A835" s="14" t="s">
        <v>1040</v>
      </c>
      <c r="B835" s="41">
        <v>183</v>
      </c>
      <c r="D835" s="14" t="s">
        <v>1402</v>
      </c>
      <c r="E835" s="41">
        <v>126</v>
      </c>
    </row>
    <row r="836" spans="1:5" x14ac:dyDescent="0.35">
      <c r="A836" s="14" t="s">
        <v>194</v>
      </c>
      <c r="B836" s="41">
        <v>123</v>
      </c>
      <c r="D836" s="14" t="s">
        <v>405</v>
      </c>
      <c r="E836" s="41">
        <v>125.66666666666667</v>
      </c>
    </row>
    <row r="837" spans="1:5" x14ac:dyDescent="0.35">
      <c r="A837" s="14" t="s">
        <v>540</v>
      </c>
      <c r="B837" s="41">
        <v>136.33333333333334</v>
      </c>
      <c r="D837" s="14" t="s">
        <v>1050</v>
      </c>
      <c r="E837" s="41">
        <v>125</v>
      </c>
    </row>
    <row r="838" spans="1:5" x14ac:dyDescent="0.35">
      <c r="A838" s="14" t="s">
        <v>1394</v>
      </c>
      <c r="B838" s="41">
        <v>71</v>
      </c>
      <c r="D838" s="14" t="s">
        <v>1203</v>
      </c>
      <c r="E838" s="41">
        <v>124.5</v>
      </c>
    </row>
    <row r="839" spans="1:5" x14ac:dyDescent="0.35">
      <c r="A839" s="14" t="s">
        <v>1475</v>
      </c>
      <c r="B839" s="41">
        <v>229</v>
      </c>
      <c r="D839" s="14" t="s">
        <v>48</v>
      </c>
      <c r="E839" s="41">
        <v>123.5</v>
      </c>
    </row>
    <row r="840" spans="1:5" x14ac:dyDescent="0.35">
      <c r="A840" s="14" t="s">
        <v>1906</v>
      </c>
      <c r="B840" s="41">
        <v>191</v>
      </c>
      <c r="D840" s="14" t="s">
        <v>926</v>
      </c>
      <c r="E840" s="41">
        <v>123.25</v>
      </c>
    </row>
    <row r="841" spans="1:5" x14ac:dyDescent="0.35">
      <c r="A841" s="14" t="s">
        <v>1351</v>
      </c>
      <c r="B841" s="41">
        <v>25</v>
      </c>
      <c r="D841" s="14" t="s">
        <v>194</v>
      </c>
      <c r="E841" s="41">
        <v>123</v>
      </c>
    </row>
    <row r="842" spans="1:5" x14ac:dyDescent="0.35">
      <c r="A842" s="14" t="s">
        <v>421</v>
      </c>
      <c r="B842" s="41">
        <v>201</v>
      </c>
      <c r="D842" s="14" t="s">
        <v>1012</v>
      </c>
      <c r="E842" s="41">
        <v>122.5</v>
      </c>
    </row>
    <row r="843" spans="1:5" x14ac:dyDescent="0.35">
      <c r="A843" s="14" t="s">
        <v>138</v>
      </c>
      <c r="B843" s="41">
        <v>93.777777777777771</v>
      </c>
      <c r="D843" s="14" t="s">
        <v>334</v>
      </c>
      <c r="E843" s="41">
        <v>122</v>
      </c>
    </row>
    <row r="844" spans="1:5" x14ac:dyDescent="0.35">
      <c r="A844" s="14" t="s">
        <v>343</v>
      </c>
      <c r="B844" s="41">
        <v>34</v>
      </c>
      <c r="D844" s="14" t="s">
        <v>1194</v>
      </c>
      <c r="E844" s="41">
        <v>121</v>
      </c>
    </row>
    <row r="845" spans="1:5" x14ac:dyDescent="0.35">
      <c r="A845" s="14" t="s">
        <v>2403</v>
      </c>
      <c r="B845" s="41">
        <v>140</v>
      </c>
      <c r="D845" s="14" t="s">
        <v>518</v>
      </c>
      <c r="E845" s="41">
        <v>119.6</v>
      </c>
    </row>
    <row r="846" spans="1:5" x14ac:dyDescent="0.35">
      <c r="A846" s="14" t="s">
        <v>882</v>
      </c>
      <c r="B846" s="41">
        <v>194</v>
      </c>
      <c r="D846" s="14" t="s">
        <v>152</v>
      </c>
      <c r="E846" s="41">
        <v>119</v>
      </c>
    </row>
    <row r="847" spans="1:5" x14ac:dyDescent="0.35">
      <c r="A847" s="14" t="s">
        <v>513</v>
      </c>
      <c r="B847" s="41">
        <v>287</v>
      </c>
      <c r="D847" s="14" t="s">
        <v>259</v>
      </c>
      <c r="E847" s="41">
        <v>118.33333333333333</v>
      </c>
    </row>
    <row r="848" spans="1:5" x14ac:dyDescent="0.35">
      <c r="A848" s="14" t="s">
        <v>2180</v>
      </c>
      <c r="B848" s="41">
        <v>149.66666666666666</v>
      </c>
      <c r="D848" s="14" t="s">
        <v>356</v>
      </c>
      <c r="E848" s="41">
        <v>117</v>
      </c>
    </row>
    <row r="849" spans="1:5" x14ac:dyDescent="0.35">
      <c r="A849" s="14" t="s">
        <v>312</v>
      </c>
      <c r="B849" s="41">
        <v>64.666666666666671</v>
      </c>
      <c r="D849" s="14" t="s">
        <v>1054</v>
      </c>
      <c r="E849" s="41">
        <v>116.75</v>
      </c>
    </row>
    <row r="850" spans="1:5" x14ac:dyDescent="0.35">
      <c r="A850" s="14" t="s">
        <v>1332</v>
      </c>
      <c r="B850" s="41">
        <v>134</v>
      </c>
      <c r="D850" s="14" t="s">
        <v>3309</v>
      </c>
      <c r="E850" s="41">
        <v>116</v>
      </c>
    </row>
    <row r="851" spans="1:5" x14ac:dyDescent="0.35">
      <c r="A851" s="14" t="s">
        <v>886</v>
      </c>
      <c r="B851" s="41">
        <v>184</v>
      </c>
      <c r="D851" s="14" t="s">
        <v>388</v>
      </c>
      <c r="E851" s="41">
        <v>115.5</v>
      </c>
    </row>
    <row r="852" spans="1:5" x14ac:dyDescent="0.35">
      <c r="A852" s="14" t="s">
        <v>405</v>
      </c>
      <c r="B852" s="41">
        <v>125.66666666666667</v>
      </c>
      <c r="D852" s="14" t="s">
        <v>1795</v>
      </c>
      <c r="E852" s="41">
        <v>115.5</v>
      </c>
    </row>
    <row r="853" spans="1:5" x14ac:dyDescent="0.35">
      <c r="A853" s="14" t="s">
        <v>2363</v>
      </c>
      <c r="B853" s="41">
        <v>340</v>
      </c>
      <c r="D853" s="14" t="s">
        <v>2568</v>
      </c>
      <c r="E853" s="41">
        <v>115</v>
      </c>
    </row>
    <row r="854" spans="1:5" x14ac:dyDescent="0.35">
      <c r="A854" s="14" t="s">
        <v>1926</v>
      </c>
      <c r="B854" s="41">
        <v>185</v>
      </c>
      <c r="D854" s="14" t="s">
        <v>2455</v>
      </c>
      <c r="E854" s="41">
        <v>115</v>
      </c>
    </row>
    <row r="855" spans="1:5" x14ac:dyDescent="0.35">
      <c r="A855" s="14" t="s">
        <v>2568</v>
      </c>
      <c r="B855" s="41">
        <v>115</v>
      </c>
      <c r="D855" s="14" t="s">
        <v>2925</v>
      </c>
      <c r="E855" s="41">
        <v>114.33333333333333</v>
      </c>
    </row>
    <row r="856" spans="1:5" x14ac:dyDescent="0.35">
      <c r="A856" s="14" t="s">
        <v>347</v>
      </c>
      <c r="B856" s="41">
        <v>51</v>
      </c>
      <c r="D856" s="14" t="s">
        <v>900</v>
      </c>
      <c r="E856" s="41">
        <v>113.66666666666667</v>
      </c>
    </row>
    <row r="857" spans="1:5" x14ac:dyDescent="0.35">
      <c r="A857" s="14" t="s">
        <v>1498</v>
      </c>
      <c r="B857" s="41">
        <v>201</v>
      </c>
      <c r="D857" s="14" t="s">
        <v>3091</v>
      </c>
      <c r="E857" s="41">
        <v>113</v>
      </c>
    </row>
    <row r="858" spans="1:5" x14ac:dyDescent="0.35">
      <c r="A858" s="14" t="s">
        <v>1370</v>
      </c>
      <c r="B858" s="41">
        <v>132</v>
      </c>
      <c r="D858" s="14" t="s">
        <v>2900</v>
      </c>
      <c r="E858" s="41">
        <v>113</v>
      </c>
    </row>
    <row r="859" spans="1:5" x14ac:dyDescent="0.35">
      <c r="A859" s="14" t="s">
        <v>294</v>
      </c>
      <c r="B859" s="41">
        <v>149.5</v>
      </c>
      <c r="D859" s="14" t="s">
        <v>19</v>
      </c>
      <c r="E859" s="41">
        <v>112</v>
      </c>
    </row>
    <row r="860" spans="1:5" x14ac:dyDescent="0.35">
      <c r="A860" s="14" t="s">
        <v>755</v>
      </c>
      <c r="B860" s="41">
        <v>82</v>
      </c>
      <c r="D860" s="14" t="s">
        <v>2941</v>
      </c>
      <c r="E860" s="41">
        <v>111</v>
      </c>
    </row>
    <row r="861" spans="1:5" x14ac:dyDescent="0.35">
      <c r="A861" s="14" t="s">
        <v>1438</v>
      </c>
      <c r="B861" s="41">
        <v>69</v>
      </c>
      <c r="D861" s="14" t="s">
        <v>2525</v>
      </c>
      <c r="E861" s="41">
        <v>110</v>
      </c>
    </row>
    <row r="862" spans="1:5" x14ac:dyDescent="0.35">
      <c r="A862" s="14" t="s">
        <v>66</v>
      </c>
      <c r="B862" s="41">
        <v>155</v>
      </c>
      <c r="D862" s="14" t="s">
        <v>1770</v>
      </c>
      <c r="E862" s="41">
        <v>110</v>
      </c>
    </row>
    <row r="863" spans="1:5" x14ac:dyDescent="0.35">
      <c r="A863" s="14" t="s">
        <v>1675</v>
      </c>
      <c r="B863" s="41">
        <v>335</v>
      </c>
      <c r="D863" s="14" t="s">
        <v>1127</v>
      </c>
      <c r="E863" s="41">
        <v>109.16666666666667</v>
      </c>
    </row>
    <row r="864" spans="1:5" x14ac:dyDescent="0.35">
      <c r="A864" s="14" t="s">
        <v>1160</v>
      </c>
      <c r="B864" s="41">
        <v>167.5</v>
      </c>
      <c r="D864" s="14" t="s">
        <v>2128</v>
      </c>
      <c r="E864" s="41">
        <v>109</v>
      </c>
    </row>
    <row r="865" spans="1:5" x14ac:dyDescent="0.35">
      <c r="A865" s="14" t="s">
        <v>1582</v>
      </c>
      <c r="B865" s="41">
        <v>206</v>
      </c>
      <c r="D865" s="14" t="s">
        <v>226</v>
      </c>
      <c r="E865" s="41">
        <v>108.5</v>
      </c>
    </row>
    <row r="866" spans="1:5" x14ac:dyDescent="0.35">
      <c r="A866" s="14" t="s">
        <v>299</v>
      </c>
      <c r="B866" s="41">
        <v>167</v>
      </c>
      <c r="D866" s="14" t="s">
        <v>1609</v>
      </c>
      <c r="E866" s="41">
        <v>108</v>
      </c>
    </row>
    <row r="867" spans="1:5" x14ac:dyDescent="0.35">
      <c r="A867" s="14" t="s">
        <v>2815</v>
      </c>
      <c r="B867" s="41">
        <v>178</v>
      </c>
      <c r="D867" s="14" t="s">
        <v>33</v>
      </c>
      <c r="E867" s="41">
        <v>107.66666666666667</v>
      </c>
    </row>
    <row r="868" spans="1:5" x14ac:dyDescent="0.35">
      <c r="A868" s="14" t="s">
        <v>721</v>
      </c>
      <c r="B868" s="41">
        <v>80</v>
      </c>
      <c r="D868" s="14" t="s">
        <v>128</v>
      </c>
      <c r="E868" s="41">
        <v>107.5</v>
      </c>
    </row>
    <row r="869" spans="1:5" x14ac:dyDescent="0.35">
      <c r="A869" s="14" t="s">
        <v>578</v>
      </c>
      <c r="B869" s="41">
        <v>104</v>
      </c>
      <c r="D869" s="14" t="s">
        <v>2713</v>
      </c>
      <c r="E869" s="41">
        <v>107</v>
      </c>
    </row>
    <row r="870" spans="1:5" x14ac:dyDescent="0.35">
      <c r="A870" s="14" t="s">
        <v>778</v>
      </c>
      <c r="B870" s="41">
        <v>98.166666666666671</v>
      </c>
      <c r="D870" s="14" t="s">
        <v>500</v>
      </c>
      <c r="E870" s="41">
        <v>106.66666666666667</v>
      </c>
    </row>
    <row r="871" spans="1:5" x14ac:dyDescent="0.35">
      <c r="A871" s="14" t="s">
        <v>398</v>
      </c>
      <c r="B871" s="41">
        <v>51</v>
      </c>
      <c r="D871" s="14" t="s">
        <v>670</v>
      </c>
      <c r="E871" s="41">
        <v>106.5</v>
      </c>
    </row>
    <row r="872" spans="1:5" x14ac:dyDescent="0.35">
      <c r="A872" s="14" t="s">
        <v>3266</v>
      </c>
      <c r="B872" s="41">
        <v>51</v>
      </c>
      <c r="D872" s="14" t="s">
        <v>1307</v>
      </c>
      <c r="E872" s="41">
        <v>105</v>
      </c>
    </row>
    <row r="873" spans="1:5" x14ac:dyDescent="0.35">
      <c r="A873" s="14" t="s">
        <v>2723</v>
      </c>
      <c r="B873" s="41">
        <v>232</v>
      </c>
      <c r="D873" s="14" t="s">
        <v>578</v>
      </c>
      <c r="E873" s="41">
        <v>104</v>
      </c>
    </row>
    <row r="874" spans="1:5" x14ac:dyDescent="0.35">
      <c r="A874" s="14" t="s">
        <v>2925</v>
      </c>
      <c r="B874" s="41">
        <v>114.33333333333333</v>
      </c>
      <c r="D874" s="14" t="s">
        <v>1214</v>
      </c>
      <c r="E874" s="41">
        <v>104</v>
      </c>
    </row>
    <row r="875" spans="1:5" x14ac:dyDescent="0.35">
      <c r="A875" s="14" t="s">
        <v>588</v>
      </c>
      <c r="B875" s="41">
        <v>140.66666666666666</v>
      </c>
      <c r="D875" s="14" t="s">
        <v>628</v>
      </c>
      <c r="E875" s="41">
        <v>103.5</v>
      </c>
    </row>
    <row r="876" spans="1:5" x14ac:dyDescent="0.35">
      <c r="A876" s="14" t="s">
        <v>1214</v>
      </c>
      <c r="B876" s="41">
        <v>104</v>
      </c>
      <c r="D876" s="14" t="s">
        <v>1110</v>
      </c>
      <c r="E876" s="41">
        <v>103</v>
      </c>
    </row>
    <row r="877" spans="1:5" x14ac:dyDescent="0.35">
      <c r="A877" s="14" t="s">
        <v>152</v>
      </c>
      <c r="B877" s="41">
        <v>119</v>
      </c>
      <c r="D877" s="14" t="s">
        <v>43</v>
      </c>
      <c r="E877" s="41">
        <v>101.6</v>
      </c>
    </row>
    <row r="878" spans="1:5" x14ac:dyDescent="0.35">
      <c r="A878" s="14" t="s">
        <v>657</v>
      </c>
      <c r="B878" s="41">
        <v>203</v>
      </c>
      <c r="D878" s="14" t="s">
        <v>451</v>
      </c>
      <c r="E878" s="41">
        <v>101</v>
      </c>
    </row>
    <row r="879" spans="1:5" x14ac:dyDescent="0.35">
      <c r="A879" s="14" t="s">
        <v>1536</v>
      </c>
      <c r="B879" s="41">
        <v>213.66666666666666</v>
      </c>
      <c r="D879" s="14" t="s">
        <v>1303</v>
      </c>
      <c r="E879" s="41">
        <v>100.66666666666667</v>
      </c>
    </row>
    <row r="880" spans="1:5" x14ac:dyDescent="0.35">
      <c r="A880" s="14" t="s">
        <v>199</v>
      </c>
      <c r="B880" s="41">
        <v>180.28571428571428</v>
      </c>
      <c r="D880" s="14" t="s">
        <v>522</v>
      </c>
      <c r="E880" s="41">
        <v>99</v>
      </c>
    </row>
    <row r="881" spans="1:5" x14ac:dyDescent="0.35">
      <c r="A881" s="14" t="s">
        <v>1012</v>
      </c>
      <c r="B881" s="41">
        <v>122.5</v>
      </c>
      <c r="D881" s="14" t="s">
        <v>3371</v>
      </c>
      <c r="E881" s="41">
        <v>99</v>
      </c>
    </row>
    <row r="882" spans="1:5" x14ac:dyDescent="0.35">
      <c r="A882" s="14" t="s">
        <v>1110</v>
      </c>
      <c r="B882" s="41">
        <v>103</v>
      </c>
      <c r="D882" s="14" t="s">
        <v>729</v>
      </c>
      <c r="E882" s="41">
        <v>99</v>
      </c>
    </row>
    <row r="883" spans="1:5" x14ac:dyDescent="0.35">
      <c r="A883" s="14" t="s">
        <v>388</v>
      </c>
      <c r="B883" s="41">
        <v>115.5</v>
      </c>
      <c r="D883" s="14" t="s">
        <v>818</v>
      </c>
      <c r="E883" s="41">
        <v>98.75</v>
      </c>
    </row>
    <row r="884" spans="1:5" x14ac:dyDescent="0.35">
      <c r="A884" s="14" t="s">
        <v>696</v>
      </c>
      <c r="B884" s="41">
        <v>90.666666666666671</v>
      </c>
      <c r="D884" s="14" t="s">
        <v>778</v>
      </c>
      <c r="E884" s="41">
        <v>98.166666666666671</v>
      </c>
    </row>
    <row r="885" spans="1:5" x14ac:dyDescent="0.35">
      <c r="A885" s="14" t="s">
        <v>1465</v>
      </c>
      <c r="B885" s="41">
        <v>23</v>
      </c>
      <c r="D885" s="14" t="s">
        <v>1671</v>
      </c>
      <c r="E885" s="41">
        <v>98</v>
      </c>
    </row>
    <row r="886" spans="1:5" x14ac:dyDescent="0.35">
      <c r="A886" s="14" t="s">
        <v>1328</v>
      </c>
      <c r="B886" s="41">
        <v>81</v>
      </c>
      <c r="D886" s="14" t="s">
        <v>117</v>
      </c>
      <c r="E886" s="41">
        <v>97.5</v>
      </c>
    </row>
    <row r="887" spans="1:5" x14ac:dyDescent="0.35">
      <c r="A887" s="14" t="s">
        <v>2199</v>
      </c>
      <c r="B887" s="41">
        <v>6</v>
      </c>
      <c r="D887" s="14" t="s">
        <v>147</v>
      </c>
      <c r="E887" s="41">
        <v>97.5</v>
      </c>
    </row>
    <row r="888" spans="1:5" x14ac:dyDescent="0.35">
      <c r="A888" s="14" t="s">
        <v>264</v>
      </c>
      <c r="B888" s="41">
        <v>159</v>
      </c>
      <c r="D888" s="14" t="s">
        <v>3105</v>
      </c>
      <c r="E888" s="41">
        <v>96</v>
      </c>
    </row>
    <row r="889" spans="1:5" x14ac:dyDescent="0.35">
      <c r="A889" s="14" t="s">
        <v>583</v>
      </c>
      <c r="B889" s="41">
        <v>53</v>
      </c>
      <c r="D889" s="14" t="s">
        <v>3253</v>
      </c>
      <c r="E889" s="41">
        <v>95</v>
      </c>
    </row>
    <row r="890" spans="1:5" x14ac:dyDescent="0.35">
      <c r="A890" s="14" t="s">
        <v>1708</v>
      </c>
      <c r="B890" s="41">
        <v>228</v>
      </c>
      <c r="D890" s="14" t="s">
        <v>107</v>
      </c>
      <c r="E890" s="41">
        <v>94.333333333333329</v>
      </c>
    </row>
    <row r="891" spans="1:5" x14ac:dyDescent="0.35">
      <c r="A891" s="14" t="s">
        <v>2167</v>
      </c>
      <c r="B891" s="41">
        <v>198.5</v>
      </c>
      <c r="D891" s="14" t="s">
        <v>138</v>
      </c>
      <c r="E891" s="41">
        <v>93.777777777777771</v>
      </c>
    </row>
    <row r="892" spans="1:5" x14ac:dyDescent="0.35">
      <c r="A892" s="14" t="s">
        <v>203</v>
      </c>
      <c r="B892" s="41">
        <v>162.80000000000001</v>
      </c>
      <c r="D892" s="14" t="s">
        <v>316</v>
      </c>
      <c r="E892" s="41">
        <v>93.5</v>
      </c>
    </row>
    <row r="893" spans="1:5" x14ac:dyDescent="0.35">
      <c r="A893" s="14" t="s">
        <v>2253</v>
      </c>
      <c r="B893" s="41">
        <v>26</v>
      </c>
      <c r="D893" s="14" t="s">
        <v>2041</v>
      </c>
      <c r="E893" s="41">
        <v>93</v>
      </c>
    </row>
    <row r="894" spans="1:5" x14ac:dyDescent="0.35">
      <c r="A894" s="14" t="s">
        <v>249</v>
      </c>
      <c r="B894" s="41">
        <v>214</v>
      </c>
      <c r="D894" s="14" t="s">
        <v>1719</v>
      </c>
      <c r="E894" s="41">
        <v>92.333333333333329</v>
      </c>
    </row>
    <row r="895" spans="1:5" x14ac:dyDescent="0.35">
      <c r="A895" s="14" t="s">
        <v>1599</v>
      </c>
      <c r="B895" s="41">
        <v>218.66666666666666</v>
      </c>
      <c r="D895" s="14" t="s">
        <v>782</v>
      </c>
      <c r="E895" s="41">
        <v>91</v>
      </c>
    </row>
    <row r="896" spans="1:5" x14ac:dyDescent="0.35">
      <c r="A896" s="14" t="s">
        <v>351</v>
      </c>
      <c r="B896" s="41">
        <v>68</v>
      </c>
      <c r="D896" s="14" t="s">
        <v>81</v>
      </c>
      <c r="E896" s="41">
        <v>91</v>
      </c>
    </row>
    <row r="897" spans="1:5" x14ac:dyDescent="0.35">
      <c r="A897" s="14" t="s">
        <v>763</v>
      </c>
      <c r="B897" s="41">
        <v>174</v>
      </c>
      <c r="D897" s="14" t="s">
        <v>550</v>
      </c>
      <c r="E897" s="41">
        <v>91</v>
      </c>
    </row>
    <row r="898" spans="1:5" x14ac:dyDescent="0.35">
      <c r="A898" s="14" t="s">
        <v>1249</v>
      </c>
      <c r="B898" s="41">
        <v>49.5</v>
      </c>
      <c r="D898" s="14" t="s">
        <v>696</v>
      </c>
      <c r="E898" s="41">
        <v>90.666666666666671</v>
      </c>
    </row>
    <row r="899" spans="1:5" x14ac:dyDescent="0.35">
      <c r="A899" s="14" t="s">
        <v>729</v>
      </c>
      <c r="B899" s="41">
        <v>99</v>
      </c>
      <c r="D899" s="14" t="s">
        <v>1180</v>
      </c>
      <c r="E899" s="41">
        <v>90</v>
      </c>
    </row>
    <row r="900" spans="1:5" x14ac:dyDescent="0.35">
      <c r="A900" s="14" t="s">
        <v>2144</v>
      </c>
      <c r="B900" s="41">
        <v>166</v>
      </c>
      <c r="D900" s="14" t="s">
        <v>1704</v>
      </c>
      <c r="E900" s="41">
        <v>89.333333333333329</v>
      </c>
    </row>
    <row r="901" spans="1:5" x14ac:dyDescent="0.35">
      <c r="A901" s="14" t="s">
        <v>1697</v>
      </c>
      <c r="B901" s="41">
        <v>49</v>
      </c>
      <c r="D901" s="14" t="s">
        <v>1877</v>
      </c>
      <c r="E901" s="41">
        <v>89.333333333333329</v>
      </c>
    </row>
    <row r="902" spans="1:5" x14ac:dyDescent="0.35">
      <c r="A902" s="14" t="s">
        <v>207</v>
      </c>
      <c r="B902" s="41">
        <v>83.6</v>
      </c>
      <c r="D902" s="14" t="s">
        <v>133</v>
      </c>
      <c r="E902" s="41">
        <v>89</v>
      </c>
    </row>
    <row r="903" spans="1:5" x14ac:dyDescent="0.35">
      <c r="A903" s="14" t="s">
        <v>1303</v>
      </c>
      <c r="B903" s="41">
        <v>100.66666666666667</v>
      </c>
      <c r="D903" s="14" t="s">
        <v>2260</v>
      </c>
      <c r="E903" s="41">
        <v>88.5</v>
      </c>
    </row>
    <row r="904" spans="1:5" x14ac:dyDescent="0.35">
      <c r="A904" s="14" t="s">
        <v>2542</v>
      </c>
      <c r="B904" s="41">
        <v>58</v>
      </c>
      <c r="D904" s="14" t="s">
        <v>166</v>
      </c>
      <c r="E904" s="41">
        <v>87.5</v>
      </c>
    </row>
    <row r="905" spans="1:5" x14ac:dyDescent="0.35">
      <c r="A905" s="14" t="s">
        <v>2455</v>
      </c>
      <c r="B905" s="41">
        <v>115</v>
      </c>
      <c r="D905" s="14" t="s">
        <v>692</v>
      </c>
      <c r="E905" s="41">
        <v>86.75</v>
      </c>
    </row>
    <row r="906" spans="1:5" x14ac:dyDescent="0.35">
      <c r="A906" s="14" t="s">
        <v>2496</v>
      </c>
      <c r="B906" s="41">
        <v>137</v>
      </c>
      <c r="D906" s="14" t="s">
        <v>2856</v>
      </c>
      <c r="E906" s="41">
        <v>86</v>
      </c>
    </row>
    <row r="907" spans="1:5" x14ac:dyDescent="0.35">
      <c r="A907" s="14" t="s">
        <v>608</v>
      </c>
      <c r="B907" s="41">
        <v>189.5</v>
      </c>
      <c r="D907" s="14" t="s">
        <v>1479</v>
      </c>
      <c r="E907" s="41">
        <v>86</v>
      </c>
    </row>
    <row r="908" spans="1:5" x14ac:dyDescent="0.35">
      <c r="A908" s="14" t="s">
        <v>1997</v>
      </c>
      <c r="B908" s="41">
        <v>70</v>
      </c>
      <c r="D908" s="14" t="s">
        <v>1819</v>
      </c>
      <c r="E908" s="41">
        <v>86</v>
      </c>
    </row>
    <row r="909" spans="1:5" x14ac:dyDescent="0.35">
      <c r="A909" s="14" t="s">
        <v>912</v>
      </c>
      <c r="B909" s="41">
        <v>154.66666666666666</v>
      </c>
      <c r="D909" s="14" t="s">
        <v>1595</v>
      </c>
      <c r="E909" s="41">
        <v>85</v>
      </c>
    </row>
    <row r="910" spans="1:5" x14ac:dyDescent="0.35">
      <c r="A910" s="14" t="s">
        <v>926</v>
      </c>
      <c r="B910" s="41">
        <v>123.25</v>
      </c>
      <c r="D910" s="14" t="s">
        <v>207</v>
      </c>
      <c r="E910" s="41">
        <v>83.6</v>
      </c>
    </row>
    <row r="911" spans="1:5" x14ac:dyDescent="0.35">
      <c r="A911" s="14" t="s">
        <v>1194</v>
      </c>
      <c r="B911" s="41">
        <v>121</v>
      </c>
      <c r="D911" s="14" t="s">
        <v>496</v>
      </c>
      <c r="E911" s="41">
        <v>83</v>
      </c>
    </row>
    <row r="912" spans="1:5" x14ac:dyDescent="0.35">
      <c r="A912" s="14" t="s">
        <v>112</v>
      </c>
      <c r="B912" s="41">
        <v>155.75</v>
      </c>
      <c r="D912" s="14" t="s">
        <v>755</v>
      </c>
      <c r="E912" s="41">
        <v>82</v>
      </c>
    </row>
    <row r="913" spans="1:5" x14ac:dyDescent="0.35">
      <c r="A913" s="14" t="s">
        <v>254</v>
      </c>
      <c r="B913" s="41">
        <v>135</v>
      </c>
      <c r="D913" s="14" t="s">
        <v>268</v>
      </c>
      <c r="E913" s="41">
        <v>81.5</v>
      </c>
    </row>
    <row r="914" spans="1:5" x14ac:dyDescent="0.35">
      <c r="A914" s="14" t="s">
        <v>486</v>
      </c>
      <c r="B914" s="41">
        <v>19</v>
      </c>
      <c r="D914" s="14" t="s">
        <v>1328</v>
      </c>
      <c r="E914" s="41">
        <v>81</v>
      </c>
    </row>
    <row r="915" spans="1:5" x14ac:dyDescent="0.35">
      <c r="A915" s="14" t="s">
        <v>1398</v>
      </c>
      <c r="B915" s="41">
        <v>51</v>
      </c>
      <c r="D915" s="14" t="s">
        <v>2994</v>
      </c>
      <c r="E915" s="41">
        <v>81</v>
      </c>
    </row>
    <row r="916" spans="1:5" x14ac:dyDescent="0.35">
      <c r="A916" s="14" t="s">
        <v>808</v>
      </c>
      <c r="B916" s="41">
        <v>288</v>
      </c>
      <c r="D916" s="14" t="s">
        <v>721</v>
      </c>
      <c r="E916" s="41">
        <v>80</v>
      </c>
    </row>
    <row r="917" spans="1:5" x14ac:dyDescent="0.35">
      <c r="A917" s="14" t="s">
        <v>231</v>
      </c>
      <c r="B917" s="41">
        <v>198.5</v>
      </c>
      <c r="D917" s="14" t="s">
        <v>875</v>
      </c>
      <c r="E917" s="41">
        <v>79</v>
      </c>
    </row>
    <row r="918" spans="1:5" x14ac:dyDescent="0.35">
      <c r="A918" s="14" t="s">
        <v>2713</v>
      </c>
      <c r="B918" s="41">
        <v>107</v>
      </c>
      <c r="D918" s="14" t="s">
        <v>1913</v>
      </c>
      <c r="E918" s="41">
        <v>79</v>
      </c>
    </row>
    <row r="919" spans="1:5" x14ac:dyDescent="0.35">
      <c r="A919" s="14" t="s">
        <v>281</v>
      </c>
      <c r="B919" s="41">
        <v>142</v>
      </c>
      <c r="D919" s="14" t="s">
        <v>1987</v>
      </c>
      <c r="E919" s="41">
        <v>78</v>
      </c>
    </row>
    <row r="920" spans="1:5" x14ac:dyDescent="0.35">
      <c r="A920" s="14" t="s">
        <v>1156</v>
      </c>
      <c r="B920" s="41">
        <v>148</v>
      </c>
      <c r="D920" s="14" t="s">
        <v>570</v>
      </c>
      <c r="E920" s="41">
        <v>77</v>
      </c>
    </row>
    <row r="921" spans="1:5" x14ac:dyDescent="0.35">
      <c r="A921" s="14" t="s">
        <v>157</v>
      </c>
      <c r="B921" s="41">
        <v>143.66666666666666</v>
      </c>
      <c r="D921" s="14" t="s">
        <v>532</v>
      </c>
      <c r="E921" s="41">
        <v>76.5</v>
      </c>
    </row>
    <row r="922" spans="1:5" x14ac:dyDescent="0.35">
      <c r="A922" s="14" t="s">
        <v>1877</v>
      </c>
      <c r="B922" s="41">
        <v>89.333333333333329</v>
      </c>
      <c r="D922" s="14" t="s">
        <v>922</v>
      </c>
      <c r="E922" s="41">
        <v>76.25</v>
      </c>
    </row>
    <row r="923" spans="1:5" x14ac:dyDescent="0.35">
      <c r="A923" s="14" t="s">
        <v>212</v>
      </c>
      <c r="B923" s="41">
        <v>58</v>
      </c>
      <c r="D923" s="14" t="s">
        <v>26</v>
      </c>
      <c r="E923" s="41">
        <v>74.333333333333329</v>
      </c>
    </row>
    <row r="924" spans="1:5" x14ac:dyDescent="0.35">
      <c r="A924" s="14" t="s">
        <v>527</v>
      </c>
      <c r="B924" s="41">
        <v>303</v>
      </c>
      <c r="D924" s="14" t="s">
        <v>1058</v>
      </c>
      <c r="E924" s="41">
        <v>74</v>
      </c>
    </row>
    <row r="925" spans="1:5" x14ac:dyDescent="0.35">
      <c r="A925" s="14" t="s">
        <v>1805</v>
      </c>
      <c r="B925" s="41">
        <v>46</v>
      </c>
      <c r="D925" s="14" t="s">
        <v>1842</v>
      </c>
      <c r="E925" s="41">
        <v>73</v>
      </c>
    </row>
    <row r="926" spans="1:5" x14ac:dyDescent="0.35">
      <c r="A926" s="14" t="s">
        <v>1180</v>
      </c>
      <c r="B926" s="41">
        <v>90</v>
      </c>
      <c r="D926" s="14" t="s">
        <v>1617</v>
      </c>
      <c r="E926" s="41">
        <v>73</v>
      </c>
    </row>
    <row r="927" spans="1:5" x14ac:dyDescent="0.35">
      <c r="A927" s="14" t="s">
        <v>259</v>
      </c>
      <c r="B927" s="41">
        <v>118.33333333333333</v>
      </c>
      <c r="D927" s="14" t="s">
        <v>1766</v>
      </c>
      <c r="E927" s="41">
        <v>73</v>
      </c>
    </row>
    <row r="928" spans="1:5" x14ac:dyDescent="0.35">
      <c r="A928" s="14" t="s">
        <v>1578</v>
      </c>
      <c r="B928" s="41">
        <v>162.33333333333334</v>
      </c>
      <c r="D928" s="14" t="s">
        <v>1394</v>
      </c>
      <c r="E928" s="41">
        <v>71</v>
      </c>
    </row>
    <row r="929" spans="1:5" x14ac:dyDescent="0.35">
      <c r="A929" s="14" t="s">
        <v>1020</v>
      </c>
      <c r="B929" s="41">
        <v>136</v>
      </c>
      <c r="D929" s="14" t="s">
        <v>1505</v>
      </c>
      <c r="E929" s="41">
        <v>71</v>
      </c>
    </row>
    <row r="930" spans="1:5" x14ac:dyDescent="0.35">
      <c r="A930" s="14" t="s">
        <v>774</v>
      </c>
      <c r="B930" s="41">
        <v>26</v>
      </c>
      <c r="D930" s="14" t="s">
        <v>620</v>
      </c>
      <c r="E930" s="41">
        <v>70</v>
      </c>
    </row>
    <row r="931" spans="1:5" x14ac:dyDescent="0.35">
      <c r="A931" s="14" t="s">
        <v>2564</v>
      </c>
      <c r="B931" s="41">
        <v>192</v>
      </c>
      <c r="D931" s="14" t="s">
        <v>1997</v>
      </c>
      <c r="E931" s="41">
        <v>70</v>
      </c>
    </row>
    <row r="932" spans="1:5" x14ac:dyDescent="0.35">
      <c r="A932" s="14" t="s">
        <v>1743</v>
      </c>
      <c r="B932" s="41">
        <v>181.4</v>
      </c>
      <c r="D932" s="14" t="s">
        <v>948</v>
      </c>
      <c r="E932" s="41">
        <v>70</v>
      </c>
    </row>
    <row r="933" spans="1:5" x14ac:dyDescent="0.35">
      <c r="A933" s="14" t="s">
        <v>2041</v>
      </c>
      <c r="B933" s="41">
        <v>93</v>
      </c>
      <c r="D933" s="14" t="s">
        <v>1438</v>
      </c>
      <c r="E933" s="41">
        <v>69</v>
      </c>
    </row>
    <row r="934" spans="1:5" x14ac:dyDescent="0.35">
      <c r="A934" s="14" t="s">
        <v>1550</v>
      </c>
      <c r="B934" s="41">
        <v>62.5</v>
      </c>
      <c r="D934" s="14" t="s">
        <v>434</v>
      </c>
      <c r="E934" s="41">
        <v>68.75</v>
      </c>
    </row>
    <row r="935" spans="1:5" x14ac:dyDescent="0.35">
      <c r="A935" s="14" t="s">
        <v>875</v>
      </c>
      <c r="B935" s="41">
        <v>79</v>
      </c>
      <c r="D935" s="14" t="s">
        <v>364</v>
      </c>
      <c r="E935" s="41">
        <v>68.333333333333329</v>
      </c>
    </row>
    <row r="936" spans="1:5" x14ac:dyDescent="0.35">
      <c r="A936" s="14" t="s">
        <v>3091</v>
      </c>
      <c r="B936" s="41">
        <v>113</v>
      </c>
      <c r="D936" s="14" t="s">
        <v>351</v>
      </c>
      <c r="E936" s="41">
        <v>68</v>
      </c>
    </row>
    <row r="937" spans="1:5" x14ac:dyDescent="0.35">
      <c r="A937" s="14" t="s">
        <v>943</v>
      </c>
      <c r="B937" s="41">
        <v>186.5</v>
      </c>
      <c r="D937" s="14" t="s">
        <v>1870</v>
      </c>
      <c r="E937" s="41">
        <v>67.5</v>
      </c>
    </row>
    <row r="938" spans="1:5" x14ac:dyDescent="0.35">
      <c r="A938" s="14" t="s">
        <v>1402</v>
      </c>
      <c r="B938" s="41">
        <v>126</v>
      </c>
      <c r="D938" s="14" t="s">
        <v>1184</v>
      </c>
      <c r="E938" s="41">
        <v>66</v>
      </c>
    </row>
    <row r="939" spans="1:5" x14ac:dyDescent="0.35">
      <c r="A939" s="14" t="s">
        <v>948</v>
      </c>
      <c r="B939" s="41">
        <v>70</v>
      </c>
      <c r="D939" s="14" t="s">
        <v>3109</v>
      </c>
      <c r="E939" s="41">
        <v>66</v>
      </c>
    </row>
    <row r="940" spans="1:5" x14ac:dyDescent="0.35">
      <c r="A940" s="14" t="s">
        <v>393</v>
      </c>
      <c r="B940" s="41">
        <v>156</v>
      </c>
      <c r="D940" s="14" t="s">
        <v>312</v>
      </c>
      <c r="E940" s="41">
        <v>64.666666666666671</v>
      </c>
    </row>
    <row r="941" spans="1:5" x14ac:dyDescent="0.35">
      <c r="A941" s="14" t="s">
        <v>466</v>
      </c>
      <c r="B941" s="41">
        <v>137</v>
      </c>
      <c r="D941" s="14" t="s">
        <v>616</v>
      </c>
      <c r="E941" s="41">
        <v>63.75</v>
      </c>
    </row>
    <row r="942" spans="1:5" x14ac:dyDescent="0.35">
      <c r="A942" s="14" t="s">
        <v>3309</v>
      </c>
      <c r="B942" s="41">
        <v>116</v>
      </c>
      <c r="D942" s="14" t="s">
        <v>2001</v>
      </c>
      <c r="E942" s="41">
        <v>63.75</v>
      </c>
    </row>
    <row r="943" spans="1:5" x14ac:dyDescent="0.35">
      <c r="A943" s="14" t="s">
        <v>451</v>
      </c>
      <c r="B943" s="41">
        <v>101</v>
      </c>
      <c r="D943" s="14" t="s">
        <v>1282</v>
      </c>
      <c r="E943" s="41">
        <v>63</v>
      </c>
    </row>
    <row r="944" spans="1:5" x14ac:dyDescent="0.35">
      <c r="A944" s="14" t="s">
        <v>972</v>
      </c>
      <c r="B944" s="41">
        <v>62.666666666666664</v>
      </c>
      <c r="D944" s="14" t="s">
        <v>1253</v>
      </c>
      <c r="E944" s="41">
        <v>63</v>
      </c>
    </row>
    <row r="945" spans="1:5" x14ac:dyDescent="0.35">
      <c r="A945" s="14" t="s">
        <v>1455</v>
      </c>
      <c r="B945" s="41">
        <v>224</v>
      </c>
      <c r="D945" s="14" t="s">
        <v>972</v>
      </c>
      <c r="E945" s="41">
        <v>62.666666666666664</v>
      </c>
    </row>
    <row r="946" spans="1:5" x14ac:dyDescent="0.35">
      <c r="A946" s="14" t="s">
        <v>1505</v>
      </c>
      <c r="B946" s="41">
        <v>71</v>
      </c>
      <c r="D946" s="14" t="s">
        <v>1550</v>
      </c>
      <c r="E946" s="41">
        <v>62.5</v>
      </c>
    </row>
    <row r="947" spans="1:5" x14ac:dyDescent="0.35">
      <c r="A947" s="14" t="s">
        <v>321</v>
      </c>
      <c r="B947" s="41">
        <v>136</v>
      </c>
      <c r="D947" s="14" t="s">
        <v>1271</v>
      </c>
      <c r="E947" s="41">
        <v>62</v>
      </c>
    </row>
    <row r="948" spans="1:5" x14ac:dyDescent="0.35">
      <c r="A948" s="14" t="s">
        <v>147</v>
      </c>
      <c r="B948" s="41">
        <v>97.5</v>
      </c>
      <c r="D948" s="14" t="s">
        <v>1207</v>
      </c>
      <c r="E948" s="41">
        <v>61.666666666666664</v>
      </c>
    </row>
    <row r="949" spans="1:5" x14ac:dyDescent="0.35">
      <c r="A949" s="14" t="s">
        <v>1271</v>
      </c>
      <c r="B949" s="41">
        <v>62</v>
      </c>
      <c r="D949" s="14" t="s">
        <v>1164</v>
      </c>
      <c r="E949" s="41">
        <v>61</v>
      </c>
    </row>
    <row r="950" spans="1:5" x14ac:dyDescent="0.35">
      <c r="A950" s="14" t="s">
        <v>1164</v>
      </c>
      <c r="B950" s="41">
        <v>61</v>
      </c>
      <c r="D950" s="14" t="s">
        <v>893</v>
      </c>
      <c r="E950" s="41">
        <v>61</v>
      </c>
    </row>
    <row r="951" spans="1:5" x14ac:dyDescent="0.35">
      <c r="A951" s="14" t="s">
        <v>447</v>
      </c>
      <c r="B951" s="41">
        <v>35</v>
      </c>
      <c r="D951" s="14" t="s">
        <v>1739</v>
      </c>
      <c r="E951" s="41">
        <v>60</v>
      </c>
    </row>
    <row r="952" spans="1:5" x14ac:dyDescent="0.35">
      <c r="A952" s="14" t="s">
        <v>458</v>
      </c>
      <c r="B952" s="41">
        <v>227.33333333333334</v>
      </c>
      <c r="D952" s="14" t="s">
        <v>2542</v>
      </c>
      <c r="E952" s="41">
        <v>58</v>
      </c>
    </row>
    <row r="953" spans="1:5" x14ac:dyDescent="0.35">
      <c r="A953" s="14" t="s">
        <v>133</v>
      </c>
      <c r="B953" s="41">
        <v>89</v>
      </c>
      <c r="D953" s="14" t="s">
        <v>212</v>
      </c>
      <c r="E953" s="41">
        <v>58</v>
      </c>
    </row>
    <row r="954" spans="1:5" x14ac:dyDescent="0.35">
      <c r="A954" s="14" t="s">
        <v>2223</v>
      </c>
      <c r="B954" s="41">
        <v>147.5</v>
      </c>
      <c r="D954" s="14" t="s">
        <v>601</v>
      </c>
      <c r="E954" s="41">
        <v>57.5</v>
      </c>
    </row>
    <row r="955" spans="1:5" x14ac:dyDescent="0.35">
      <c r="A955" s="14" t="s">
        <v>2328</v>
      </c>
      <c r="B955" s="41">
        <v>190</v>
      </c>
      <c r="D955" s="14" t="s">
        <v>2893</v>
      </c>
      <c r="E955" s="41">
        <v>57</v>
      </c>
    </row>
    <row r="956" spans="1:5" x14ac:dyDescent="0.35">
      <c r="A956" s="14" t="s">
        <v>1207</v>
      </c>
      <c r="B956" s="41">
        <v>61.666666666666664</v>
      </c>
      <c r="D956" s="14" t="s">
        <v>1564</v>
      </c>
      <c r="E956" s="41">
        <v>56</v>
      </c>
    </row>
    <row r="957" spans="1:5" x14ac:dyDescent="0.35">
      <c r="A957" s="14" t="s">
        <v>1795</v>
      </c>
      <c r="B957" s="41">
        <v>115.5</v>
      </c>
      <c r="D957" s="14" t="s">
        <v>832</v>
      </c>
      <c r="E957" s="41">
        <v>55.666666666666664</v>
      </c>
    </row>
    <row r="958" spans="1:5" x14ac:dyDescent="0.35">
      <c r="A958" s="14" t="s">
        <v>2639</v>
      </c>
      <c r="B958" s="41">
        <v>50</v>
      </c>
      <c r="D958" s="14" t="s">
        <v>1105</v>
      </c>
      <c r="E958" s="41">
        <v>55</v>
      </c>
    </row>
    <row r="959" spans="1:5" x14ac:dyDescent="0.35">
      <c r="A959" s="14" t="s">
        <v>316</v>
      </c>
      <c r="B959" s="41">
        <v>93.5</v>
      </c>
      <c r="D959" s="14" t="s">
        <v>1829</v>
      </c>
      <c r="E959" s="41">
        <v>55</v>
      </c>
    </row>
    <row r="960" spans="1:5" x14ac:dyDescent="0.35">
      <c r="A960" s="14" t="s">
        <v>2900</v>
      </c>
      <c r="B960" s="41">
        <v>113</v>
      </c>
      <c r="D960" s="14" t="s">
        <v>637</v>
      </c>
      <c r="E960" s="41">
        <v>55</v>
      </c>
    </row>
    <row r="961" spans="1:5" x14ac:dyDescent="0.35">
      <c r="A961" s="14" t="s">
        <v>2994</v>
      </c>
      <c r="B961" s="41">
        <v>81</v>
      </c>
      <c r="D961" s="14" t="s">
        <v>2413</v>
      </c>
      <c r="E961" s="41">
        <v>54</v>
      </c>
    </row>
    <row r="962" spans="1:5" x14ac:dyDescent="0.35">
      <c r="A962" s="14" t="s">
        <v>962</v>
      </c>
      <c r="B962" s="41">
        <v>166</v>
      </c>
      <c r="D962" s="14" t="s">
        <v>583</v>
      </c>
      <c r="E962" s="41">
        <v>53</v>
      </c>
    </row>
    <row r="963" spans="1:5" x14ac:dyDescent="0.35">
      <c r="A963" s="14" t="s">
        <v>670</v>
      </c>
      <c r="B963" s="41">
        <v>106.5</v>
      </c>
      <c r="D963" s="14" t="s">
        <v>1756</v>
      </c>
      <c r="E963" s="41">
        <v>53</v>
      </c>
    </row>
    <row r="964" spans="1:5" x14ac:dyDescent="0.35">
      <c r="A964" s="14" t="s">
        <v>166</v>
      </c>
      <c r="B964" s="41">
        <v>87.5</v>
      </c>
      <c r="D964" s="14" t="s">
        <v>562</v>
      </c>
      <c r="E964" s="41">
        <v>52.25</v>
      </c>
    </row>
    <row r="965" spans="1:5" x14ac:dyDescent="0.35">
      <c r="A965" s="14" t="s">
        <v>360</v>
      </c>
      <c r="B965" s="41">
        <v>146</v>
      </c>
      <c r="D965" s="14" t="s">
        <v>1735</v>
      </c>
      <c r="E965" s="41">
        <v>52</v>
      </c>
    </row>
    <row r="966" spans="1:5" x14ac:dyDescent="0.35">
      <c r="A966" s="14" t="s">
        <v>2500</v>
      </c>
      <c r="B966" s="41">
        <v>279</v>
      </c>
      <c r="D966" s="14" t="s">
        <v>347</v>
      </c>
      <c r="E966" s="41">
        <v>51</v>
      </c>
    </row>
    <row r="967" spans="1:5" x14ac:dyDescent="0.35">
      <c r="A967" s="14" t="s">
        <v>555</v>
      </c>
      <c r="B967" s="41">
        <v>234</v>
      </c>
      <c r="D967" s="14" t="s">
        <v>398</v>
      </c>
      <c r="E967" s="41">
        <v>51</v>
      </c>
    </row>
    <row r="968" spans="1:5" x14ac:dyDescent="0.35">
      <c r="A968" s="14" t="s">
        <v>1374</v>
      </c>
      <c r="B968" s="41">
        <v>129.5</v>
      </c>
      <c r="D968" s="14" t="s">
        <v>3266</v>
      </c>
      <c r="E968" s="41">
        <v>51</v>
      </c>
    </row>
    <row r="969" spans="1:5" x14ac:dyDescent="0.35">
      <c r="A969" s="14" t="s">
        <v>1050</v>
      </c>
      <c r="B969" s="41">
        <v>125</v>
      </c>
      <c r="D969" s="14" t="s">
        <v>1398</v>
      </c>
      <c r="E969" s="41">
        <v>51</v>
      </c>
    </row>
    <row r="970" spans="1:5" x14ac:dyDescent="0.35">
      <c r="A970" s="14" t="s">
        <v>478</v>
      </c>
      <c r="B970" s="41">
        <v>153</v>
      </c>
      <c r="D970" s="14" t="s">
        <v>2639</v>
      </c>
      <c r="E970" s="41">
        <v>50</v>
      </c>
    </row>
    <row r="971" spans="1:5" x14ac:dyDescent="0.35">
      <c r="A971" s="14" t="s">
        <v>1296</v>
      </c>
      <c r="B971" s="41">
        <v>131.33333333333334</v>
      </c>
      <c r="D971" s="14" t="s">
        <v>1249</v>
      </c>
      <c r="E971" s="41">
        <v>49.5</v>
      </c>
    </row>
    <row r="972" spans="1:5" x14ac:dyDescent="0.35">
      <c r="A972" s="14" t="s">
        <v>1134</v>
      </c>
      <c r="B972" s="41">
        <v>215</v>
      </c>
      <c r="D972" s="14" t="s">
        <v>952</v>
      </c>
      <c r="E972" s="41">
        <v>49</v>
      </c>
    </row>
    <row r="973" spans="1:5" x14ac:dyDescent="0.35">
      <c r="A973" s="14" t="s">
        <v>637</v>
      </c>
      <c r="B973" s="41">
        <v>55</v>
      </c>
      <c r="D973" s="14" t="s">
        <v>1697</v>
      </c>
      <c r="E973" s="41">
        <v>49</v>
      </c>
    </row>
    <row r="974" spans="1:5" x14ac:dyDescent="0.35">
      <c r="A974" s="14" t="s">
        <v>747</v>
      </c>
      <c r="B974" s="41">
        <v>202.5</v>
      </c>
      <c r="D974" s="14" t="s">
        <v>2112</v>
      </c>
      <c r="E974" s="41">
        <v>48.5</v>
      </c>
    </row>
    <row r="975" spans="1:5" x14ac:dyDescent="0.35">
      <c r="A975" s="14" t="s">
        <v>740</v>
      </c>
      <c r="B975" s="41">
        <v>209</v>
      </c>
      <c r="D975" s="14" t="s">
        <v>1143</v>
      </c>
      <c r="E975" s="41">
        <v>48</v>
      </c>
    </row>
    <row r="976" spans="1:5" x14ac:dyDescent="0.35">
      <c r="A976" s="14" t="s">
        <v>2462</v>
      </c>
      <c r="B976" s="41">
        <v>298</v>
      </c>
      <c r="D976" s="14" t="s">
        <v>1805</v>
      </c>
      <c r="E976" s="41">
        <v>46</v>
      </c>
    </row>
    <row r="977" spans="1:5" x14ac:dyDescent="0.35">
      <c r="A977" s="14" t="s">
        <v>429</v>
      </c>
      <c r="B977" s="41">
        <v>179</v>
      </c>
      <c r="D977" s="14" t="s">
        <v>504</v>
      </c>
      <c r="E977" s="41">
        <v>45.333333333333336</v>
      </c>
    </row>
    <row r="978" spans="1:5" x14ac:dyDescent="0.35">
      <c r="A978" s="14" t="s">
        <v>372</v>
      </c>
      <c r="B978" s="41">
        <v>25.5</v>
      </c>
      <c r="D978" s="14" t="s">
        <v>2067</v>
      </c>
      <c r="E978" s="41">
        <v>45</v>
      </c>
    </row>
    <row r="979" spans="1:5" x14ac:dyDescent="0.35">
      <c r="A979" s="14" t="s">
        <v>334</v>
      </c>
      <c r="B979" s="41">
        <v>122</v>
      </c>
      <c r="D979" s="14" t="s">
        <v>2303</v>
      </c>
      <c r="E979" s="41">
        <v>45</v>
      </c>
    </row>
    <row r="980" spans="1:5" x14ac:dyDescent="0.35">
      <c r="A980" s="14" t="s">
        <v>759</v>
      </c>
      <c r="B980" s="41">
        <v>20</v>
      </c>
      <c r="D980" s="14" t="s">
        <v>491</v>
      </c>
      <c r="E980" s="41">
        <v>40</v>
      </c>
    </row>
    <row r="981" spans="1:5" x14ac:dyDescent="0.35">
      <c r="A981" s="14" t="s">
        <v>661</v>
      </c>
      <c r="B981" s="41">
        <v>180</v>
      </c>
      <c r="D981" s="14" t="s">
        <v>1812</v>
      </c>
      <c r="E981" s="41">
        <v>39.5</v>
      </c>
    </row>
    <row r="982" spans="1:5" x14ac:dyDescent="0.35">
      <c r="A982" s="14" t="s">
        <v>491</v>
      </c>
      <c r="B982" s="41">
        <v>40</v>
      </c>
      <c r="D982" s="14" t="s">
        <v>447</v>
      </c>
      <c r="E982" s="41">
        <v>35</v>
      </c>
    </row>
    <row r="983" spans="1:5" x14ac:dyDescent="0.35">
      <c r="A983" s="14" t="s">
        <v>1318</v>
      </c>
      <c r="B983" s="41">
        <v>139.5</v>
      </c>
      <c r="D983" s="14" t="s">
        <v>343</v>
      </c>
      <c r="E983" s="41">
        <v>34</v>
      </c>
    </row>
    <row r="984" spans="1:5" x14ac:dyDescent="0.35">
      <c r="A984" s="14" t="s">
        <v>3452</v>
      </c>
      <c r="B984" s="41">
        <v>7</v>
      </c>
      <c r="D984" s="14" t="s">
        <v>38</v>
      </c>
      <c r="E984" s="41">
        <v>27</v>
      </c>
    </row>
    <row r="985" spans="1:5" x14ac:dyDescent="0.35">
      <c r="A985" s="14" t="s">
        <v>496</v>
      </c>
      <c r="B985" s="41">
        <v>83</v>
      </c>
      <c r="D985" s="14" t="s">
        <v>86</v>
      </c>
      <c r="E985" s="41">
        <v>27</v>
      </c>
    </row>
    <row r="986" spans="1:5" x14ac:dyDescent="0.35">
      <c r="A986" s="14" t="s">
        <v>381</v>
      </c>
      <c r="B986" s="41">
        <v>195.5</v>
      </c>
      <c r="D986" s="14" t="s">
        <v>2253</v>
      </c>
      <c r="E986" s="41">
        <v>26</v>
      </c>
    </row>
    <row r="987" spans="1:5" x14ac:dyDescent="0.35">
      <c r="A987" s="14" t="s">
        <v>2206</v>
      </c>
      <c r="B987" s="41">
        <v>132</v>
      </c>
      <c r="D987" s="14" t="s">
        <v>774</v>
      </c>
      <c r="E987" s="41">
        <v>26</v>
      </c>
    </row>
    <row r="988" spans="1:5" x14ac:dyDescent="0.35">
      <c r="A988" s="14" t="s">
        <v>1184</v>
      </c>
      <c r="B988" s="41">
        <v>66</v>
      </c>
      <c r="D988" s="14" t="s">
        <v>372</v>
      </c>
      <c r="E988" s="41">
        <v>25.5</v>
      </c>
    </row>
    <row r="989" spans="1:5" x14ac:dyDescent="0.35">
      <c r="A989" s="14" t="s">
        <v>48</v>
      </c>
      <c r="B989" s="41">
        <v>123.5</v>
      </c>
      <c r="D989" s="14" t="s">
        <v>338</v>
      </c>
      <c r="E989" s="41">
        <v>25</v>
      </c>
    </row>
    <row r="990" spans="1:5" x14ac:dyDescent="0.35">
      <c r="A990" s="14" t="s">
        <v>1336</v>
      </c>
      <c r="B990" s="41">
        <v>190</v>
      </c>
      <c r="D990" s="14" t="s">
        <v>1351</v>
      </c>
      <c r="E990" s="41">
        <v>25</v>
      </c>
    </row>
    <row r="991" spans="1:5" x14ac:dyDescent="0.35">
      <c r="A991" s="14" t="s">
        <v>226</v>
      </c>
      <c r="B991" s="41">
        <v>108.5</v>
      </c>
      <c r="D991" s="14" t="s">
        <v>2980</v>
      </c>
      <c r="E991" s="41">
        <v>24</v>
      </c>
    </row>
    <row r="992" spans="1:5" x14ac:dyDescent="0.35">
      <c r="A992" s="14" t="s">
        <v>770</v>
      </c>
      <c r="B992" s="41">
        <v>22</v>
      </c>
      <c r="D992" s="14" t="s">
        <v>1465</v>
      </c>
      <c r="E992" s="41">
        <v>23</v>
      </c>
    </row>
    <row r="993" spans="1:5" x14ac:dyDescent="0.35">
      <c r="A993" s="14" t="s">
        <v>2077</v>
      </c>
      <c r="B993" s="41">
        <v>203</v>
      </c>
      <c r="D993" s="14" t="s">
        <v>2448</v>
      </c>
      <c r="E993" s="41">
        <v>22</v>
      </c>
    </row>
    <row r="994" spans="1:5" x14ac:dyDescent="0.35">
      <c r="A994" s="14" t="s">
        <v>161</v>
      </c>
      <c r="B994" s="41">
        <v>145</v>
      </c>
      <c r="D994" s="14" t="s">
        <v>770</v>
      </c>
      <c r="E994" s="41">
        <v>22</v>
      </c>
    </row>
    <row r="995" spans="1:5" x14ac:dyDescent="0.35">
      <c r="A995" s="14" t="s">
        <v>818</v>
      </c>
      <c r="B995" s="41">
        <v>98.75</v>
      </c>
      <c r="D995" s="14" t="s">
        <v>545</v>
      </c>
      <c r="E995" s="41">
        <v>21</v>
      </c>
    </row>
    <row r="996" spans="1:5" x14ac:dyDescent="0.35">
      <c r="A996" s="14" t="s">
        <v>434</v>
      </c>
      <c r="B996" s="41">
        <v>68.75</v>
      </c>
      <c r="D996" s="14" t="s">
        <v>759</v>
      </c>
      <c r="E996" s="41">
        <v>20</v>
      </c>
    </row>
    <row r="997" spans="1:5" x14ac:dyDescent="0.35">
      <c r="A997" s="14" t="s">
        <v>933</v>
      </c>
      <c r="B997" s="41">
        <v>158.5</v>
      </c>
      <c r="D997" s="14" t="s">
        <v>486</v>
      </c>
      <c r="E997" s="41">
        <v>19</v>
      </c>
    </row>
    <row r="998" spans="1:5" x14ac:dyDescent="0.35">
      <c r="A998" s="14" t="s">
        <v>1378</v>
      </c>
      <c r="B998" s="41">
        <v>194</v>
      </c>
      <c r="D998" s="14" t="s">
        <v>908</v>
      </c>
      <c r="E998" s="41">
        <v>18</v>
      </c>
    </row>
    <row r="999" spans="1:5" x14ac:dyDescent="0.35">
      <c r="A999" s="14" t="s">
        <v>1004</v>
      </c>
      <c r="B999" s="41">
        <v>130.5</v>
      </c>
      <c r="D999" s="14" t="s">
        <v>61</v>
      </c>
      <c r="E999" s="41">
        <v>16</v>
      </c>
    </row>
    <row r="1000" spans="1:5" x14ac:dyDescent="0.35">
      <c r="A1000" s="14" t="s">
        <v>2008</v>
      </c>
      <c r="B1000" s="41">
        <v>130.5</v>
      </c>
      <c r="D1000" s="14" t="s">
        <v>2081</v>
      </c>
      <c r="E1000" s="41">
        <v>15</v>
      </c>
    </row>
    <row r="1001" spans="1:5" x14ac:dyDescent="0.35">
      <c r="A1001" s="14" t="s">
        <v>3109</v>
      </c>
      <c r="B1001" s="41">
        <v>66</v>
      </c>
      <c r="D1001" s="14" t="s">
        <v>1077</v>
      </c>
      <c r="E1001" s="41">
        <v>14</v>
      </c>
    </row>
    <row r="1002" spans="1:5" x14ac:dyDescent="0.35">
      <c r="A1002" s="14" t="s">
        <v>1609</v>
      </c>
      <c r="B1002" s="41">
        <v>108</v>
      </c>
      <c r="D1002" s="14" t="s">
        <v>2033</v>
      </c>
      <c r="E1002" s="41">
        <v>13</v>
      </c>
    </row>
    <row r="1003" spans="1:5" x14ac:dyDescent="0.35">
      <c r="A1003" s="14" t="s">
        <v>1766</v>
      </c>
      <c r="B1003" s="41">
        <v>73</v>
      </c>
      <c r="D1003" s="14" t="s">
        <v>409</v>
      </c>
      <c r="E1003" s="41">
        <v>12</v>
      </c>
    </row>
    <row r="1004" spans="1:5" x14ac:dyDescent="0.35">
      <c r="A1004" s="14" t="s">
        <v>1431</v>
      </c>
      <c r="B1004" s="41">
        <v>291</v>
      </c>
      <c r="D1004" s="14" t="s">
        <v>244</v>
      </c>
      <c r="E1004" s="41">
        <v>12</v>
      </c>
    </row>
    <row r="1005" spans="1:5" x14ac:dyDescent="0.35">
      <c r="A1005" s="14" t="s">
        <v>601</v>
      </c>
      <c r="B1005" s="41">
        <v>57.5</v>
      </c>
      <c r="D1005" s="14" t="s">
        <v>2769</v>
      </c>
      <c r="E1005" s="41">
        <v>9</v>
      </c>
    </row>
    <row r="1006" spans="1:5" x14ac:dyDescent="0.35">
      <c r="A1006" s="14" t="s">
        <v>893</v>
      </c>
      <c r="B1006" s="41">
        <v>61</v>
      </c>
      <c r="D1006" s="14" t="s">
        <v>3358</v>
      </c>
      <c r="E1006" s="41">
        <v>8</v>
      </c>
    </row>
    <row r="1007" spans="1:5" x14ac:dyDescent="0.35">
      <c r="A1007" s="14" t="s">
        <v>61</v>
      </c>
      <c r="B1007" s="41">
        <v>16</v>
      </c>
      <c r="D1007" s="14" t="s">
        <v>3452</v>
      </c>
      <c r="E1007" s="41">
        <v>7</v>
      </c>
    </row>
    <row r="1008" spans="1:5" x14ac:dyDescent="0.35">
      <c r="A1008" s="14" t="s">
        <v>2001</v>
      </c>
      <c r="B1008" s="41">
        <v>63.75</v>
      </c>
      <c r="D1008" s="14" t="s">
        <v>2199</v>
      </c>
      <c r="E1008" s="41">
        <v>6</v>
      </c>
    </row>
    <row r="1009" spans="1:5" x14ac:dyDescent="0.35">
      <c r="A1009" s="14" t="s">
        <v>1756</v>
      </c>
      <c r="B1009" s="41">
        <v>53</v>
      </c>
      <c r="D1009" s="14" t="s">
        <v>76</v>
      </c>
      <c r="E1009" s="41">
        <v>1</v>
      </c>
    </row>
    <row r="1010" spans="1:5" x14ac:dyDescent="0.35">
      <c r="A1010" s="14" t="s">
        <v>1913</v>
      </c>
      <c r="B1010" s="41">
        <v>79</v>
      </c>
    </row>
    <row r="1011" spans="1:5" x14ac:dyDescent="0.35">
      <c r="A1011" s="14" t="s">
        <v>3469</v>
      </c>
      <c r="B1011" s="41">
        <v>122.2496194824962</v>
      </c>
    </row>
  </sheetData>
  <autoFilter ref="D694:E694" xr:uid="{80F6D385-4A47-4E3F-A2A6-93DB61DE7969}"/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Grocery_Inventory (Raw)</vt:lpstr>
      <vt:lpstr>Data Analyzed</vt:lpstr>
      <vt:lpstr>ABC Analysis</vt:lpstr>
      <vt:lpstr>EOQ</vt:lpstr>
      <vt:lpstr>ROP</vt:lpstr>
      <vt:lpstr>Inv Turnover</vt:lpstr>
      <vt:lpstr>ITR COGS</vt:lpstr>
      <vt:lpstr>Supl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Bpbatam24_kek_2@outlook.com</cp:lastModifiedBy>
  <dcterms:created xsi:type="dcterms:W3CDTF">2025-10-06T13:14:51Z</dcterms:created>
  <dcterms:modified xsi:type="dcterms:W3CDTF">2025-10-21T03:02:23Z</dcterms:modified>
</cp:coreProperties>
</file>