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PB\Documents\kuliah\SKRIPSI_BUNDA\"/>
    </mc:Choice>
  </mc:AlternateContent>
  <xr:revisionPtr revIDLastSave="0" documentId="13_ncr:1_{A1A09990-DAA9-415C-B9BF-929047A0B41A}" xr6:coauthVersionLast="47" xr6:coauthVersionMax="47" xr10:uidLastSave="{00000000-0000-0000-0000-000000000000}"/>
  <bookViews>
    <workbookView xWindow="-120" yWindow="-120" windowWidth="29040" windowHeight="15840" xr2:uid="{FDAD1F42-76E9-42DA-9D25-D641B142C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Z2" i="1" s="1"/>
  <c r="AD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P61" i="1"/>
  <c r="P60" i="1"/>
  <c r="P59" i="1"/>
  <c r="AB59" i="1" s="1"/>
  <c r="P58" i="1"/>
  <c r="P57" i="1"/>
  <c r="AB57" i="1" s="1"/>
  <c r="P56" i="1"/>
  <c r="P55" i="1"/>
  <c r="AB55" i="1" s="1"/>
  <c r="P54" i="1"/>
  <c r="P53" i="1"/>
  <c r="P52" i="1"/>
  <c r="P51" i="1"/>
  <c r="AB51" i="1" s="1"/>
  <c r="P50" i="1"/>
  <c r="P49" i="1"/>
  <c r="AB49" i="1" s="1"/>
  <c r="P48" i="1"/>
  <c r="P47" i="1"/>
  <c r="AB47" i="1" s="1"/>
  <c r="P46" i="1"/>
  <c r="P45" i="1"/>
  <c r="P44" i="1"/>
  <c r="P43" i="1"/>
  <c r="AB43" i="1" s="1"/>
  <c r="P42" i="1"/>
  <c r="AB42" i="1" s="1"/>
  <c r="P41" i="1"/>
  <c r="AB41" i="1" s="1"/>
  <c r="P40" i="1"/>
  <c r="P39" i="1"/>
  <c r="AB39" i="1" s="1"/>
  <c r="P38" i="1"/>
  <c r="P37" i="1"/>
  <c r="P36" i="1"/>
  <c r="P35" i="1"/>
  <c r="AB35" i="1" s="1"/>
  <c r="P34" i="1"/>
  <c r="P33" i="1"/>
  <c r="AB33" i="1" s="1"/>
  <c r="P32" i="1"/>
  <c r="P31" i="1"/>
  <c r="AB31" i="1" s="1"/>
  <c r="P30" i="1"/>
  <c r="P29" i="1"/>
  <c r="P28" i="1"/>
  <c r="P27" i="1"/>
  <c r="AB27" i="1" s="1"/>
  <c r="P26" i="1"/>
  <c r="P25" i="1"/>
  <c r="AB25" i="1" s="1"/>
  <c r="P24" i="1"/>
  <c r="P23" i="1"/>
  <c r="AB23" i="1" s="1"/>
  <c r="P22" i="1"/>
  <c r="P21" i="1"/>
  <c r="P20" i="1"/>
  <c r="P19" i="1"/>
  <c r="AB19" i="1" s="1"/>
  <c r="P18" i="1"/>
  <c r="P17" i="1"/>
  <c r="AB17" i="1" s="1"/>
  <c r="P16" i="1"/>
  <c r="P15" i="1"/>
  <c r="AB15" i="1" s="1"/>
  <c r="P14" i="1"/>
  <c r="P13" i="1"/>
  <c r="P12" i="1"/>
  <c r="P11" i="1"/>
  <c r="AB11" i="1" s="1"/>
  <c r="P10" i="1"/>
  <c r="AB10" i="1" s="1"/>
  <c r="P9" i="1"/>
  <c r="AB9" i="1" s="1"/>
  <c r="P8" i="1"/>
  <c r="P7" i="1"/>
  <c r="AB7" i="1" s="1"/>
  <c r="P6" i="1"/>
  <c r="P5" i="1"/>
  <c r="P4" i="1"/>
  <c r="P3" i="1"/>
  <c r="AB3" i="1" s="1"/>
  <c r="P2" i="1"/>
  <c r="AB2" i="1" s="1"/>
  <c r="N61" i="1"/>
  <c r="AC61" i="1" s="1"/>
  <c r="N60" i="1"/>
  <c r="N59" i="1"/>
  <c r="AC59" i="1" s="1"/>
  <c r="N58" i="1"/>
  <c r="N57" i="1"/>
  <c r="N56" i="1"/>
  <c r="N55" i="1"/>
  <c r="AC55" i="1" s="1"/>
  <c r="N54" i="1"/>
  <c r="AC54" i="1" s="1"/>
  <c r="N53" i="1"/>
  <c r="AC53" i="1" s="1"/>
  <c r="N52" i="1"/>
  <c r="N51" i="1"/>
  <c r="AC51" i="1" s="1"/>
  <c r="N50" i="1"/>
  <c r="N49" i="1"/>
  <c r="N48" i="1"/>
  <c r="N47" i="1"/>
  <c r="AC47" i="1" s="1"/>
  <c r="N46" i="1"/>
  <c r="AC46" i="1" s="1"/>
  <c r="N45" i="1"/>
  <c r="AC45" i="1" s="1"/>
  <c r="N44" i="1"/>
  <c r="N43" i="1"/>
  <c r="AC43" i="1" s="1"/>
  <c r="N42" i="1"/>
  <c r="N41" i="1"/>
  <c r="N40" i="1"/>
  <c r="N39" i="1"/>
  <c r="AC39" i="1" s="1"/>
  <c r="N38" i="1"/>
  <c r="AC38" i="1" s="1"/>
  <c r="N37" i="1"/>
  <c r="AC37" i="1" s="1"/>
  <c r="N31" i="1"/>
  <c r="AC31" i="1" s="1"/>
  <c r="N30" i="1"/>
  <c r="AC30" i="1" s="1"/>
  <c r="N29" i="1"/>
  <c r="AC29" i="1" s="1"/>
  <c r="N28" i="1"/>
  <c r="N27" i="1"/>
  <c r="N26" i="1"/>
  <c r="N25" i="1"/>
  <c r="AC25" i="1" s="1"/>
  <c r="N24" i="1"/>
  <c r="N23" i="1"/>
  <c r="AC23" i="1" s="1"/>
  <c r="N22" i="1"/>
  <c r="AC22" i="1" s="1"/>
  <c r="N21" i="1"/>
  <c r="AC21" i="1" s="1"/>
  <c r="N20" i="1"/>
  <c r="N19" i="1"/>
  <c r="N18" i="1"/>
  <c r="N17" i="1"/>
  <c r="AC17" i="1" s="1"/>
  <c r="N16" i="1"/>
  <c r="N15" i="1"/>
  <c r="AC15" i="1" s="1"/>
  <c r="N14" i="1"/>
  <c r="AC14" i="1" s="1"/>
  <c r="N13" i="1"/>
  <c r="AC13" i="1" s="1"/>
  <c r="N12" i="1"/>
  <c r="N11" i="1"/>
  <c r="N10" i="1"/>
  <c r="N9" i="1"/>
  <c r="AC9" i="1" s="1"/>
  <c r="N8" i="1"/>
  <c r="N7" i="1"/>
  <c r="AC7" i="1" s="1"/>
  <c r="N6" i="1"/>
  <c r="AC6" i="1" s="1"/>
  <c r="N5" i="1"/>
  <c r="AC5" i="1" s="1"/>
  <c r="N4" i="1"/>
  <c r="N3" i="1"/>
  <c r="N2" i="1"/>
  <c r="K2" i="1"/>
  <c r="AA2" i="1" s="1"/>
  <c r="K55" i="1"/>
  <c r="K51" i="1"/>
  <c r="AA51" i="1" s="1"/>
  <c r="K50" i="1"/>
  <c r="AA50" i="1" s="1"/>
  <c r="K49" i="1"/>
  <c r="AA49" i="1" s="1"/>
  <c r="K48" i="1"/>
  <c r="K47" i="1"/>
  <c r="K41" i="1"/>
  <c r="AA41" i="1" s="1"/>
  <c r="K40" i="1"/>
  <c r="K39" i="1"/>
  <c r="K38" i="1"/>
  <c r="K37" i="1"/>
  <c r="L36" i="1"/>
  <c r="N36" i="1" s="1"/>
  <c r="L35" i="1"/>
  <c r="N35" i="1" s="1"/>
  <c r="L34" i="1"/>
  <c r="N34" i="1" s="1"/>
  <c r="L33" i="1"/>
  <c r="N33" i="1" s="1"/>
  <c r="L32" i="1"/>
  <c r="N32" i="1" s="1"/>
  <c r="AC32" i="1" s="1"/>
  <c r="K25" i="1"/>
  <c r="AA25" i="1" s="1"/>
  <c r="K21" i="1"/>
  <c r="K20" i="1"/>
  <c r="AA20" i="1" s="1"/>
  <c r="K19" i="1"/>
  <c r="AA19" i="1" s="1"/>
  <c r="K18" i="1"/>
  <c r="AA18" i="1" s="1"/>
  <c r="K17" i="1"/>
  <c r="AA17" i="1" s="1"/>
  <c r="K16" i="1"/>
  <c r="K15" i="1"/>
  <c r="K14" i="1"/>
  <c r="AA14" i="1" s="1"/>
  <c r="K13" i="1"/>
  <c r="K12" i="1"/>
  <c r="AA12" i="1" s="1"/>
  <c r="K11" i="1"/>
  <c r="AA11" i="1" s="1"/>
  <c r="K10" i="1"/>
  <c r="AA10" i="1" s="1"/>
  <c r="K9" i="1"/>
  <c r="AA9" i="1" s="1"/>
  <c r="K8" i="1"/>
  <c r="K7" i="1"/>
  <c r="K6" i="1"/>
  <c r="AA6" i="1" s="1"/>
  <c r="K5" i="1"/>
  <c r="K4" i="1"/>
  <c r="AA4" i="1" s="1"/>
  <c r="K3" i="1"/>
  <c r="AA3" i="1" s="1"/>
  <c r="AC8" i="1" l="1"/>
  <c r="AC16" i="1"/>
  <c r="AC24" i="1"/>
  <c r="AC40" i="1"/>
  <c r="AC48" i="1"/>
  <c r="AC56" i="1"/>
  <c r="AC52" i="1"/>
  <c r="AC2" i="1"/>
  <c r="AE2" i="1" s="1"/>
  <c r="AG2" i="1" s="1"/>
  <c r="AC60" i="1"/>
  <c r="AB18" i="1"/>
  <c r="AB26" i="1"/>
  <c r="AB34" i="1"/>
  <c r="AB50" i="1"/>
  <c r="AB58" i="1"/>
  <c r="AC3" i="1"/>
  <c r="AC11" i="1"/>
  <c r="AC19" i="1"/>
  <c r="AC27" i="1"/>
  <c r="AC44" i="1"/>
  <c r="AC12" i="1"/>
  <c r="AC28" i="1"/>
  <c r="AC35" i="1"/>
  <c r="AC4" i="1"/>
  <c r="AC20" i="1"/>
  <c r="AC36" i="1"/>
  <c r="AA37" i="1"/>
  <c r="AA5" i="1"/>
  <c r="AA13" i="1"/>
  <c r="AA21" i="1"/>
  <c r="AA38" i="1"/>
  <c r="AC33" i="1"/>
  <c r="AC10" i="1"/>
  <c r="AC18" i="1"/>
  <c r="AC26" i="1"/>
  <c r="AC34" i="1"/>
  <c r="AC41" i="1"/>
  <c r="AC49" i="1"/>
  <c r="AC57" i="1"/>
  <c r="AB21" i="1"/>
  <c r="AC42" i="1"/>
  <c r="AC50" i="1"/>
  <c r="AC58" i="1"/>
  <c r="AB32" i="1"/>
  <c r="AA39" i="1"/>
  <c r="Z54" i="1"/>
  <c r="AD54" i="1"/>
  <c r="AA54" i="1"/>
  <c r="Z46" i="1"/>
  <c r="AD46" i="1"/>
  <c r="AA46" i="1"/>
  <c r="Z38" i="1"/>
  <c r="AD38" i="1"/>
  <c r="Z30" i="1"/>
  <c r="AD30" i="1"/>
  <c r="AA30" i="1"/>
  <c r="Z22" i="1"/>
  <c r="AD22" i="1"/>
  <c r="AA22" i="1"/>
  <c r="Z14" i="1"/>
  <c r="AD14" i="1"/>
  <c r="Z6" i="1"/>
  <c r="AD6" i="1"/>
  <c r="AD56" i="1"/>
  <c r="AA56" i="1"/>
  <c r="Z56" i="1"/>
  <c r="AD40" i="1"/>
  <c r="Z40" i="1"/>
  <c r="AD24" i="1"/>
  <c r="AA24" i="1"/>
  <c r="Z24" i="1"/>
  <c r="AD8" i="1"/>
  <c r="Z8" i="1"/>
  <c r="AB16" i="1"/>
  <c r="AB40" i="1"/>
  <c r="AD47" i="1"/>
  <c r="Z47" i="1"/>
  <c r="AD31" i="1"/>
  <c r="AA31" i="1"/>
  <c r="Z31" i="1"/>
  <c r="AD15" i="1"/>
  <c r="Z15" i="1"/>
  <c r="Z53" i="1"/>
  <c r="AD53" i="1"/>
  <c r="AA53" i="1"/>
  <c r="AD37" i="1"/>
  <c r="Z37" i="1"/>
  <c r="AD21" i="1"/>
  <c r="Z21" i="1"/>
  <c r="Z5" i="1"/>
  <c r="AD5" i="1"/>
  <c r="AA8" i="1"/>
  <c r="AA16" i="1"/>
  <c r="Z60" i="1"/>
  <c r="AD60" i="1"/>
  <c r="AA60" i="1"/>
  <c r="Z52" i="1"/>
  <c r="AD52" i="1"/>
  <c r="AA52" i="1"/>
  <c r="Z44" i="1"/>
  <c r="AD44" i="1"/>
  <c r="AA44" i="1"/>
  <c r="Z36" i="1"/>
  <c r="AD36" i="1"/>
  <c r="AA36" i="1"/>
  <c r="Z28" i="1"/>
  <c r="AD28" i="1"/>
  <c r="AA28" i="1"/>
  <c r="Z20" i="1"/>
  <c r="AD20" i="1"/>
  <c r="Z12" i="1"/>
  <c r="AD12" i="1"/>
  <c r="Z4" i="1"/>
  <c r="AD4" i="1"/>
  <c r="AA47" i="1"/>
  <c r="AB4" i="1"/>
  <c r="AB12" i="1"/>
  <c r="AB20" i="1"/>
  <c r="AB28" i="1"/>
  <c r="AB36" i="1"/>
  <c r="AB44" i="1"/>
  <c r="AB52" i="1"/>
  <c r="AB60" i="1"/>
  <c r="Z59" i="1"/>
  <c r="AD59" i="1"/>
  <c r="AA59" i="1"/>
  <c r="Z51" i="1"/>
  <c r="AD51" i="1"/>
  <c r="Z43" i="1"/>
  <c r="AD43" i="1"/>
  <c r="AA43" i="1"/>
  <c r="Z35" i="1"/>
  <c r="AD35" i="1"/>
  <c r="AA35" i="1"/>
  <c r="Z27" i="1"/>
  <c r="AD27" i="1"/>
  <c r="AA27" i="1"/>
  <c r="Z19" i="1"/>
  <c r="AD19" i="1"/>
  <c r="Z11" i="1"/>
  <c r="AD11" i="1"/>
  <c r="Z3" i="1"/>
  <c r="AD3" i="1"/>
  <c r="AB8" i="1"/>
  <c r="AB56" i="1"/>
  <c r="AD48" i="1"/>
  <c r="Z48" i="1"/>
  <c r="AD32" i="1"/>
  <c r="AA32" i="1"/>
  <c r="Z32" i="1"/>
  <c r="AD16" i="1"/>
  <c r="Z16" i="1"/>
  <c r="AB24" i="1"/>
  <c r="AB48" i="1"/>
  <c r="AD55" i="1"/>
  <c r="Z55" i="1"/>
  <c r="AD39" i="1"/>
  <c r="Z39" i="1"/>
  <c r="AD23" i="1"/>
  <c r="AA23" i="1"/>
  <c r="Z23" i="1"/>
  <c r="AD7" i="1"/>
  <c r="Z7" i="1"/>
  <c r="AA55" i="1"/>
  <c r="AA7" i="1"/>
  <c r="AA15" i="1"/>
  <c r="AA40" i="1"/>
  <c r="AD61" i="1"/>
  <c r="AA61" i="1"/>
  <c r="Z61" i="1"/>
  <c r="Z45" i="1"/>
  <c r="AA45" i="1"/>
  <c r="AD45" i="1"/>
  <c r="Z29" i="1"/>
  <c r="AD29" i="1"/>
  <c r="AA29" i="1"/>
  <c r="Z13" i="1"/>
  <c r="AD13" i="1"/>
  <c r="AA48" i="1"/>
  <c r="AB5" i="1"/>
  <c r="AB13" i="1"/>
  <c r="AB29" i="1"/>
  <c r="AB37" i="1"/>
  <c r="AB45" i="1"/>
  <c r="AB53" i="1"/>
  <c r="AB61" i="1"/>
  <c r="AD58" i="1"/>
  <c r="AA58" i="1"/>
  <c r="Z58" i="1"/>
  <c r="AD50" i="1"/>
  <c r="Z50" i="1"/>
  <c r="AD42" i="1"/>
  <c r="AA42" i="1"/>
  <c r="Z42" i="1"/>
  <c r="AD34" i="1"/>
  <c r="AA34" i="1"/>
  <c r="Z34" i="1"/>
  <c r="AD26" i="1"/>
  <c r="AA26" i="1"/>
  <c r="Z26" i="1"/>
  <c r="AD18" i="1"/>
  <c r="Z18" i="1"/>
  <c r="AD10" i="1"/>
  <c r="Z10" i="1"/>
  <c r="AB6" i="1"/>
  <c r="AB14" i="1"/>
  <c r="AB22" i="1"/>
  <c r="AB30" i="1"/>
  <c r="AB38" i="1"/>
  <c r="AB46" i="1"/>
  <c r="AB54" i="1"/>
  <c r="Z57" i="1"/>
  <c r="AD57" i="1"/>
  <c r="AA57" i="1"/>
  <c r="AD49" i="1"/>
  <c r="Z49" i="1"/>
  <c r="AE49" i="1" s="1"/>
  <c r="AG49" i="1" s="1"/>
  <c r="Z41" i="1"/>
  <c r="AD41" i="1"/>
  <c r="AD33" i="1"/>
  <c r="AA33" i="1"/>
  <c r="Z33" i="1"/>
  <c r="Z25" i="1"/>
  <c r="AD25" i="1"/>
  <c r="AD17" i="1"/>
  <c r="Z17" i="1"/>
  <c r="Z9" i="1"/>
  <c r="AD9" i="1"/>
  <c r="AE18" i="1" l="1"/>
  <c r="AG18" i="1" s="1"/>
  <c r="AE45" i="1"/>
  <c r="AG45" i="1" s="1"/>
  <c r="AE7" i="1"/>
  <c r="AG7" i="1" s="1"/>
  <c r="AE53" i="1"/>
  <c r="AG53" i="1" s="1"/>
  <c r="AE15" i="1"/>
  <c r="AG15" i="1" s="1"/>
  <c r="AE56" i="1"/>
  <c r="AG56" i="1" s="1"/>
  <c r="AE42" i="1"/>
  <c r="AG42" i="1" s="1"/>
  <c r="AE17" i="1"/>
  <c r="AG17" i="1" s="1"/>
  <c r="AE23" i="1"/>
  <c r="AG23" i="1" s="1"/>
  <c r="AE21" i="1"/>
  <c r="AG21" i="1" s="1"/>
  <c r="AE8" i="1"/>
  <c r="AG8" i="1" s="1"/>
  <c r="AE26" i="1"/>
  <c r="AG26" i="1" s="1"/>
  <c r="AE50" i="1"/>
  <c r="AG50" i="1" s="1"/>
  <c r="AE31" i="1"/>
  <c r="AG31" i="1" s="1"/>
  <c r="AE20" i="1"/>
  <c r="AG20" i="1" s="1"/>
  <c r="AE61" i="1"/>
  <c r="AG61" i="1" s="1"/>
  <c r="AE48" i="1"/>
  <c r="AG48" i="1" s="1"/>
  <c r="AE9" i="1"/>
  <c r="AG9" i="1" s="1"/>
  <c r="AE5" i="1"/>
  <c r="AG5" i="1" s="1"/>
  <c r="AE41" i="1"/>
  <c r="AG41" i="1" s="1"/>
  <c r="AE13" i="1"/>
  <c r="AG13" i="1" s="1"/>
  <c r="AE43" i="1"/>
  <c r="AG43" i="1" s="1"/>
  <c r="AE52" i="1"/>
  <c r="AG52" i="1" s="1"/>
  <c r="AE46" i="1"/>
  <c r="AG46" i="1" s="1"/>
  <c r="AE27" i="1"/>
  <c r="AG27" i="1" s="1"/>
  <c r="AE51" i="1"/>
  <c r="AG51" i="1" s="1"/>
  <c r="AE12" i="1"/>
  <c r="AG12" i="1" s="1"/>
  <c r="AE36" i="1"/>
  <c r="AG36" i="1" s="1"/>
  <c r="AE37" i="1"/>
  <c r="AG37" i="1" s="1"/>
  <c r="AE24" i="1"/>
  <c r="AG24" i="1" s="1"/>
  <c r="AE25" i="1"/>
  <c r="AG25" i="1" s="1"/>
  <c r="AE29" i="1"/>
  <c r="AG29" i="1" s="1"/>
  <c r="AE39" i="1"/>
  <c r="AG39" i="1" s="1"/>
  <c r="AE32" i="1"/>
  <c r="AG32" i="1" s="1"/>
  <c r="AE3" i="1"/>
  <c r="AG3" i="1" s="1"/>
  <c r="AE60" i="1"/>
  <c r="AG60" i="1" s="1"/>
  <c r="AE6" i="1"/>
  <c r="AG6" i="1" s="1"/>
  <c r="AE30" i="1"/>
  <c r="AG30" i="1" s="1"/>
  <c r="AE54" i="1"/>
  <c r="AG54" i="1" s="1"/>
  <c r="AE19" i="1"/>
  <c r="AG19" i="1" s="1"/>
  <c r="AE28" i="1"/>
  <c r="AG28" i="1" s="1"/>
  <c r="AE4" i="1"/>
  <c r="AG4" i="1" s="1"/>
  <c r="AE22" i="1"/>
  <c r="AG22" i="1" s="1"/>
  <c r="AE16" i="1"/>
  <c r="AG16" i="1" s="1"/>
  <c r="AE33" i="1"/>
  <c r="AG33" i="1" s="1"/>
  <c r="AE34" i="1"/>
  <c r="AG34" i="1" s="1"/>
  <c r="AE58" i="1"/>
  <c r="AG58" i="1" s="1"/>
  <c r="AE47" i="1"/>
  <c r="AG47" i="1" s="1"/>
  <c r="AE57" i="1"/>
  <c r="AG57" i="1" s="1"/>
  <c r="AE10" i="1"/>
  <c r="AG10" i="1" s="1"/>
  <c r="AE55" i="1"/>
  <c r="AG55" i="1" s="1"/>
  <c r="AE11" i="1"/>
  <c r="AG11" i="1" s="1"/>
  <c r="AE35" i="1"/>
  <c r="AG35" i="1" s="1"/>
  <c r="AE59" i="1"/>
  <c r="AG59" i="1" s="1"/>
  <c r="AE44" i="1"/>
  <c r="AG44" i="1" s="1"/>
  <c r="AE40" i="1"/>
  <c r="AG40" i="1" s="1"/>
  <c r="AE14" i="1"/>
  <c r="AG14" i="1" s="1"/>
  <c r="AE38" i="1"/>
  <c r="AG38" i="1" s="1"/>
</calcChain>
</file>

<file path=xl/sharedStrings.xml><?xml version="1.0" encoding="utf-8"?>
<sst xmlns="http://schemas.openxmlformats.org/spreadsheetml/2006/main" count="166" uniqueCount="111">
  <si>
    <t>FPNI</t>
  </si>
  <si>
    <t>2016</t>
  </si>
  <si>
    <t>2017</t>
  </si>
  <si>
    <t>2018</t>
  </si>
  <si>
    <t>2019</t>
  </si>
  <si>
    <t>2020</t>
  </si>
  <si>
    <t>KRAS</t>
  </si>
  <si>
    <t>BRNA</t>
  </si>
  <si>
    <t>AMFG</t>
  </si>
  <si>
    <t>ALMI</t>
  </si>
  <si>
    <t>ADMG</t>
  </si>
  <si>
    <t>KIAS</t>
  </si>
  <si>
    <t>LMSH</t>
  </si>
  <si>
    <t>SULI</t>
  </si>
  <si>
    <t>TIRT</t>
  </si>
  <si>
    <t>INCF</t>
  </si>
  <si>
    <t>GDST</t>
  </si>
  <si>
    <t>CR</t>
  </si>
  <si>
    <t>ROA</t>
  </si>
  <si>
    <t>DR</t>
  </si>
  <si>
    <t>ASET LANCAR</t>
  </si>
  <si>
    <t>ASET TETAP</t>
  </si>
  <si>
    <t>UTANG JK. PENDEK</t>
  </si>
  <si>
    <t>UTANG JK. PANJANG</t>
  </si>
  <si>
    <t>EKUITAS</t>
  </si>
  <si>
    <t>RETAINED EARNING</t>
  </si>
  <si>
    <t>NET SALES</t>
  </si>
  <si>
    <t>MARKET VALUE OF EQUITY</t>
  </si>
  <si>
    <t>JUMLAH SAHAM</t>
  </si>
  <si>
    <t>EBIT</t>
  </si>
  <si>
    <t>EAT</t>
  </si>
  <si>
    <t>HARGA SAHAM</t>
  </si>
  <si>
    <t>TOTAL ASET</t>
  </si>
  <si>
    <t>TOTAL UTANG</t>
  </si>
  <si>
    <t>1</t>
  </si>
  <si>
    <t>3</t>
  </si>
  <si>
    <t>4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</si>
  <si>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</si>
  <si>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</si>
  <si>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</si>
  <si>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</si>
  <si>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</si>
  <si>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</si>
  <si>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</si>
  <si>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</si>
  <si>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</si>
  <si>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</si>
  <si>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</si>
  <si>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</si>
  <si>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</si>
  <si>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</si>
  <si>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</si>
  <si>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</si>
  <si>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</si>
  <si>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</si>
  <si>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</si>
  <si>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</si>
  <si>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</si>
  <si>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</si>
  <si>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</si>
  <si>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</si>
  <si>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</si>
  <si>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</si>
  <si>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</si>
  <si>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</si>
  <si>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</si>
  <si>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</si>
  <si>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</si>
  <si>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</si>
  <si>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</si>
  <si>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</si>
  <si>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</si>
  <si>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</si>
  <si>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</si>
  <si>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</si>
  <si>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</si>
  <si>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</si>
  <si>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</si>
  <si>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</si>
  <si>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</si>
  <si>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</si>
  <si>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</si>
  <si>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</si>
  <si>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</si>
  <si>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</si>
  <si>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</si>
  <si>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</si>
  <si>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</si>
  <si>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</si>
  <si>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</si>
  <si>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</si>
  <si>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</si>
  <si>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</si>
  <si>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</si>
  <si>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NO</t>
  </si>
  <si>
    <t>KURS</t>
  </si>
  <si>
    <t>SATUAN</t>
  </si>
  <si>
    <t>WCTA</t>
  </si>
  <si>
    <t>RETA</t>
  </si>
  <si>
    <t>EBITTA</t>
  </si>
  <si>
    <t>MVEBVL</t>
  </si>
  <si>
    <t>STA</t>
  </si>
  <si>
    <t>ZSCORE</t>
  </si>
  <si>
    <t>STATUS</t>
  </si>
  <si>
    <t>TAHUN</t>
  </si>
  <si>
    <t>KODE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</si>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</sst>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#,##0_ ;\-#,##0\ "/>
    <numFmt numFmtId="165" formatCode="#,##0.000_ ;\-#,##0.000\ "/>
    <numFmt numFmtId="166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1" xfId="0" quotePrefix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top"/>
    </xf>
    <xf numFmtId="37" fontId="1" fillId="0" borderId="1" xfId="1" applyNumberFormat="1" applyFont="1" applyBorder="1" applyAlignment="1">
      <alignment horizontal="right" vertical="center"/>
    </xf>
    <xf numFmtId="39" fontId="1" fillId="0" borderId="1" xfId="1" applyNumberFormat="1" applyFont="1" applyFill="1" applyBorder="1" applyAlignment="1">
      <alignment horizontal="right" vertical="top"/>
    </xf>
    <xf numFmtId="37" fontId="1" fillId="0" borderId="1" xfId="1" applyNumberFormat="1" applyFont="1" applyFill="1" applyBorder="1" applyAlignment="1">
      <alignment horizontal="right" vertical="top"/>
    </xf>
    <xf numFmtId="164" fontId="0" fillId="0" borderId="1" xfId="0" applyNumberFormat="1" applyBorder="1"/>
    <xf numFmtId="164" fontId="0" fillId="0" borderId="1" xfId="1" applyNumberFormat="1" applyFont="1" applyBorder="1" applyAlignment="1">
      <alignment horizontal="right" vertical="top"/>
    </xf>
    <xf numFmtId="165" fontId="0" fillId="3" borderId="1" xfId="0" applyNumberForma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0" borderId="1" xfId="0" applyNumberFormat="1" applyFill="1" applyBorder="1"/>
    <xf numFmtId="165" fontId="0" fillId="5" borderId="1" xfId="0" applyNumberFormat="1" applyFill="1" applyBorder="1"/>
    <xf numFmtId="166" fontId="0" fillId="4" borderId="1" xfId="0" applyNumberFormat="1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right" vertical="top"/>
    </xf>
    <xf numFmtId="164" fontId="1" fillId="0" borderId="1" xfId="1" applyNumberFormat="1" applyFont="1" applyBorder="1"/>
    <xf numFmtId="3" fontId="0" fillId="0" borderId="1" xfId="0" applyNumberFormat="1" applyBorder="1"/>
    <xf numFmtId="0" fontId="0" fillId="0" borderId="3" xfId="0" quotePrefix="1" applyBorder="1"/>
    <xf numFmtId="0" fontId="3" fillId="0" borderId="3" xfId="0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top"/>
    </xf>
    <xf numFmtId="37" fontId="1" fillId="0" borderId="3" xfId="1" applyNumberFormat="1" applyFont="1" applyBorder="1" applyAlignment="1">
      <alignment horizontal="right" vertical="center"/>
    </xf>
    <xf numFmtId="39" fontId="1" fillId="0" borderId="3" xfId="1" applyNumberFormat="1" applyFont="1" applyFill="1" applyBorder="1" applyAlignment="1">
      <alignment horizontal="right" vertical="top"/>
    </xf>
    <xf numFmtId="37" fontId="1" fillId="0" borderId="3" xfId="1" applyNumberFormat="1" applyFont="1" applyFill="1" applyBorder="1" applyAlignment="1">
      <alignment horizontal="right" vertical="top"/>
    </xf>
    <xf numFmtId="164" fontId="0" fillId="0" borderId="3" xfId="0" applyNumberFormat="1" applyBorder="1"/>
    <xf numFmtId="164" fontId="0" fillId="0" borderId="3" xfId="1" applyNumberFormat="1" applyFont="1" applyBorder="1" applyAlignment="1">
      <alignment horizontal="right" vertical="top"/>
    </xf>
    <xf numFmtId="165" fontId="0" fillId="3" borderId="3" xfId="0" applyNumberFormat="1" applyFill="1" applyBorder="1"/>
    <xf numFmtId="165" fontId="0" fillId="0" borderId="3" xfId="0" applyNumberFormat="1" applyBorder="1"/>
    <xf numFmtId="165" fontId="0" fillId="2" borderId="3" xfId="0" applyNumberFormat="1" applyFill="1" applyBorder="1"/>
    <xf numFmtId="165" fontId="0" fillId="0" borderId="3" xfId="0" applyNumberFormat="1" applyFill="1" applyBorder="1"/>
    <xf numFmtId="165" fontId="0" fillId="5" borderId="3" xfId="0" applyNumberFormat="1" applyFill="1" applyBorder="1"/>
    <xf numFmtId="166" fontId="0" fillId="4" borderId="3" xfId="0" applyNumberFormat="1" applyFill="1" applyBorder="1" applyAlignment="1">
      <alignment horizontal="right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/>
    <xf numFmtId="165" fontId="2" fillId="2" borderId="1" xfId="0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B7E-8B09-4F55-A2E7-006C03C64C08}">
  <dimension ref="A1:AM61"/>
  <sheetViews>
    <sheetView showGridLines="0" tabSelected="1" topLeftCell="J1" zoomScaleNormal="100" workbookViewId="0">
      <pane ySplit="1" topLeftCell="A2" activePane="bottomLeft" state="frozen"/>
      <selection activeCell="K1" sqref="K1"/>
      <selection pane="bottomLeft" activeCell="AM1" sqref="AM1"/>
    </sheetView>
  </sheetViews>
  <sheetFormatPr defaultRowHeight="15" x14ac:dyDescent="0.25"/>
  <cols>
    <col min="1" max="1" width="3.85546875" bestFit="1" customWidth="1"/>
    <col min="2" max="2" width="6.5703125" style="1" bestFit="1" customWidth="1"/>
    <col min="3" max="3" width="7.42578125" style="1" bestFit="1" customWidth="1"/>
    <col min="4" max="4" width="16.85546875" bestFit="1" customWidth="1"/>
    <col min="5" max="6" width="16.42578125" bestFit="1" customWidth="1"/>
    <col min="7" max="7" width="18.140625" bestFit="1" customWidth="1"/>
    <col min="8" max="8" width="15.28515625" bestFit="1" customWidth="1"/>
    <col min="9" max="10" width="16.42578125" bestFit="1" customWidth="1"/>
    <col min="11" max="11" width="18.7109375" bestFit="1" customWidth="1"/>
    <col min="12" max="12" width="15.7109375" bestFit="1" customWidth="1"/>
    <col min="13" max="13" width="14.7109375" style="1" bestFit="1" customWidth="1"/>
    <col min="14" max="14" width="17.85546875" style="1" bestFit="1" customWidth="1"/>
    <col min="15" max="15" width="16.42578125" style="1" bestFit="1" customWidth="1"/>
    <col min="16" max="17" width="15.5703125" style="1" bestFit="1" customWidth="1"/>
    <col min="18" max="18" width="2.140625" style="1" customWidth="1"/>
    <col min="19" max="19" width="7" style="4" bestFit="1" customWidth="1"/>
    <col min="20" max="20" width="10.7109375" style="4" bestFit="1" customWidth="1"/>
    <col min="21" max="21" width="2.140625" style="4" customWidth="1"/>
    <col min="22" max="22" width="6.7109375" style="2" bestFit="1" customWidth="1"/>
    <col min="23" max="24" width="6" bestFit="1" customWidth="1"/>
    <col min="25" max="25" width="2" customWidth="1"/>
    <col min="26" max="27" width="6.7109375" bestFit="1" customWidth="1"/>
    <col min="28" max="28" width="7" bestFit="1" customWidth="1"/>
    <col min="29" max="29" width="8.42578125" bestFit="1" customWidth="1"/>
    <col min="30" max="30" width="6" customWidth="1"/>
    <col min="31" max="31" width="7.7109375" bestFit="1" customWidth="1"/>
    <col min="32" max="32" width="2.140625" style="1" customWidth="1"/>
    <col min="33" max="33" width="7.7109375" bestFit="1" customWidth="1"/>
    <col min="34" max="34" width="2.140625" customWidth="1"/>
    <col min="35" max="39" width="5" bestFit="1" customWidth="1"/>
  </cols>
  <sheetData>
    <row r="1" spans="1:39" s="3" customFormat="1" ht="30" x14ac:dyDescent="0.25">
      <c r="A1" s="39" t="s">
        <v>94</v>
      </c>
      <c r="B1" s="40" t="s">
        <v>105</v>
      </c>
      <c r="C1" s="40" t="s">
        <v>104</v>
      </c>
      <c r="D1" s="39" t="s">
        <v>20</v>
      </c>
      <c r="E1" s="39" t="s">
        <v>21</v>
      </c>
      <c r="F1" s="39" t="s">
        <v>32</v>
      </c>
      <c r="G1" s="39" t="s">
        <v>22</v>
      </c>
      <c r="H1" s="39" t="s">
        <v>23</v>
      </c>
      <c r="I1" s="39" t="s">
        <v>33</v>
      </c>
      <c r="J1" s="39" t="s">
        <v>24</v>
      </c>
      <c r="K1" s="39" t="s">
        <v>25</v>
      </c>
      <c r="L1" s="39" t="s">
        <v>28</v>
      </c>
      <c r="M1" s="40" t="s">
        <v>31</v>
      </c>
      <c r="N1" s="40" t="s">
        <v>27</v>
      </c>
      <c r="O1" s="40" t="s">
        <v>26</v>
      </c>
      <c r="P1" s="40" t="s">
        <v>29</v>
      </c>
      <c r="Q1" s="40" t="s">
        <v>30</v>
      </c>
      <c r="R1" s="40"/>
      <c r="S1" s="41" t="s">
        <v>95</v>
      </c>
      <c r="T1" s="41" t="s">
        <v>96</v>
      </c>
      <c r="U1" s="41"/>
      <c r="V1" s="42" t="s">
        <v>18</v>
      </c>
      <c r="W1" s="42" t="s">
        <v>17</v>
      </c>
      <c r="X1" s="42" t="s">
        <v>19</v>
      </c>
      <c r="Y1" s="43"/>
      <c r="Z1" s="44" t="s">
        <v>97</v>
      </c>
      <c r="AA1" s="44" t="s">
        <v>98</v>
      </c>
      <c r="AB1" s="44" t="s">
        <v>99</v>
      </c>
      <c r="AC1" s="44" t="s">
        <v>100</v>
      </c>
      <c r="AD1" s="44" t="s">
        <v>101</v>
      </c>
      <c r="AE1" s="44" t="s">
        <v>102</v>
      </c>
      <c r="AF1" s="45"/>
      <c r="AG1" s="46" t="s">
        <v>103</v>
      </c>
      <c r="AH1" s="43"/>
      <c r="AI1" s="47" t="s">
        <v>106</v>
      </c>
      <c r="AJ1" s="47" t="s">
        <v>107</v>
      </c>
      <c r="AK1" s="47" t="s">
        <v>108</v>
      </c>
      <c r="AL1" s="47" t="s">
        <v>109</v>
      </c>
      <c r="AM1" s="47" t="s">
        <v>110</v>
      </c>
    </row>
    <row r="2" spans="1:39" x14ac:dyDescent="0.25">
      <c r="A2" s="24" t="s">
        <v>34</v>
      </c>
      <c r="B2" s="25" t="s">
        <v>0</v>
      </c>
      <c r="C2" s="26" t="s">
        <v>1</v>
      </c>
      <c r="D2" s="27">
        <v>87547</v>
      </c>
      <c r="E2" s="28">
        <v>117162</v>
      </c>
      <c r="F2" s="28">
        <f>D2+E2</f>
        <v>204709</v>
      </c>
      <c r="G2" s="27">
        <v>87257</v>
      </c>
      <c r="H2" s="27">
        <v>19508</v>
      </c>
      <c r="I2" s="27">
        <f>G2+H2</f>
        <v>106765</v>
      </c>
      <c r="J2" s="27">
        <v>97944</v>
      </c>
      <c r="K2" s="27">
        <f>(-111914)</f>
        <v>-111914</v>
      </c>
      <c r="L2" s="27">
        <v>5566414000</v>
      </c>
      <c r="M2" s="29">
        <v>129</v>
      </c>
      <c r="N2" s="30">
        <f>L2*M2</f>
        <v>718067406000</v>
      </c>
      <c r="O2" s="27">
        <v>441825</v>
      </c>
      <c r="P2" s="27">
        <f>4389+132</f>
        <v>4521</v>
      </c>
      <c r="Q2" s="27">
        <v>2169</v>
      </c>
      <c r="R2" s="27"/>
      <c r="S2" s="31">
        <v>13369</v>
      </c>
      <c r="T2" s="32">
        <v>1000</v>
      </c>
      <c r="U2" s="32"/>
      <c r="V2" s="33">
        <f>Q2/(D2+E2)</f>
        <v>1.0595528286494488E-2</v>
      </c>
      <c r="W2" s="33">
        <f>D2/G2</f>
        <v>1.0033235155918723</v>
      </c>
      <c r="X2" s="33">
        <f>(G2+H2)/(D2+E2)</f>
        <v>0.5215452178458202</v>
      </c>
      <c r="Y2" s="34"/>
      <c r="Z2" s="35">
        <f>(D2-G2)/F2</f>
        <v>1.4166450913247585E-3</v>
      </c>
      <c r="AA2" s="35">
        <f>K2/F2</f>
        <v>-0.54669799569144495</v>
      </c>
      <c r="AB2" s="35">
        <f>P2/F2</f>
        <v>2.2085008475445634E-2</v>
      </c>
      <c r="AC2" s="35">
        <f>N2/(I2*S2*T2)</f>
        <v>0.50308038697276247</v>
      </c>
      <c r="AD2" s="35">
        <f>O2/F2</f>
        <v>2.1583076464640052</v>
      </c>
      <c r="AE2" s="48">
        <f>(Z2*AI2)+(AA2*AJ2)+(AB2*AK2)+(AC2*AL2)+(AD2*AM2)</f>
        <v>1.7477761102935601</v>
      </c>
      <c r="AF2" s="36"/>
      <c r="AG2" s="37" t="str">
        <f>IF(AE2&lt;1.8,"FD",IF(AE2&gt;2.99,"S","GA"))</f>
        <v>FD</v>
      </c>
      <c r="AH2" s="34"/>
      <c r="AI2" s="38">
        <v>1.2</v>
      </c>
      <c r="AJ2" s="38">
        <v>1.4</v>
      </c>
      <c r="AK2" s="38">
        <v>3.3</v>
      </c>
      <c r="AL2" s="38">
        <v>0.6</v>
      </c>
      <c r="AM2" s="38">
        <v>0.99</v>
      </c>
    </row>
    <row r="3" spans="1:39" x14ac:dyDescent="0.25">
      <c r="A3" s="5" t="s">
        <v>37</v>
      </c>
      <c r="B3" s="6"/>
      <c r="C3" s="7" t="s">
        <v>2</v>
      </c>
      <c r="D3" s="8">
        <v>87720</v>
      </c>
      <c r="E3" s="9">
        <v>104137</v>
      </c>
      <c r="F3" s="9">
        <f t="shared" ref="F3:F61" si="0">D3+E3</f>
        <v>191857</v>
      </c>
      <c r="G3" s="8">
        <v>78404</v>
      </c>
      <c r="H3" s="8">
        <v>17551</v>
      </c>
      <c r="I3" s="8">
        <f t="shared" ref="I3:I61" si="1">G3+H3</f>
        <v>95955</v>
      </c>
      <c r="J3" s="8">
        <v>95902</v>
      </c>
      <c r="K3" s="8">
        <f>(-113956)</f>
        <v>-113956</v>
      </c>
      <c r="L3" s="8">
        <v>5566414000</v>
      </c>
      <c r="M3" s="10">
        <v>188</v>
      </c>
      <c r="N3" s="11">
        <f t="shared" ref="N3:N41" si="2">L3*M3</f>
        <v>1046485832000</v>
      </c>
      <c r="O3" s="8">
        <v>433346</v>
      </c>
      <c r="P3" s="8">
        <f>-2206+82</f>
        <v>-2124</v>
      </c>
      <c r="Q3" s="8">
        <v>-1746</v>
      </c>
      <c r="R3" s="8"/>
      <c r="S3" s="12">
        <v>13480</v>
      </c>
      <c r="T3" s="13">
        <v>1000</v>
      </c>
      <c r="U3" s="13"/>
      <c r="V3" s="14">
        <f>Q3/(D3+E3)</f>
        <v>-9.1005279974147417E-3</v>
      </c>
      <c r="W3" s="14">
        <f>D3/G3</f>
        <v>1.1188204683434519</v>
      </c>
      <c r="X3" s="14">
        <f>(G3+H3)/(D3+E3)</f>
        <v>0.50013812370671906</v>
      </c>
      <c r="Y3" s="15"/>
      <c r="Z3" s="16">
        <f t="shared" ref="Z3:Z61" si="3">(D3-G3)/F3</f>
        <v>4.8556998180936846E-2</v>
      </c>
      <c r="AA3" s="16">
        <f t="shared" ref="AA3:AA61" si="4">K3/F3</f>
        <v>-0.59396321218407455</v>
      </c>
      <c r="AB3" s="16">
        <f t="shared" ref="AB3:AB61" si="5">P3/F3</f>
        <v>-1.1070745398916901E-2</v>
      </c>
      <c r="AC3" s="16">
        <f t="shared" ref="AC3:AC61" si="6">N3/(I3*S3*T3)</f>
        <v>0.80905091051737132</v>
      </c>
      <c r="AD3" s="16">
        <f t="shared" ref="AD3:AD61" si="7">O3/F3</f>
        <v>2.2586926721464424</v>
      </c>
      <c r="AE3" s="49">
        <f>(Z3*AI3)+(AA3*AJ3)+(AB3*AK3)+(AC3*AL3)+(AD3*AM3)</f>
        <v>1.911722732678395</v>
      </c>
      <c r="AF3" s="17"/>
      <c r="AG3" s="18" t="str">
        <f t="shared" ref="AG3:AG61" si="8">IF(AE3&lt;1.8,"FD",IF(AE3&gt;2.99,"S","GA"))</f>
        <v>GA</v>
      </c>
      <c r="AH3" s="15"/>
      <c r="AI3" s="19">
        <v>1.2</v>
      </c>
      <c r="AJ3" s="19">
        <v>1.4</v>
      </c>
      <c r="AK3" s="19">
        <v>3.3</v>
      </c>
      <c r="AL3" s="19">
        <v>0.6</v>
      </c>
      <c r="AM3" s="19">
        <v>0.99</v>
      </c>
    </row>
    <row r="4" spans="1:39" x14ac:dyDescent="0.25">
      <c r="A4" s="5" t="s">
        <v>35</v>
      </c>
      <c r="B4" s="6"/>
      <c r="C4" s="7" t="s">
        <v>3</v>
      </c>
      <c r="D4" s="8">
        <v>92279</v>
      </c>
      <c r="E4" s="8">
        <v>103547</v>
      </c>
      <c r="F4" s="9">
        <f t="shared" si="0"/>
        <v>195826</v>
      </c>
      <c r="G4" s="8">
        <v>79199</v>
      </c>
      <c r="H4" s="8">
        <v>14092</v>
      </c>
      <c r="I4" s="8">
        <f t="shared" si="1"/>
        <v>93291</v>
      </c>
      <c r="J4" s="8">
        <v>102535</v>
      </c>
      <c r="K4" s="8">
        <f>(-107323)</f>
        <v>-107323</v>
      </c>
      <c r="L4" s="8">
        <v>5566414000</v>
      </c>
      <c r="M4" s="10">
        <v>160</v>
      </c>
      <c r="N4" s="11">
        <f t="shared" si="2"/>
        <v>890626240000</v>
      </c>
      <c r="O4" s="8">
        <v>433868</v>
      </c>
      <c r="P4" s="8">
        <f>8562+64</f>
        <v>8626</v>
      </c>
      <c r="Q4" s="8">
        <v>6125</v>
      </c>
      <c r="R4" s="8"/>
      <c r="S4" s="12">
        <v>14409</v>
      </c>
      <c r="T4" s="13">
        <v>1000</v>
      </c>
      <c r="U4" s="13"/>
      <c r="V4" s="14">
        <f>Q4/(D4+E4)</f>
        <v>3.127776699723224E-2</v>
      </c>
      <c r="W4" s="14">
        <f>D4/G4</f>
        <v>1.1651536004242478</v>
      </c>
      <c r="X4" s="14">
        <f>(G4+H4)/(D4+E4)</f>
        <v>0.47639741403082331</v>
      </c>
      <c r="Y4" s="15"/>
      <c r="Z4" s="16">
        <f t="shared" si="3"/>
        <v>6.6793990583477167E-2</v>
      </c>
      <c r="AA4" s="16">
        <f t="shared" si="4"/>
        <v>-0.54805286325615599</v>
      </c>
      <c r="AB4" s="16">
        <f t="shared" si="5"/>
        <v>4.4049309080510246E-2</v>
      </c>
      <c r="AC4" s="16">
        <f t="shared" si="6"/>
        <v>0.66255494030891748</v>
      </c>
      <c r="AD4" s="16">
        <f t="shared" si="7"/>
        <v>2.2155791365804336</v>
      </c>
      <c r="AE4" s="49">
        <f>(Z4*AI4)+(AA4*AJ4)+(AB4*AK4)+(AC4*AL4)+(AD4*AM4)</f>
        <v>2.0491978095072181</v>
      </c>
      <c r="AF4" s="17"/>
      <c r="AG4" s="18" t="str">
        <f t="shared" si="8"/>
        <v>GA</v>
      </c>
      <c r="AH4" s="15"/>
      <c r="AI4" s="19">
        <v>1.2</v>
      </c>
      <c r="AJ4" s="19">
        <v>1.4</v>
      </c>
      <c r="AK4" s="19">
        <v>3.3</v>
      </c>
      <c r="AL4" s="19">
        <v>0.6</v>
      </c>
      <c r="AM4" s="19">
        <v>0.99</v>
      </c>
    </row>
    <row r="5" spans="1:39" x14ac:dyDescent="0.25">
      <c r="A5" s="5" t="s">
        <v>36</v>
      </c>
      <c r="B5" s="6"/>
      <c r="C5" s="7" t="s">
        <v>4</v>
      </c>
      <c r="D5" s="8">
        <v>71356</v>
      </c>
      <c r="E5" s="8">
        <v>94372</v>
      </c>
      <c r="F5" s="9">
        <f t="shared" si="0"/>
        <v>165728</v>
      </c>
      <c r="G5" s="8">
        <v>54106</v>
      </c>
      <c r="H5" s="8">
        <v>12426</v>
      </c>
      <c r="I5" s="8">
        <f t="shared" si="1"/>
        <v>66532</v>
      </c>
      <c r="J5" s="8">
        <v>99196</v>
      </c>
      <c r="K5" s="8">
        <f>(-110662)</f>
        <v>-110662</v>
      </c>
      <c r="L5" s="8">
        <v>5566414000</v>
      </c>
      <c r="M5" s="10">
        <v>119</v>
      </c>
      <c r="N5" s="11">
        <f t="shared" si="2"/>
        <v>662403266000</v>
      </c>
      <c r="O5" s="8">
        <v>331945</v>
      </c>
      <c r="P5" s="8">
        <f>-4333+52</f>
        <v>-4281</v>
      </c>
      <c r="Q5" s="8">
        <v>-3286</v>
      </c>
      <c r="R5" s="8"/>
      <c r="S5" s="12">
        <v>13831</v>
      </c>
      <c r="T5" s="13">
        <v>1000</v>
      </c>
      <c r="U5" s="13"/>
      <c r="V5" s="14">
        <f>Q5/(D5+E5)</f>
        <v>-1.9827669434253715E-2</v>
      </c>
      <c r="W5" s="14">
        <f>D5/G5</f>
        <v>1.3188186153106864</v>
      </c>
      <c r="X5" s="14">
        <f>(G5+H5)/(D5+E5)</f>
        <v>0.40145298320139022</v>
      </c>
      <c r="Y5" s="15"/>
      <c r="Z5" s="16">
        <f t="shared" si="3"/>
        <v>0.10408621355474029</v>
      </c>
      <c r="AA5" s="16">
        <f t="shared" si="4"/>
        <v>-0.66773267039969109</v>
      </c>
      <c r="AB5" s="16">
        <f t="shared" si="5"/>
        <v>-2.5831482911759025E-2</v>
      </c>
      <c r="AC5" s="16">
        <f t="shared" si="6"/>
        <v>0.71984386046394588</v>
      </c>
      <c r="AD5" s="16">
        <f t="shared" si="7"/>
        <v>2.0029506178798995</v>
      </c>
      <c r="AE5" s="49">
        <f>(Z5*AI5)+(AA5*AJ5)+(AB5*AK5)+(AC5*AL5)+(AD5*AM5)</f>
        <v>1.519661252076784</v>
      </c>
      <c r="AF5" s="17"/>
      <c r="AG5" s="18" t="str">
        <f t="shared" si="8"/>
        <v>FD</v>
      </c>
      <c r="AH5" s="15"/>
      <c r="AI5" s="19">
        <v>1.2</v>
      </c>
      <c r="AJ5" s="19">
        <v>1.4</v>
      </c>
      <c r="AK5" s="19">
        <v>3.3</v>
      </c>
      <c r="AL5" s="19">
        <v>0.6</v>
      </c>
      <c r="AM5" s="19">
        <v>0.99</v>
      </c>
    </row>
    <row r="6" spans="1:39" x14ac:dyDescent="0.25">
      <c r="A6" s="5" t="s">
        <v>38</v>
      </c>
      <c r="B6" s="6"/>
      <c r="C6" s="7" t="s">
        <v>5</v>
      </c>
      <c r="D6" s="8">
        <v>71563</v>
      </c>
      <c r="E6" s="8">
        <v>77814</v>
      </c>
      <c r="F6" s="9">
        <f t="shared" si="0"/>
        <v>149377</v>
      </c>
      <c r="G6" s="8">
        <v>45164</v>
      </c>
      <c r="H6" s="8">
        <v>9051</v>
      </c>
      <c r="I6" s="8">
        <f t="shared" si="1"/>
        <v>54215</v>
      </c>
      <c r="J6" s="8">
        <v>95162</v>
      </c>
      <c r="K6" s="8">
        <f>(-114830)</f>
        <v>-114830</v>
      </c>
      <c r="L6" s="8">
        <v>5566414000</v>
      </c>
      <c r="M6" s="10">
        <v>362</v>
      </c>
      <c r="N6" s="11">
        <f t="shared" si="2"/>
        <v>2015041868000</v>
      </c>
      <c r="O6" s="8">
        <v>309367</v>
      </c>
      <c r="P6" s="8">
        <f>-7825+101</f>
        <v>-7724</v>
      </c>
      <c r="Q6" s="8">
        <v>-4945</v>
      </c>
      <c r="R6" s="8"/>
      <c r="S6" s="12">
        <v>14034</v>
      </c>
      <c r="T6" s="13">
        <v>1000</v>
      </c>
      <c r="U6" s="13"/>
      <c r="V6" s="14">
        <f>Q6/(D6+E6)</f>
        <v>-3.3104159274854897E-2</v>
      </c>
      <c r="W6" s="14">
        <f>D6/G6</f>
        <v>1.584514214861394</v>
      </c>
      <c r="X6" s="14">
        <f>(G6+H6)/(D6+E6)</f>
        <v>0.3629407472368571</v>
      </c>
      <c r="Y6" s="15"/>
      <c r="Z6" s="16">
        <f t="shared" si="3"/>
        <v>0.17672734088915965</v>
      </c>
      <c r="AA6" s="16">
        <f t="shared" si="4"/>
        <v>-0.76872610910648898</v>
      </c>
      <c r="AB6" s="16">
        <f t="shared" si="5"/>
        <v>-5.1708094284930076E-2</v>
      </c>
      <c r="AC6" s="16">
        <f t="shared" si="6"/>
        <v>2.6483973211603691</v>
      </c>
      <c r="AD6" s="16">
        <f t="shared" si="7"/>
        <v>2.0710484211090061</v>
      </c>
      <c r="AE6" s="49">
        <f>(Z6*AI6)+(AA6*AJ6)+(AB6*AK6)+(AC6*AL6)+(AD6*AM6)</f>
        <v>2.6045958747717752</v>
      </c>
      <c r="AF6" s="17"/>
      <c r="AG6" s="18" t="str">
        <f t="shared" si="8"/>
        <v>GA</v>
      </c>
      <c r="AH6" s="15"/>
      <c r="AI6" s="19">
        <v>1.2</v>
      </c>
      <c r="AJ6" s="19">
        <v>1.4</v>
      </c>
      <c r="AK6" s="19">
        <v>3.3</v>
      </c>
      <c r="AL6" s="19">
        <v>0.6</v>
      </c>
      <c r="AM6" s="19">
        <v>0.99</v>
      </c>
    </row>
    <row r="7" spans="1:39" x14ac:dyDescent="0.25">
      <c r="A7" s="5" t="s">
        <v>39</v>
      </c>
      <c r="B7" s="20" t="s">
        <v>6</v>
      </c>
      <c r="C7" s="7" t="s">
        <v>1</v>
      </c>
      <c r="D7" s="8">
        <v>997324</v>
      </c>
      <c r="E7" s="8">
        <v>2939389</v>
      </c>
      <c r="F7" s="9">
        <f t="shared" si="0"/>
        <v>3936713</v>
      </c>
      <c r="G7" s="8">
        <v>1224501</v>
      </c>
      <c r="H7" s="8">
        <v>872535</v>
      </c>
      <c r="I7" s="8">
        <f t="shared" si="1"/>
        <v>2097036</v>
      </c>
      <c r="J7" s="8">
        <v>1839677</v>
      </c>
      <c r="K7" s="8">
        <f>-658631</f>
        <v>-658631</v>
      </c>
      <c r="L7" s="8">
        <v>19346396900</v>
      </c>
      <c r="M7" s="10">
        <v>770</v>
      </c>
      <c r="N7" s="11">
        <f t="shared" si="2"/>
        <v>14896725613000</v>
      </c>
      <c r="O7" s="8">
        <v>1344715</v>
      </c>
      <c r="P7" s="8">
        <f>-191700+127651</f>
        <v>-64049</v>
      </c>
      <c r="Q7" s="8">
        <v>-180724</v>
      </c>
      <c r="R7" s="8"/>
      <c r="S7" s="12">
        <v>13369</v>
      </c>
      <c r="T7" s="13">
        <v>1000</v>
      </c>
      <c r="U7" s="13"/>
      <c r="V7" s="14">
        <f>Q7/(D7+E7)</f>
        <v>-4.5907334367529459E-2</v>
      </c>
      <c r="W7" s="14">
        <f>D7/G7</f>
        <v>0.81447381423126641</v>
      </c>
      <c r="X7" s="14">
        <f>(G7+H7)/(D7+E7)</f>
        <v>0.53268704119401133</v>
      </c>
      <c r="Y7" s="15"/>
      <c r="Z7" s="16">
        <f t="shared" si="3"/>
        <v>-5.7707280159869416E-2</v>
      </c>
      <c r="AA7" s="16">
        <f t="shared" si="4"/>
        <v>-0.16730480479526955</v>
      </c>
      <c r="AB7" s="16">
        <f t="shared" si="5"/>
        <v>-1.6269664565336614E-2</v>
      </c>
      <c r="AC7" s="16">
        <f t="shared" si="6"/>
        <v>0.53135651401497808</v>
      </c>
      <c r="AD7" s="16">
        <f t="shared" si="7"/>
        <v>0.34158319389805658</v>
      </c>
      <c r="AE7" s="49">
        <f>(Z7*AI7)+(AA7*AJ7)+(AB7*AK7)+(AC7*AL7)+(AD7*AM7)</f>
        <v>0.29981591439723132</v>
      </c>
      <c r="AF7" s="17"/>
      <c r="AG7" s="18" t="str">
        <f t="shared" si="8"/>
        <v>FD</v>
      </c>
      <c r="AH7" s="15"/>
      <c r="AI7" s="19">
        <v>1.2</v>
      </c>
      <c r="AJ7" s="19">
        <v>1.4</v>
      </c>
      <c r="AK7" s="19">
        <v>3.3</v>
      </c>
      <c r="AL7" s="19">
        <v>0.6</v>
      </c>
      <c r="AM7" s="19">
        <v>0.99</v>
      </c>
    </row>
    <row r="8" spans="1:39" x14ac:dyDescent="0.25">
      <c r="A8" s="5" t="s">
        <v>40</v>
      </c>
      <c r="B8" s="20"/>
      <c r="C8" s="7" t="s">
        <v>2</v>
      </c>
      <c r="D8" s="8">
        <v>1021697</v>
      </c>
      <c r="E8" s="8">
        <v>3092689</v>
      </c>
      <c r="F8" s="9">
        <f t="shared" si="0"/>
        <v>4114386</v>
      </c>
      <c r="G8" s="8">
        <v>1361905</v>
      </c>
      <c r="H8" s="8">
        <v>899672</v>
      </c>
      <c r="I8" s="8">
        <f t="shared" si="1"/>
        <v>2261577</v>
      </c>
      <c r="J8" s="8">
        <v>1852809</v>
      </c>
      <c r="K8" s="8">
        <f>-750189</f>
        <v>-750189</v>
      </c>
      <c r="L8" s="8">
        <v>19346396900</v>
      </c>
      <c r="M8" s="10">
        <v>424</v>
      </c>
      <c r="N8" s="11">
        <f t="shared" si="2"/>
        <v>8202872285600</v>
      </c>
      <c r="O8" s="8">
        <v>1449020</v>
      </c>
      <c r="P8" s="8">
        <f>-77931+99288</f>
        <v>21357</v>
      </c>
      <c r="Q8" s="8">
        <v>-86097</v>
      </c>
      <c r="R8" s="8"/>
      <c r="S8" s="12">
        <v>13480</v>
      </c>
      <c r="T8" s="13">
        <v>1000</v>
      </c>
      <c r="U8" s="13"/>
      <c r="V8" s="14">
        <f>Q8/(D8+E8)</f>
        <v>-2.0925844099216748E-2</v>
      </c>
      <c r="W8" s="14">
        <f>D8/G8</f>
        <v>0.750196966748782</v>
      </c>
      <c r="X8" s="14">
        <f>(G8+H8)/(D8+E8)</f>
        <v>0.54967545582743083</v>
      </c>
      <c r="Y8" s="15"/>
      <c r="Z8" s="16">
        <f t="shared" si="3"/>
        <v>-8.2687428938364074E-2</v>
      </c>
      <c r="AA8" s="16">
        <f t="shared" si="4"/>
        <v>-0.18233315979589665</v>
      </c>
      <c r="AB8" s="16">
        <f t="shared" si="5"/>
        <v>5.1908109739825089E-3</v>
      </c>
      <c r="AC8" s="16">
        <f t="shared" si="6"/>
        <v>0.26906962836463755</v>
      </c>
      <c r="AD8" s="16">
        <f t="shared" si="7"/>
        <v>0.3521837766315557</v>
      </c>
      <c r="AE8" s="49">
        <f>(Z8*AI8)+(AA8*AJ8)+(AB8*AK8)+(AC8*AL8)+(AD8*AM8)</f>
        <v>0.17274205365787279</v>
      </c>
      <c r="AF8" s="17"/>
      <c r="AG8" s="18" t="str">
        <f t="shared" si="8"/>
        <v>FD</v>
      </c>
      <c r="AH8" s="15"/>
      <c r="AI8" s="19">
        <v>1.2</v>
      </c>
      <c r="AJ8" s="19">
        <v>1.4</v>
      </c>
      <c r="AK8" s="19">
        <v>3.3</v>
      </c>
      <c r="AL8" s="19">
        <v>0.6</v>
      </c>
      <c r="AM8" s="19">
        <v>0.99</v>
      </c>
    </row>
    <row r="9" spans="1:39" x14ac:dyDescent="0.25">
      <c r="A9" s="5" t="s">
        <v>41</v>
      </c>
      <c r="B9" s="20"/>
      <c r="C9" s="7" t="s">
        <v>3</v>
      </c>
      <c r="D9" s="8">
        <v>989720</v>
      </c>
      <c r="E9" s="8">
        <v>3308598</v>
      </c>
      <c r="F9" s="9">
        <f t="shared" si="0"/>
        <v>4298318</v>
      </c>
      <c r="G9" s="8">
        <v>1598675</v>
      </c>
      <c r="H9" s="8">
        <v>899430</v>
      </c>
      <c r="I9" s="8">
        <f t="shared" si="1"/>
        <v>2498105</v>
      </c>
      <c r="J9" s="8">
        <v>1800213</v>
      </c>
      <c r="K9" s="8">
        <f>-821407</f>
        <v>-821407</v>
      </c>
      <c r="L9" s="8">
        <v>19346396900</v>
      </c>
      <c r="M9" s="10">
        <v>402</v>
      </c>
      <c r="N9" s="11">
        <f t="shared" si="2"/>
        <v>7777251553800</v>
      </c>
      <c r="O9" s="8">
        <v>1739535</v>
      </c>
      <c r="P9" s="8">
        <f>-78222+112334</f>
        <v>34112</v>
      </c>
      <c r="Q9" s="8">
        <v>-77163</v>
      </c>
      <c r="R9" s="8"/>
      <c r="S9" s="12">
        <v>14409</v>
      </c>
      <c r="T9" s="13">
        <v>1000</v>
      </c>
      <c r="U9" s="13"/>
      <c r="V9" s="14">
        <f>Q9/(D9+E9)</f>
        <v>-1.7951905838516368E-2</v>
      </c>
      <c r="W9" s="14">
        <f>D9/G9</f>
        <v>0.61908768198664521</v>
      </c>
      <c r="X9" s="14">
        <f>(G9+H9)/(D9+E9)</f>
        <v>0.58118198793109299</v>
      </c>
      <c r="Y9" s="15"/>
      <c r="Z9" s="16">
        <f t="shared" si="3"/>
        <v>-0.14167285901136212</v>
      </c>
      <c r="AA9" s="16">
        <f t="shared" si="4"/>
        <v>-0.19109963478737496</v>
      </c>
      <c r="AB9" s="16">
        <f t="shared" si="5"/>
        <v>7.9361275736229853E-3</v>
      </c>
      <c r="AC9" s="16">
        <f t="shared" si="6"/>
        <v>0.2160636042028248</v>
      </c>
      <c r="AD9" s="16">
        <f t="shared" si="7"/>
        <v>0.40470132735642173</v>
      </c>
      <c r="AE9" s="49">
        <f>(Z9*AI9)+(AA9*AJ9)+(AB9*AK9)+(AC9*AL9)+(AD9*AM9)</f>
        <v>0.11893477808154879</v>
      </c>
      <c r="AF9" s="17"/>
      <c r="AG9" s="18" t="str">
        <f t="shared" si="8"/>
        <v>FD</v>
      </c>
      <c r="AH9" s="15"/>
      <c r="AI9" s="19">
        <v>1.2</v>
      </c>
      <c r="AJ9" s="19">
        <v>1.4</v>
      </c>
      <c r="AK9" s="19">
        <v>3.3</v>
      </c>
      <c r="AL9" s="19">
        <v>0.6</v>
      </c>
      <c r="AM9" s="19">
        <v>0.99</v>
      </c>
    </row>
    <row r="10" spans="1:39" x14ac:dyDescent="0.25">
      <c r="A10" s="5" t="s">
        <v>42</v>
      </c>
      <c r="B10" s="20"/>
      <c r="C10" s="7" t="s">
        <v>4</v>
      </c>
      <c r="D10" s="8">
        <v>690608</v>
      </c>
      <c r="E10" s="8">
        <v>2597429</v>
      </c>
      <c r="F10" s="9">
        <f t="shared" si="0"/>
        <v>3288037</v>
      </c>
      <c r="G10" s="8">
        <v>2494040</v>
      </c>
      <c r="H10" s="8">
        <v>446757</v>
      </c>
      <c r="I10" s="8">
        <f t="shared" si="1"/>
        <v>2940797</v>
      </c>
      <c r="J10" s="8">
        <v>347240</v>
      </c>
      <c r="K10" s="8">
        <f>-2319809</f>
        <v>-2319809</v>
      </c>
      <c r="L10" s="8">
        <v>19346396900</v>
      </c>
      <c r="M10" s="10">
        <v>304</v>
      </c>
      <c r="N10" s="11">
        <f t="shared" si="2"/>
        <v>5881304657600</v>
      </c>
      <c r="O10" s="8">
        <v>1420500</v>
      </c>
      <c r="P10" s="8">
        <f>-530542+150005</f>
        <v>-380537</v>
      </c>
      <c r="Q10" s="8">
        <v>-505390</v>
      </c>
      <c r="R10" s="8"/>
      <c r="S10" s="12">
        <v>13831</v>
      </c>
      <c r="T10" s="13">
        <v>1000</v>
      </c>
      <c r="U10" s="13"/>
      <c r="V10" s="14">
        <f>Q10/(D10+E10)</f>
        <v>-0.15370569126807271</v>
      </c>
      <c r="W10" s="14">
        <f>D10/G10</f>
        <v>0.27690333755673524</v>
      </c>
      <c r="X10" s="14">
        <f>(G10+H10)/(D10+E10)</f>
        <v>0.89439291589480285</v>
      </c>
      <c r="Y10" s="15"/>
      <c r="Z10" s="16">
        <f t="shared" si="3"/>
        <v>-0.54848287899436654</v>
      </c>
      <c r="AA10" s="16">
        <f t="shared" si="4"/>
        <v>-0.70553007767248366</v>
      </c>
      <c r="AB10" s="16">
        <f t="shared" si="5"/>
        <v>-0.11573379496641917</v>
      </c>
      <c r="AC10" s="16">
        <f t="shared" si="6"/>
        <v>0.1445955904048758</v>
      </c>
      <c r="AD10" s="16">
        <f t="shared" si="7"/>
        <v>0.43202068589860759</v>
      </c>
      <c r="AE10" s="49">
        <f>(Z10*AI10)+(AA10*AJ10)+(AB10*AK10)+(AC10*AL10)+(AD10*AM10)</f>
        <v>-1.513385253641353</v>
      </c>
      <c r="AF10" s="17"/>
      <c r="AG10" s="18" t="str">
        <f t="shared" si="8"/>
        <v>FD</v>
      </c>
      <c r="AH10" s="15"/>
      <c r="AI10" s="19">
        <v>1.2</v>
      </c>
      <c r="AJ10" s="19">
        <v>1.4</v>
      </c>
      <c r="AK10" s="19">
        <v>3.3</v>
      </c>
      <c r="AL10" s="19">
        <v>0.6</v>
      </c>
      <c r="AM10" s="19">
        <v>0.99</v>
      </c>
    </row>
    <row r="11" spans="1:39" x14ac:dyDescent="0.25">
      <c r="A11" s="5" t="s">
        <v>43</v>
      </c>
      <c r="B11" s="20"/>
      <c r="C11" s="7" t="s">
        <v>5</v>
      </c>
      <c r="D11" s="8">
        <v>835342</v>
      </c>
      <c r="E11" s="8">
        <v>2651007</v>
      </c>
      <c r="F11" s="9">
        <f t="shared" si="0"/>
        <v>3486349</v>
      </c>
      <c r="G11" s="8">
        <v>827496</v>
      </c>
      <c r="H11" s="8">
        <v>2210130</v>
      </c>
      <c r="I11" s="8">
        <f t="shared" si="1"/>
        <v>3037626</v>
      </c>
      <c r="J11" s="8">
        <v>448723</v>
      </c>
      <c r="K11" s="8">
        <f>-2340062</f>
        <v>-2340062</v>
      </c>
      <c r="L11" s="8">
        <v>19346396900</v>
      </c>
      <c r="M11" s="10">
        <v>428</v>
      </c>
      <c r="N11" s="11">
        <f t="shared" si="2"/>
        <v>8280257873200</v>
      </c>
      <c r="O11" s="8">
        <v>1353657</v>
      </c>
      <c r="P11" s="8">
        <f>166657+138348</f>
        <v>305005</v>
      </c>
      <c r="Q11" s="8">
        <v>22635</v>
      </c>
      <c r="R11" s="8"/>
      <c r="S11" s="12">
        <v>14034</v>
      </c>
      <c r="T11" s="13">
        <v>1000</v>
      </c>
      <c r="U11" s="13"/>
      <c r="V11" s="14">
        <f>Q11/(D11+E11)</f>
        <v>6.4924653269078916E-3</v>
      </c>
      <c r="W11" s="14">
        <f>D11/G11</f>
        <v>1.0094816168295677</v>
      </c>
      <c r="X11" s="14">
        <f>(G11+H11)/(D11+E11)</f>
        <v>0.87129142836818685</v>
      </c>
      <c r="Y11" s="15"/>
      <c r="Z11" s="16">
        <f t="shared" si="3"/>
        <v>2.2504918469149243E-3</v>
      </c>
      <c r="AA11" s="16">
        <f t="shared" si="4"/>
        <v>-0.67120704209475301</v>
      </c>
      <c r="AB11" s="16">
        <f t="shared" si="5"/>
        <v>8.7485504176432138E-2</v>
      </c>
      <c r="AC11" s="16">
        <f t="shared" si="6"/>
        <v>0.19423526779077338</v>
      </c>
      <c r="AD11" s="16">
        <f t="shared" si="7"/>
        <v>0.38827352052247205</v>
      </c>
      <c r="AE11" s="49">
        <f>(Z11*AI11)+(AA11*AJ11)+(AB11*AK11)+(AC11*AL11)+(AD11*AM11)</f>
        <v>-0.1473551589424188</v>
      </c>
      <c r="AF11" s="17"/>
      <c r="AG11" s="18" t="str">
        <f t="shared" si="8"/>
        <v>FD</v>
      </c>
      <c r="AH11" s="15"/>
      <c r="AI11" s="19">
        <v>1.2</v>
      </c>
      <c r="AJ11" s="19">
        <v>1.4</v>
      </c>
      <c r="AK11" s="19">
        <v>3.3</v>
      </c>
      <c r="AL11" s="19">
        <v>0.6</v>
      </c>
      <c r="AM11" s="19">
        <v>0.99</v>
      </c>
    </row>
    <row r="12" spans="1:39" x14ac:dyDescent="0.25">
      <c r="A12" s="5" t="s">
        <v>44</v>
      </c>
      <c r="B12" s="20" t="s">
        <v>7</v>
      </c>
      <c r="C12" s="7" t="s">
        <v>1</v>
      </c>
      <c r="D12" s="8">
        <v>777316455</v>
      </c>
      <c r="E12" s="8">
        <v>1311380454</v>
      </c>
      <c r="F12" s="9">
        <f t="shared" si="0"/>
        <v>2088696909</v>
      </c>
      <c r="G12" s="8">
        <v>560277480</v>
      </c>
      <c r="H12" s="8">
        <v>500066154</v>
      </c>
      <c r="I12" s="8">
        <f t="shared" si="1"/>
        <v>1060343634</v>
      </c>
      <c r="J12" s="8">
        <v>1028353275</v>
      </c>
      <c r="K12" s="8">
        <f>229537381</f>
        <v>229537381</v>
      </c>
      <c r="L12" s="8">
        <v>979110000</v>
      </c>
      <c r="M12" s="10">
        <v>1100</v>
      </c>
      <c r="N12" s="11">
        <f t="shared" si="2"/>
        <v>1077021000000</v>
      </c>
      <c r="O12" s="8">
        <v>1364849405</v>
      </c>
      <c r="P12" s="8">
        <f>20458245+91057484</f>
        <v>111515729</v>
      </c>
      <c r="Q12" s="8">
        <v>12664977</v>
      </c>
      <c r="R12" s="8"/>
      <c r="S12" s="21">
        <v>1</v>
      </c>
      <c r="T12" s="13">
        <v>1000</v>
      </c>
      <c r="U12" s="13"/>
      <c r="V12" s="14">
        <f>Q12/(D12+E12)</f>
        <v>6.0635781790205154E-3</v>
      </c>
      <c r="W12" s="14">
        <f>D12/G12</f>
        <v>1.3873776525874286</v>
      </c>
      <c r="X12" s="14">
        <f>(G12+H12)/(D12+E12)</f>
        <v>0.50765797058973861</v>
      </c>
      <c r="Y12" s="15"/>
      <c r="Z12" s="16">
        <f t="shared" si="3"/>
        <v>0.10391118695335801</v>
      </c>
      <c r="AA12" s="16">
        <f t="shared" si="4"/>
        <v>0.1098950163668768</v>
      </c>
      <c r="AB12" s="16">
        <f t="shared" si="5"/>
        <v>5.3390096245888592E-2</v>
      </c>
      <c r="AC12" s="16">
        <f t="shared" si="6"/>
        <v>1.0157282653144122</v>
      </c>
      <c r="AD12" s="16">
        <f t="shared" si="7"/>
        <v>0.65344540853150657</v>
      </c>
      <c r="AE12" s="49">
        <f>(Z12*AI12)+(AA12*AJ12)+(AB12*AK12)+(AC12*AL12)+(AD12*AM12)</f>
        <v>1.7110816785039282</v>
      </c>
      <c r="AF12" s="17"/>
      <c r="AG12" s="18" t="str">
        <f t="shared" si="8"/>
        <v>FD</v>
      </c>
      <c r="AH12" s="15"/>
      <c r="AI12" s="19">
        <v>1.2</v>
      </c>
      <c r="AJ12" s="19">
        <v>1.4</v>
      </c>
      <c r="AK12" s="19">
        <v>3.3</v>
      </c>
      <c r="AL12" s="19">
        <v>0.6</v>
      </c>
      <c r="AM12" s="19">
        <v>0.99</v>
      </c>
    </row>
    <row r="13" spans="1:39" x14ac:dyDescent="0.25">
      <c r="A13" s="5" t="s">
        <v>45</v>
      </c>
      <c r="B13" s="20"/>
      <c r="C13" s="7" t="s">
        <v>2</v>
      </c>
      <c r="D13" s="8">
        <v>718757530</v>
      </c>
      <c r="E13" s="8">
        <v>1246119552</v>
      </c>
      <c r="F13" s="9">
        <f t="shared" si="0"/>
        <v>1964877082</v>
      </c>
      <c r="G13" s="8">
        <v>654032840</v>
      </c>
      <c r="H13" s="8">
        <v>457814805</v>
      </c>
      <c r="I13" s="8">
        <f t="shared" si="1"/>
        <v>1111847645</v>
      </c>
      <c r="J13" s="8">
        <v>853029437</v>
      </c>
      <c r="K13" s="8">
        <f>86645525</f>
        <v>86645525</v>
      </c>
      <c r="L13" s="8">
        <v>979110000</v>
      </c>
      <c r="M13" s="10">
        <v>1240</v>
      </c>
      <c r="N13" s="11">
        <f t="shared" si="2"/>
        <v>1214096400000</v>
      </c>
      <c r="O13" s="8">
        <v>1310440496</v>
      </c>
      <c r="P13" s="8">
        <f>-224189380+77812790</f>
        <v>-146376590</v>
      </c>
      <c r="Q13" s="8">
        <v>-178283422</v>
      </c>
      <c r="R13" s="8"/>
      <c r="S13" s="21">
        <v>1</v>
      </c>
      <c r="T13" s="13">
        <v>1000</v>
      </c>
      <c r="U13" s="13"/>
      <c r="V13" s="14">
        <f>Q13/(D13+E13)</f>
        <v>-9.0735152663356272E-2</v>
      </c>
      <c r="W13" s="14">
        <f>D13/G13</f>
        <v>1.0989624465951893</v>
      </c>
      <c r="X13" s="14">
        <f>(G13+H13)/(D13+E13)</f>
        <v>0.56586117024087723</v>
      </c>
      <c r="Y13" s="15"/>
      <c r="Z13" s="16">
        <f t="shared" si="3"/>
        <v>3.2940834107606537E-2</v>
      </c>
      <c r="AA13" s="16">
        <f t="shared" si="4"/>
        <v>4.4097173199152823E-2</v>
      </c>
      <c r="AB13" s="16">
        <f t="shared" si="5"/>
        <v>-7.4496563342785233E-2</v>
      </c>
      <c r="AC13" s="16">
        <f t="shared" si="6"/>
        <v>1.0919629190742226</v>
      </c>
      <c r="AD13" s="16">
        <f t="shared" si="7"/>
        <v>0.66693255675115048</v>
      </c>
      <c r="AE13" s="49">
        <f>(Z13*AI13)+(AA13*AJ13)+(AB13*AK13)+(AC13*AL13)+(AD13*AM13)</f>
        <v>1.170867367004923</v>
      </c>
      <c r="AF13" s="17"/>
      <c r="AG13" s="18" t="str">
        <f t="shared" si="8"/>
        <v>FD</v>
      </c>
      <c r="AH13" s="15"/>
      <c r="AI13" s="19">
        <v>1.2</v>
      </c>
      <c r="AJ13" s="19">
        <v>1.4</v>
      </c>
      <c r="AK13" s="19">
        <v>3.3</v>
      </c>
      <c r="AL13" s="19">
        <v>0.6</v>
      </c>
      <c r="AM13" s="19">
        <v>0.99</v>
      </c>
    </row>
    <row r="14" spans="1:39" x14ac:dyDescent="0.25">
      <c r="A14" s="5" t="s">
        <v>46</v>
      </c>
      <c r="B14" s="20"/>
      <c r="C14" s="7" t="s">
        <v>3</v>
      </c>
      <c r="D14" s="8">
        <v>811798388</v>
      </c>
      <c r="E14" s="8">
        <v>1649527795</v>
      </c>
      <c r="F14" s="9">
        <f t="shared" si="0"/>
        <v>2461326183</v>
      </c>
      <c r="G14" s="8">
        <v>825079803</v>
      </c>
      <c r="H14" s="8">
        <v>512974818</v>
      </c>
      <c r="I14" s="8">
        <f t="shared" si="1"/>
        <v>1338054621</v>
      </c>
      <c r="J14" s="8">
        <v>1123271562</v>
      </c>
      <c r="K14" s="8">
        <f>98179198</f>
        <v>98179198</v>
      </c>
      <c r="L14" s="8">
        <v>979110000</v>
      </c>
      <c r="M14" s="10">
        <v>1200</v>
      </c>
      <c r="N14" s="11">
        <f t="shared" si="2"/>
        <v>1174932000000</v>
      </c>
      <c r="O14" s="8">
        <v>1319344703</v>
      </c>
      <c r="P14" s="8">
        <f>-21224294+88859686</f>
        <v>67635392</v>
      </c>
      <c r="Q14" s="8">
        <v>-23662406</v>
      </c>
      <c r="R14" s="8"/>
      <c r="S14" s="21">
        <v>1</v>
      </c>
      <c r="T14" s="13">
        <v>1000</v>
      </c>
      <c r="U14" s="13"/>
      <c r="V14" s="14">
        <f>Q14/(D14+E14)</f>
        <v>-9.6136815036676516E-3</v>
      </c>
      <c r="W14" s="14">
        <f>D14/G14</f>
        <v>0.98390287224131701</v>
      </c>
      <c r="X14" s="14">
        <f>(G14+H14)/(D14+E14)</f>
        <v>0.54363157156566111</v>
      </c>
      <c r="Y14" s="15"/>
      <c r="Z14" s="16">
        <f t="shared" si="3"/>
        <v>-5.3960401883068904E-3</v>
      </c>
      <c r="AA14" s="16">
        <f t="shared" si="4"/>
        <v>3.9888739118816741E-2</v>
      </c>
      <c r="AB14" s="16">
        <f t="shared" si="5"/>
        <v>2.7479247759661929E-2</v>
      </c>
      <c r="AC14" s="16">
        <f t="shared" si="6"/>
        <v>0.87808971439589689</v>
      </c>
      <c r="AD14" s="16">
        <f t="shared" si="7"/>
        <v>0.53603001183366517</v>
      </c>
      <c r="AE14" s="49">
        <f>(Z14*AI14)+(AA14*AJ14)+(AB14*AK14)+(AC14*AL14)+(AD14*AM14)</f>
        <v>1.1975740445001262</v>
      </c>
      <c r="AF14" s="17"/>
      <c r="AG14" s="18" t="str">
        <f t="shared" si="8"/>
        <v>FD</v>
      </c>
      <c r="AH14" s="15"/>
      <c r="AI14" s="19">
        <v>1.2</v>
      </c>
      <c r="AJ14" s="19">
        <v>1.4</v>
      </c>
      <c r="AK14" s="19">
        <v>3.3</v>
      </c>
      <c r="AL14" s="19">
        <v>0.6</v>
      </c>
      <c r="AM14" s="19">
        <v>0.99</v>
      </c>
    </row>
    <row r="15" spans="1:39" x14ac:dyDescent="0.25">
      <c r="A15" s="5" t="s">
        <v>47</v>
      </c>
      <c r="B15" s="20"/>
      <c r="C15" s="7" t="s">
        <v>4</v>
      </c>
      <c r="D15" s="8">
        <v>665275229</v>
      </c>
      <c r="E15" s="8">
        <v>1597837689</v>
      </c>
      <c r="F15" s="9">
        <f t="shared" si="0"/>
        <v>2263112918</v>
      </c>
      <c r="G15" s="8">
        <v>840292748</v>
      </c>
      <c r="H15" s="8">
        <v>469039379</v>
      </c>
      <c r="I15" s="8">
        <f t="shared" si="1"/>
        <v>1309332127</v>
      </c>
      <c r="J15" s="8">
        <v>953780791</v>
      </c>
      <c r="K15" s="8">
        <f>-14810645</f>
        <v>-14810645</v>
      </c>
      <c r="L15" s="8">
        <v>979110000</v>
      </c>
      <c r="M15" s="10">
        <v>1030</v>
      </c>
      <c r="N15" s="11">
        <f t="shared" si="2"/>
        <v>1008483300000</v>
      </c>
      <c r="O15" s="8">
        <v>1221535436</v>
      </c>
      <c r="P15" s="8">
        <f>-159492681+95426650</f>
        <v>-64066031</v>
      </c>
      <c r="Q15" s="8">
        <v>-163083992</v>
      </c>
      <c r="R15" s="8"/>
      <c r="S15" s="21">
        <v>1</v>
      </c>
      <c r="T15" s="13">
        <v>1000</v>
      </c>
      <c r="U15" s="13"/>
      <c r="V15" s="14">
        <f>Q15/(D15+E15)</f>
        <v>-7.2061800674145596E-2</v>
      </c>
      <c r="W15" s="14">
        <f>D15/G15</f>
        <v>0.79171839883592565</v>
      </c>
      <c r="X15" s="14">
        <f>(G15+H15)/(D15+E15)</f>
        <v>0.57855360047924931</v>
      </c>
      <c r="Y15" s="15"/>
      <c r="Z15" s="16">
        <f t="shared" si="3"/>
        <v>-7.7334859258666469E-2</v>
      </c>
      <c r="AA15" s="16">
        <f t="shared" si="4"/>
        <v>-6.5443685474999352E-3</v>
      </c>
      <c r="AB15" s="16">
        <f t="shared" si="5"/>
        <v>-2.8308808849280758E-2</v>
      </c>
      <c r="AC15" s="16">
        <f t="shared" si="6"/>
        <v>0.77022726258973095</v>
      </c>
      <c r="AD15" s="16">
        <f t="shared" si="7"/>
        <v>0.53975894277494463</v>
      </c>
      <c r="AE15" s="49">
        <f>(Z15*AI15)+(AA15*AJ15)+(AB15*AK15)+(AC15*AL15)+(AD15*AM15)</f>
        <v>0.80111469462150753</v>
      </c>
      <c r="AF15" s="17"/>
      <c r="AG15" s="18" t="str">
        <f t="shared" si="8"/>
        <v>FD</v>
      </c>
      <c r="AH15" s="15"/>
      <c r="AI15" s="19">
        <v>1.2</v>
      </c>
      <c r="AJ15" s="19">
        <v>1.4</v>
      </c>
      <c r="AK15" s="19">
        <v>3.3</v>
      </c>
      <c r="AL15" s="19">
        <v>0.6</v>
      </c>
      <c r="AM15" s="19">
        <v>0.99</v>
      </c>
    </row>
    <row r="16" spans="1:39" x14ac:dyDescent="0.25">
      <c r="A16" s="5" t="s">
        <v>48</v>
      </c>
      <c r="B16" s="20"/>
      <c r="C16" s="7" t="s">
        <v>5</v>
      </c>
      <c r="D16" s="8">
        <v>494691709</v>
      </c>
      <c r="E16" s="8">
        <v>1471026838</v>
      </c>
      <c r="F16" s="9">
        <f t="shared" si="0"/>
        <v>1965718547</v>
      </c>
      <c r="G16" s="8">
        <v>742677853</v>
      </c>
      <c r="H16" s="8">
        <v>456317176</v>
      </c>
      <c r="I16" s="8">
        <f t="shared" si="1"/>
        <v>1198995029</v>
      </c>
      <c r="J16" s="8">
        <v>766723518</v>
      </c>
      <c r="K16" s="8">
        <f>-145333991</f>
        <v>-145333991</v>
      </c>
      <c r="L16" s="8">
        <v>979110000</v>
      </c>
      <c r="M16" s="10">
        <v>1200</v>
      </c>
      <c r="N16" s="11">
        <f t="shared" si="2"/>
        <v>1174932000000</v>
      </c>
      <c r="O16" s="8">
        <v>1123569559</v>
      </c>
      <c r="P16" s="8">
        <f>-207715034+95818580</f>
        <v>-111896454</v>
      </c>
      <c r="Q16" s="8">
        <v>-187053341</v>
      </c>
      <c r="R16" s="8"/>
      <c r="S16" s="21">
        <v>1</v>
      </c>
      <c r="T16" s="13">
        <v>1000</v>
      </c>
      <c r="U16" s="13"/>
      <c r="V16" s="14">
        <f>Q16/(D16+E16)</f>
        <v>-9.5157743353173951E-2</v>
      </c>
      <c r="W16" s="14">
        <f>D16/G16</f>
        <v>0.66609190916589778</v>
      </c>
      <c r="X16" s="14">
        <f>(G16+H16)/(D16+E16)</f>
        <v>0.60995254423877598</v>
      </c>
      <c r="Y16" s="15"/>
      <c r="Z16" s="16">
        <f t="shared" si="3"/>
        <v>-0.12615546837998065</v>
      </c>
      <c r="AA16" s="16">
        <f t="shared" si="4"/>
        <v>-7.3934282820805067E-2</v>
      </c>
      <c r="AB16" s="16">
        <f t="shared" si="5"/>
        <v>-5.6923944768579322E-2</v>
      </c>
      <c r="AC16" s="16">
        <f t="shared" si="6"/>
        <v>0.97993066825300412</v>
      </c>
      <c r="AD16" s="16">
        <f t="shared" si="7"/>
        <v>0.57158211215677157</v>
      </c>
      <c r="AE16" s="49">
        <f>(Z16*AI16)+(AA16*AJ16)+(AB16*AK16)+(AC16*AL16)+(AD16*AM16)</f>
        <v>0.71108111624559056</v>
      </c>
      <c r="AF16" s="17"/>
      <c r="AG16" s="18" t="str">
        <f t="shared" si="8"/>
        <v>FD</v>
      </c>
      <c r="AH16" s="15"/>
      <c r="AI16" s="19">
        <v>1.2</v>
      </c>
      <c r="AJ16" s="19">
        <v>1.4</v>
      </c>
      <c r="AK16" s="19">
        <v>3.3</v>
      </c>
      <c r="AL16" s="19">
        <v>0.6</v>
      </c>
      <c r="AM16" s="19">
        <v>0.99</v>
      </c>
    </row>
    <row r="17" spans="1:39" x14ac:dyDescent="0.25">
      <c r="A17" s="5" t="s">
        <v>49</v>
      </c>
      <c r="B17" s="20" t="s">
        <v>8</v>
      </c>
      <c r="C17" s="7" t="s">
        <v>1</v>
      </c>
      <c r="D17" s="8">
        <v>1787723</v>
      </c>
      <c r="E17" s="8">
        <v>3717167</v>
      </c>
      <c r="F17" s="9">
        <f t="shared" si="0"/>
        <v>5504890</v>
      </c>
      <c r="G17" s="8">
        <v>885086</v>
      </c>
      <c r="H17" s="8">
        <v>1020540</v>
      </c>
      <c r="I17" s="8">
        <f t="shared" si="1"/>
        <v>1905626</v>
      </c>
      <c r="J17" s="8">
        <v>3599264</v>
      </c>
      <c r="K17" s="8">
        <f>3134681</f>
        <v>3134681</v>
      </c>
      <c r="L17" s="8">
        <v>434000000</v>
      </c>
      <c r="M17" s="10">
        <v>6700</v>
      </c>
      <c r="N17" s="11">
        <f t="shared" si="2"/>
        <v>2907800000000</v>
      </c>
      <c r="O17" s="8">
        <v>3724075</v>
      </c>
      <c r="P17" s="8">
        <f>348561+2446</f>
        <v>351007</v>
      </c>
      <c r="Q17" s="8">
        <v>260444</v>
      </c>
      <c r="R17" s="8"/>
      <c r="S17" s="21">
        <v>1</v>
      </c>
      <c r="T17" s="13">
        <v>1000000</v>
      </c>
      <c r="U17" s="13"/>
      <c r="V17" s="14">
        <f>Q17/(D17+E17)</f>
        <v>4.7311390418337151E-2</v>
      </c>
      <c r="W17" s="14">
        <f>D17/G17</f>
        <v>2.0198297114630668</v>
      </c>
      <c r="X17" s="14">
        <f>(G17+H17)/(D17+E17)</f>
        <v>0.34616967823153594</v>
      </c>
      <c r="Y17" s="15"/>
      <c r="Z17" s="16">
        <f t="shared" si="3"/>
        <v>0.16397003391530077</v>
      </c>
      <c r="AA17" s="16">
        <f t="shared" si="4"/>
        <v>0.56943571987814467</v>
      </c>
      <c r="AB17" s="16">
        <f t="shared" si="5"/>
        <v>6.3762763651953075E-2</v>
      </c>
      <c r="AC17" s="16">
        <f t="shared" si="6"/>
        <v>1.5259027742064812</v>
      </c>
      <c r="AD17" s="16">
        <f t="shared" si="7"/>
        <v>0.67650307272261567</v>
      </c>
      <c r="AE17" s="49">
        <f>(Z17*AI17)+(AA17*AJ17)+(AB17*AK17)+(AC17*AL17)+(AD17*AM17)</f>
        <v>2.7896708750984867</v>
      </c>
      <c r="AF17" s="17"/>
      <c r="AG17" s="18" t="str">
        <f t="shared" si="8"/>
        <v>GA</v>
      </c>
      <c r="AH17" s="15"/>
      <c r="AI17" s="19">
        <v>1.2</v>
      </c>
      <c r="AJ17" s="19">
        <v>1.4</v>
      </c>
      <c r="AK17" s="19">
        <v>3.3</v>
      </c>
      <c r="AL17" s="19">
        <v>0.6</v>
      </c>
      <c r="AM17" s="19">
        <v>0.99</v>
      </c>
    </row>
    <row r="18" spans="1:39" x14ac:dyDescent="0.25">
      <c r="A18" s="5" t="s">
        <v>50</v>
      </c>
      <c r="B18" s="20"/>
      <c r="C18" s="7" t="s">
        <v>2</v>
      </c>
      <c r="D18" s="8">
        <v>2003321</v>
      </c>
      <c r="E18" s="8">
        <v>4264495</v>
      </c>
      <c r="F18" s="9">
        <f t="shared" si="0"/>
        <v>6267816</v>
      </c>
      <c r="G18" s="8">
        <v>996903</v>
      </c>
      <c r="H18" s="8">
        <v>1722036</v>
      </c>
      <c r="I18" s="8">
        <f t="shared" si="1"/>
        <v>2718939</v>
      </c>
      <c r="J18" s="8">
        <v>3548877</v>
      </c>
      <c r="K18" s="8">
        <f>3084294</f>
        <v>3084294</v>
      </c>
      <c r="L18" s="8">
        <v>434000000</v>
      </c>
      <c r="M18" s="10">
        <v>6025</v>
      </c>
      <c r="N18" s="11">
        <f t="shared" si="2"/>
        <v>2614850000000</v>
      </c>
      <c r="O18" s="8">
        <v>3885791</v>
      </c>
      <c r="P18" s="8">
        <f>63589+29753</f>
        <v>93342</v>
      </c>
      <c r="Q18" s="8">
        <v>38569</v>
      </c>
      <c r="R18" s="8"/>
      <c r="S18" s="21">
        <v>1</v>
      </c>
      <c r="T18" s="13">
        <v>1000000</v>
      </c>
      <c r="U18" s="13"/>
      <c r="V18" s="14">
        <f>Q18/(D18+E18)</f>
        <v>6.1534990816577897E-3</v>
      </c>
      <c r="W18" s="14">
        <f>D18/G18</f>
        <v>2.0095445595007737</v>
      </c>
      <c r="X18" s="14">
        <f>(G18+H18)/(D18+E18)</f>
        <v>0.43379368507307808</v>
      </c>
      <c r="Y18" s="15"/>
      <c r="Z18" s="16">
        <f t="shared" si="3"/>
        <v>0.16056916795260104</v>
      </c>
      <c r="AA18" s="16">
        <f t="shared" si="4"/>
        <v>0.49208432410906766</v>
      </c>
      <c r="AB18" s="16">
        <f t="shared" si="5"/>
        <v>1.4892268694550063E-2</v>
      </c>
      <c r="AC18" s="16">
        <f t="shared" si="6"/>
        <v>0.96171705212952552</v>
      </c>
      <c r="AD18" s="16">
        <f t="shared" si="7"/>
        <v>0.61995932873587867</v>
      </c>
      <c r="AE18" s="49">
        <f>(Z18*AI18)+(AA18*AJ18)+(AB18*AK18)+(AC18*AL18)+(AD18*AM18)</f>
        <v>2.1215355087140662</v>
      </c>
      <c r="AF18" s="17"/>
      <c r="AG18" s="18" t="str">
        <f t="shared" si="8"/>
        <v>GA</v>
      </c>
      <c r="AH18" s="15"/>
      <c r="AI18" s="19">
        <v>1.2</v>
      </c>
      <c r="AJ18" s="19">
        <v>1.4</v>
      </c>
      <c r="AK18" s="19">
        <v>3.3</v>
      </c>
      <c r="AL18" s="19">
        <v>0.6</v>
      </c>
      <c r="AM18" s="19">
        <v>0.99</v>
      </c>
    </row>
    <row r="19" spans="1:39" x14ac:dyDescent="0.25">
      <c r="A19" s="5" t="s">
        <v>51</v>
      </c>
      <c r="B19" s="20"/>
      <c r="C19" s="7" t="s">
        <v>3</v>
      </c>
      <c r="D19" s="8">
        <v>2208918</v>
      </c>
      <c r="E19" s="8">
        <v>6223714</v>
      </c>
      <c r="F19" s="9">
        <f t="shared" si="0"/>
        <v>8432632</v>
      </c>
      <c r="G19" s="8">
        <v>1738904</v>
      </c>
      <c r="H19" s="8">
        <v>3097062</v>
      </c>
      <c r="I19" s="8">
        <f t="shared" si="1"/>
        <v>4835966</v>
      </c>
      <c r="J19" s="8">
        <v>3596666</v>
      </c>
      <c r="K19" s="8">
        <f>3132083</f>
        <v>3132083</v>
      </c>
      <c r="L19" s="8">
        <v>434000000</v>
      </c>
      <c r="M19" s="10">
        <v>3690</v>
      </c>
      <c r="N19" s="11">
        <f t="shared" si="2"/>
        <v>1601460000000</v>
      </c>
      <c r="O19" s="8">
        <v>4443262</v>
      </c>
      <c r="P19" s="8">
        <f>11184+165512</f>
        <v>176696</v>
      </c>
      <c r="Q19" s="8">
        <v>6596</v>
      </c>
      <c r="R19" s="8"/>
      <c r="S19" s="21">
        <v>1</v>
      </c>
      <c r="T19" s="13">
        <v>1000000</v>
      </c>
      <c r="U19" s="13"/>
      <c r="V19" s="14">
        <f>Q19/(D19+E19)</f>
        <v>7.8219943666461432E-4</v>
      </c>
      <c r="W19" s="14">
        <f>D19/G19</f>
        <v>1.2702932421801318</v>
      </c>
      <c r="X19" s="14">
        <f>(G19+H19)/(D19+E19)</f>
        <v>0.57348239553202374</v>
      </c>
      <c r="Y19" s="15"/>
      <c r="Z19" s="16">
        <f t="shared" si="3"/>
        <v>5.5737520622268347E-2</v>
      </c>
      <c r="AA19" s="16">
        <f t="shared" si="4"/>
        <v>0.37142412950073</v>
      </c>
      <c r="AB19" s="16">
        <f t="shared" si="5"/>
        <v>2.0953837425847589E-2</v>
      </c>
      <c r="AC19" s="16">
        <f t="shared" si="6"/>
        <v>0.33115617438170575</v>
      </c>
      <c r="AD19" s="16">
        <f t="shared" si="7"/>
        <v>0.52691283101171738</v>
      </c>
      <c r="AE19" s="49">
        <f>(Z19*AI19)+(AA19*AJ19)+(AB19*AK19)+(AC19*AL19)+(AD19*AM19)</f>
        <v>1.3763638768836648</v>
      </c>
      <c r="AF19" s="17"/>
      <c r="AG19" s="18" t="str">
        <f t="shared" si="8"/>
        <v>FD</v>
      </c>
      <c r="AH19" s="15"/>
      <c r="AI19" s="19">
        <v>1.2</v>
      </c>
      <c r="AJ19" s="19">
        <v>1.4</v>
      </c>
      <c r="AK19" s="19">
        <v>3.3</v>
      </c>
      <c r="AL19" s="19">
        <v>0.6</v>
      </c>
      <c r="AM19" s="19">
        <v>0.99</v>
      </c>
    </row>
    <row r="20" spans="1:39" x14ac:dyDescent="0.25">
      <c r="A20" s="5" t="s">
        <v>52</v>
      </c>
      <c r="B20" s="20"/>
      <c r="C20" s="7" t="s">
        <v>4</v>
      </c>
      <c r="D20" s="8">
        <v>2347673</v>
      </c>
      <c r="E20" s="8">
        <v>6390382</v>
      </c>
      <c r="F20" s="9">
        <f t="shared" si="0"/>
        <v>8738055</v>
      </c>
      <c r="G20" s="8">
        <v>2286103</v>
      </c>
      <c r="H20" s="8">
        <v>3042021</v>
      </c>
      <c r="I20" s="8">
        <f t="shared" si="1"/>
        <v>5328124</v>
      </c>
      <c r="J20" s="8">
        <v>3409931</v>
      </c>
      <c r="K20" s="8">
        <f>2945348</f>
        <v>2945348</v>
      </c>
      <c r="L20" s="8">
        <v>434000000</v>
      </c>
      <c r="M20" s="10">
        <v>3430</v>
      </c>
      <c r="N20" s="11">
        <f t="shared" si="2"/>
        <v>1488620000000</v>
      </c>
      <c r="O20" s="8">
        <v>4289776</v>
      </c>
      <c r="P20" s="8">
        <f>-168416+21853</f>
        <v>-146563</v>
      </c>
      <c r="Q20" s="8">
        <v>-132223</v>
      </c>
      <c r="R20" s="8"/>
      <c r="S20" s="21">
        <v>1</v>
      </c>
      <c r="T20" s="13">
        <v>1000000</v>
      </c>
      <c r="U20" s="13"/>
      <c r="V20" s="14">
        <f>Q20/(D20+E20)</f>
        <v>-1.5131857146699122E-2</v>
      </c>
      <c r="W20" s="14">
        <f>D20/G20</f>
        <v>1.0269322948266111</v>
      </c>
      <c r="X20" s="14">
        <f>(G20+H20)/(D20+E20)</f>
        <v>0.60976086783614891</v>
      </c>
      <c r="Y20" s="15"/>
      <c r="Z20" s="16">
        <f t="shared" si="3"/>
        <v>7.046190485182343E-3</v>
      </c>
      <c r="AA20" s="16">
        <f t="shared" si="4"/>
        <v>0.33707135054654613</v>
      </c>
      <c r="AB20" s="16">
        <f t="shared" si="5"/>
        <v>-1.6772954622052621E-2</v>
      </c>
      <c r="AC20" s="16">
        <f t="shared" si="6"/>
        <v>0.27938914334576298</v>
      </c>
      <c r="AD20" s="16">
        <f t="shared" si="7"/>
        <v>0.4909303042839625</v>
      </c>
      <c r="AE20" s="49">
        <f>(Z20*AI20)+(AA20*AJ20)+(AB20*AK20)+(AC20*AL20)+(AD20*AM20)</f>
        <v>1.0786590563431904</v>
      </c>
      <c r="AF20" s="17"/>
      <c r="AG20" s="18" t="str">
        <f t="shared" si="8"/>
        <v>FD</v>
      </c>
      <c r="AH20" s="15"/>
      <c r="AI20" s="19">
        <v>1.2</v>
      </c>
      <c r="AJ20" s="19">
        <v>1.4</v>
      </c>
      <c r="AK20" s="19">
        <v>3.3</v>
      </c>
      <c r="AL20" s="19">
        <v>0.6</v>
      </c>
      <c r="AM20" s="19">
        <v>0.99</v>
      </c>
    </row>
    <row r="21" spans="1:39" x14ac:dyDescent="0.25">
      <c r="A21" s="5" t="s">
        <v>53</v>
      </c>
      <c r="B21" s="20"/>
      <c r="C21" s="7" t="s">
        <v>5</v>
      </c>
      <c r="D21" s="8">
        <v>1932986</v>
      </c>
      <c r="E21" s="8">
        <v>6028671</v>
      </c>
      <c r="F21" s="9">
        <f t="shared" si="0"/>
        <v>7961657</v>
      </c>
      <c r="G21" s="8">
        <v>2404568</v>
      </c>
      <c r="H21" s="8">
        <v>2627252</v>
      </c>
      <c r="I21" s="8">
        <f t="shared" si="1"/>
        <v>5031820</v>
      </c>
      <c r="J21" s="8">
        <v>2929837</v>
      </c>
      <c r="K21" s="8">
        <f>2465254</f>
        <v>2465254</v>
      </c>
      <c r="L21" s="8">
        <v>434000000</v>
      </c>
      <c r="M21" s="10">
        <v>2700</v>
      </c>
      <c r="N21" s="11">
        <f t="shared" si="2"/>
        <v>1171800000000</v>
      </c>
      <c r="O21" s="8">
        <v>3767789</v>
      </c>
      <c r="P21" s="8">
        <f>-465748+174196</f>
        <v>-291552</v>
      </c>
      <c r="Q21" s="8">
        <v>-430987</v>
      </c>
      <c r="R21" s="8"/>
      <c r="S21" s="21">
        <v>1</v>
      </c>
      <c r="T21" s="13">
        <v>1000000</v>
      </c>
      <c r="U21" s="13"/>
      <c r="V21" s="14">
        <f>Q21/(D21+E21)</f>
        <v>-5.4132826872596997E-2</v>
      </c>
      <c r="W21" s="14">
        <f>D21/G21</f>
        <v>0.80388078024826082</v>
      </c>
      <c r="X21" s="14">
        <f>(G21+H21)/(D21+E21)</f>
        <v>0.63200662877087022</v>
      </c>
      <c r="Y21" s="15"/>
      <c r="Z21" s="16">
        <f t="shared" si="3"/>
        <v>-5.9231639845826065E-2</v>
      </c>
      <c r="AA21" s="16">
        <f t="shared" si="4"/>
        <v>0.30964081974393021</v>
      </c>
      <c r="AB21" s="16">
        <f t="shared" si="5"/>
        <v>-3.6619512747158037E-2</v>
      </c>
      <c r="AC21" s="16">
        <f t="shared" si="6"/>
        <v>0.23287796463307511</v>
      </c>
      <c r="AD21" s="16">
        <f t="shared" si="7"/>
        <v>0.47324181385859754</v>
      </c>
      <c r="AE21" s="49">
        <f>(Z21*AI21)+(AA21*AJ21)+(AB21*AK21)+(AC21*AL21)+(AD21*AM21)</f>
        <v>0.84981096226074615</v>
      </c>
      <c r="AF21" s="17"/>
      <c r="AG21" s="18" t="str">
        <f t="shared" si="8"/>
        <v>FD</v>
      </c>
      <c r="AH21" s="15"/>
      <c r="AI21" s="19">
        <v>1.2</v>
      </c>
      <c r="AJ21" s="19">
        <v>1.4</v>
      </c>
      <c r="AK21" s="19">
        <v>3.3</v>
      </c>
      <c r="AL21" s="19">
        <v>0.6</v>
      </c>
      <c r="AM21" s="19">
        <v>0.99</v>
      </c>
    </row>
    <row r="22" spans="1:39" x14ac:dyDescent="0.25">
      <c r="A22" s="5" t="s">
        <v>54</v>
      </c>
      <c r="B22" s="20" t="s">
        <v>9</v>
      </c>
      <c r="C22" s="7" t="s">
        <v>1</v>
      </c>
      <c r="D22" s="22">
        <v>1424711407181</v>
      </c>
      <c r="E22" s="22">
        <v>728319096350</v>
      </c>
      <c r="F22" s="9">
        <f t="shared" si="0"/>
        <v>2153030503531</v>
      </c>
      <c r="G22" s="22">
        <v>1667249369925</v>
      </c>
      <c r="H22" s="22">
        <v>82086791545</v>
      </c>
      <c r="I22" s="8">
        <f t="shared" si="1"/>
        <v>1749336161470</v>
      </c>
      <c r="J22" s="22">
        <v>403694342061</v>
      </c>
      <c r="K22" s="8">
        <v>-146401607484</v>
      </c>
      <c r="L22" s="8">
        <v>616000000</v>
      </c>
      <c r="M22" s="10">
        <v>183</v>
      </c>
      <c r="N22" s="11">
        <f t="shared" si="2"/>
        <v>112728000000</v>
      </c>
      <c r="O22" s="8">
        <v>2461800368336</v>
      </c>
      <c r="P22" s="8">
        <f>-91041353107+44196441226</f>
        <v>-46844911881</v>
      </c>
      <c r="Q22" s="8">
        <v>-99931854409</v>
      </c>
      <c r="R22" s="8"/>
      <c r="S22" s="12">
        <v>1</v>
      </c>
      <c r="T22" s="13">
        <v>1</v>
      </c>
      <c r="U22" s="13"/>
      <c r="V22" s="14">
        <f>Q22/(D22+E22)</f>
        <v>-4.6414509337006776E-2</v>
      </c>
      <c r="W22" s="14">
        <f>D22/G22</f>
        <v>0.85452808252978352</v>
      </c>
      <c r="X22" s="14">
        <f>(G22+H22)/(D22+E22)</f>
        <v>0.81249947857267435</v>
      </c>
      <c r="Y22" s="15"/>
      <c r="Z22" s="16">
        <f t="shared" si="3"/>
        <v>-0.11264957107957103</v>
      </c>
      <c r="AA22" s="16">
        <f t="shared" si="4"/>
        <v>-6.7997925363295741E-2</v>
      </c>
      <c r="AB22" s="16">
        <f t="shared" si="5"/>
        <v>-2.1757662886881395E-2</v>
      </c>
      <c r="AC22" s="16">
        <f t="shared" si="6"/>
        <v>6.4440444600009042E-2</v>
      </c>
      <c r="AD22" s="16">
        <f t="shared" si="7"/>
        <v>1.1434117465120039</v>
      </c>
      <c r="AE22" s="49">
        <f>(Z22*AI22)+(AA22*AJ22)+(AB22*AK22)+(AC22*AL22)+(AD22*AM22)</f>
        <v>0.86846502747608145</v>
      </c>
      <c r="AF22" s="17"/>
      <c r="AG22" s="18" t="str">
        <f t="shared" si="8"/>
        <v>FD</v>
      </c>
      <c r="AH22" s="15"/>
      <c r="AI22" s="19">
        <v>1.2</v>
      </c>
      <c r="AJ22" s="19">
        <v>1.4</v>
      </c>
      <c r="AK22" s="19">
        <v>3.3</v>
      </c>
      <c r="AL22" s="19">
        <v>0.6</v>
      </c>
      <c r="AM22" s="19">
        <v>0.99</v>
      </c>
    </row>
    <row r="23" spans="1:39" x14ac:dyDescent="0.25">
      <c r="A23" s="5" t="s">
        <v>55</v>
      </c>
      <c r="B23" s="20"/>
      <c r="C23" s="7" t="s">
        <v>2</v>
      </c>
      <c r="D23" s="22">
        <v>1701281476100</v>
      </c>
      <c r="E23" s="22">
        <v>675000320828</v>
      </c>
      <c r="F23" s="9">
        <f t="shared" si="0"/>
        <v>2376281796928</v>
      </c>
      <c r="G23" s="22">
        <v>1747767173359</v>
      </c>
      <c r="H23" s="22">
        <v>249644071180</v>
      </c>
      <c r="I23" s="8">
        <f t="shared" si="1"/>
        <v>1997411244539</v>
      </c>
      <c r="J23" s="22">
        <v>378870552389</v>
      </c>
      <c r="K23" s="8">
        <v>-142917791945</v>
      </c>
      <c r="L23" s="8">
        <v>616000000</v>
      </c>
      <c r="M23" s="10">
        <v>220</v>
      </c>
      <c r="N23" s="11">
        <f t="shared" si="2"/>
        <v>135520000000</v>
      </c>
      <c r="O23" s="8">
        <v>3484905171484</v>
      </c>
      <c r="P23" s="8">
        <f>4716551594+51880212801</f>
        <v>56596764395</v>
      </c>
      <c r="Q23" s="8">
        <v>8446455684</v>
      </c>
      <c r="R23" s="8"/>
      <c r="S23" s="12">
        <v>1</v>
      </c>
      <c r="T23" s="13">
        <v>1</v>
      </c>
      <c r="U23" s="13"/>
      <c r="V23" s="14">
        <f>Q23/(D23+E23)</f>
        <v>3.5544840241251586E-3</v>
      </c>
      <c r="W23" s="14">
        <f>D23/G23</f>
        <v>0.97340280904254539</v>
      </c>
      <c r="X23" s="14">
        <f>(G23+H23)/(D23+E23)</f>
        <v>0.84056160642277578</v>
      </c>
      <c r="Y23" s="15"/>
      <c r="Z23" s="16">
        <f t="shared" si="3"/>
        <v>-1.9562367274409791E-2</v>
      </c>
      <c r="AA23" s="16">
        <f t="shared" si="4"/>
        <v>-6.0143452737701684E-2</v>
      </c>
      <c r="AB23" s="16">
        <f t="shared" si="5"/>
        <v>2.3817362262407993E-2</v>
      </c>
      <c r="AC23" s="16">
        <f t="shared" si="6"/>
        <v>6.7847820708187637E-2</v>
      </c>
      <c r="AD23" s="16">
        <f t="shared" si="7"/>
        <v>1.4665369974172262</v>
      </c>
      <c r="AE23" s="49">
        <f>(Z23*AI23)+(AA23*AJ23)+(AB23*AK23)+(AC23*AL23)+(AD23*AM23)</f>
        <v>1.4635019407718388</v>
      </c>
      <c r="AF23" s="17"/>
      <c r="AG23" s="18" t="str">
        <f t="shared" si="8"/>
        <v>FD</v>
      </c>
      <c r="AH23" s="15"/>
      <c r="AI23" s="19">
        <v>1.2</v>
      </c>
      <c r="AJ23" s="19">
        <v>1.4</v>
      </c>
      <c r="AK23" s="19">
        <v>3.3</v>
      </c>
      <c r="AL23" s="19">
        <v>0.6</v>
      </c>
      <c r="AM23" s="19">
        <v>0.99</v>
      </c>
    </row>
    <row r="24" spans="1:39" x14ac:dyDescent="0.25">
      <c r="A24" s="5" t="s">
        <v>56</v>
      </c>
      <c r="B24" s="20"/>
      <c r="C24" s="7" t="s">
        <v>3</v>
      </c>
      <c r="D24" s="22">
        <v>2115994105157</v>
      </c>
      <c r="E24" s="22">
        <v>665672268860</v>
      </c>
      <c r="F24" s="9">
        <f t="shared" si="0"/>
        <v>2781666374017</v>
      </c>
      <c r="G24" s="22">
        <v>2144650311300</v>
      </c>
      <c r="H24" s="22">
        <v>309815366787</v>
      </c>
      <c r="I24" s="8">
        <f t="shared" si="1"/>
        <v>2454465678087</v>
      </c>
      <c r="J24" s="22">
        <v>327200695930</v>
      </c>
      <c r="K24" s="8">
        <v>-130823462725</v>
      </c>
      <c r="L24" s="8">
        <v>616000000</v>
      </c>
      <c r="M24" s="10">
        <v>400</v>
      </c>
      <c r="N24" s="11">
        <f t="shared" si="2"/>
        <v>246400000000</v>
      </c>
      <c r="O24" s="8">
        <v>4422880456073</v>
      </c>
      <c r="P24" s="8">
        <f>13900879443+91848277580</f>
        <v>105749157023</v>
      </c>
      <c r="Q24" s="8">
        <v>6544635062</v>
      </c>
      <c r="R24" s="8"/>
      <c r="S24" s="12">
        <v>1</v>
      </c>
      <c r="T24" s="13">
        <v>1</v>
      </c>
      <c r="U24" s="13"/>
      <c r="V24" s="14">
        <f>Q24/(D24+E24)</f>
        <v>2.352774985214673E-3</v>
      </c>
      <c r="W24" s="14">
        <f>D24/G24</f>
        <v>0.98663828504254858</v>
      </c>
      <c r="X24" s="14">
        <f>(G24+H24)/(D24+E24)</f>
        <v>0.88237241569071057</v>
      </c>
      <c r="Y24" s="15"/>
      <c r="Z24" s="16">
        <f t="shared" si="3"/>
        <v>-1.0301812758953411E-2</v>
      </c>
      <c r="AA24" s="16">
        <f t="shared" si="4"/>
        <v>-4.7030608683699925E-2</v>
      </c>
      <c r="AB24" s="16">
        <f t="shared" si="5"/>
        <v>3.801647746501239E-2</v>
      </c>
      <c r="AC24" s="16">
        <f t="shared" si="6"/>
        <v>0.10038844796234556</v>
      </c>
      <c r="AD24" s="16">
        <f t="shared" si="7"/>
        <v>1.5900111161375279</v>
      </c>
      <c r="AE24" s="49">
        <f>(Z24*AI24)+(AA24*AJ24)+(AB24*AK24)+(AC24*AL24)+(AD24*AM24)</f>
        <v>1.6815934219201769</v>
      </c>
      <c r="AF24" s="17"/>
      <c r="AG24" s="18" t="str">
        <f t="shared" si="8"/>
        <v>FD</v>
      </c>
      <c r="AH24" s="15"/>
      <c r="AI24" s="19">
        <v>1.2</v>
      </c>
      <c r="AJ24" s="19">
        <v>1.4</v>
      </c>
      <c r="AK24" s="19">
        <v>3.3</v>
      </c>
      <c r="AL24" s="19">
        <v>0.6</v>
      </c>
      <c r="AM24" s="19">
        <v>0.99</v>
      </c>
    </row>
    <row r="25" spans="1:39" x14ac:dyDescent="0.25">
      <c r="A25" s="5" t="s">
        <v>57</v>
      </c>
      <c r="B25" s="20"/>
      <c r="C25" s="7" t="s">
        <v>4</v>
      </c>
      <c r="D25" s="22">
        <v>1160620662903</v>
      </c>
      <c r="E25" s="22">
        <v>565028961975</v>
      </c>
      <c r="F25" s="9">
        <f t="shared" si="0"/>
        <v>1725649624878</v>
      </c>
      <c r="G25" s="22">
        <v>1573757483662</v>
      </c>
      <c r="H25" s="22">
        <v>149702039069</v>
      </c>
      <c r="I25" s="8">
        <f t="shared" si="1"/>
        <v>1723459522731</v>
      </c>
      <c r="J25" s="22">
        <v>2190102147</v>
      </c>
      <c r="K25" s="8">
        <f>-144281030930</f>
        <v>-144281030930</v>
      </c>
      <c r="L25" s="8">
        <v>616000000</v>
      </c>
      <c r="M25" s="10">
        <v>358</v>
      </c>
      <c r="N25" s="11">
        <f t="shared" si="2"/>
        <v>220528000000</v>
      </c>
      <c r="O25" s="8">
        <v>2234124975480</v>
      </c>
      <c r="P25" s="8">
        <f>-21105970+7394922</f>
        <v>-13711048</v>
      </c>
      <c r="Q25" s="8">
        <v>-22438088</v>
      </c>
      <c r="R25" s="8"/>
      <c r="S25" s="12">
        <v>1</v>
      </c>
      <c r="T25" s="13">
        <v>1</v>
      </c>
      <c r="U25" s="13"/>
      <c r="V25" s="14">
        <f>Q25/(D25+E25)</f>
        <v>-1.3002690509428487E-5</v>
      </c>
      <c r="W25" s="14">
        <f>D25/G25</f>
        <v>0.73748380862490592</v>
      </c>
      <c r="X25" s="14">
        <f>(G25+H25)/(D25+E25)</f>
        <v>0.99873085352007374</v>
      </c>
      <c r="Y25" s="15"/>
      <c r="Z25" s="16">
        <f t="shared" si="3"/>
        <v>-0.23940944604453407</v>
      </c>
      <c r="AA25" s="16">
        <f t="shared" si="4"/>
        <v>-8.3609690431915101E-2</v>
      </c>
      <c r="AB25" s="16">
        <f t="shared" si="5"/>
        <v>-7.9454414165733927E-6</v>
      </c>
      <c r="AC25" s="16">
        <f t="shared" si="6"/>
        <v>0.12795658795081566</v>
      </c>
      <c r="AD25" s="16">
        <f t="shared" si="7"/>
        <v>1.2946573529594387</v>
      </c>
      <c r="AE25" s="49">
        <f>(Z25*AI25)+(AA25*AJ25)+(AB25*AK25)+(AC25*AL25)+(AD25*AM25)</f>
        <v>0.95411361038553699</v>
      </c>
      <c r="AF25" s="17"/>
      <c r="AG25" s="18" t="str">
        <f t="shared" si="8"/>
        <v>FD</v>
      </c>
      <c r="AH25" s="15"/>
      <c r="AI25" s="19">
        <v>1.2</v>
      </c>
      <c r="AJ25" s="19">
        <v>1.4</v>
      </c>
      <c r="AK25" s="19">
        <v>3.3</v>
      </c>
      <c r="AL25" s="19">
        <v>0.6</v>
      </c>
      <c r="AM25" s="19">
        <v>0.99</v>
      </c>
    </row>
    <row r="26" spans="1:39" x14ac:dyDescent="0.25">
      <c r="A26" s="5" t="s">
        <v>58</v>
      </c>
      <c r="B26" s="20"/>
      <c r="C26" s="7" t="s">
        <v>5</v>
      </c>
      <c r="D26" s="22">
        <v>65009326</v>
      </c>
      <c r="E26" s="22">
        <v>36139795</v>
      </c>
      <c r="F26" s="9">
        <f t="shared" si="0"/>
        <v>101149121</v>
      </c>
      <c r="G26" s="22">
        <v>99946499</v>
      </c>
      <c r="H26" s="22">
        <v>20285489</v>
      </c>
      <c r="I26" s="8">
        <f t="shared" si="1"/>
        <v>120231988</v>
      </c>
      <c r="J26" s="22">
        <v>-19082867</v>
      </c>
      <c r="K26" s="8">
        <v>-120043058</v>
      </c>
      <c r="L26" s="8">
        <v>616000000</v>
      </c>
      <c r="M26" s="10">
        <v>248</v>
      </c>
      <c r="N26" s="11">
        <f t="shared" si="2"/>
        <v>152768000000</v>
      </c>
      <c r="O26" s="8">
        <v>68013921</v>
      </c>
      <c r="P26" s="8">
        <f>-18448831+8570512</f>
        <v>-9878319</v>
      </c>
      <c r="Q26" s="8">
        <v>-18916626</v>
      </c>
      <c r="R26" s="8"/>
      <c r="S26" s="12">
        <v>14034</v>
      </c>
      <c r="T26" s="13">
        <v>1</v>
      </c>
      <c r="U26" s="13"/>
      <c r="V26" s="14">
        <f>Q26/(D26+E26)</f>
        <v>-0.18701720601210167</v>
      </c>
      <c r="W26" s="14">
        <f>D26/G26</f>
        <v>0.65044125257453989</v>
      </c>
      <c r="X26" s="14">
        <f>(G26+H26)/(D26+E26)</f>
        <v>1.1886607299335799</v>
      </c>
      <c r="Y26" s="15"/>
      <c r="Z26" s="16">
        <f t="shared" si="3"/>
        <v>-0.34540263577772468</v>
      </c>
      <c r="AA26" s="16">
        <f t="shared" si="4"/>
        <v>-1.1867928936327583</v>
      </c>
      <c r="AB26" s="16">
        <f t="shared" si="5"/>
        <v>-9.7660947542984586E-2</v>
      </c>
      <c r="AC26" s="16">
        <f t="shared" si="6"/>
        <v>9.0537999181893397E-2</v>
      </c>
      <c r="AD26" s="16">
        <f t="shared" si="7"/>
        <v>0.67241237815600985</v>
      </c>
      <c r="AE26" s="49">
        <f>(Z26*AI26)+(AA26*AJ26)+(AB26*AK26)+(AC26*AL26)+(AD26*AM26)</f>
        <v>-1.6782632870273946</v>
      </c>
      <c r="AF26" s="17"/>
      <c r="AG26" s="18" t="str">
        <f t="shared" si="8"/>
        <v>FD</v>
      </c>
      <c r="AH26" s="15"/>
      <c r="AI26" s="19">
        <v>1.2</v>
      </c>
      <c r="AJ26" s="19">
        <v>1.4</v>
      </c>
      <c r="AK26" s="19">
        <v>3.3</v>
      </c>
      <c r="AL26" s="19">
        <v>0.6</v>
      </c>
      <c r="AM26" s="19">
        <v>0.99</v>
      </c>
    </row>
    <row r="27" spans="1:39" x14ac:dyDescent="0.25">
      <c r="A27" s="5" t="s">
        <v>59</v>
      </c>
      <c r="B27" s="20" t="s">
        <v>10</v>
      </c>
      <c r="C27" s="7" t="s">
        <v>1</v>
      </c>
      <c r="D27" s="22">
        <v>132444530</v>
      </c>
      <c r="E27" s="22">
        <v>248402992</v>
      </c>
      <c r="F27" s="9">
        <f t="shared" si="0"/>
        <v>380847522</v>
      </c>
      <c r="G27" s="22">
        <v>71253970</v>
      </c>
      <c r="H27" s="22">
        <v>64135047</v>
      </c>
      <c r="I27" s="8">
        <f t="shared" si="1"/>
        <v>135389017</v>
      </c>
      <c r="J27" s="22">
        <v>245458505</v>
      </c>
      <c r="K27" s="8">
        <v>-25773443</v>
      </c>
      <c r="L27" s="8">
        <v>3889179559</v>
      </c>
      <c r="M27" s="10">
        <v>126</v>
      </c>
      <c r="N27" s="11">
        <f t="shared" si="2"/>
        <v>490036624434</v>
      </c>
      <c r="O27" s="8">
        <v>279954690</v>
      </c>
      <c r="P27" s="8">
        <f>-28114407+4977003</f>
        <v>-23137404</v>
      </c>
      <c r="Q27" s="8">
        <v>-20569761</v>
      </c>
      <c r="R27" s="8"/>
      <c r="S27" s="12">
        <v>13369</v>
      </c>
      <c r="T27" s="13">
        <v>1</v>
      </c>
      <c r="U27" s="13"/>
      <c r="V27" s="14">
        <f>Q27/(D27+E27)</f>
        <v>-5.401048926872104E-2</v>
      </c>
      <c r="W27" s="14">
        <f>D27/G27</f>
        <v>1.858767027296865</v>
      </c>
      <c r="X27" s="14">
        <f>(G27+H27)/(D27+E27)</f>
        <v>0.35549402104288863</v>
      </c>
      <c r="Y27" s="15"/>
      <c r="Z27" s="16">
        <f t="shared" si="3"/>
        <v>0.1606694450279238</v>
      </c>
      <c r="AA27" s="16">
        <f t="shared" si="4"/>
        <v>-6.7673915441676419E-2</v>
      </c>
      <c r="AB27" s="16">
        <f t="shared" si="5"/>
        <v>-6.0752407888845339E-2</v>
      </c>
      <c r="AC27" s="16">
        <f t="shared" si="6"/>
        <v>0.27073610795201042</v>
      </c>
      <c r="AD27" s="16">
        <f t="shared" si="7"/>
        <v>0.73508339644651799</v>
      </c>
      <c r="AE27" s="49">
        <f>(Z27*AI27)+(AA27*AJ27)+(AB27*AK27)+(AC27*AL27)+(AD27*AM27)</f>
        <v>0.78775113363523097</v>
      </c>
      <c r="AF27" s="17"/>
      <c r="AG27" s="18" t="str">
        <f t="shared" si="8"/>
        <v>FD</v>
      </c>
      <c r="AH27" s="15"/>
      <c r="AI27" s="19">
        <v>1.2</v>
      </c>
      <c r="AJ27" s="19">
        <v>1.4</v>
      </c>
      <c r="AK27" s="19">
        <v>3.3</v>
      </c>
      <c r="AL27" s="19">
        <v>0.6</v>
      </c>
      <c r="AM27" s="19">
        <v>0.99</v>
      </c>
    </row>
    <row r="28" spans="1:39" x14ac:dyDescent="0.25">
      <c r="A28" s="5" t="s">
        <v>60</v>
      </c>
      <c r="B28" s="20"/>
      <c r="C28" s="7" t="s">
        <v>2</v>
      </c>
      <c r="D28" s="22">
        <v>149564786</v>
      </c>
      <c r="E28" s="22">
        <v>224545517</v>
      </c>
      <c r="F28" s="9">
        <f t="shared" si="0"/>
        <v>374110303</v>
      </c>
      <c r="G28" s="22">
        <v>69487329</v>
      </c>
      <c r="H28" s="22">
        <v>65031095</v>
      </c>
      <c r="I28" s="8">
        <f t="shared" si="1"/>
        <v>134518424</v>
      </c>
      <c r="J28" s="22">
        <v>239591879</v>
      </c>
      <c r="K28" s="8">
        <v>-33911526</v>
      </c>
      <c r="L28" s="8">
        <v>3889179559</v>
      </c>
      <c r="M28" s="10">
        <v>246</v>
      </c>
      <c r="N28" s="11">
        <f t="shared" si="2"/>
        <v>956738171514</v>
      </c>
      <c r="O28" s="8">
        <v>355097424</v>
      </c>
      <c r="P28" s="8">
        <f>-11751064+4077942</f>
        <v>-7673122</v>
      </c>
      <c r="Q28" s="8">
        <v>-8637865</v>
      </c>
      <c r="R28" s="8"/>
      <c r="S28" s="12">
        <v>13480</v>
      </c>
      <c r="T28" s="13">
        <v>1</v>
      </c>
      <c r="U28" s="13"/>
      <c r="V28" s="14">
        <f>Q28/(D28+E28)</f>
        <v>-2.3089086108382319E-2</v>
      </c>
      <c r="W28" s="14">
        <f>D28/G28</f>
        <v>2.1524037281674766</v>
      </c>
      <c r="X28" s="14">
        <f>(G28+H28)/(D28+E28)</f>
        <v>0.3595688836187973</v>
      </c>
      <c r="Y28" s="15"/>
      <c r="Z28" s="16">
        <f t="shared" si="3"/>
        <v>0.2140477189691298</v>
      </c>
      <c r="AA28" s="16">
        <f t="shared" si="4"/>
        <v>-9.0645795446055916E-2</v>
      </c>
      <c r="AB28" s="16">
        <f t="shared" si="5"/>
        <v>-2.0510319920272285E-2</v>
      </c>
      <c r="AC28" s="16">
        <f t="shared" si="6"/>
        <v>0.52762022995236102</v>
      </c>
      <c r="AD28" s="16">
        <f t="shared" si="7"/>
        <v>0.94917841383267121</v>
      </c>
      <c r="AE28" s="49">
        <f>(Z28*AI28)+(AA28*AJ28)+(AB28*AK28)+(AC28*AL28)+(AD28*AM28)</f>
        <v>1.3185278610673401</v>
      </c>
      <c r="AF28" s="17"/>
      <c r="AG28" s="18" t="str">
        <f t="shared" si="8"/>
        <v>FD</v>
      </c>
      <c r="AH28" s="15"/>
      <c r="AI28" s="19">
        <v>1.2</v>
      </c>
      <c r="AJ28" s="19">
        <v>1.4</v>
      </c>
      <c r="AK28" s="19">
        <v>3.3</v>
      </c>
      <c r="AL28" s="19">
        <v>0.6</v>
      </c>
      <c r="AM28" s="19">
        <v>0.99</v>
      </c>
    </row>
    <row r="29" spans="1:39" x14ac:dyDescent="0.25">
      <c r="A29" s="5" t="s">
        <v>61</v>
      </c>
      <c r="B29" s="20"/>
      <c r="C29" s="7" t="s">
        <v>3</v>
      </c>
      <c r="D29" s="22">
        <v>124180421</v>
      </c>
      <c r="E29" s="22">
        <v>156499433</v>
      </c>
      <c r="F29" s="9">
        <f t="shared" si="0"/>
        <v>280679854</v>
      </c>
      <c r="G29" s="22">
        <v>26463482</v>
      </c>
      <c r="H29" s="22">
        <v>10440410</v>
      </c>
      <c r="I29" s="8">
        <f t="shared" si="1"/>
        <v>36903892</v>
      </c>
      <c r="J29" s="22">
        <v>243775962</v>
      </c>
      <c r="K29" s="8">
        <v>-36914645</v>
      </c>
      <c r="L29" s="8">
        <v>3889179559</v>
      </c>
      <c r="M29" s="10">
        <v>314</v>
      </c>
      <c r="N29" s="11">
        <f t="shared" si="2"/>
        <v>1221202381526</v>
      </c>
      <c r="O29" s="8">
        <v>356636089</v>
      </c>
      <c r="P29" s="8">
        <f>-1395757+949260</f>
        <v>-446497</v>
      </c>
      <c r="Q29" s="8">
        <v>-1304581</v>
      </c>
      <c r="R29" s="8"/>
      <c r="S29" s="12">
        <v>14409</v>
      </c>
      <c r="T29" s="13">
        <v>1</v>
      </c>
      <c r="U29" s="13"/>
      <c r="V29" s="14">
        <f>Q29/(D29+E29)</f>
        <v>-4.6479324447703321E-3</v>
      </c>
      <c r="W29" s="14">
        <f>D29/G29</f>
        <v>4.6925200924050738</v>
      </c>
      <c r="X29" s="14">
        <f>(G29+H29)/(D29+E29)</f>
        <v>0.13148037336516499</v>
      </c>
      <c r="Y29" s="15"/>
      <c r="Z29" s="16">
        <f t="shared" si="3"/>
        <v>0.34814375740697084</v>
      </c>
      <c r="AA29" s="16">
        <f t="shared" si="4"/>
        <v>-0.13151868391665902</v>
      </c>
      <c r="AB29" s="16">
        <f t="shared" si="5"/>
        <v>-1.5907696745488546E-3</v>
      </c>
      <c r="AC29" s="16">
        <f t="shared" si="6"/>
        <v>2.2965802758760958</v>
      </c>
      <c r="AD29" s="16">
        <f t="shared" si="7"/>
        <v>1.2706152006192792</v>
      </c>
      <c r="AE29" s="49">
        <f>(Z29*AI29)+(AA29*AJ29)+(AB29*AK29)+(AC29*AL29)+(AD29*AM29)</f>
        <v>2.8642540256177749</v>
      </c>
      <c r="AF29" s="17"/>
      <c r="AG29" s="18" t="str">
        <f t="shared" si="8"/>
        <v>GA</v>
      </c>
      <c r="AH29" s="15"/>
      <c r="AI29" s="19">
        <v>1.2</v>
      </c>
      <c r="AJ29" s="19">
        <v>1.4</v>
      </c>
      <c r="AK29" s="19">
        <v>3.3</v>
      </c>
      <c r="AL29" s="19">
        <v>0.6</v>
      </c>
      <c r="AM29" s="19">
        <v>0.99</v>
      </c>
    </row>
    <row r="30" spans="1:39" x14ac:dyDescent="0.25">
      <c r="A30" s="5" t="s">
        <v>62</v>
      </c>
      <c r="B30" s="20"/>
      <c r="C30" s="7" t="s">
        <v>4</v>
      </c>
      <c r="D30" s="22">
        <v>110385770</v>
      </c>
      <c r="E30" s="22">
        <v>144842425</v>
      </c>
      <c r="F30" s="9">
        <f t="shared" si="0"/>
        <v>255228195</v>
      </c>
      <c r="G30" s="22">
        <v>33969979</v>
      </c>
      <c r="H30" s="22">
        <v>13434848</v>
      </c>
      <c r="I30" s="8">
        <f t="shared" si="1"/>
        <v>47404827</v>
      </c>
      <c r="J30" s="22">
        <v>207823368</v>
      </c>
      <c r="K30" s="8">
        <v>-66505959</v>
      </c>
      <c r="L30" s="8">
        <v>3889179559</v>
      </c>
      <c r="M30" s="10">
        <v>186</v>
      </c>
      <c r="N30" s="11">
        <f t="shared" si="2"/>
        <v>723387397974</v>
      </c>
      <c r="O30" s="8">
        <v>233390689</v>
      </c>
      <c r="P30" s="8">
        <f>-29748345+562885</f>
        <v>-29185460</v>
      </c>
      <c r="Q30" s="8">
        <v>-29590834</v>
      </c>
      <c r="R30" s="8"/>
      <c r="S30" s="12">
        <v>13831</v>
      </c>
      <c r="T30" s="13">
        <v>1</v>
      </c>
      <c r="U30" s="13"/>
      <c r="V30" s="14">
        <f>Q30/(D30+E30)</f>
        <v>-0.1159387347467626</v>
      </c>
      <c r="W30" s="14">
        <f>D30/G30</f>
        <v>3.2495095154459768</v>
      </c>
      <c r="X30" s="14">
        <f>(G30+H30)/(D30+E30)</f>
        <v>0.18573507131529884</v>
      </c>
      <c r="Y30" s="15"/>
      <c r="Z30" s="16">
        <f t="shared" si="3"/>
        <v>0.29940183920510821</v>
      </c>
      <c r="AA30" s="16">
        <f t="shared" si="4"/>
        <v>-0.26057449883230965</v>
      </c>
      <c r="AB30" s="16">
        <f t="shared" si="5"/>
        <v>-0.11435045411029138</v>
      </c>
      <c r="AC30" s="16">
        <f t="shared" si="6"/>
        <v>1.1033029804919567</v>
      </c>
      <c r="AD30" s="16">
        <f t="shared" si="7"/>
        <v>0.91443928833959742</v>
      </c>
      <c r="AE30" s="49">
        <f>(Z30*AI30)+(AA30*AJ30)+(AB30*AK30)+(AC30*AL30)+(AD30*AM30)</f>
        <v>1.1843980938683103</v>
      </c>
      <c r="AF30" s="17"/>
      <c r="AG30" s="18" t="str">
        <f t="shared" si="8"/>
        <v>FD</v>
      </c>
      <c r="AH30" s="15"/>
      <c r="AI30" s="19">
        <v>1.2</v>
      </c>
      <c r="AJ30" s="19">
        <v>1.4</v>
      </c>
      <c r="AK30" s="19">
        <v>3.3</v>
      </c>
      <c r="AL30" s="19">
        <v>0.6</v>
      </c>
      <c r="AM30" s="19">
        <v>0.99</v>
      </c>
    </row>
    <row r="31" spans="1:39" x14ac:dyDescent="0.25">
      <c r="A31" s="5" t="s">
        <v>63</v>
      </c>
      <c r="B31" s="20"/>
      <c r="C31" s="7" t="s">
        <v>5</v>
      </c>
      <c r="D31" s="22">
        <v>77977126</v>
      </c>
      <c r="E31" s="22">
        <v>127787042</v>
      </c>
      <c r="F31" s="9">
        <f t="shared" si="0"/>
        <v>205764168</v>
      </c>
      <c r="G31" s="22">
        <v>22365962</v>
      </c>
      <c r="H31" s="22">
        <v>15946538</v>
      </c>
      <c r="I31" s="8">
        <f t="shared" si="1"/>
        <v>38312500</v>
      </c>
      <c r="J31" s="22">
        <v>167451668</v>
      </c>
      <c r="K31" s="8">
        <v>-101066760</v>
      </c>
      <c r="L31" s="8">
        <v>3889179559</v>
      </c>
      <c r="M31" s="10">
        <v>234</v>
      </c>
      <c r="N31" s="11">
        <f t="shared" si="2"/>
        <v>910068016806</v>
      </c>
      <c r="O31" s="8">
        <v>152712749</v>
      </c>
      <c r="P31" s="8">
        <f>-34690549+317642</f>
        <v>-34372907</v>
      </c>
      <c r="Q31" s="8">
        <v>-38676045</v>
      </c>
      <c r="R31" s="8"/>
      <c r="S31" s="12">
        <v>14034</v>
      </c>
      <c r="T31" s="13">
        <v>1</v>
      </c>
      <c r="U31" s="13"/>
      <c r="V31" s="14">
        <f>Q31/(D31+E31)</f>
        <v>-0.18796297419480734</v>
      </c>
      <c r="W31" s="14">
        <f>D31/G31</f>
        <v>3.4864194976276899</v>
      </c>
      <c r="X31" s="14">
        <f>(G31+H31)/(D31+E31)</f>
        <v>0.18619616997649466</v>
      </c>
      <c r="Y31" s="15"/>
      <c r="Z31" s="16">
        <f t="shared" si="3"/>
        <v>0.27026651209748043</v>
      </c>
      <c r="AA31" s="16">
        <f t="shared" si="4"/>
        <v>-0.49117764760674948</v>
      </c>
      <c r="AB31" s="16">
        <f t="shared" si="5"/>
        <v>-0.16705001329483177</v>
      </c>
      <c r="AC31" s="16">
        <f t="shared" si="6"/>
        <v>1.6925904566067818</v>
      </c>
      <c r="AD31" s="16">
        <f t="shared" si="7"/>
        <v>0.74217367622529884</v>
      </c>
      <c r="AE31" s="49">
        <f>(Z31*AI31)+(AA31*AJ31)+(AB31*AK31)+(AC31*AL31)+(AD31*AM31)</f>
        <v>0.83571227742169729</v>
      </c>
      <c r="AF31" s="17"/>
      <c r="AG31" s="18" t="str">
        <f t="shared" si="8"/>
        <v>FD</v>
      </c>
      <c r="AH31" s="15"/>
      <c r="AI31" s="19">
        <v>1.2</v>
      </c>
      <c r="AJ31" s="19">
        <v>1.4</v>
      </c>
      <c r="AK31" s="19">
        <v>3.3</v>
      </c>
      <c r="AL31" s="19">
        <v>0.6</v>
      </c>
      <c r="AM31" s="19">
        <v>0.99</v>
      </c>
    </row>
    <row r="32" spans="1:39" x14ac:dyDescent="0.25">
      <c r="A32" s="5" t="s">
        <v>64</v>
      </c>
      <c r="B32" s="20" t="s">
        <v>11</v>
      </c>
      <c r="C32" s="7" t="s">
        <v>1</v>
      </c>
      <c r="D32" s="8">
        <v>519660973376</v>
      </c>
      <c r="E32" s="8">
        <v>1340008954586</v>
      </c>
      <c r="F32" s="9">
        <f t="shared" si="0"/>
        <v>1859669927962</v>
      </c>
      <c r="G32" s="8">
        <v>165847701694</v>
      </c>
      <c r="H32" s="8">
        <v>173792154123</v>
      </c>
      <c r="I32" s="8">
        <f t="shared" si="1"/>
        <v>339639855817</v>
      </c>
      <c r="J32" s="8">
        <v>1520030072145</v>
      </c>
      <c r="K32" s="8">
        <v>-362705242674</v>
      </c>
      <c r="L32" s="8">
        <f>425000000+14504100000</f>
        <v>14929100000</v>
      </c>
      <c r="M32" s="10">
        <v>80</v>
      </c>
      <c r="N32" s="11">
        <f t="shared" si="2"/>
        <v>1194328000000</v>
      </c>
      <c r="O32" s="8">
        <v>863714584966</v>
      </c>
      <c r="P32" s="8">
        <f>-165927480293</f>
        <v>-165927480293</v>
      </c>
      <c r="Q32" s="8">
        <v>-252499070120</v>
      </c>
      <c r="R32" s="8"/>
      <c r="S32" s="21">
        <v>1</v>
      </c>
      <c r="T32" s="13">
        <v>1</v>
      </c>
      <c r="U32" s="13"/>
      <c r="V32" s="14">
        <f>Q32/(D32+E32)</f>
        <v>-0.13577628283569229</v>
      </c>
      <c r="W32" s="14">
        <f>D32/G32</f>
        <v>3.1333625251847561</v>
      </c>
      <c r="X32" s="14">
        <f>(G32+H32)/(D32+E32)</f>
        <v>0.18263448298548823</v>
      </c>
      <c r="Y32" s="15"/>
      <c r="Z32" s="16">
        <f t="shared" si="3"/>
        <v>0.19025595153315278</v>
      </c>
      <c r="AA32" s="16">
        <f t="shared" si="4"/>
        <v>-0.19503742961068704</v>
      </c>
      <c r="AB32" s="16">
        <f t="shared" si="5"/>
        <v>-8.9224156286077508E-2</v>
      </c>
      <c r="AC32" s="16">
        <f t="shared" si="6"/>
        <v>3.5164542074340979</v>
      </c>
      <c r="AD32" s="16">
        <f t="shared" si="7"/>
        <v>0.46444509962718983</v>
      </c>
      <c r="AE32" s="49">
        <f>(Z32*AI32)+(AA32*AJ32)+(AB32*AK32)+(AC32*AL32)+(AD32*AM32)</f>
        <v>2.2304881977321425</v>
      </c>
      <c r="AF32" s="17"/>
      <c r="AG32" s="18" t="str">
        <f t="shared" si="8"/>
        <v>GA</v>
      </c>
      <c r="AH32" s="15"/>
      <c r="AI32" s="19">
        <v>1.2</v>
      </c>
      <c r="AJ32" s="19">
        <v>1.4</v>
      </c>
      <c r="AK32" s="19">
        <v>3.3</v>
      </c>
      <c r="AL32" s="19">
        <v>0.6</v>
      </c>
      <c r="AM32" s="19">
        <v>0.99</v>
      </c>
    </row>
    <row r="33" spans="1:39" x14ac:dyDescent="0.25">
      <c r="A33" s="5" t="s">
        <v>65</v>
      </c>
      <c r="B33" s="20"/>
      <c r="C33" s="7" t="s">
        <v>2</v>
      </c>
      <c r="D33" s="8">
        <v>527456425373</v>
      </c>
      <c r="E33" s="8">
        <v>1240147080324</v>
      </c>
      <c r="F33" s="9">
        <f t="shared" si="0"/>
        <v>1767603505697</v>
      </c>
      <c r="G33" s="8">
        <v>169750005433</v>
      </c>
      <c r="H33" s="8">
        <v>171123203424</v>
      </c>
      <c r="I33" s="8">
        <f t="shared" si="1"/>
        <v>340873208857</v>
      </c>
      <c r="J33" s="8">
        <v>1426730296840</v>
      </c>
      <c r="K33" s="8">
        <v>-450927977401</v>
      </c>
      <c r="L33" s="8">
        <f>425000000+14504100000</f>
        <v>14929100000</v>
      </c>
      <c r="M33" s="10">
        <v>100</v>
      </c>
      <c r="N33" s="11">
        <f t="shared" si="2"/>
        <v>1492910000000</v>
      </c>
      <c r="O33" s="8">
        <v>810064124425</v>
      </c>
      <c r="P33" s="8">
        <f>-94710676180+0</f>
        <v>-94710676180</v>
      </c>
      <c r="Q33" s="8">
        <v>-85300976555</v>
      </c>
      <c r="R33" s="8"/>
      <c r="S33" s="21">
        <v>1</v>
      </c>
      <c r="T33" s="13">
        <v>1</v>
      </c>
      <c r="U33" s="13"/>
      <c r="V33" s="14">
        <f>Q33/(D33+E33)</f>
        <v>-4.8257981091389714E-2</v>
      </c>
      <c r="W33" s="14">
        <f>D33/G33</f>
        <v>3.107254247371356</v>
      </c>
      <c r="X33" s="14">
        <f>(G33+H33)/(D33+E33)</f>
        <v>0.19284483638913533</v>
      </c>
      <c r="Y33" s="15"/>
      <c r="Z33" s="16">
        <f t="shared" si="3"/>
        <v>0.20236801906485782</v>
      </c>
      <c r="AA33" s="16">
        <f t="shared" si="4"/>
        <v>-0.2551069716413526</v>
      </c>
      <c r="AB33" s="16">
        <f t="shared" si="5"/>
        <v>-5.3581403224618386E-2</v>
      </c>
      <c r="AC33" s="16">
        <f t="shared" si="6"/>
        <v>4.3796636438690957</v>
      </c>
      <c r="AD33" s="16">
        <f t="shared" si="7"/>
        <v>0.45828384126539518</v>
      </c>
      <c r="AE33" s="49">
        <f>(Z33*AI33)+(AA33*AJ33)+(AB33*AK33)+(AC33*AL33)+(AD33*AM33)</f>
        <v>2.7903724211128935</v>
      </c>
      <c r="AF33" s="17"/>
      <c r="AG33" s="18" t="str">
        <f t="shared" si="8"/>
        <v>GA</v>
      </c>
      <c r="AH33" s="15"/>
      <c r="AI33" s="19">
        <v>1.2</v>
      </c>
      <c r="AJ33" s="19">
        <v>1.4</v>
      </c>
      <c r="AK33" s="19">
        <v>3.3</v>
      </c>
      <c r="AL33" s="19">
        <v>0.6</v>
      </c>
      <c r="AM33" s="19">
        <v>0.99</v>
      </c>
    </row>
    <row r="34" spans="1:39" x14ac:dyDescent="0.25">
      <c r="A34" s="5" t="s">
        <v>66</v>
      </c>
      <c r="B34" s="20"/>
      <c r="C34" s="7" t="s">
        <v>3</v>
      </c>
      <c r="D34" s="8">
        <v>560456340708</v>
      </c>
      <c r="E34" s="8">
        <v>1143968238500</v>
      </c>
      <c r="F34" s="9">
        <f t="shared" si="0"/>
        <v>1704424579208</v>
      </c>
      <c r="G34" s="8">
        <v>192300522743</v>
      </c>
      <c r="H34" s="8">
        <v>157286823080</v>
      </c>
      <c r="I34" s="8">
        <f t="shared" si="1"/>
        <v>349587345823</v>
      </c>
      <c r="J34" s="8">
        <v>1354837233385</v>
      </c>
      <c r="K34" s="8">
        <v>-518295367839</v>
      </c>
      <c r="L34" s="8">
        <f>425000000+14504100000</f>
        <v>14929100000</v>
      </c>
      <c r="M34" s="10">
        <v>100</v>
      </c>
      <c r="N34" s="11">
        <f t="shared" si="2"/>
        <v>1492910000000</v>
      </c>
      <c r="O34" s="8">
        <v>875963168811</v>
      </c>
      <c r="P34" s="8">
        <f>-95039015931+1638002142</f>
        <v>-93401013789</v>
      </c>
      <c r="Q34" s="8">
        <v>-79206468705</v>
      </c>
      <c r="R34" s="8"/>
      <c r="S34" s="21">
        <v>1</v>
      </c>
      <c r="T34" s="13">
        <v>1</v>
      </c>
      <c r="U34" s="13"/>
      <c r="V34" s="14">
        <f>Q34/(D34+E34)</f>
        <v>-4.6471090402724131E-2</v>
      </c>
      <c r="W34" s="14">
        <f>D34/G34</f>
        <v>2.9144816286174207</v>
      </c>
      <c r="X34" s="14">
        <f>(G34+H34)/(D34+E34)</f>
        <v>0.20510578765852097</v>
      </c>
      <c r="Y34" s="15"/>
      <c r="Z34" s="16">
        <f t="shared" si="3"/>
        <v>0.21600006386675794</v>
      </c>
      <c r="AA34" s="16">
        <f t="shared" si="4"/>
        <v>-0.30408817976553582</v>
      </c>
      <c r="AB34" s="16">
        <f t="shared" si="5"/>
        <v>-5.4799147423936427E-2</v>
      </c>
      <c r="AC34" s="16">
        <f t="shared" si="6"/>
        <v>4.270492104013047</v>
      </c>
      <c r="AD34" s="16">
        <f t="shared" si="7"/>
        <v>0.5139348373032947</v>
      </c>
      <c r="AE34" s="49">
        <f>(Z34*AI34)+(AA34*AJ34)+(AB34*AK34)+(AC34*AL34)+(AD34*AM34)</f>
        <v>2.7237301898074593</v>
      </c>
      <c r="AF34" s="17"/>
      <c r="AG34" s="18" t="str">
        <f t="shared" si="8"/>
        <v>GA</v>
      </c>
      <c r="AH34" s="15"/>
      <c r="AI34" s="19">
        <v>1.2</v>
      </c>
      <c r="AJ34" s="19">
        <v>1.4</v>
      </c>
      <c r="AK34" s="19">
        <v>3.3</v>
      </c>
      <c r="AL34" s="19">
        <v>0.6</v>
      </c>
      <c r="AM34" s="19">
        <v>0.99</v>
      </c>
    </row>
    <row r="35" spans="1:39" x14ac:dyDescent="0.25">
      <c r="A35" s="5" t="s">
        <v>67</v>
      </c>
      <c r="B35" s="20"/>
      <c r="C35" s="7" t="s">
        <v>4</v>
      </c>
      <c r="D35" s="8">
        <v>418960114294</v>
      </c>
      <c r="E35" s="8">
        <v>812720450677</v>
      </c>
      <c r="F35" s="9">
        <f t="shared" si="0"/>
        <v>1231680564971</v>
      </c>
      <c r="G35" s="8">
        <v>275411165942</v>
      </c>
      <c r="H35" s="8">
        <v>50701838548</v>
      </c>
      <c r="I35" s="8">
        <f t="shared" si="1"/>
        <v>326113004490</v>
      </c>
      <c r="J35" s="8">
        <v>905567560481</v>
      </c>
      <c r="K35" s="8">
        <v>-988480511049</v>
      </c>
      <c r="L35" s="8">
        <f>425000000+14504100000</f>
        <v>14929100000</v>
      </c>
      <c r="M35" s="10">
        <v>64</v>
      </c>
      <c r="N35" s="11">
        <f t="shared" si="2"/>
        <v>955462400000</v>
      </c>
      <c r="O35" s="8">
        <v>735066462915</v>
      </c>
      <c r="P35" s="8">
        <f>-507582722152+2340112579</f>
        <v>-505242609573</v>
      </c>
      <c r="Q35" s="8">
        <v>-494426816904</v>
      </c>
      <c r="R35" s="8"/>
      <c r="S35" s="21">
        <v>1</v>
      </c>
      <c r="T35" s="13">
        <v>1</v>
      </c>
      <c r="U35" s="13"/>
      <c r="V35" s="14">
        <f>Q35/(D35+E35)</f>
        <v>-0.40142455029778057</v>
      </c>
      <c r="W35" s="14">
        <f>D35/G35</f>
        <v>1.5212168789925917</v>
      </c>
      <c r="X35" s="14">
        <f>(G35+H35)/(D35+E35)</f>
        <v>0.26477076424249524</v>
      </c>
      <c r="Y35" s="15"/>
      <c r="Z35" s="16">
        <f t="shared" si="3"/>
        <v>0.11654722209193896</v>
      </c>
      <c r="AA35" s="16">
        <f t="shared" si="4"/>
        <v>-0.80254616266700107</v>
      </c>
      <c r="AB35" s="16">
        <f t="shared" si="5"/>
        <v>-0.4102058796266676</v>
      </c>
      <c r="AC35" s="16">
        <f t="shared" si="6"/>
        <v>2.9298506555855504</v>
      </c>
      <c r="AD35" s="16">
        <f t="shared" si="7"/>
        <v>0.59679959546354233</v>
      </c>
      <c r="AE35" s="49">
        <f>(Z35*AI35)+(AA35*AJ35)+(AB35*AK35)+(AC35*AL35)+(AD35*AM35)</f>
        <v>1.1354628868759709E-2</v>
      </c>
      <c r="AF35" s="17"/>
      <c r="AG35" s="18" t="str">
        <f t="shared" si="8"/>
        <v>FD</v>
      </c>
      <c r="AH35" s="15"/>
      <c r="AI35" s="19">
        <v>1.2</v>
      </c>
      <c r="AJ35" s="19">
        <v>1.4</v>
      </c>
      <c r="AK35" s="19">
        <v>3.3</v>
      </c>
      <c r="AL35" s="19">
        <v>0.6</v>
      </c>
      <c r="AM35" s="19">
        <v>0.99</v>
      </c>
    </row>
    <row r="36" spans="1:39" x14ac:dyDescent="0.25">
      <c r="A36" s="5" t="s">
        <v>68</v>
      </c>
      <c r="B36" s="20"/>
      <c r="C36" s="7" t="s">
        <v>5</v>
      </c>
      <c r="D36" s="8">
        <v>213856436953</v>
      </c>
      <c r="E36" s="8">
        <v>807526272968</v>
      </c>
      <c r="F36" s="9">
        <f t="shared" si="0"/>
        <v>1021382709921</v>
      </c>
      <c r="G36" s="8">
        <v>127909759386</v>
      </c>
      <c r="H36" s="8">
        <v>41217586655</v>
      </c>
      <c r="I36" s="8">
        <f t="shared" si="1"/>
        <v>169127346041</v>
      </c>
      <c r="J36" s="8">
        <v>852255363880</v>
      </c>
      <c r="K36" s="8">
        <v>-1044374174283</v>
      </c>
      <c r="L36" s="8">
        <f>425000000+14504100000</f>
        <v>14929100000</v>
      </c>
      <c r="M36" s="10">
        <v>50</v>
      </c>
      <c r="N36" s="11">
        <f t="shared" si="2"/>
        <v>746455000000</v>
      </c>
      <c r="O36" s="8">
        <v>437171365385</v>
      </c>
      <c r="P36" s="8">
        <f>-60542991055+2750559195</f>
        <v>-57792431860</v>
      </c>
      <c r="Q36" s="8">
        <v>-51749994901</v>
      </c>
      <c r="R36" s="8"/>
      <c r="S36" s="21">
        <v>1</v>
      </c>
      <c r="T36" s="13">
        <v>1</v>
      </c>
      <c r="U36" s="13"/>
      <c r="V36" s="14">
        <f>Q36/(D36+E36)</f>
        <v>-5.0666605571385345E-2</v>
      </c>
      <c r="W36" s="14">
        <f>D36/G36</f>
        <v>1.6719321338697402</v>
      </c>
      <c r="X36" s="14">
        <f>(G36+H36)/(D36+E36)</f>
        <v>0.16558665463808503</v>
      </c>
      <c r="Y36" s="15"/>
      <c r="Z36" s="16">
        <f t="shared" si="3"/>
        <v>8.4147378580206864E-2</v>
      </c>
      <c r="AA36" s="16">
        <f t="shared" si="4"/>
        <v>-1.0225101366399461</v>
      </c>
      <c r="AB36" s="16">
        <f t="shared" si="5"/>
        <v>-5.6582543740602405E-2</v>
      </c>
      <c r="AC36" s="16">
        <f t="shared" si="6"/>
        <v>4.4135677492334313</v>
      </c>
      <c r="AD36" s="16">
        <f t="shared" si="7"/>
        <v>0.42801915593305229</v>
      </c>
      <c r="AE36" s="49">
        <f>(Z36*AI36)+(AA36*AJ36)+(AB36*AK36)+(AC36*AL36)+(AD36*AM36)</f>
        <v>1.5546198825701163</v>
      </c>
      <c r="AF36" s="17"/>
      <c r="AG36" s="18" t="str">
        <f t="shared" si="8"/>
        <v>FD</v>
      </c>
      <c r="AH36" s="15"/>
      <c r="AI36" s="19">
        <v>1.2</v>
      </c>
      <c r="AJ36" s="19">
        <v>1.4</v>
      </c>
      <c r="AK36" s="19">
        <v>3.3</v>
      </c>
      <c r="AL36" s="19">
        <v>0.6</v>
      </c>
      <c r="AM36" s="19">
        <v>0.99</v>
      </c>
    </row>
    <row r="37" spans="1:39" x14ac:dyDescent="0.25">
      <c r="A37" s="5" t="s">
        <v>69</v>
      </c>
      <c r="B37" s="20" t="s">
        <v>12</v>
      </c>
      <c r="C37" s="7" t="s">
        <v>1</v>
      </c>
      <c r="D37" s="8">
        <v>98274709046</v>
      </c>
      <c r="E37" s="8">
        <v>64553460204</v>
      </c>
      <c r="F37" s="9">
        <f t="shared" si="0"/>
        <v>162828169250</v>
      </c>
      <c r="G37" s="8">
        <v>35476763264</v>
      </c>
      <c r="H37" s="8">
        <v>10034936864</v>
      </c>
      <c r="I37" s="8">
        <f t="shared" si="1"/>
        <v>45511700128</v>
      </c>
      <c r="J37" s="8">
        <v>117316469122</v>
      </c>
      <c r="K37" s="8">
        <f>106720131762</f>
        <v>106720131762</v>
      </c>
      <c r="L37" s="8">
        <v>96000000</v>
      </c>
      <c r="M37" s="10">
        <v>590</v>
      </c>
      <c r="N37" s="11">
        <f t="shared" si="2"/>
        <v>56640000000</v>
      </c>
      <c r="O37" s="8">
        <v>157855084036</v>
      </c>
      <c r="P37" s="8">
        <f>9424028642+253661528</f>
        <v>9677690170</v>
      </c>
      <c r="Q37" s="8">
        <v>6252814811</v>
      </c>
      <c r="R37" s="8"/>
      <c r="S37" s="21">
        <v>1</v>
      </c>
      <c r="T37" s="13">
        <v>1</v>
      </c>
      <c r="U37" s="13"/>
      <c r="V37" s="14">
        <f>Q37/(D37+E37)</f>
        <v>3.8401308814076711E-2</v>
      </c>
      <c r="W37" s="14">
        <f>D37/G37</f>
        <v>2.7701148584128061</v>
      </c>
      <c r="X37" s="14">
        <f>(G37+H37)/(D37+E37)</f>
        <v>0.27950753446182347</v>
      </c>
      <c r="Y37" s="15"/>
      <c r="Z37" s="16">
        <f t="shared" si="3"/>
        <v>0.38567003529704058</v>
      </c>
      <c r="AA37" s="16">
        <f t="shared" si="4"/>
        <v>0.65541565844264993</v>
      </c>
      <c r="AB37" s="16">
        <f t="shared" si="5"/>
        <v>5.9434987291058054E-2</v>
      </c>
      <c r="AC37" s="16">
        <f t="shared" si="6"/>
        <v>1.244515143154443</v>
      </c>
      <c r="AD37" s="16">
        <f t="shared" si="7"/>
        <v>0.96945807818815111</v>
      </c>
      <c r="AE37" s="49">
        <f>(Z37*AI37)+(AA37*AJ37)+(AB37*AK37)+(AC37*AL37)+(AD37*AM37)</f>
        <v>3.2829940055355853</v>
      </c>
      <c r="AF37" s="17"/>
      <c r="AG37" s="18" t="str">
        <f t="shared" si="8"/>
        <v>S</v>
      </c>
      <c r="AH37" s="15"/>
      <c r="AI37" s="19">
        <v>1.2</v>
      </c>
      <c r="AJ37" s="19">
        <v>1.4</v>
      </c>
      <c r="AK37" s="19">
        <v>3.3</v>
      </c>
      <c r="AL37" s="19">
        <v>0.6</v>
      </c>
      <c r="AM37" s="19">
        <v>0.99</v>
      </c>
    </row>
    <row r="38" spans="1:39" x14ac:dyDescent="0.25">
      <c r="A38" s="5" t="s">
        <v>70</v>
      </c>
      <c r="B38" s="20"/>
      <c r="C38" s="7" t="s">
        <v>2</v>
      </c>
      <c r="D38" s="8">
        <v>89570023525</v>
      </c>
      <c r="E38" s="8">
        <v>71593403315</v>
      </c>
      <c r="F38" s="9">
        <f t="shared" si="0"/>
        <v>161163426840</v>
      </c>
      <c r="G38" s="8">
        <v>20918453456</v>
      </c>
      <c r="H38" s="8">
        <v>10622970307</v>
      </c>
      <c r="I38" s="8">
        <f t="shared" si="1"/>
        <v>31541423763</v>
      </c>
      <c r="J38" s="8">
        <v>129622003077</v>
      </c>
      <c r="K38" s="8">
        <f>118925665717</f>
        <v>118925665717</v>
      </c>
      <c r="L38" s="8">
        <v>96000000</v>
      </c>
      <c r="M38" s="10">
        <v>640</v>
      </c>
      <c r="N38" s="11">
        <f t="shared" si="2"/>
        <v>61440000000</v>
      </c>
      <c r="O38" s="8">
        <v>224371164551</v>
      </c>
      <c r="P38" s="8">
        <f>17488236349+668898671</f>
        <v>18157135020</v>
      </c>
      <c r="Q38" s="8">
        <v>12967113850</v>
      </c>
      <c r="R38" s="8"/>
      <c r="S38" s="21">
        <v>1</v>
      </c>
      <c r="T38" s="13">
        <v>1</v>
      </c>
      <c r="U38" s="13"/>
      <c r="V38" s="14">
        <f>Q38/(D38+E38)</f>
        <v>8.0459407597937876E-2</v>
      </c>
      <c r="W38" s="14">
        <f>D38/G38</f>
        <v>4.281866425422038</v>
      </c>
      <c r="X38" s="14">
        <f>(G38+H38)/(D38+E38)</f>
        <v>0.19571080350825332</v>
      </c>
      <c r="Y38" s="15"/>
      <c r="Z38" s="16">
        <f t="shared" si="3"/>
        <v>0.42597487168820242</v>
      </c>
      <c r="AA38" s="16">
        <f t="shared" si="4"/>
        <v>0.73791968841086475</v>
      </c>
      <c r="AB38" s="16">
        <f t="shared" si="5"/>
        <v>0.11266287504562719</v>
      </c>
      <c r="AC38" s="16">
        <f t="shared" si="6"/>
        <v>1.9479146046689508</v>
      </c>
      <c r="AD38" s="16">
        <f t="shared" si="7"/>
        <v>1.3921965358415433</v>
      </c>
      <c r="AE38" s="49">
        <f>(Z38*AI38)+(AA38*AJ38)+(AB38*AK38)+(AC38*AL38)+(AD38*AM38)</f>
        <v>4.4630682307361216</v>
      </c>
      <c r="AF38" s="17"/>
      <c r="AG38" s="18" t="str">
        <f t="shared" si="8"/>
        <v>S</v>
      </c>
      <c r="AH38" s="15"/>
      <c r="AI38" s="19">
        <v>1.2</v>
      </c>
      <c r="AJ38" s="19">
        <v>1.4</v>
      </c>
      <c r="AK38" s="19">
        <v>3.3</v>
      </c>
      <c r="AL38" s="19">
        <v>0.6</v>
      </c>
      <c r="AM38" s="19">
        <v>0.99</v>
      </c>
    </row>
    <row r="39" spans="1:39" x14ac:dyDescent="0.25">
      <c r="A39" s="5" t="s">
        <v>71</v>
      </c>
      <c r="B39" s="20"/>
      <c r="C39" s="7" t="s">
        <v>3</v>
      </c>
      <c r="D39" s="8">
        <v>91588263964</v>
      </c>
      <c r="E39" s="8">
        <v>68439016189</v>
      </c>
      <c r="F39" s="9">
        <f t="shared" si="0"/>
        <v>160027280153</v>
      </c>
      <c r="G39" s="8">
        <v>17303304955</v>
      </c>
      <c r="H39" s="8">
        <v>10031766908</v>
      </c>
      <c r="I39" s="8">
        <f t="shared" si="1"/>
        <v>27335071863</v>
      </c>
      <c r="J39" s="8">
        <v>132692208290</v>
      </c>
      <c r="K39" s="8">
        <f>121895870930</f>
        <v>121895870930</v>
      </c>
      <c r="L39" s="8">
        <v>96000000</v>
      </c>
      <c r="M39" s="10">
        <v>580</v>
      </c>
      <c r="N39" s="11">
        <f t="shared" si="2"/>
        <v>55680000000</v>
      </c>
      <c r="O39" s="8">
        <v>240029648845</v>
      </c>
      <c r="P39" s="8">
        <f>5024560665+737998770</f>
        <v>5762559435</v>
      </c>
      <c r="Q39" s="8">
        <v>2886727390</v>
      </c>
      <c r="R39" s="8"/>
      <c r="S39" s="21">
        <v>1</v>
      </c>
      <c r="T39" s="13">
        <v>1</v>
      </c>
      <c r="U39" s="13"/>
      <c r="V39" s="14">
        <f>Q39/(D39+E39)</f>
        <v>1.8038970525775591E-2</v>
      </c>
      <c r="W39" s="14">
        <f>D39/G39</f>
        <v>5.2931081202226897</v>
      </c>
      <c r="X39" s="14">
        <f>(G39+H39)/(D39+E39)</f>
        <v>0.17081507501011886</v>
      </c>
      <c r="Y39" s="15"/>
      <c r="Z39" s="16">
        <f t="shared" si="3"/>
        <v>0.46420184694745242</v>
      </c>
      <c r="AA39" s="16">
        <f t="shared" si="4"/>
        <v>0.76171931944014137</v>
      </c>
      <c r="AB39" s="16">
        <f t="shared" si="5"/>
        <v>3.6009856753739064E-2</v>
      </c>
      <c r="AC39" s="16">
        <f t="shared" si="6"/>
        <v>2.0369436114549568</v>
      </c>
      <c r="AD39" s="16">
        <f t="shared" si="7"/>
        <v>1.4999295658559639</v>
      </c>
      <c r="AE39" s="49">
        <f>(Z39*AI39)+(AA39*AJ39)+(AB39*AK39)+(AC39*AL39)+(AD39*AM39)</f>
        <v>4.4493782279108576</v>
      </c>
      <c r="AF39" s="17"/>
      <c r="AG39" s="18" t="str">
        <f t="shared" si="8"/>
        <v>S</v>
      </c>
      <c r="AH39" s="15"/>
      <c r="AI39" s="19">
        <v>1.2</v>
      </c>
      <c r="AJ39" s="19">
        <v>1.4</v>
      </c>
      <c r="AK39" s="19">
        <v>3.3</v>
      </c>
      <c r="AL39" s="19">
        <v>0.6</v>
      </c>
      <c r="AM39" s="19">
        <v>0.99</v>
      </c>
    </row>
    <row r="40" spans="1:39" x14ac:dyDescent="0.25">
      <c r="A40" s="5" t="s">
        <v>72</v>
      </c>
      <c r="B40" s="20"/>
      <c r="C40" s="7" t="s">
        <v>4</v>
      </c>
      <c r="D40" s="8">
        <v>79841884794</v>
      </c>
      <c r="E40" s="8">
        <v>67248756659</v>
      </c>
      <c r="F40" s="9">
        <f t="shared" si="0"/>
        <v>147090641453</v>
      </c>
      <c r="G40" s="8">
        <v>21455055711</v>
      </c>
      <c r="H40" s="8">
        <v>12000121855</v>
      </c>
      <c r="I40" s="8">
        <f t="shared" si="1"/>
        <v>33455177566</v>
      </c>
      <c r="J40" s="8">
        <v>113635463887</v>
      </c>
      <c r="K40" s="8">
        <f>102739126527</f>
        <v>102739126527</v>
      </c>
      <c r="L40" s="8">
        <v>96000000</v>
      </c>
      <c r="M40" s="10">
        <v>476</v>
      </c>
      <c r="N40" s="11">
        <f t="shared" si="2"/>
        <v>45696000000</v>
      </c>
      <c r="O40" s="8">
        <v>177788235456</v>
      </c>
      <c r="P40" s="8">
        <f>-18595167688+197972540</f>
        <v>-18397195148</v>
      </c>
      <c r="Q40" s="8">
        <v>-18245567355</v>
      </c>
      <c r="R40" s="8"/>
      <c r="S40" s="21">
        <v>1</v>
      </c>
      <c r="T40" s="13">
        <v>1</v>
      </c>
      <c r="U40" s="13"/>
      <c r="V40" s="14">
        <f>Q40/(D40+E40)</f>
        <v>-0.12404301983297844</v>
      </c>
      <c r="W40" s="14">
        <f>D40/G40</f>
        <v>3.7213552772582683</v>
      </c>
      <c r="X40" s="14">
        <f>(G40+H40)/(D40+E40)</f>
        <v>0.22744599680524177</v>
      </c>
      <c r="Y40" s="15"/>
      <c r="Z40" s="16">
        <f t="shared" si="3"/>
        <v>0.3969445540942616</v>
      </c>
      <c r="AA40" s="16">
        <f t="shared" si="4"/>
        <v>0.69847493703281127</v>
      </c>
      <c r="AB40" s="16">
        <f t="shared" si="5"/>
        <v>-0.12507386578960886</v>
      </c>
      <c r="AC40" s="16">
        <f t="shared" si="6"/>
        <v>1.3658872355363065</v>
      </c>
      <c r="AD40" s="16">
        <f t="shared" si="7"/>
        <v>1.2086984848237869</v>
      </c>
      <c r="AE40" s="49">
        <f>(Z40*AI40)+(AA40*AJ40)+(AB40*AK40)+(AC40*AL40)+(AD40*AM40)</f>
        <v>3.0575984609506737</v>
      </c>
      <c r="AF40" s="17"/>
      <c r="AG40" s="18" t="str">
        <f t="shared" si="8"/>
        <v>S</v>
      </c>
      <c r="AH40" s="15"/>
      <c r="AI40" s="19">
        <v>1.2</v>
      </c>
      <c r="AJ40" s="19">
        <v>1.4</v>
      </c>
      <c r="AK40" s="19">
        <v>3.3</v>
      </c>
      <c r="AL40" s="19">
        <v>0.6</v>
      </c>
      <c r="AM40" s="19">
        <v>0.99</v>
      </c>
    </row>
    <row r="41" spans="1:39" x14ac:dyDescent="0.25">
      <c r="A41" s="5" t="s">
        <v>73</v>
      </c>
      <c r="B41" s="20"/>
      <c r="C41" s="7" t="s">
        <v>5</v>
      </c>
      <c r="D41" s="8">
        <v>79949514002</v>
      </c>
      <c r="E41" s="8">
        <v>63536675957</v>
      </c>
      <c r="F41" s="9">
        <f t="shared" si="0"/>
        <v>143486189959</v>
      </c>
      <c r="G41" s="8">
        <v>23270556685</v>
      </c>
      <c r="H41" s="8">
        <v>11864188605</v>
      </c>
      <c r="I41" s="8">
        <f t="shared" si="1"/>
        <v>35134745290</v>
      </c>
      <c r="J41" s="8">
        <v>108351444669</v>
      </c>
      <c r="K41" s="8">
        <f>97455107309</f>
        <v>97455107309</v>
      </c>
      <c r="L41" s="8">
        <v>96000000</v>
      </c>
      <c r="M41" s="10">
        <v>420</v>
      </c>
      <c r="N41" s="11">
        <f t="shared" si="2"/>
        <v>40320000000</v>
      </c>
      <c r="O41" s="8">
        <v>124814032661</v>
      </c>
      <c r="P41" s="8">
        <f>-7494245384+355555923</f>
        <v>-7138689461</v>
      </c>
      <c r="Q41" s="8">
        <v>-8068488692</v>
      </c>
      <c r="R41" s="8"/>
      <c r="S41" s="21">
        <v>1</v>
      </c>
      <c r="T41" s="13">
        <v>1</v>
      </c>
      <c r="U41" s="13"/>
      <c r="V41" s="14">
        <f>Q41/(D41+E41)</f>
        <v>-5.6231813628234914E-2</v>
      </c>
      <c r="W41" s="14">
        <f>D41/G41</f>
        <v>3.43565111416242</v>
      </c>
      <c r="X41" s="14">
        <f>(G41+H41)/(D41+E41)</f>
        <v>0.24486499571867831</v>
      </c>
      <c r="Y41" s="15"/>
      <c r="Z41" s="16">
        <f t="shared" si="3"/>
        <v>0.39501332729787825</v>
      </c>
      <c r="AA41" s="16">
        <f t="shared" si="4"/>
        <v>0.67919503149987459</v>
      </c>
      <c r="AB41" s="16">
        <f t="shared" si="5"/>
        <v>-4.9751752855378084E-2</v>
      </c>
      <c r="AC41" s="16">
        <f t="shared" si="6"/>
        <v>1.1475819638708415</v>
      </c>
      <c r="AD41" s="16">
        <f t="shared" si="7"/>
        <v>0.86986791339755121</v>
      </c>
      <c r="AE41" s="49">
        <f>(Z41*AI41)+(AA41*AJ41)+(AB41*AK41)+(AC41*AL41)+(AD41*AM41)</f>
        <v>2.8191253441545867</v>
      </c>
      <c r="AF41" s="17"/>
      <c r="AG41" s="18" t="str">
        <f t="shared" si="8"/>
        <v>GA</v>
      </c>
      <c r="AH41" s="15"/>
      <c r="AI41" s="19">
        <v>1.2</v>
      </c>
      <c r="AJ41" s="19">
        <v>1.4</v>
      </c>
      <c r="AK41" s="19">
        <v>3.3</v>
      </c>
      <c r="AL41" s="19">
        <v>0.6</v>
      </c>
      <c r="AM41" s="19">
        <v>1</v>
      </c>
    </row>
    <row r="42" spans="1:39" x14ac:dyDescent="0.25">
      <c r="A42" s="5" t="s">
        <v>74</v>
      </c>
      <c r="B42" s="20" t="s">
        <v>13</v>
      </c>
      <c r="C42" s="7" t="s">
        <v>1</v>
      </c>
      <c r="D42" s="8">
        <v>34467170</v>
      </c>
      <c r="E42" s="8">
        <v>57104676</v>
      </c>
      <c r="F42" s="9">
        <f t="shared" si="0"/>
        <v>91571846</v>
      </c>
      <c r="G42" s="8">
        <v>39040191</v>
      </c>
      <c r="H42" s="8">
        <v>67973936</v>
      </c>
      <c r="I42" s="8">
        <f t="shared" si="1"/>
        <v>107014127</v>
      </c>
      <c r="J42" s="8">
        <v>-15442281</v>
      </c>
      <c r="K42" s="8">
        <v>-214369785</v>
      </c>
      <c r="L42" s="8">
        <v>3111401022</v>
      </c>
      <c r="M42" s="10">
        <v>190</v>
      </c>
      <c r="N42" s="11">
        <f>L42*M42</f>
        <v>591166194180</v>
      </c>
      <c r="O42" s="8">
        <v>73717004</v>
      </c>
      <c r="P42" s="8">
        <f>597956+6151720</f>
        <v>6749676</v>
      </c>
      <c r="Q42" s="8">
        <v>383448</v>
      </c>
      <c r="R42" s="8"/>
      <c r="S42" s="12">
        <v>13369</v>
      </c>
      <c r="T42" s="13">
        <v>1</v>
      </c>
      <c r="U42" s="13"/>
      <c r="V42" s="14">
        <f>Q42/(D42+E42)</f>
        <v>4.1874005685109813E-3</v>
      </c>
      <c r="W42" s="14">
        <f>D42/G42</f>
        <v>0.8828637646777906</v>
      </c>
      <c r="X42" s="14">
        <f>(G42+H42)/(D42+E42)</f>
        <v>1.1686356852519932</v>
      </c>
      <c r="Y42" s="15"/>
      <c r="Z42" s="16">
        <f t="shared" si="3"/>
        <v>-4.9939159247701523E-2</v>
      </c>
      <c r="AA42" s="16">
        <f t="shared" si="4"/>
        <v>-2.3410010212090735</v>
      </c>
      <c r="AB42" s="16">
        <f t="shared" si="5"/>
        <v>7.3709074293424201E-2</v>
      </c>
      <c r="AC42" s="16">
        <f t="shared" si="6"/>
        <v>0.41320879309373881</v>
      </c>
      <c r="AD42" s="16">
        <f t="shared" si="7"/>
        <v>0.80501821487796588</v>
      </c>
      <c r="AE42" s="49">
        <f>(Z42*AI42)+(AA42*AJ42)+(AB42*AK42)+(AC42*AL42)+(AD42*AM42)</f>
        <v>-2.0411449848874357</v>
      </c>
      <c r="AF42" s="17"/>
      <c r="AG42" s="18" t="str">
        <f t="shared" si="8"/>
        <v>FD</v>
      </c>
      <c r="AH42" s="15"/>
      <c r="AI42" s="19">
        <v>1.2</v>
      </c>
      <c r="AJ42" s="19">
        <v>1.4</v>
      </c>
      <c r="AK42" s="19">
        <v>3.3</v>
      </c>
      <c r="AL42" s="19">
        <v>0.6</v>
      </c>
      <c r="AM42" s="19">
        <v>1</v>
      </c>
    </row>
    <row r="43" spans="1:39" x14ac:dyDescent="0.25">
      <c r="A43" s="5" t="s">
        <v>75</v>
      </c>
      <c r="B43" s="20"/>
      <c r="C43" s="7" t="s">
        <v>2</v>
      </c>
      <c r="D43" s="23">
        <v>28633520</v>
      </c>
      <c r="E43" s="23">
        <v>53894077</v>
      </c>
      <c r="F43" s="9">
        <f t="shared" si="0"/>
        <v>82527597</v>
      </c>
      <c r="G43" s="8">
        <v>29974970</v>
      </c>
      <c r="H43" s="8">
        <v>51684826</v>
      </c>
      <c r="I43" s="8">
        <f t="shared" si="1"/>
        <v>81659796</v>
      </c>
      <c r="J43" s="8">
        <v>867801</v>
      </c>
      <c r="K43" s="8">
        <v>-213390834</v>
      </c>
      <c r="L43" s="8">
        <v>3986916802</v>
      </c>
      <c r="M43" s="10">
        <v>190</v>
      </c>
      <c r="N43" s="11">
        <f>L43*M43</f>
        <v>757514192380</v>
      </c>
      <c r="O43" s="8">
        <v>65920016</v>
      </c>
      <c r="P43" s="8">
        <f>546092+3794316</f>
        <v>4340408</v>
      </c>
      <c r="Q43" s="8">
        <v>1346166</v>
      </c>
      <c r="R43" s="8"/>
      <c r="S43" s="12">
        <v>13480</v>
      </c>
      <c r="T43" s="13">
        <v>1</v>
      </c>
      <c r="U43" s="13"/>
      <c r="V43" s="14">
        <f>Q43/(D43+E43)</f>
        <v>1.6311707222009628E-2</v>
      </c>
      <c r="W43" s="14">
        <f>D43/G43</f>
        <v>0.9552476616323553</v>
      </c>
      <c r="X43" s="14">
        <f>(G43+H43)/(D43+E43)</f>
        <v>0.98948471745760391</v>
      </c>
      <c r="Y43" s="15"/>
      <c r="Z43" s="16">
        <f t="shared" si="3"/>
        <v>-1.6254562701007762E-2</v>
      </c>
      <c r="AA43" s="16">
        <f t="shared" si="4"/>
        <v>-2.5856906266154822</v>
      </c>
      <c r="AB43" s="16">
        <f t="shared" si="5"/>
        <v>5.2593413085806923E-2</v>
      </c>
      <c r="AC43" s="16">
        <f t="shared" si="6"/>
        <v>0.6881650165399037</v>
      </c>
      <c r="AD43" s="16">
        <f t="shared" si="7"/>
        <v>0.79876330338323065</v>
      </c>
      <c r="AE43" s="49">
        <f>(Z43*AI43)+(AA43*AJ43)+(AB43*AK43)+(AC43*AL43)+(AD43*AM43)</f>
        <v>-2.2542517760125484</v>
      </c>
      <c r="AF43" s="17"/>
      <c r="AG43" s="18" t="str">
        <f t="shared" si="8"/>
        <v>FD</v>
      </c>
      <c r="AH43" s="15"/>
      <c r="AI43" s="19">
        <v>1.2</v>
      </c>
      <c r="AJ43" s="19">
        <v>1.4</v>
      </c>
      <c r="AK43" s="19">
        <v>3.3</v>
      </c>
      <c r="AL43" s="19">
        <v>0.6</v>
      </c>
      <c r="AM43" s="19">
        <v>1</v>
      </c>
    </row>
    <row r="44" spans="1:39" x14ac:dyDescent="0.25">
      <c r="A44" s="5" t="s">
        <v>76</v>
      </c>
      <c r="B44" s="20"/>
      <c r="C44" s="7" t="s">
        <v>3</v>
      </c>
      <c r="D44" s="23">
        <v>41046100</v>
      </c>
      <c r="E44" s="8">
        <v>60144018</v>
      </c>
      <c r="F44" s="9">
        <f t="shared" si="0"/>
        <v>101190118</v>
      </c>
      <c r="G44" s="8">
        <v>90200114</v>
      </c>
      <c r="H44" s="8">
        <v>6004287</v>
      </c>
      <c r="I44" s="8">
        <f t="shared" si="1"/>
        <v>96204401</v>
      </c>
      <c r="J44" s="8">
        <v>4985717</v>
      </c>
      <c r="K44" s="8">
        <v>-210029559</v>
      </c>
      <c r="L44" s="8">
        <v>3986916802</v>
      </c>
      <c r="M44" s="10">
        <v>101</v>
      </c>
      <c r="N44" s="11">
        <f>L44*M44</f>
        <v>402678597002</v>
      </c>
      <c r="O44" s="8">
        <v>93849379</v>
      </c>
      <c r="P44" s="8">
        <f>1310006+8154031</f>
        <v>9464037</v>
      </c>
      <c r="Q44" s="8">
        <v>3267396</v>
      </c>
      <c r="R44" s="8"/>
      <c r="S44" s="12">
        <v>14409</v>
      </c>
      <c r="T44" s="13">
        <v>1</v>
      </c>
      <c r="U44" s="13"/>
      <c r="V44" s="14">
        <f>Q44/(D44+E44)</f>
        <v>3.2289674768439344E-2</v>
      </c>
      <c r="W44" s="14">
        <f>D44/G44</f>
        <v>0.45505596589379033</v>
      </c>
      <c r="X44" s="14">
        <f>(G44+H44)/(D44+E44)</f>
        <v>0.95072921053417492</v>
      </c>
      <c r="Y44" s="15"/>
      <c r="Z44" s="16">
        <f t="shared" si="3"/>
        <v>-0.48575903429621459</v>
      </c>
      <c r="AA44" s="16">
        <f t="shared" si="4"/>
        <v>-2.0755935772305354</v>
      </c>
      <c r="AB44" s="16">
        <f t="shared" si="5"/>
        <v>9.3527284946935227E-2</v>
      </c>
      <c r="AC44" s="16">
        <f t="shared" si="6"/>
        <v>0.29048904951181892</v>
      </c>
      <c r="AD44" s="16">
        <f t="shared" si="7"/>
        <v>0.92745596956414267</v>
      </c>
      <c r="AE44" s="49">
        <f>(Z44*AI44)+(AA44*AJ44)+(AB44*AK44)+(AC44*AL44)+(AD44*AM44)</f>
        <v>-2.0783524096820862</v>
      </c>
      <c r="AF44" s="17"/>
      <c r="AG44" s="18" t="str">
        <f t="shared" si="8"/>
        <v>FD</v>
      </c>
      <c r="AH44" s="15"/>
      <c r="AI44" s="19">
        <v>1.2</v>
      </c>
      <c r="AJ44" s="19">
        <v>1.4</v>
      </c>
      <c r="AK44" s="19">
        <v>3.3</v>
      </c>
      <c r="AL44" s="19">
        <v>0.6</v>
      </c>
      <c r="AM44" s="19">
        <v>1</v>
      </c>
    </row>
    <row r="45" spans="1:39" x14ac:dyDescent="0.25">
      <c r="A45" s="5" t="s">
        <v>77</v>
      </c>
      <c r="B45" s="20"/>
      <c r="C45" s="7" t="s">
        <v>4</v>
      </c>
      <c r="D45" s="8">
        <v>32879799</v>
      </c>
      <c r="E45" s="8">
        <v>72160166</v>
      </c>
      <c r="F45" s="9">
        <f t="shared" si="0"/>
        <v>105039965</v>
      </c>
      <c r="G45" s="8">
        <v>95539486</v>
      </c>
      <c r="H45" s="8">
        <v>4936330</v>
      </c>
      <c r="I45" s="8">
        <f t="shared" si="1"/>
        <v>100475816</v>
      </c>
      <c r="J45" s="8">
        <v>4564149</v>
      </c>
      <c r="K45" s="8">
        <v>-217971788</v>
      </c>
      <c r="L45" s="8">
        <v>3986916802</v>
      </c>
      <c r="M45" s="10">
        <v>50</v>
      </c>
      <c r="N45" s="11">
        <f>L45*M45</f>
        <v>199345840100</v>
      </c>
      <c r="O45" s="8">
        <v>65923702</v>
      </c>
      <c r="P45" s="8">
        <f>-9416777+4990351</f>
        <v>-4426426</v>
      </c>
      <c r="Q45" s="8">
        <v>-9255126</v>
      </c>
      <c r="R45" s="8"/>
      <c r="S45" s="12">
        <v>13831</v>
      </c>
      <c r="T45" s="13">
        <v>1</v>
      </c>
      <c r="U45" s="13"/>
      <c r="V45" s="14">
        <f>Q45/(D45+E45)</f>
        <v>-8.8110520600420988E-2</v>
      </c>
      <c r="W45" s="14">
        <f>D45/G45</f>
        <v>0.3441487951902944</v>
      </c>
      <c r="X45" s="14">
        <f>(G45+H45)/(D45+E45)</f>
        <v>0.95654845277223766</v>
      </c>
      <c r="Y45" s="15"/>
      <c r="Z45" s="16">
        <f t="shared" si="3"/>
        <v>-0.59653187241637029</v>
      </c>
      <c r="AA45" s="16">
        <f t="shared" si="4"/>
        <v>-2.0751319557275174</v>
      </c>
      <c r="AB45" s="16">
        <f t="shared" si="5"/>
        <v>-4.214039865683504E-2</v>
      </c>
      <c r="AC45" s="16">
        <f t="shared" si="6"/>
        <v>0.14344719292291536</v>
      </c>
      <c r="AD45" s="16">
        <f t="shared" si="7"/>
        <v>0.62760590219160872</v>
      </c>
      <c r="AE45" s="49">
        <f>(Z45*AI45)+(AA45*AJ45)+(AB45*AK45)+(AC45*AL45)+(AD45*AM45)</f>
        <v>-3.0464120825403667</v>
      </c>
      <c r="AF45" s="17"/>
      <c r="AG45" s="18" t="str">
        <f t="shared" si="8"/>
        <v>FD</v>
      </c>
      <c r="AH45" s="15"/>
      <c r="AI45" s="19">
        <v>1.2</v>
      </c>
      <c r="AJ45" s="19">
        <v>1.4</v>
      </c>
      <c r="AK45" s="19">
        <v>3.3</v>
      </c>
      <c r="AL45" s="19">
        <v>0.6</v>
      </c>
      <c r="AM45" s="19">
        <v>1</v>
      </c>
    </row>
    <row r="46" spans="1:39" x14ac:dyDescent="0.25">
      <c r="A46" s="5" t="s">
        <v>78</v>
      </c>
      <c r="B46" s="20"/>
      <c r="C46" s="7" t="s">
        <v>5</v>
      </c>
      <c r="D46" s="8">
        <v>16880576</v>
      </c>
      <c r="E46" s="8">
        <v>68218746</v>
      </c>
      <c r="F46" s="9">
        <f t="shared" si="0"/>
        <v>85099322</v>
      </c>
      <c r="G46" s="8">
        <v>98991041</v>
      </c>
      <c r="H46" s="8">
        <v>4200043</v>
      </c>
      <c r="I46" s="8">
        <f t="shared" si="1"/>
        <v>103191084</v>
      </c>
      <c r="J46" s="8">
        <v>-18091762</v>
      </c>
      <c r="K46" s="8">
        <v>-239028316</v>
      </c>
      <c r="L46" s="8">
        <v>3986916802</v>
      </c>
      <c r="M46" s="10">
        <v>50</v>
      </c>
      <c r="N46" s="11">
        <f>L46*M46</f>
        <v>199345840100</v>
      </c>
      <c r="O46" s="8">
        <v>52524459</v>
      </c>
      <c r="P46" s="8">
        <f>-21250115+4531126</f>
        <v>-16718989</v>
      </c>
      <c r="Q46" s="8">
        <v>-21055729</v>
      </c>
      <c r="R46" s="8"/>
      <c r="S46" s="12">
        <v>14034</v>
      </c>
      <c r="T46" s="13">
        <v>1</v>
      </c>
      <c r="U46" s="13"/>
      <c r="V46" s="14">
        <f>Q46/(D46+E46)</f>
        <v>-0.24742534376478345</v>
      </c>
      <c r="W46" s="14">
        <f>D46/G46</f>
        <v>0.17052630045581599</v>
      </c>
      <c r="X46" s="14">
        <f>(G46+H46)/(D46+E46)</f>
        <v>1.2125958418329115</v>
      </c>
      <c r="Y46" s="15"/>
      <c r="Z46" s="16">
        <f t="shared" si="3"/>
        <v>-0.96487801630193948</v>
      </c>
      <c r="AA46" s="16">
        <f t="shared" si="4"/>
        <v>-2.8088157506119731</v>
      </c>
      <c r="AB46" s="16">
        <f t="shared" si="5"/>
        <v>-0.19646442071536127</v>
      </c>
      <c r="AC46" s="16">
        <f t="shared" si="6"/>
        <v>0.13765231844305009</v>
      </c>
      <c r="AD46" s="16">
        <f t="shared" si="7"/>
        <v>0.61721360130225245</v>
      </c>
      <c r="AE46" s="49">
        <f>(Z46*AI46)+(AA46*AJ46)+(AB46*AK46)+(AC46*AL46)+(AD46*AM46)</f>
        <v>-5.038723266411699</v>
      </c>
      <c r="AF46" s="17"/>
      <c r="AG46" s="18" t="str">
        <f t="shared" si="8"/>
        <v>FD</v>
      </c>
      <c r="AH46" s="15"/>
      <c r="AI46" s="19">
        <v>1.2</v>
      </c>
      <c r="AJ46" s="19">
        <v>1.4</v>
      </c>
      <c r="AK46" s="19">
        <v>3.3</v>
      </c>
      <c r="AL46" s="19">
        <v>0.6</v>
      </c>
      <c r="AM46" s="19">
        <v>1</v>
      </c>
    </row>
    <row r="47" spans="1:39" x14ac:dyDescent="0.25">
      <c r="A47" s="5" t="s">
        <v>79</v>
      </c>
      <c r="B47" s="20" t="s">
        <v>14</v>
      </c>
      <c r="C47" s="7" t="s">
        <v>1</v>
      </c>
      <c r="D47" s="8">
        <v>558602090736</v>
      </c>
      <c r="E47" s="8">
        <v>257395387059</v>
      </c>
      <c r="F47" s="9">
        <f t="shared" si="0"/>
        <v>815997477795</v>
      </c>
      <c r="G47" s="8">
        <v>496551611099</v>
      </c>
      <c r="H47" s="8">
        <v>192637764711</v>
      </c>
      <c r="I47" s="8">
        <f t="shared" si="1"/>
        <v>689189375810</v>
      </c>
      <c r="J47" s="8">
        <v>126808101985</v>
      </c>
      <c r="K47" s="8">
        <f>-101878947247</f>
        <v>-101878947247</v>
      </c>
      <c r="L47" s="8">
        <v>1011774750</v>
      </c>
      <c r="M47" s="10">
        <v>125</v>
      </c>
      <c r="N47" s="11">
        <f t="shared" ref="N47:N61" si="9">L47*M47</f>
        <v>126471843750</v>
      </c>
      <c r="O47" s="8">
        <v>843528979435</v>
      </c>
      <c r="P47" s="8">
        <f>37132935023+21614391334</f>
        <v>58747326357</v>
      </c>
      <c r="Q47" s="8">
        <v>28988504757</v>
      </c>
      <c r="R47" s="8"/>
      <c r="S47" s="21">
        <v>1</v>
      </c>
      <c r="T47" s="13">
        <v>1</v>
      </c>
      <c r="U47" s="13"/>
      <c r="V47" s="14">
        <f>Q47/(D47+E47)</f>
        <v>3.5525238184967375E-2</v>
      </c>
      <c r="W47" s="14">
        <f>D47/G47</f>
        <v>1.1249627999386929</v>
      </c>
      <c r="X47" s="14">
        <f>(G47+H47)/(D47+E47)</f>
        <v>0.84459743389444941</v>
      </c>
      <c r="Y47" s="15"/>
      <c r="Z47" s="16">
        <f t="shared" si="3"/>
        <v>7.6042489499690225E-2</v>
      </c>
      <c r="AA47" s="16">
        <f t="shared" si="4"/>
        <v>-0.12485203694783314</v>
      </c>
      <c r="AB47" s="16">
        <f t="shared" si="5"/>
        <v>7.1994495026808006E-2</v>
      </c>
      <c r="AC47" s="16">
        <f t="shared" si="6"/>
        <v>0.18350811575027318</v>
      </c>
      <c r="AD47" s="16">
        <f t="shared" si="7"/>
        <v>1.0337396896304092</v>
      </c>
      <c r="AE47" s="49">
        <f>(Z47*AI47)+(AA47*AJ47)+(AB47*AK47)+(AC47*AL47)+(AD47*AM47)</f>
        <v>1.2978845283417013</v>
      </c>
      <c r="AF47" s="17"/>
      <c r="AG47" s="18" t="str">
        <f t="shared" si="8"/>
        <v>FD</v>
      </c>
      <c r="AH47" s="15"/>
      <c r="AI47" s="19">
        <v>1.2</v>
      </c>
      <c r="AJ47" s="19">
        <v>1.4</v>
      </c>
      <c r="AK47" s="19">
        <v>3.3</v>
      </c>
      <c r="AL47" s="19">
        <v>0.6</v>
      </c>
      <c r="AM47" s="19">
        <v>1</v>
      </c>
    </row>
    <row r="48" spans="1:39" x14ac:dyDescent="0.25">
      <c r="A48" s="5" t="s">
        <v>80</v>
      </c>
      <c r="B48" s="20"/>
      <c r="C48" s="7" t="s">
        <v>2</v>
      </c>
      <c r="D48" s="8">
        <v>589913892673</v>
      </c>
      <c r="E48" s="8">
        <v>269385163782</v>
      </c>
      <c r="F48" s="9">
        <f t="shared" si="0"/>
        <v>859299056455</v>
      </c>
      <c r="G48" s="8">
        <v>513715444072</v>
      </c>
      <c r="H48" s="8">
        <v>221761267659</v>
      </c>
      <c r="I48" s="8">
        <f t="shared" si="1"/>
        <v>735476711731</v>
      </c>
      <c r="J48" s="8">
        <v>123822344724</v>
      </c>
      <c r="K48" s="8">
        <f>-100877561305</f>
        <v>-100877561305</v>
      </c>
      <c r="L48" s="8">
        <v>1011774750</v>
      </c>
      <c r="M48" s="10">
        <v>89</v>
      </c>
      <c r="N48" s="11">
        <f t="shared" si="9"/>
        <v>90047952750</v>
      </c>
      <c r="O48" s="8">
        <v>795611411050</v>
      </c>
      <c r="P48" s="8">
        <f>2334588272+22447715481</f>
        <v>24782303753</v>
      </c>
      <c r="Q48" s="8">
        <v>1001385942</v>
      </c>
      <c r="R48" s="8"/>
      <c r="S48" s="21">
        <v>1</v>
      </c>
      <c r="T48" s="13">
        <v>1</v>
      </c>
      <c r="U48" s="13"/>
      <c r="V48" s="14">
        <f>Q48/(D48+E48)</f>
        <v>1.1653520790901053E-3</v>
      </c>
      <c r="W48" s="14">
        <f>D48/G48</f>
        <v>1.1483281249966089</v>
      </c>
      <c r="X48" s="14">
        <f>(G48+H48)/(D48+E48)</f>
        <v>0.85590308310726704</v>
      </c>
      <c r="Y48" s="15"/>
      <c r="Z48" s="16">
        <f t="shared" si="3"/>
        <v>8.8675121924785189E-2</v>
      </c>
      <c r="AA48" s="16">
        <f t="shared" si="4"/>
        <v>-0.11739517289960248</v>
      </c>
      <c r="AB48" s="16">
        <f t="shared" si="5"/>
        <v>2.8840138444045652E-2</v>
      </c>
      <c r="AC48" s="16">
        <f t="shared" si="6"/>
        <v>0.12243481175367925</v>
      </c>
      <c r="AD48" s="16">
        <f t="shared" si="7"/>
        <v>0.92588419022855617</v>
      </c>
      <c r="AE48" s="49">
        <f>(Z48*AI48)+(AA48*AJ48)+(AB48*AK48)+(AC48*AL48)+(AD48*AM48)</f>
        <v>1.0365744383964131</v>
      </c>
      <c r="AF48" s="17"/>
      <c r="AG48" s="18" t="str">
        <f t="shared" si="8"/>
        <v>FD</v>
      </c>
      <c r="AH48" s="15"/>
      <c r="AI48" s="19">
        <v>1.2</v>
      </c>
      <c r="AJ48" s="19">
        <v>1.4</v>
      </c>
      <c r="AK48" s="19">
        <v>3.3</v>
      </c>
      <c r="AL48" s="19">
        <v>0.6</v>
      </c>
      <c r="AM48" s="19">
        <v>1</v>
      </c>
    </row>
    <row r="49" spans="1:39" x14ac:dyDescent="0.25">
      <c r="A49" s="5" t="s">
        <v>81</v>
      </c>
      <c r="B49" s="20"/>
      <c r="C49" s="7" t="s">
        <v>3</v>
      </c>
      <c r="D49" s="8">
        <v>648335408999</v>
      </c>
      <c r="E49" s="8">
        <v>275031024800</v>
      </c>
      <c r="F49" s="9">
        <f t="shared" si="0"/>
        <v>923366433799</v>
      </c>
      <c r="G49" s="8">
        <v>599302543303</v>
      </c>
      <c r="H49" s="8">
        <v>236578471371</v>
      </c>
      <c r="I49" s="8">
        <f t="shared" si="1"/>
        <v>835881014674</v>
      </c>
      <c r="J49" s="8">
        <v>87485419125</v>
      </c>
      <c r="K49" s="8">
        <f>-137354735820</f>
        <v>-137354735820</v>
      </c>
      <c r="L49" s="8">
        <v>1011774750</v>
      </c>
      <c r="M49" s="10">
        <v>62</v>
      </c>
      <c r="N49" s="11">
        <f t="shared" si="9"/>
        <v>62730034500</v>
      </c>
      <c r="O49" s="8">
        <v>1042813378742</v>
      </c>
      <c r="P49" s="8">
        <f>-37845576140+24407130120</f>
        <v>-13438446020</v>
      </c>
      <c r="Q49" s="8">
        <v>-36477174515</v>
      </c>
      <c r="R49" s="8"/>
      <c r="S49" s="21">
        <v>1</v>
      </c>
      <c r="T49" s="13">
        <v>1</v>
      </c>
      <c r="U49" s="13"/>
      <c r="V49" s="14">
        <f>Q49/(D49+E49)</f>
        <v>-3.9504548984872906E-2</v>
      </c>
      <c r="W49" s="14">
        <f>D49/G49</f>
        <v>1.0818165486596469</v>
      </c>
      <c r="X49" s="14">
        <f>(G49+H49)/(D49+E49)</f>
        <v>0.90525384514459839</v>
      </c>
      <c r="Y49" s="15"/>
      <c r="Z49" s="16">
        <f t="shared" si="3"/>
        <v>5.3102283017008131E-2</v>
      </c>
      <c r="AA49" s="16">
        <f t="shared" si="4"/>
        <v>-0.14875430900696962</v>
      </c>
      <c r="AB49" s="16">
        <f t="shared" si="5"/>
        <v>-1.4553751932166622E-2</v>
      </c>
      <c r="AC49" s="16">
        <f t="shared" si="6"/>
        <v>7.5046607589795769E-2</v>
      </c>
      <c r="AD49" s="16">
        <f t="shared" si="7"/>
        <v>1.1293602848996365</v>
      </c>
      <c r="AE49" s="49">
        <f>(Z49*AI49)+(AA49*AJ49)+(AB49*AK49)+(AC49*AL49)+(AD49*AM49)</f>
        <v>0.98182757508801632</v>
      </c>
      <c r="AF49" s="17"/>
      <c r="AG49" s="18" t="str">
        <f t="shared" si="8"/>
        <v>FD</v>
      </c>
      <c r="AH49" s="15"/>
      <c r="AI49" s="19">
        <v>1.2</v>
      </c>
      <c r="AJ49" s="19">
        <v>1.4</v>
      </c>
      <c r="AK49" s="19">
        <v>3.3</v>
      </c>
      <c r="AL49" s="19">
        <v>0.6</v>
      </c>
      <c r="AM49" s="19">
        <v>1</v>
      </c>
    </row>
    <row r="50" spans="1:39" x14ac:dyDescent="0.25">
      <c r="A50" s="5" t="s">
        <v>82</v>
      </c>
      <c r="B50" s="20"/>
      <c r="C50" s="7" t="s">
        <v>4</v>
      </c>
      <c r="D50" s="8">
        <v>616143811548</v>
      </c>
      <c r="E50" s="8">
        <v>279539206533</v>
      </c>
      <c r="F50" s="9">
        <f t="shared" si="0"/>
        <v>895683018081</v>
      </c>
      <c r="G50" s="8">
        <v>606083831925</v>
      </c>
      <c r="H50" s="8">
        <v>253652960420</v>
      </c>
      <c r="I50" s="8">
        <f t="shared" si="1"/>
        <v>859736792345</v>
      </c>
      <c r="J50" s="8">
        <v>35946225736</v>
      </c>
      <c r="K50" s="8">
        <f>-189097633875</f>
        <v>-189097633875</v>
      </c>
      <c r="L50" s="8">
        <v>1011774750</v>
      </c>
      <c r="M50" s="10">
        <v>53</v>
      </c>
      <c r="N50" s="11">
        <f t="shared" si="9"/>
        <v>53624061750</v>
      </c>
      <c r="O50" s="8">
        <v>645859484361</v>
      </c>
      <c r="P50" s="8">
        <f>-52794021588+24963659217</f>
        <v>-27830362371</v>
      </c>
      <c r="Q50" s="8">
        <v>-51742898055</v>
      </c>
      <c r="R50" s="8"/>
      <c r="S50" s="21">
        <v>1</v>
      </c>
      <c r="T50" s="13">
        <v>1</v>
      </c>
      <c r="U50" s="13"/>
      <c r="V50" s="14">
        <f>Q50/(D50+E50)</f>
        <v>-5.7769207421012748E-2</v>
      </c>
      <c r="W50" s="14">
        <f>D50/G50</f>
        <v>1.0165983302855122</v>
      </c>
      <c r="X50" s="14">
        <f>(G50+H50)/(D50+E50)</f>
        <v>0.95986724654776334</v>
      </c>
      <c r="Y50" s="15"/>
      <c r="Z50" s="16">
        <f t="shared" si="3"/>
        <v>1.1231629292864675E-2</v>
      </c>
      <c r="AA50" s="16">
        <f t="shared" si="4"/>
        <v>-0.21112115565185272</v>
      </c>
      <c r="AB50" s="16">
        <f t="shared" si="5"/>
        <v>-3.1071664650544034E-2</v>
      </c>
      <c r="AC50" s="16">
        <f t="shared" si="6"/>
        <v>6.2372649661457592E-2</v>
      </c>
      <c r="AD50" s="16">
        <f t="shared" si="7"/>
        <v>0.72108041720468619</v>
      </c>
      <c r="AE50" s="49">
        <f>(Z50*AI50)+(AA50*AJ50)+(AB50*AK50)+(AC50*AL50)+(AD50*AM50)</f>
        <v>0.37387585089360925</v>
      </c>
      <c r="AF50" s="17"/>
      <c r="AG50" s="18" t="str">
        <f t="shared" si="8"/>
        <v>FD</v>
      </c>
      <c r="AH50" s="15"/>
      <c r="AI50" s="19">
        <v>1.2</v>
      </c>
      <c r="AJ50" s="19">
        <v>1.4</v>
      </c>
      <c r="AK50" s="19">
        <v>3.3</v>
      </c>
      <c r="AL50" s="19">
        <v>0.6</v>
      </c>
      <c r="AM50" s="19">
        <v>1</v>
      </c>
    </row>
    <row r="51" spans="1:39" x14ac:dyDescent="0.25">
      <c r="A51" s="5" t="s">
        <v>83</v>
      </c>
      <c r="B51" s="20"/>
      <c r="C51" s="7" t="s">
        <v>5</v>
      </c>
      <c r="D51" s="8">
        <v>143392688609</v>
      </c>
      <c r="E51" s="8">
        <v>251332855114</v>
      </c>
      <c r="F51" s="9">
        <f t="shared" si="0"/>
        <v>394725543723</v>
      </c>
      <c r="G51" s="8">
        <v>423487395154</v>
      </c>
      <c r="H51" s="8">
        <v>361560947733</v>
      </c>
      <c r="I51" s="8">
        <f t="shared" si="1"/>
        <v>785048342887</v>
      </c>
      <c r="J51" s="8">
        <v>-390322799164</v>
      </c>
      <c r="K51" s="8">
        <f>-603496073290</f>
        <v>-603496073290</v>
      </c>
      <c r="L51" s="8">
        <v>1011774750</v>
      </c>
      <c r="M51" s="10">
        <v>51</v>
      </c>
      <c r="N51" s="11">
        <f t="shared" si="9"/>
        <v>51600512250</v>
      </c>
      <c r="O51" s="8">
        <v>168879831491</v>
      </c>
      <c r="P51" s="8">
        <f>-400263966463+22225067585</f>
        <v>-378038898878</v>
      </c>
      <c r="Q51" s="8">
        <v>-414398439415</v>
      </c>
      <c r="R51" s="8"/>
      <c r="S51" s="21">
        <v>1</v>
      </c>
      <c r="T51" s="13">
        <v>1</v>
      </c>
      <c r="U51" s="13"/>
      <c r="V51" s="14">
        <f>Q51/(D51+E51)</f>
        <v>-1.0498394289521975</v>
      </c>
      <c r="W51" s="14">
        <f>D51/G51</f>
        <v>0.33859966140634634</v>
      </c>
      <c r="X51" s="14">
        <f>(G51+H51)/(D51+E51)</f>
        <v>1.9888460611961569</v>
      </c>
      <c r="Y51" s="15"/>
      <c r="Z51" s="16">
        <f t="shared" si="3"/>
        <v>-0.70959356697107345</v>
      </c>
      <c r="AA51" s="16">
        <f t="shared" si="4"/>
        <v>-1.5289004800599006</v>
      </c>
      <c r="AB51" s="16">
        <f t="shared" si="5"/>
        <v>-0.95772595640096225</v>
      </c>
      <c r="AC51" s="16">
        <f t="shared" si="6"/>
        <v>6.5729088810301955E-2</v>
      </c>
      <c r="AD51" s="16">
        <f t="shared" si="7"/>
        <v>0.42784115235651432</v>
      </c>
      <c r="AE51" s="49">
        <f>(Z51*AI51)+(AA51*AJ51)+(AB51*AK51)+(AC51*AL51)+(AD51*AM51)</f>
        <v>-5.6851900029296285</v>
      </c>
      <c r="AF51" s="17"/>
      <c r="AG51" s="18" t="str">
        <f t="shared" si="8"/>
        <v>FD</v>
      </c>
      <c r="AH51" s="15"/>
      <c r="AI51" s="19">
        <v>1.2</v>
      </c>
      <c r="AJ51" s="19">
        <v>1.4</v>
      </c>
      <c r="AK51" s="19">
        <v>3.3</v>
      </c>
      <c r="AL51" s="19">
        <v>0.6</v>
      </c>
      <c r="AM51" s="19">
        <v>1</v>
      </c>
    </row>
    <row r="52" spans="1:39" x14ac:dyDescent="0.25">
      <c r="A52" s="5" t="s">
        <v>84</v>
      </c>
      <c r="B52" s="20" t="s">
        <v>15</v>
      </c>
      <c r="C52" s="7" t="s">
        <v>1</v>
      </c>
      <c r="D52" s="8">
        <v>326152847307</v>
      </c>
      <c r="E52" s="8">
        <v>112568336396</v>
      </c>
      <c r="F52" s="9">
        <f t="shared" si="0"/>
        <v>438721183703</v>
      </c>
      <c r="G52" s="8">
        <v>285084248364</v>
      </c>
      <c r="H52" s="8">
        <v>13134638814</v>
      </c>
      <c r="I52" s="8">
        <f t="shared" si="1"/>
        <v>298218887178</v>
      </c>
      <c r="J52" s="8">
        <v>140502296525</v>
      </c>
      <c r="K52" s="8">
        <v>-51720095051</v>
      </c>
      <c r="L52" s="8">
        <v>1438370465</v>
      </c>
      <c r="M52" s="10">
        <v>488</v>
      </c>
      <c r="N52" s="11">
        <f t="shared" si="9"/>
        <v>701924786920</v>
      </c>
      <c r="O52" s="8">
        <v>446830466068</v>
      </c>
      <c r="P52" s="8">
        <f>-6605337030+26223516654</f>
        <v>19618179624</v>
      </c>
      <c r="Q52" s="8">
        <v>5913125765</v>
      </c>
      <c r="R52" s="8"/>
      <c r="S52" s="21">
        <v>1</v>
      </c>
      <c r="T52" s="13">
        <v>1</v>
      </c>
      <c r="U52" s="13"/>
      <c r="V52" s="14">
        <f>Q52/(D52+E52)</f>
        <v>1.3478094937405607E-2</v>
      </c>
      <c r="W52" s="14">
        <f>D52/G52</f>
        <v>1.1440577624989052</v>
      </c>
      <c r="X52" s="14">
        <f>(G52+H52)/(D52+E52)</f>
        <v>0.67974581181811478</v>
      </c>
      <c r="Y52" s="15"/>
      <c r="Z52" s="16">
        <f t="shared" si="3"/>
        <v>9.360979243437241E-2</v>
      </c>
      <c r="AA52" s="16">
        <f t="shared" si="4"/>
        <v>-0.11788830120866201</v>
      </c>
      <c r="AB52" s="16">
        <f t="shared" si="5"/>
        <v>4.4716736626241579E-2</v>
      </c>
      <c r="AC52" s="16">
        <f t="shared" si="6"/>
        <v>2.3537234464329457</v>
      </c>
      <c r="AD52" s="16">
        <f t="shared" si="7"/>
        <v>1.0184839088383062</v>
      </c>
      <c r="AE52" s="49">
        <f>(Z52*AI52)+(AA52*AJ52)+(AB52*AK52)+(AC52*AL52)+(AD52*AM52)</f>
        <v>2.5255713367937909</v>
      </c>
      <c r="AF52" s="17"/>
      <c r="AG52" s="18" t="str">
        <f t="shared" si="8"/>
        <v>GA</v>
      </c>
      <c r="AH52" s="15"/>
      <c r="AI52" s="19">
        <v>1.2</v>
      </c>
      <c r="AJ52" s="19">
        <v>1.4</v>
      </c>
      <c r="AK52" s="19">
        <v>3.3</v>
      </c>
      <c r="AL52" s="19">
        <v>0.6</v>
      </c>
      <c r="AM52" s="19">
        <v>1</v>
      </c>
    </row>
    <row r="53" spans="1:39" x14ac:dyDescent="0.25">
      <c r="A53" s="5" t="s">
        <v>85</v>
      </c>
      <c r="B53" s="20"/>
      <c r="C53" s="7" t="s">
        <v>2</v>
      </c>
      <c r="D53" s="8">
        <v>350317114180</v>
      </c>
      <c r="E53" s="8">
        <v>229650730117</v>
      </c>
      <c r="F53" s="9">
        <f t="shared" si="0"/>
        <v>579967844297</v>
      </c>
      <c r="G53" s="8">
        <v>419107925736</v>
      </c>
      <c r="H53" s="8">
        <v>18247628370</v>
      </c>
      <c r="I53" s="8">
        <f t="shared" si="1"/>
        <v>437355554106</v>
      </c>
      <c r="J53" s="8">
        <v>142612290191</v>
      </c>
      <c r="K53" s="8">
        <v>-47973758904</v>
      </c>
      <c r="L53" s="8">
        <v>1438370465</v>
      </c>
      <c r="M53" s="10">
        <v>192</v>
      </c>
      <c r="N53" s="11">
        <f t="shared" si="9"/>
        <v>276167129280</v>
      </c>
      <c r="O53" s="8">
        <v>563864071410</v>
      </c>
      <c r="P53" s="8">
        <f>5345868131+25989879193</f>
        <v>31335747324</v>
      </c>
      <c r="Q53" s="8">
        <v>3803969459</v>
      </c>
      <c r="R53" s="8"/>
      <c r="S53" s="21">
        <v>1</v>
      </c>
      <c r="T53" s="13">
        <v>1</v>
      </c>
      <c r="U53" s="13"/>
      <c r="V53" s="14">
        <f>Q53/(D53+E53)</f>
        <v>6.5589316656183396E-3</v>
      </c>
      <c r="W53" s="14">
        <f>D53/G53</f>
        <v>0.83586373024276339</v>
      </c>
      <c r="X53" s="14">
        <f>(G53+H53)/(D53+E53)</f>
        <v>0.75410310831307292</v>
      </c>
      <c r="Y53" s="15"/>
      <c r="Z53" s="16">
        <f t="shared" si="3"/>
        <v>-0.11861142343052455</v>
      </c>
      <c r="AA53" s="16">
        <f t="shared" si="4"/>
        <v>-8.2717963376315679E-2</v>
      </c>
      <c r="AB53" s="16">
        <f t="shared" si="5"/>
        <v>5.4030146036774147E-2</v>
      </c>
      <c r="AC53" s="16">
        <f t="shared" si="6"/>
        <v>0.63144763268072401</v>
      </c>
      <c r="AD53" s="16">
        <f t="shared" si="7"/>
        <v>0.97223333492476649</v>
      </c>
      <c r="AE53" s="49">
        <f>(Z53*AI53)+(AA53*AJ53)+(AB53*AK53)+(AC53*AL53)+(AD53*AM53)</f>
        <v>1.2712625396110842</v>
      </c>
      <c r="AF53" s="17"/>
      <c r="AG53" s="18" t="str">
        <f t="shared" si="8"/>
        <v>FD</v>
      </c>
      <c r="AH53" s="15"/>
      <c r="AI53" s="19">
        <v>1.2</v>
      </c>
      <c r="AJ53" s="19">
        <v>1.4</v>
      </c>
      <c r="AK53" s="19">
        <v>3.3</v>
      </c>
      <c r="AL53" s="19">
        <v>0.6</v>
      </c>
      <c r="AM53" s="19">
        <v>1</v>
      </c>
    </row>
    <row r="54" spans="1:39" x14ac:dyDescent="0.25">
      <c r="A54" s="5" t="s">
        <v>86</v>
      </c>
      <c r="B54" s="20"/>
      <c r="C54" s="7" t="s">
        <v>3</v>
      </c>
      <c r="D54" s="8">
        <v>376627797262</v>
      </c>
      <c r="E54" s="8">
        <v>158048880207</v>
      </c>
      <c r="F54" s="9">
        <f t="shared" si="0"/>
        <v>534676677469</v>
      </c>
      <c r="G54" s="8">
        <v>369060636786</v>
      </c>
      <c r="H54" s="8">
        <v>15921447789</v>
      </c>
      <c r="I54" s="8">
        <f t="shared" si="1"/>
        <v>384982084575</v>
      </c>
      <c r="J54" s="8">
        <v>149694592894</v>
      </c>
      <c r="K54" s="8">
        <v>-43524486366</v>
      </c>
      <c r="L54" s="8">
        <v>1438370465</v>
      </c>
      <c r="M54" s="10">
        <v>276</v>
      </c>
      <c r="N54" s="11">
        <f t="shared" si="9"/>
        <v>396990248340</v>
      </c>
      <c r="O54" s="8">
        <v>735093525919</v>
      </c>
      <c r="P54" s="8">
        <f>6508601486+33009721133</f>
        <v>39518322619</v>
      </c>
      <c r="Q54" s="8">
        <v>4470170253</v>
      </c>
      <c r="R54" s="8"/>
      <c r="S54" s="21">
        <v>1</v>
      </c>
      <c r="T54" s="13">
        <v>1</v>
      </c>
      <c r="U54" s="13"/>
      <c r="V54" s="14">
        <f>Q54/(D54+E54)</f>
        <v>8.3605110179117096E-3</v>
      </c>
      <c r="W54" s="14">
        <f>D54/G54</f>
        <v>1.0205038406206073</v>
      </c>
      <c r="X54" s="14">
        <f>(G54+H54)/(D54+E54)</f>
        <v>0.72002782391293074</v>
      </c>
      <c r="Y54" s="15"/>
      <c r="Z54" s="16">
        <f t="shared" si="3"/>
        <v>1.4152778295512499E-2</v>
      </c>
      <c r="AA54" s="16">
        <f t="shared" si="4"/>
        <v>-8.1403375535345851E-2</v>
      </c>
      <c r="AB54" s="16">
        <f t="shared" si="5"/>
        <v>7.3910690861003991E-2</v>
      </c>
      <c r="AC54" s="16">
        <f t="shared" si="6"/>
        <v>1.0311914872045445</v>
      </c>
      <c r="AD54" s="16">
        <f t="shared" si="7"/>
        <v>1.374837461395761</v>
      </c>
      <c r="AE54" s="49">
        <f>(Z54*AI54)+(AA54*AJ54)+(AB54*AK54)+(AC54*AL54)+(AD54*AM54)</f>
        <v>2.1404762417649317</v>
      </c>
      <c r="AF54" s="17"/>
      <c r="AG54" s="18" t="str">
        <f t="shared" si="8"/>
        <v>GA</v>
      </c>
      <c r="AH54" s="15"/>
      <c r="AI54" s="19">
        <v>1.2</v>
      </c>
      <c r="AJ54" s="19">
        <v>1.4</v>
      </c>
      <c r="AK54" s="19">
        <v>3.3</v>
      </c>
      <c r="AL54" s="19">
        <v>0.6</v>
      </c>
      <c r="AM54" s="19">
        <v>1</v>
      </c>
    </row>
    <row r="55" spans="1:39" x14ac:dyDescent="0.25">
      <c r="A55" s="5" t="s">
        <v>87</v>
      </c>
      <c r="B55" s="20"/>
      <c r="C55" s="7" t="s">
        <v>4</v>
      </c>
      <c r="D55" s="8">
        <v>270007416065</v>
      </c>
      <c r="E55" s="8">
        <v>197720460989</v>
      </c>
      <c r="F55" s="9">
        <f t="shared" si="0"/>
        <v>467727877054</v>
      </c>
      <c r="G55" s="8">
        <v>303085785310</v>
      </c>
      <c r="H55" s="8">
        <v>16578891025</v>
      </c>
      <c r="I55" s="8">
        <f t="shared" si="1"/>
        <v>319664676335</v>
      </c>
      <c r="J55" s="8">
        <v>148063200719</v>
      </c>
      <c r="K55" s="8">
        <f>-45619948969</f>
        <v>-45619948969</v>
      </c>
      <c r="L55" s="8">
        <v>1438370465</v>
      </c>
      <c r="M55" s="10">
        <v>50</v>
      </c>
      <c r="N55" s="11">
        <f t="shared" si="9"/>
        <v>71918523250</v>
      </c>
      <c r="O55" s="8">
        <v>535719525407</v>
      </c>
      <c r="P55" s="8">
        <f>-3572157075+31938394315</f>
        <v>28366237240</v>
      </c>
      <c r="Q55" s="8">
        <v>-4223774106</v>
      </c>
      <c r="R55" s="8"/>
      <c r="S55" s="21">
        <v>1</v>
      </c>
      <c r="T55" s="13">
        <v>1</v>
      </c>
      <c r="U55" s="13"/>
      <c r="V55" s="14">
        <f>Q55/(D55+E55)</f>
        <v>-9.0304091614200662E-3</v>
      </c>
      <c r="W55" s="14">
        <f>D55/G55</f>
        <v>0.89086136385061077</v>
      </c>
      <c r="X55" s="14">
        <f>(G55+H55)/(D55+E55)</f>
        <v>0.68344157365265223</v>
      </c>
      <c r="Y55" s="15"/>
      <c r="Z55" s="16">
        <f t="shared" si="3"/>
        <v>-7.0721397778009801E-2</v>
      </c>
      <c r="AA55" s="16">
        <f t="shared" si="4"/>
        <v>-9.753523620687056E-2</v>
      </c>
      <c r="AB55" s="16">
        <f t="shared" si="5"/>
        <v>6.0646881726754698E-2</v>
      </c>
      <c r="AC55" s="16">
        <f t="shared" si="6"/>
        <v>0.22498113984490209</v>
      </c>
      <c r="AD55" s="16">
        <f t="shared" si="7"/>
        <v>1.1453658242079727</v>
      </c>
      <c r="AE55" s="49">
        <f>(Z55*AI55)+(AA55*AJ55)+(AB55*AK55)+(AC55*AL55)+(AD55*AM55)</f>
        <v>1.2590742097899739</v>
      </c>
      <c r="AF55" s="17"/>
      <c r="AG55" s="18" t="str">
        <f t="shared" si="8"/>
        <v>FD</v>
      </c>
      <c r="AH55" s="15"/>
      <c r="AI55" s="19">
        <v>1.2</v>
      </c>
      <c r="AJ55" s="19">
        <v>1.4</v>
      </c>
      <c r="AK55" s="19">
        <v>3.3</v>
      </c>
      <c r="AL55" s="19">
        <v>0.6</v>
      </c>
      <c r="AM55" s="19">
        <v>1</v>
      </c>
    </row>
    <row r="56" spans="1:39" x14ac:dyDescent="0.25">
      <c r="A56" s="5" t="s">
        <v>88</v>
      </c>
      <c r="B56" s="20"/>
      <c r="C56" s="7" t="s">
        <v>5</v>
      </c>
      <c r="D56" s="8">
        <v>350679816815</v>
      </c>
      <c r="E56" s="8">
        <v>135396705962</v>
      </c>
      <c r="F56" s="9">
        <f t="shared" si="0"/>
        <v>486076522777</v>
      </c>
      <c r="G56" s="8">
        <v>177077322265</v>
      </c>
      <c r="H56" s="8">
        <v>167472141173</v>
      </c>
      <c r="I56" s="8">
        <f t="shared" si="1"/>
        <v>344549463438</v>
      </c>
      <c r="J56" s="8">
        <v>141527059339</v>
      </c>
      <c r="K56" s="8">
        <v>-52358668654</v>
      </c>
      <c r="L56" s="8">
        <v>1438370465</v>
      </c>
      <c r="M56" s="10">
        <v>76</v>
      </c>
      <c r="N56" s="11">
        <f t="shared" si="9"/>
        <v>109316155340</v>
      </c>
      <c r="O56" s="8">
        <v>288636107329</v>
      </c>
      <c r="P56" s="8">
        <f>-8735044491+30902873249</f>
        <v>22167828758</v>
      </c>
      <c r="Q56" s="8">
        <v>-6805143468</v>
      </c>
      <c r="R56" s="8"/>
      <c r="S56" s="21">
        <v>1</v>
      </c>
      <c r="T56" s="13">
        <v>1</v>
      </c>
      <c r="U56" s="13"/>
      <c r="V56" s="14">
        <f>Q56/(D56+E56)</f>
        <v>-1.4000148431612347E-2</v>
      </c>
      <c r="W56" s="14">
        <f>D56/G56</f>
        <v>1.9803767773842895</v>
      </c>
      <c r="X56" s="14">
        <f>(G56+H56)/(D56+E56)</f>
        <v>0.70883790368964361</v>
      </c>
      <c r="Y56" s="15"/>
      <c r="Z56" s="16">
        <f t="shared" si="3"/>
        <v>0.3571505440299666</v>
      </c>
      <c r="AA56" s="16">
        <f t="shared" si="4"/>
        <v>-0.10771692562905548</v>
      </c>
      <c r="AB56" s="16">
        <f t="shared" si="5"/>
        <v>4.5605635572261646E-2</v>
      </c>
      <c r="AC56" s="16">
        <f t="shared" si="6"/>
        <v>0.31727274873458311</v>
      </c>
      <c r="AD56" s="16">
        <f t="shared" si="7"/>
        <v>0.59380795780877316</v>
      </c>
      <c r="AE56" s="49">
        <f>(Z56*AI56)+(AA56*AJ56)+(AB56*AK56)+(AC56*AL56)+(AD56*AM56)</f>
        <v>1.2124471613932686</v>
      </c>
      <c r="AF56" s="17"/>
      <c r="AG56" s="18" t="str">
        <f t="shared" si="8"/>
        <v>FD</v>
      </c>
      <c r="AH56" s="15"/>
      <c r="AI56" s="19">
        <v>1.2</v>
      </c>
      <c r="AJ56" s="19">
        <v>1.4</v>
      </c>
      <c r="AK56" s="19">
        <v>3.3</v>
      </c>
      <c r="AL56" s="19">
        <v>0.6</v>
      </c>
      <c r="AM56" s="19">
        <v>1</v>
      </c>
    </row>
    <row r="57" spans="1:39" x14ac:dyDescent="0.25">
      <c r="A57" s="5" t="s">
        <v>89</v>
      </c>
      <c r="B57" s="20" t="s">
        <v>16</v>
      </c>
      <c r="C57" s="7" t="s">
        <v>1</v>
      </c>
      <c r="D57" s="8">
        <v>467637658247</v>
      </c>
      <c r="E57" s="8">
        <v>789972211663</v>
      </c>
      <c r="F57" s="9">
        <f t="shared" si="0"/>
        <v>1257609869910</v>
      </c>
      <c r="G57" s="8">
        <v>377013051111</v>
      </c>
      <c r="H57" s="8">
        <v>48473858679</v>
      </c>
      <c r="I57" s="8">
        <f t="shared" si="1"/>
        <v>425486909790</v>
      </c>
      <c r="J57" s="8">
        <v>832122960120</v>
      </c>
      <c r="K57" s="8">
        <v>-28801383080</v>
      </c>
      <c r="L57" s="8">
        <v>8200000000</v>
      </c>
      <c r="M57" s="10">
        <v>113</v>
      </c>
      <c r="N57" s="11">
        <f t="shared" si="9"/>
        <v>926600000000</v>
      </c>
      <c r="O57" s="8">
        <v>757282528180</v>
      </c>
      <c r="P57" s="8">
        <f>45514137913+10239099310</f>
        <v>55753237223</v>
      </c>
      <c r="Q57" s="8">
        <v>31704557018</v>
      </c>
      <c r="R57" s="8"/>
      <c r="S57" s="21">
        <v>1</v>
      </c>
      <c r="T57" s="13">
        <v>1</v>
      </c>
      <c r="U57" s="13"/>
      <c r="V57" s="14">
        <f>Q57/(D57+E57)</f>
        <v>2.5210168730839332E-2</v>
      </c>
      <c r="W57" s="14">
        <f>D57/G57</f>
        <v>1.240375251914869</v>
      </c>
      <c r="X57" s="14">
        <f>(G57+H57)/(D57+E57)</f>
        <v>0.33832981115236449</v>
      </c>
      <c r="Y57" s="15"/>
      <c r="Z57" s="16">
        <f t="shared" si="3"/>
        <v>7.2060985926013357E-2</v>
      </c>
      <c r="AA57" s="16">
        <f t="shared" si="4"/>
        <v>-2.2901683398891544E-2</v>
      </c>
      <c r="AB57" s="16">
        <f t="shared" si="5"/>
        <v>4.4332696933262729E-2</v>
      </c>
      <c r="AC57" s="16">
        <f t="shared" si="6"/>
        <v>2.1777403221577969</v>
      </c>
      <c r="AD57" s="16">
        <f t="shared" si="7"/>
        <v>0.60216013431430404</v>
      </c>
      <c r="AE57" s="49">
        <f>(Z57*AI57)+(AA57*AJ57)+(AB57*AK57)+(AC57*AL57)+(AD57*AM57)</f>
        <v>2.1095130538415172</v>
      </c>
      <c r="AF57" s="17"/>
      <c r="AG57" s="18" t="str">
        <f t="shared" si="8"/>
        <v>GA</v>
      </c>
      <c r="AH57" s="15"/>
      <c r="AI57" s="19">
        <v>1.2</v>
      </c>
      <c r="AJ57" s="19">
        <v>1.4</v>
      </c>
      <c r="AK57" s="19">
        <v>3.3</v>
      </c>
      <c r="AL57" s="19">
        <v>0.6</v>
      </c>
      <c r="AM57" s="19">
        <v>1</v>
      </c>
    </row>
    <row r="58" spans="1:39" x14ac:dyDescent="0.25">
      <c r="A58" s="5" t="s">
        <v>90</v>
      </c>
      <c r="B58" s="20"/>
      <c r="C58" s="7" t="s">
        <v>2</v>
      </c>
      <c r="D58" s="8">
        <v>514360755111</v>
      </c>
      <c r="E58" s="8">
        <v>860626423454</v>
      </c>
      <c r="F58" s="9">
        <f t="shared" si="0"/>
        <v>1374987178565</v>
      </c>
      <c r="G58" s="8">
        <v>282074517432</v>
      </c>
      <c r="H58" s="8">
        <v>75854842424</v>
      </c>
      <c r="I58" s="8">
        <f t="shared" si="1"/>
        <v>357929359856</v>
      </c>
      <c r="J58" s="8">
        <v>1017057818709</v>
      </c>
      <c r="K58" s="8">
        <v>-18516685766</v>
      </c>
      <c r="L58" s="8">
        <v>8200000000</v>
      </c>
      <c r="M58" s="10">
        <v>82</v>
      </c>
      <c r="N58" s="11">
        <f t="shared" si="9"/>
        <v>672400000000</v>
      </c>
      <c r="O58" s="8">
        <v>1404063752036</v>
      </c>
      <c r="P58" s="8">
        <f>7731874610+7916852118</f>
        <v>15648726728</v>
      </c>
      <c r="Q58" s="8">
        <v>-5462096177</v>
      </c>
      <c r="R58" s="8"/>
      <c r="S58" s="21">
        <v>1</v>
      </c>
      <c r="T58" s="13">
        <v>1</v>
      </c>
      <c r="U58" s="13"/>
      <c r="V58" s="14">
        <f>Q58/(D58+E58)</f>
        <v>-3.9724706252901171E-3</v>
      </c>
      <c r="W58" s="14">
        <f>D58/G58</f>
        <v>1.8234924579282406</v>
      </c>
      <c r="X58" s="14">
        <f>(G58+H58)/(D58+E58)</f>
        <v>0.26031468906462935</v>
      </c>
      <c r="Y58" s="15"/>
      <c r="Z58" s="16">
        <f t="shared" si="3"/>
        <v>0.16893702086838702</v>
      </c>
      <c r="AA58" s="16">
        <f t="shared" si="4"/>
        <v>-1.34668061307487E-2</v>
      </c>
      <c r="AB58" s="16">
        <f t="shared" si="5"/>
        <v>1.1380998289985317E-2</v>
      </c>
      <c r="AC58" s="16">
        <f t="shared" si="6"/>
        <v>1.8785829703115609</v>
      </c>
      <c r="AD58" s="16">
        <f t="shared" si="7"/>
        <v>1.0211467960751064</v>
      </c>
      <c r="AE58" s="49">
        <f>(Z58*AI58)+(AA58*AJ58)+(AB58*AK58)+(AC58*AL58)+(AD58*AM58)</f>
        <v>2.3697247690780108</v>
      </c>
      <c r="AF58" s="17"/>
      <c r="AG58" s="18" t="str">
        <f t="shared" si="8"/>
        <v>GA</v>
      </c>
      <c r="AH58" s="15"/>
      <c r="AI58" s="19">
        <v>1.2</v>
      </c>
      <c r="AJ58" s="19">
        <v>1.4</v>
      </c>
      <c r="AK58" s="19">
        <v>3.3</v>
      </c>
      <c r="AL58" s="19">
        <v>0.6</v>
      </c>
      <c r="AM58" s="19">
        <v>1</v>
      </c>
    </row>
    <row r="59" spans="1:39" x14ac:dyDescent="0.25">
      <c r="A59" s="5" t="s">
        <v>91</v>
      </c>
      <c r="B59" s="20"/>
      <c r="C59" s="7" t="s">
        <v>3</v>
      </c>
      <c r="D59" s="8">
        <v>297658998332</v>
      </c>
      <c r="E59" s="8">
        <v>1054202758662</v>
      </c>
      <c r="F59" s="9">
        <f t="shared" si="0"/>
        <v>1351861756994</v>
      </c>
      <c r="G59" s="8">
        <v>382679320708</v>
      </c>
      <c r="H59" s="8">
        <v>73206033888</v>
      </c>
      <c r="I59" s="8">
        <f t="shared" si="1"/>
        <v>455885354596</v>
      </c>
      <c r="J59" s="8">
        <v>895976402398</v>
      </c>
      <c r="K59" s="8">
        <v>-82103472427</v>
      </c>
      <c r="L59" s="8">
        <v>9242500000</v>
      </c>
      <c r="M59" s="10">
        <v>94</v>
      </c>
      <c r="N59" s="11">
        <f t="shared" si="9"/>
        <v>868795000000</v>
      </c>
      <c r="O59" s="8">
        <v>1556287984166</v>
      </c>
      <c r="P59" s="8">
        <f>-126466776202+12254968044</f>
        <v>-114211808158</v>
      </c>
      <c r="Q59" s="8">
        <v>-87798857709</v>
      </c>
      <c r="R59" s="8"/>
      <c r="S59" s="21">
        <v>1</v>
      </c>
      <c r="T59" s="13">
        <v>1</v>
      </c>
      <c r="U59" s="13"/>
      <c r="V59" s="14">
        <f>Q59/(D59+E59)</f>
        <v>-6.4946624353239751E-2</v>
      </c>
      <c r="W59" s="14">
        <f>D59/G59</f>
        <v>0.77782880397429688</v>
      </c>
      <c r="X59" s="14">
        <f>(G59+H59)/(D59+E59)</f>
        <v>0.33722779140502263</v>
      </c>
      <c r="Y59" s="15"/>
      <c r="Z59" s="16">
        <f t="shared" si="3"/>
        <v>-6.2891284509039747E-2</v>
      </c>
      <c r="AA59" s="16">
        <f t="shared" si="4"/>
        <v>-6.0733630493080365E-2</v>
      </c>
      <c r="AB59" s="16">
        <f t="shared" si="5"/>
        <v>-8.4484828102513523E-2</v>
      </c>
      <c r="AC59" s="16">
        <f t="shared" si="6"/>
        <v>1.9057313231084501</v>
      </c>
      <c r="AD59" s="16">
        <f t="shared" si="7"/>
        <v>1.1512182929314918</v>
      </c>
      <c r="AE59" s="49">
        <f>(Z59*AI59)+(AA59*AJ59)+(AB59*AK59)+(AC59*AL59)+(AD59*AM59)</f>
        <v>1.8553605299571072</v>
      </c>
      <c r="AF59" s="17"/>
      <c r="AG59" s="18" t="str">
        <f t="shared" si="8"/>
        <v>GA</v>
      </c>
      <c r="AH59" s="15"/>
      <c r="AI59" s="19">
        <v>1.2</v>
      </c>
      <c r="AJ59" s="19">
        <v>1.4</v>
      </c>
      <c r="AK59" s="19">
        <v>3.3</v>
      </c>
      <c r="AL59" s="19">
        <v>0.6</v>
      </c>
      <c r="AM59" s="19">
        <v>1</v>
      </c>
    </row>
    <row r="60" spans="1:39" x14ac:dyDescent="0.25">
      <c r="A60" s="5" t="s">
        <v>92</v>
      </c>
      <c r="B60" s="20"/>
      <c r="C60" s="7" t="s">
        <v>4</v>
      </c>
      <c r="D60" s="8">
        <v>597839130021</v>
      </c>
      <c r="E60" s="8">
        <v>1160739039974</v>
      </c>
      <c r="F60" s="9">
        <f t="shared" si="0"/>
        <v>1758578169995</v>
      </c>
      <c r="G60" s="8">
        <v>759246184010</v>
      </c>
      <c r="H60" s="8">
        <v>81941364575</v>
      </c>
      <c r="I60" s="8">
        <f t="shared" si="1"/>
        <v>841187548585</v>
      </c>
      <c r="J60" s="8">
        <v>917390621410</v>
      </c>
      <c r="K60" s="8">
        <v>-55296055706</v>
      </c>
      <c r="L60" s="8">
        <v>9242500000</v>
      </c>
      <c r="M60" s="10">
        <v>62</v>
      </c>
      <c r="N60" s="11">
        <f t="shared" si="9"/>
        <v>573035000000</v>
      </c>
      <c r="O60" s="8">
        <v>1852766916975</v>
      </c>
      <c r="P60" s="8">
        <f>31308164703+24406999492</f>
        <v>55715164195</v>
      </c>
      <c r="Q60" s="8">
        <v>26807416721</v>
      </c>
      <c r="R60" s="8"/>
      <c r="S60" s="21">
        <v>1</v>
      </c>
      <c r="T60" s="13">
        <v>1</v>
      </c>
      <c r="U60" s="13"/>
      <c r="V60" s="14">
        <f>Q60/(D60+E60)</f>
        <v>1.5243801599718606E-2</v>
      </c>
      <c r="W60" s="14">
        <f>D60/G60</f>
        <v>0.78741143862387308</v>
      </c>
      <c r="X60" s="14">
        <f>(G60+H60)/(D60+E60)</f>
        <v>0.4783338966316133</v>
      </c>
      <c r="Y60" s="15"/>
      <c r="Z60" s="16">
        <f t="shared" si="3"/>
        <v>-9.178270078802292E-2</v>
      </c>
      <c r="AA60" s="16">
        <f t="shared" si="4"/>
        <v>-3.1443615444263828E-2</v>
      </c>
      <c r="AB60" s="16">
        <f t="shared" si="5"/>
        <v>3.1681937798169309E-2</v>
      </c>
      <c r="AC60" s="16">
        <f t="shared" si="6"/>
        <v>0.68122144813475705</v>
      </c>
      <c r="AD60" s="16">
        <f t="shared" si="7"/>
        <v>1.0535596020620839</v>
      </c>
      <c r="AE60" s="49">
        <f>(Z60*AI60)+(AA60*AJ60)+(AB60*AK60)+(AC60*AL60)+(AD60*AM60)</f>
        <v>1.4126825631092998</v>
      </c>
      <c r="AF60" s="17"/>
      <c r="AG60" s="18" t="str">
        <f t="shared" si="8"/>
        <v>FD</v>
      </c>
      <c r="AH60" s="15"/>
      <c r="AI60" s="19">
        <v>1.2</v>
      </c>
      <c r="AJ60" s="19">
        <v>1.4</v>
      </c>
      <c r="AK60" s="19">
        <v>3.3</v>
      </c>
      <c r="AL60" s="19">
        <v>0.6</v>
      </c>
      <c r="AM60" s="19">
        <v>1</v>
      </c>
    </row>
    <row r="61" spans="1:39" x14ac:dyDescent="0.25">
      <c r="A61" s="5" t="s">
        <v>93</v>
      </c>
      <c r="B61" s="20"/>
      <c r="C61" s="7" t="s">
        <v>5</v>
      </c>
      <c r="D61" s="8">
        <v>412410310473</v>
      </c>
      <c r="E61" s="8">
        <v>1175726161176</v>
      </c>
      <c r="F61" s="9">
        <f t="shared" si="0"/>
        <v>1588136471649</v>
      </c>
      <c r="G61" s="8">
        <v>676672074796</v>
      </c>
      <c r="H61" s="8">
        <v>64579561189</v>
      </c>
      <c r="I61" s="8">
        <f t="shared" si="1"/>
        <v>741251635985</v>
      </c>
      <c r="J61" s="8">
        <v>846884835664</v>
      </c>
      <c r="K61" s="8">
        <v>-133141384511</v>
      </c>
      <c r="L61" s="8">
        <v>9242500000</v>
      </c>
      <c r="M61" s="10">
        <v>110</v>
      </c>
      <c r="N61" s="11">
        <f t="shared" si="9"/>
        <v>1016675000000</v>
      </c>
      <c r="O61" s="8">
        <v>1331774939496</v>
      </c>
      <c r="P61" s="8">
        <f>-67718233075+27901608213</f>
        <v>-39816624862</v>
      </c>
      <c r="Q61" s="8">
        <v>-77845328805</v>
      </c>
      <c r="R61" s="8"/>
      <c r="S61" s="21">
        <v>1</v>
      </c>
      <c r="T61" s="13">
        <v>1</v>
      </c>
      <c r="U61" s="13"/>
      <c r="V61" s="14">
        <f t="shared" ref="V61" si="10">Q61/(D61+E61)</f>
        <v>-4.901677544384541E-2</v>
      </c>
      <c r="W61" s="14">
        <f t="shared" ref="W61" si="11">D61/G61</f>
        <v>0.60946849417028415</v>
      </c>
      <c r="X61" s="14">
        <f t="shared" ref="X61" si="12">(G61+H61)/(D61+E61)</f>
        <v>0.46674303450467375</v>
      </c>
      <c r="Y61" s="15"/>
      <c r="Z61" s="16">
        <f t="shared" si="3"/>
        <v>-0.16639739030022446</v>
      </c>
      <c r="AA61" s="16">
        <f t="shared" si="4"/>
        <v>-8.3834976960611027E-2</v>
      </c>
      <c r="AB61" s="16">
        <f t="shared" si="5"/>
        <v>-2.5071286739393024E-2</v>
      </c>
      <c r="AC61" s="16">
        <f t="shared" si="6"/>
        <v>1.3715652696658243</v>
      </c>
      <c r="AD61" s="16">
        <f t="shared" si="7"/>
        <v>0.83857713947793555</v>
      </c>
      <c r="AE61" s="49">
        <f>(Z61*AI61)+(AA61*AJ61)+(AB61*AK61)+(AC61*AL61)+(AD61*AM61)</f>
        <v>1.2617352189323083</v>
      </c>
      <c r="AF61" s="17"/>
      <c r="AG61" s="18" t="str">
        <f t="shared" si="8"/>
        <v>FD</v>
      </c>
      <c r="AH61" s="15"/>
      <c r="AI61" s="19">
        <v>1.2</v>
      </c>
      <c r="AJ61" s="19">
        <v>1.4</v>
      </c>
      <c r="AK61" s="19">
        <v>3.3</v>
      </c>
      <c r="AL61" s="19">
        <v>0.6</v>
      </c>
      <c r="AM61" s="19">
        <v>1</v>
      </c>
    </row>
  </sheetData>
  <mergeCells count="12">
    <mergeCell ref="B57:B6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DJPB</dc:creator>
  <cp:lastModifiedBy>DJPB</cp:lastModifiedBy>
  <dcterms:created xsi:type="dcterms:W3CDTF">2021-07-02T07:12:33Z</dcterms:created>
  <dcterms:modified xsi:type="dcterms:W3CDTF">2021-07-02T10:11:34Z</dcterms:modified>
</cp:coreProperties>
</file>