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PB\Documents\kuliah\SKRIPSI_BUNDA\"/>
    </mc:Choice>
  </mc:AlternateContent>
  <xr:revisionPtr revIDLastSave="0" documentId="13_ncr:1_{1D8BD66C-2BFE-4EE5-AEA2-FFF519F5428C}" xr6:coauthVersionLast="47" xr6:coauthVersionMax="47" xr10:uidLastSave="{00000000-0000-0000-0000-000000000000}"/>
  <bookViews>
    <workbookView xWindow="-120" yWindow="-120" windowWidth="29040" windowHeight="15840" xr2:uid="{076B0313-8333-46D6-A3E7-BBFF880F435B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2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AM55" i="1" s="1"/>
  <c r="Y56" i="1"/>
  <c r="AM56" i="1" s="1"/>
  <c r="Y57" i="1"/>
  <c r="Y58" i="1"/>
  <c r="AM58" i="1" s="1"/>
  <c r="Y59" i="1"/>
  <c r="Y60" i="1"/>
  <c r="Y61" i="1"/>
  <c r="Y62" i="1"/>
  <c r="Y63" i="1"/>
  <c r="Y64" i="1"/>
  <c r="Y65" i="1"/>
  <c r="AM65" i="1" s="1"/>
  <c r="Y66" i="1"/>
  <c r="AM66" i="1" s="1"/>
  <c r="Y67" i="1"/>
  <c r="Y68" i="1"/>
  <c r="Y69" i="1"/>
  <c r="Y70" i="1"/>
  <c r="Y71" i="1"/>
  <c r="Y72" i="1"/>
  <c r="Y73" i="1"/>
  <c r="AM73" i="1" s="1"/>
  <c r="Y74" i="1"/>
  <c r="AM74" i="1" s="1"/>
  <c r="Y75" i="1"/>
  <c r="Y76" i="1"/>
  <c r="Y77" i="1"/>
  <c r="Y78" i="1"/>
  <c r="Y79" i="1"/>
  <c r="Y80" i="1"/>
  <c r="AM80" i="1" s="1"/>
  <c r="Y81" i="1"/>
  <c r="AM81" i="1" s="1"/>
  <c r="Y82" i="1"/>
  <c r="AM82" i="1" s="1"/>
  <c r="Y83" i="1"/>
  <c r="Y84" i="1"/>
  <c r="Y85" i="1"/>
  <c r="Y86" i="1"/>
  <c r="AM86" i="1" s="1"/>
  <c r="Y87" i="1"/>
  <c r="AM87" i="1" s="1"/>
  <c r="Y88" i="1"/>
  <c r="Y89" i="1"/>
  <c r="AM89" i="1" s="1"/>
  <c r="Y90" i="1"/>
  <c r="AM90" i="1" s="1"/>
  <c r="Y91" i="1"/>
  <c r="Y92" i="1"/>
  <c r="Y93" i="1"/>
  <c r="Y34" i="1"/>
  <c r="X57" i="1"/>
  <c r="K94" i="1"/>
  <c r="K95" i="1"/>
  <c r="K96" i="1"/>
  <c r="K97" i="1"/>
  <c r="K98" i="1"/>
  <c r="K104" i="1"/>
  <c r="K105" i="1"/>
  <c r="K106" i="1"/>
  <c r="K107" i="1"/>
  <c r="K108" i="1"/>
  <c r="G82" i="3"/>
  <c r="C82" i="3"/>
  <c r="D82" i="3"/>
  <c r="E82" i="3"/>
  <c r="F82" i="3"/>
  <c r="L87" i="1"/>
  <c r="Z87" i="1" s="1"/>
  <c r="AN87" i="1" s="1"/>
  <c r="L82" i="1"/>
  <c r="Z82" i="1" s="1"/>
  <c r="AN82" i="1" s="1"/>
  <c r="L81" i="1"/>
  <c r="Z81" i="1" s="1"/>
  <c r="AN81" i="1" s="1"/>
  <c r="L80" i="1"/>
  <c r="L79" i="1"/>
  <c r="L83" i="1"/>
  <c r="L69" i="1"/>
  <c r="Z69" i="1" s="1"/>
  <c r="AN69" i="1" s="1"/>
  <c r="L70" i="1"/>
  <c r="Z70" i="1" s="1"/>
  <c r="AN70" i="1" s="1"/>
  <c r="L71" i="1"/>
  <c r="Z71" i="1" s="1"/>
  <c r="AN71" i="1" s="1"/>
  <c r="L72" i="1"/>
  <c r="Z72" i="1" s="1"/>
  <c r="AN72" i="1" s="1"/>
  <c r="L73" i="1"/>
  <c r="Z73" i="1" s="1"/>
  <c r="AN73" i="1" s="1"/>
  <c r="L52" i="1"/>
  <c r="L51" i="1"/>
  <c r="L50" i="1"/>
  <c r="L49" i="1"/>
  <c r="L53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Q63" i="1"/>
  <c r="S63" i="1" s="1"/>
  <c r="Q62" i="1"/>
  <c r="Q61" i="1"/>
  <c r="AA61" i="1" s="1"/>
  <c r="AO61" i="1" s="1"/>
  <c r="Q60" i="1"/>
  <c r="S60" i="1" s="1"/>
  <c r="Q59" i="1"/>
  <c r="AM113" i="1"/>
  <c r="AN113" i="1"/>
  <c r="AO113" i="1"/>
  <c r="AP113" i="1"/>
  <c r="AQ113" i="1"/>
  <c r="AM118" i="1"/>
  <c r="AN118" i="1"/>
  <c r="AO118" i="1"/>
  <c r="AQ118" i="1"/>
  <c r="AF118" i="1"/>
  <c r="AP118" i="1" s="1"/>
  <c r="O34" i="1"/>
  <c r="AB34" i="1"/>
  <c r="Q54" i="1"/>
  <c r="AA54" i="1" s="1"/>
  <c r="AO54" i="1" s="1"/>
  <c r="Q55" i="1"/>
  <c r="AA55" i="1" s="1"/>
  <c r="AO55" i="1" s="1"/>
  <c r="Q56" i="1"/>
  <c r="Q58" i="1"/>
  <c r="AA58" i="1" s="1"/>
  <c r="AO58" i="1" s="1"/>
  <c r="Q57" i="1"/>
  <c r="AA56" i="1" s="1"/>
  <c r="AO56" i="1" s="1"/>
  <c r="T114" i="1"/>
  <c r="U114" i="1"/>
  <c r="V114" i="1"/>
  <c r="W114" i="1"/>
  <c r="X114" i="1"/>
  <c r="Y114" i="1"/>
  <c r="AM114" i="1" s="1"/>
  <c r="Z114" i="1"/>
  <c r="AN114" i="1" s="1"/>
  <c r="AB114" i="1"/>
  <c r="AF114" i="1" s="1"/>
  <c r="AP114" i="1" s="1"/>
  <c r="AC114" i="1"/>
  <c r="AQ114" i="1" s="1"/>
  <c r="T115" i="1"/>
  <c r="U115" i="1"/>
  <c r="V115" i="1"/>
  <c r="W115" i="1"/>
  <c r="X115" i="1"/>
  <c r="Y115" i="1"/>
  <c r="AM115" i="1" s="1"/>
  <c r="Z115" i="1"/>
  <c r="AN115" i="1" s="1"/>
  <c r="AB115" i="1"/>
  <c r="AC115" i="1"/>
  <c r="AQ115" i="1" s="1"/>
  <c r="T116" i="1"/>
  <c r="U116" i="1"/>
  <c r="V116" i="1"/>
  <c r="W116" i="1"/>
  <c r="X116" i="1"/>
  <c r="Y116" i="1"/>
  <c r="AM116" i="1" s="1"/>
  <c r="Z116" i="1"/>
  <c r="AN116" i="1" s="1"/>
  <c r="AB116" i="1"/>
  <c r="AC116" i="1"/>
  <c r="AQ116" i="1" s="1"/>
  <c r="T117" i="1"/>
  <c r="U117" i="1"/>
  <c r="V117" i="1"/>
  <c r="W117" i="1"/>
  <c r="X117" i="1"/>
  <c r="Y117" i="1"/>
  <c r="AM117" i="1" s="1"/>
  <c r="Z117" i="1"/>
  <c r="AN117" i="1" s="1"/>
  <c r="AB117" i="1"/>
  <c r="AC117" i="1"/>
  <c r="AQ117" i="1" s="1"/>
  <c r="Q115" i="1"/>
  <c r="S115" i="1" s="1"/>
  <c r="Q117" i="1"/>
  <c r="S117" i="1" s="1"/>
  <c r="Q116" i="1"/>
  <c r="AA116" i="1" s="1"/>
  <c r="AO116" i="1" s="1"/>
  <c r="O114" i="1"/>
  <c r="O115" i="1"/>
  <c r="O116" i="1"/>
  <c r="O117" i="1"/>
  <c r="O118" i="1"/>
  <c r="Q114" i="1"/>
  <c r="S114" i="1" s="1"/>
  <c r="O90" i="1"/>
  <c r="O91" i="1"/>
  <c r="O92" i="1"/>
  <c r="O93" i="1"/>
  <c r="O109" i="1"/>
  <c r="O110" i="1"/>
  <c r="O111" i="1"/>
  <c r="O112" i="1"/>
  <c r="O113" i="1"/>
  <c r="O74" i="1"/>
  <c r="AF74" i="1" s="1"/>
  <c r="AP74" i="1" s="1"/>
  <c r="O75" i="1"/>
  <c r="AF75" i="1" s="1"/>
  <c r="AP75" i="1" s="1"/>
  <c r="O76" i="1"/>
  <c r="AF76" i="1" s="1"/>
  <c r="AP76" i="1" s="1"/>
  <c r="O77" i="1"/>
  <c r="AF77" i="1" s="1"/>
  <c r="AP77" i="1" s="1"/>
  <c r="O78" i="1"/>
  <c r="AF78" i="1" s="1"/>
  <c r="AP78" i="1" s="1"/>
  <c r="O89" i="1"/>
  <c r="O69" i="1"/>
  <c r="O70" i="1"/>
  <c r="O71" i="1"/>
  <c r="O72" i="1"/>
  <c r="O73" i="1"/>
  <c r="M68" i="1"/>
  <c r="O68" i="1" s="1"/>
  <c r="M67" i="1"/>
  <c r="O67" i="1" s="1"/>
  <c r="M66" i="1"/>
  <c r="O66" i="1" s="1"/>
  <c r="M65" i="1"/>
  <c r="AB65" i="1" s="1"/>
  <c r="M64" i="1"/>
  <c r="O64" i="1" s="1"/>
  <c r="Q64" i="1"/>
  <c r="AA64" i="1" s="1"/>
  <c r="AO64" i="1" s="1"/>
  <c r="AC64" i="1"/>
  <c r="AQ64" i="1" s="1"/>
  <c r="Q67" i="1"/>
  <c r="AA67" i="1" s="1"/>
  <c r="AO67" i="1" s="1"/>
  <c r="Q68" i="1"/>
  <c r="AA68" i="1" s="1"/>
  <c r="AO68" i="1" s="1"/>
  <c r="R26" i="2"/>
  <c r="Q66" i="1"/>
  <c r="AA66" i="1" s="1"/>
  <c r="AO66" i="1" s="1"/>
  <c r="Q65" i="1"/>
  <c r="AA65" i="1" s="1"/>
  <c r="AO65" i="1" s="1"/>
  <c r="T64" i="1"/>
  <c r="U64" i="1"/>
  <c r="V64" i="1"/>
  <c r="W64" i="1"/>
  <c r="X64" i="1"/>
  <c r="AM64" i="1"/>
  <c r="Z64" i="1"/>
  <c r="AN64" i="1" s="1"/>
  <c r="T65" i="1"/>
  <c r="U65" i="1"/>
  <c r="V65" i="1"/>
  <c r="W65" i="1"/>
  <c r="X65" i="1"/>
  <c r="Z65" i="1"/>
  <c r="AN65" i="1" s="1"/>
  <c r="AC65" i="1"/>
  <c r="AQ65" i="1" s="1"/>
  <c r="T66" i="1"/>
  <c r="U66" i="1"/>
  <c r="V66" i="1"/>
  <c r="W66" i="1"/>
  <c r="X66" i="1"/>
  <c r="Z66" i="1"/>
  <c r="AN66" i="1" s="1"/>
  <c r="AC66" i="1"/>
  <c r="AQ66" i="1" s="1"/>
  <c r="T67" i="1"/>
  <c r="U67" i="1"/>
  <c r="V67" i="1"/>
  <c r="W67" i="1"/>
  <c r="X67" i="1"/>
  <c r="AM67" i="1"/>
  <c r="Z67" i="1"/>
  <c r="AN67" i="1" s="1"/>
  <c r="AC67" i="1"/>
  <c r="AQ67" i="1" s="1"/>
  <c r="T68" i="1"/>
  <c r="U68" i="1"/>
  <c r="V68" i="1"/>
  <c r="W68" i="1"/>
  <c r="X68" i="1"/>
  <c r="AM68" i="1"/>
  <c r="Z68" i="1"/>
  <c r="AN68" i="1" s="1"/>
  <c r="AC68" i="1"/>
  <c r="AQ68" i="1" s="1"/>
  <c r="K64" i="1"/>
  <c r="K65" i="1"/>
  <c r="K66" i="1"/>
  <c r="K67" i="1"/>
  <c r="K68" i="1"/>
  <c r="T89" i="1"/>
  <c r="U89" i="1"/>
  <c r="V89" i="1"/>
  <c r="W89" i="1"/>
  <c r="X89" i="1"/>
  <c r="Z89" i="1"/>
  <c r="AN89" i="1" s="1"/>
  <c r="AB89" i="1"/>
  <c r="AC89" i="1"/>
  <c r="AQ89" i="1" s="1"/>
  <c r="T90" i="1"/>
  <c r="U90" i="1"/>
  <c r="V90" i="1"/>
  <c r="W90" i="1"/>
  <c r="X90" i="1"/>
  <c r="Z90" i="1"/>
  <c r="AN90" i="1" s="1"/>
  <c r="AB90" i="1"/>
  <c r="AC90" i="1"/>
  <c r="AQ90" i="1" s="1"/>
  <c r="T91" i="1"/>
  <c r="U91" i="1"/>
  <c r="V91" i="1"/>
  <c r="W91" i="1"/>
  <c r="X91" i="1"/>
  <c r="AM91" i="1"/>
  <c r="Z91" i="1"/>
  <c r="AN91" i="1" s="1"/>
  <c r="AB91" i="1"/>
  <c r="AC91" i="1"/>
  <c r="AQ91" i="1" s="1"/>
  <c r="T92" i="1"/>
  <c r="U92" i="1"/>
  <c r="V92" i="1"/>
  <c r="W92" i="1"/>
  <c r="X92" i="1"/>
  <c r="AM92" i="1"/>
  <c r="Z92" i="1"/>
  <c r="AN92" i="1" s="1"/>
  <c r="AB92" i="1"/>
  <c r="AC92" i="1"/>
  <c r="AQ92" i="1" s="1"/>
  <c r="T93" i="1"/>
  <c r="U93" i="1"/>
  <c r="V93" i="1"/>
  <c r="W93" i="1"/>
  <c r="X93" i="1"/>
  <c r="AM93" i="1"/>
  <c r="Z93" i="1"/>
  <c r="AN93" i="1" s="1"/>
  <c r="AB93" i="1"/>
  <c r="AF93" i="1" s="1"/>
  <c r="AP93" i="1" s="1"/>
  <c r="AC93" i="1"/>
  <c r="AQ93" i="1" s="1"/>
  <c r="T109" i="1"/>
  <c r="U109" i="1"/>
  <c r="V109" i="1"/>
  <c r="W109" i="1"/>
  <c r="X109" i="1"/>
  <c r="Y109" i="1"/>
  <c r="AM109" i="1" s="1"/>
  <c r="Z109" i="1"/>
  <c r="AN109" i="1" s="1"/>
  <c r="AB109" i="1"/>
  <c r="AC109" i="1"/>
  <c r="AQ109" i="1" s="1"/>
  <c r="T110" i="1"/>
  <c r="U110" i="1"/>
  <c r="V110" i="1"/>
  <c r="W110" i="1"/>
  <c r="X110" i="1"/>
  <c r="Y110" i="1"/>
  <c r="AM110" i="1" s="1"/>
  <c r="Z110" i="1"/>
  <c r="AN110" i="1" s="1"/>
  <c r="AB110" i="1"/>
  <c r="AF110" i="1" s="1"/>
  <c r="AP110" i="1" s="1"/>
  <c r="AC110" i="1"/>
  <c r="AQ110" i="1" s="1"/>
  <c r="T111" i="1"/>
  <c r="U111" i="1"/>
  <c r="V111" i="1"/>
  <c r="W111" i="1"/>
  <c r="X111" i="1"/>
  <c r="Y111" i="1"/>
  <c r="AM111" i="1" s="1"/>
  <c r="Z111" i="1"/>
  <c r="AN111" i="1" s="1"/>
  <c r="AB111" i="1"/>
  <c r="AF111" i="1" s="1"/>
  <c r="AP111" i="1" s="1"/>
  <c r="AC111" i="1"/>
  <c r="AQ111" i="1" s="1"/>
  <c r="T112" i="1"/>
  <c r="U112" i="1"/>
  <c r="V112" i="1"/>
  <c r="W112" i="1"/>
  <c r="X112" i="1"/>
  <c r="Y112" i="1"/>
  <c r="AM112" i="1" s="1"/>
  <c r="Z112" i="1"/>
  <c r="AN112" i="1" s="1"/>
  <c r="AB112" i="1"/>
  <c r="AF112" i="1" s="1"/>
  <c r="AP112" i="1" s="1"/>
  <c r="AC112" i="1"/>
  <c r="AQ112" i="1" s="1"/>
  <c r="Q110" i="1"/>
  <c r="AA110" i="1" s="1"/>
  <c r="AO110" i="1" s="1"/>
  <c r="Q109" i="1"/>
  <c r="AA109" i="1" s="1"/>
  <c r="AO109" i="1" s="1"/>
  <c r="Q112" i="1"/>
  <c r="AA112" i="1" s="1"/>
  <c r="AO112" i="1" s="1"/>
  <c r="Q111" i="1"/>
  <c r="AA111" i="1" s="1"/>
  <c r="AO111" i="1" s="1"/>
  <c r="K109" i="1"/>
  <c r="K110" i="1"/>
  <c r="K111" i="1"/>
  <c r="K112" i="1"/>
  <c r="K113" i="1"/>
  <c r="Q78" i="1"/>
  <c r="AA78" i="1" s="1"/>
  <c r="AO78" i="1" s="1"/>
  <c r="Q77" i="1"/>
  <c r="AA77" i="1" s="1"/>
  <c r="AO77" i="1" s="1"/>
  <c r="Z77" i="1"/>
  <c r="AN77" i="1" s="1"/>
  <c r="Q76" i="1"/>
  <c r="AA76" i="1" s="1"/>
  <c r="AO76" i="1" s="1"/>
  <c r="Q75" i="1"/>
  <c r="AA75" i="1" s="1"/>
  <c r="AO75" i="1" s="1"/>
  <c r="K75" i="1"/>
  <c r="K76" i="1"/>
  <c r="K77" i="1"/>
  <c r="K78" i="1"/>
  <c r="T75" i="1"/>
  <c r="U75" i="1"/>
  <c r="V75" i="1"/>
  <c r="W75" i="1"/>
  <c r="X75" i="1"/>
  <c r="AM75" i="1"/>
  <c r="Z75" i="1"/>
  <c r="AN75" i="1" s="1"/>
  <c r="AB75" i="1"/>
  <c r="AC75" i="1"/>
  <c r="AQ75" i="1" s="1"/>
  <c r="T76" i="1"/>
  <c r="U76" i="1"/>
  <c r="V76" i="1"/>
  <c r="W76" i="1"/>
  <c r="X76" i="1"/>
  <c r="AM76" i="1"/>
  <c r="Z76" i="1"/>
  <c r="AN76" i="1" s="1"/>
  <c r="AB76" i="1"/>
  <c r="AC76" i="1"/>
  <c r="AQ76" i="1" s="1"/>
  <c r="T77" i="1"/>
  <c r="U77" i="1"/>
  <c r="V77" i="1"/>
  <c r="W77" i="1"/>
  <c r="X77" i="1"/>
  <c r="AM77" i="1"/>
  <c r="AB77" i="1"/>
  <c r="AC77" i="1"/>
  <c r="AQ77" i="1" s="1"/>
  <c r="T78" i="1"/>
  <c r="U78" i="1"/>
  <c r="V78" i="1"/>
  <c r="W78" i="1"/>
  <c r="X78" i="1"/>
  <c r="AM78" i="1"/>
  <c r="Z78" i="1"/>
  <c r="AN78" i="1" s="1"/>
  <c r="AB78" i="1"/>
  <c r="AC78" i="1"/>
  <c r="AQ78" i="1" s="1"/>
  <c r="AC74" i="1"/>
  <c r="AQ74" i="1" s="1"/>
  <c r="AB74" i="1"/>
  <c r="Z74" i="1"/>
  <c r="AN74" i="1" s="1"/>
  <c r="X74" i="1"/>
  <c r="W74" i="1"/>
  <c r="V74" i="1"/>
  <c r="U74" i="1"/>
  <c r="T74" i="1"/>
  <c r="Q74" i="1"/>
  <c r="AA74" i="1" s="1"/>
  <c r="AO74" i="1" s="1"/>
  <c r="K74" i="1"/>
  <c r="Q90" i="1"/>
  <c r="S90" i="1" s="1"/>
  <c r="Q91" i="1"/>
  <c r="S91" i="1" s="1"/>
  <c r="Q92" i="1"/>
  <c r="AA92" i="1" s="1"/>
  <c r="AO92" i="1" s="1"/>
  <c r="Q93" i="1"/>
  <c r="AA93" i="1" s="1"/>
  <c r="AO93" i="1" s="1"/>
  <c r="Q89" i="1"/>
  <c r="AA89" i="1" s="1"/>
  <c r="AO89" i="1" s="1"/>
  <c r="K89" i="1"/>
  <c r="K90" i="1"/>
  <c r="K91" i="1"/>
  <c r="K92" i="1"/>
  <c r="K93" i="1"/>
  <c r="Q88" i="1"/>
  <c r="AA88" i="1" s="1"/>
  <c r="AO88" i="1" s="1"/>
  <c r="Q87" i="1"/>
  <c r="S87" i="1" s="1"/>
  <c r="Q86" i="1"/>
  <c r="AA86" i="1" s="1"/>
  <c r="AO86" i="1" s="1"/>
  <c r="Z84" i="1"/>
  <c r="AN84" i="1" s="1"/>
  <c r="Z85" i="1"/>
  <c r="AN85" i="1" s="1"/>
  <c r="Z86" i="1"/>
  <c r="AN86" i="1" s="1"/>
  <c r="AC88" i="1"/>
  <c r="AQ88" i="1" s="1"/>
  <c r="V88" i="1"/>
  <c r="Q85" i="1"/>
  <c r="S85" i="1" s="1"/>
  <c r="O88" i="1"/>
  <c r="O87" i="1"/>
  <c r="O86" i="1"/>
  <c r="O85" i="1"/>
  <c r="O84" i="1"/>
  <c r="Q84" i="1"/>
  <c r="S84" i="1" s="1"/>
  <c r="T84" i="1"/>
  <c r="U84" i="1"/>
  <c r="V84" i="1"/>
  <c r="W84" i="1"/>
  <c r="X84" i="1"/>
  <c r="AM84" i="1"/>
  <c r="AB84" i="1"/>
  <c r="AC84" i="1"/>
  <c r="AQ84" i="1" s="1"/>
  <c r="T85" i="1"/>
  <c r="U85" i="1"/>
  <c r="V85" i="1"/>
  <c r="W85" i="1"/>
  <c r="X85" i="1"/>
  <c r="AM85" i="1"/>
  <c r="AB85" i="1"/>
  <c r="AC85" i="1"/>
  <c r="AQ85" i="1" s="1"/>
  <c r="T86" i="1"/>
  <c r="U86" i="1"/>
  <c r="V86" i="1"/>
  <c r="W86" i="1"/>
  <c r="X86" i="1"/>
  <c r="AB86" i="1"/>
  <c r="AC86" i="1"/>
  <c r="AQ86" i="1" s="1"/>
  <c r="T87" i="1"/>
  <c r="U87" i="1"/>
  <c r="V87" i="1"/>
  <c r="W87" i="1"/>
  <c r="X87" i="1"/>
  <c r="AB87" i="1"/>
  <c r="AC87" i="1"/>
  <c r="AQ87" i="1" s="1"/>
  <c r="W88" i="1"/>
  <c r="AB88" i="1"/>
  <c r="K84" i="1"/>
  <c r="K85" i="1"/>
  <c r="K86" i="1"/>
  <c r="K87" i="1"/>
  <c r="O83" i="1"/>
  <c r="O82" i="1"/>
  <c r="O81" i="1"/>
  <c r="O80" i="1"/>
  <c r="O79" i="1"/>
  <c r="T70" i="1"/>
  <c r="U70" i="1"/>
  <c r="V70" i="1"/>
  <c r="W70" i="1"/>
  <c r="X70" i="1"/>
  <c r="AM70" i="1"/>
  <c r="AB70" i="1"/>
  <c r="AC70" i="1"/>
  <c r="AQ70" i="1" s="1"/>
  <c r="T71" i="1"/>
  <c r="U71" i="1"/>
  <c r="V71" i="1"/>
  <c r="W71" i="1"/>
  <c r="X71" i="1"/>
  <c r="AM71" i="1"/>
  <c r="AB71" i="1"/>
  <c r="AC71" i="1"/>
  <c r="AQ71" i="1" s="1"/>
  <c r="T72" i="1"/>
  <c r="U72" i="1"/>
  <c r="V72" i="1"/>
  <c r="W72" i="1"/>
  <c r="X72" i="1"/>
  <c r="AM72" i="1"/>
  <c r="AB72" i="1"/>
  <c r="AC72" i="1"/>
  <c r="AQ72" i="1" s="1"/>
  <c r="T73" i="1"/>
  <c r="U73" i="1"/>
  <c r="V73" i="1"/>
  <c r="W73" i="1"/>
  <c r="X73" i="1"/>
  <c r="AB73" i="1"/>
  <c r="AC73" i="1"/>
  <c r="AQ73" i="1" s="1"/>
  <c r="AC69" i="1"/>
  <c r="AQ69" i="1" s="1"/>
  <c r="AB69" i="1"/>
  <c r="AM69" i="1"/>
  <c r="X69" i="1"/>
  <c r="W69" i="1"/>
  <c r="V69" i="1"/>
  <c r="U69" i="1"/>
  <c r="T69" i="1"/>
  <c r="Q71" i="1"/>
  <c r="S71" i="1" s="1"/>
  <c r="Q70" i="1"/>
  <c r="S70" i="1" s="1"/>
  <c r="Q69" i="1"/>
  <c r="S69" i="1" s="1"/>
  <c r="Q72" i="1"/>
  <c r="S72" i="1" s="1"/>
  <c r="Q73" i="1"/>
  <c r="S73" i="1" s="1"/>
  <c r="K69" i="1"/>
  <c r="K70" i="1"/>
  <c r="K71" i="1"/>
  <c r="K72" i="1"/>
  <c r="K73" i="1"/>
  <c r="K114" i="1"/>
  <c r="K115" i="1"/>
  <c r="K116" i="1"/>
  <c r="K117" i="1"/>
  <c r="K118" i="1"/>
  <c r="Q79" i="1"/>
  <c r="S79" i="1" s="1"/>
  <c r="Q81" i="1"/>
  <c r="S81" i="1" s="1"/>
  <c r="Q80" i="1"/>
  <c r="S80" i="1" s="1"/>
  <c r="Q82" i="1"/>
  <c r="AA82" i="1" s="1"/>
  <c r="AO82" i="1" s="1"/>
  <c r="Q83" i="1"/>
  <c r="AA83" i="1" s="1"/>
  <c r="AO83" i="1" s="1"/>
  <c r="T82" i="1"/>
  <c r="U82" i="1"/>
  <c r="V82" i="1"/>
  <c r="W82" i="1"/>
  <c r="X82" i="1"/>
  <c r="AB82" i="1"/>
  <c r="AC82" i="1"/>
  <c r="AQ82" i="1" s="1"/>
  <c r="T83" i="1"/>
  <c r="U83" i="1"/>
  <c r="V83" i="1"/>
  <c r="W83" i="1"/>
  <c r="X83" i="1"/>
  <c r="AM83" i="1"/>
  <c r="AB83" i="1"/>
  <c r="AC83" i="1"/>
  <c r="AQ83" i="1" s="1"/>
  <c r="Z83" i="1"/>
  <c r="AN83" i="1" s="1"/>
  <c r="T80" i="1"/>
  <c r="U80" i="1"/>
  <c r="V80" i="1"/>
  <c r="W80" i="1"/>
  <c r="X80" i="1"/>
  <c r="AB80" i="1"/>
  <c r="AC80" i="1"/>
  <c r="AQ80" i="1" s="1"/>
  <c r="T81" i="1"/>
  <c r="U81" i="1"/>
  <c r="V81" i="1"/>
  <c r="W81" i="1"/>
  <c r="X81" i="1"/>
  <c r="AB81" i="1"/>
  <c r="AC81" i="1"/>
  <c r="AQ81" i="1" s="1"/>
  <c r="AC79" i="1"/>
  <c r="AQ79" i="1" s="1"/>
  <c r="AB79" i="1"/>
  <c r="AM79" i="1"/>
  <c r="X79" i="1"/>
  <c r="W79" i="1"/>
  <c r="V79" i="1"/>
  <c r="U79" i="1"/>
  <c r="T79" i="1"/>
  <c r="Z80" i="1"/>
  <c r="AN80" i="1" s="1"/>
  <c r="Z79" i="1"/>
  <c r="AN79" i="1" s="1"/>
  <c r="K80" i="1"/>
  <c r="K81" i="1"/>
  <c r="K82" i="1"/>
  <c r="K83" i="1"/>
  <c r="K79" i="1"/>
  <c r="D63" i="2"/>
  <c r="E63" i="2"/>
  <c r="F63" i="2"/>
  <c r="C63" i="2"/>
  <c r="L19" i="1"/>
  <c r="L18" i="1"/>
  <c r="L17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4" i="1"/>
  <c r="AQ34" i="1" s="1"/>
  <c r="AC35" i="1"/>
  <c r="AQ35" i="1" s="1"/>
  <c r="AC36" i="1"/>
  <c r="AQ36" i="1" s="1"/>
  <c r="AC37" i="1"/>
  <c r="AQ37" i="1" s="1"/>
  <c r="AC38" i="1"/>
  <c r="AQ38" i="1" s="1"/>
  <c r="AC39" i="1"/>
  <c r="AQ39" i="1" s="1"/>
  <c r="AC40" i="1"/>
  <c r="AQ40" i="1" s="1"/>
  <c r="AC41" i="1"/>
  <c r="AQ41" i="1" s="1"/>
  <c r="AC42" i="1"/>
  <c r="AQ42" i="1" s="1"/>
  <c r="AC43" i="1"/>
  <c r="AQ43" i="1" s="1"/>
  <c r="AC44" i="1"/>
  <c r="AQ44" i="1" s="1"/>
  <c r="AC45" i="1"/>
  <c r="AQ45" i="1" s="1"/>
  <c r="AC46" i="1"/>
  <c r="AQ46" i="1" s="1"/>
  <c r="AC47" i="1"/>
  <c r="AQ47" i="1" s="1"/>
  <c r="AC48" i="1"/>
  <c r="AQ48" i="1" s="1"/>
  <c r="AC49" i="1"/>
  <c r="AQ49" i="1" s="1"/>
  <c r="AC50" i="1"/>
  <c r="AQ50" i="1" s="1"/>
  <c r="AC51" i="1"/>
  <c r="AQ51" i="1" s="1"/>
  <c r="AC52" i="1"/>
  <c r="AQ52" i="1" s="1"/>
  <c r="AC53" i="1"/>
  <c r="AQ53" i="1" s="1"/>
  <c r="AC54" i="1"/>
  <c r="AQ54" i="1" s="1"/>
  <c r="AC55" i="1"/>
  <c r="AQ55" i="1" s="1"/>
  <c r="AC56" i="1"/>
  <c r="AQ56" i="1" s="1"/>
  <c r="AC57" i="1"/>
  <c r="AQ57" i="1" s="1"/>
  <c r="AC58" i="1"/>
  <c r="AQ58" i="1" s="1"/>
  <c r="AC59" i="1"/>
  <c r="AQ59" i="1" s="1"/>
  <c r="AC60" i="1"/>
  <c r="AQ60" i="1" s="1"/>
  <c r="AC61" i="1"/>
  <c r="AQ61" i="1" s="1"/>
  <c r="AC62" i="1"/>
  <c r="AQ62" i="1" s="1"/>
  <c r="AC63" i="1"/>
  <c r="AQ63" i="1" s="1"/>
  <c r="Q17" i="1"/>
  <c r="S17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5" i="1"/>
  <c r="AF35" i="1" s="1"/>
  <c r="AP35" i="1" s="1"/>
  <c r="O36" i="1"/>
  <c r="AF36" i="1" s="1"/>
  <c r="AP36" i="1" s="1"/>
  <c r="O37" i="1"/>
  <c r="AF37" i="1" s="1"/>
  <c r="AP37" i="1" s="1"/>
  <c r="O38" i="1"/>
  <c r="AF38" i="1" s="1"/>
  <c r="AP38" i="1" s="1"/>
  <c r="O39" i="1"/>
  <c r="AF39" i="1" s="1"/>
  <c r="AP39" i="1" s="1"/>
  <c r="O40" i="1"/>
  <c r="AF40" i="1" s="1"/>
  <c r="AP40" i="1" s="1"/>
  <c r="O41" i="1"/>
  <c r="AF41" i="1" s="1"/>
  <c r="AP41" i="1" s="1"/>
  <c r="O42" i="1"/>
  <c r="AF42" i="1" s="1"/>
  <c r="AP42" i="1" s="1"/>
  <c r="O43" i="1"/>
  <c r="AF43" i="1" s="1"/>
  <c r="AP43" i="1" s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AF58" i="1" s="1"/>
  <c r="AP58" i="1" s="1"/>
  <c r="O59" i="1"/>
  <c r="AF59" i="1" s="1"/>
  <c r="AP59" i="1" s="1"/>
  <c r="O60" i="1"/>
  <c r="AF60" i="1" s="1"/>
  <c r="AP60" i="1" s="1"/>
  <c r="O61" i="1"/>
  <c r="AF61" i="1" s="1"/>
  <c r="AP61" i="1" s="1"/>
  <c r="O62" i="1"/>
  <c r="AF62" i="1" s="1"/>
  <c r="AP62" i="1" s="1"/>
  <c r="O63" i="1"/>
  <c r="AF63" i="1" s="1"/>
  <c r="AP63" i="1" s="1"/>
  <c r="O2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F55" i="1" s="1"/>
  <c r="AP55" i="1" s="1"/>
  <c r="AB56" i="1"/>
  <c r="AF56" i="1" s="1"/>
  <c r="AP56" i="1" s="1"/>
  <c r="AB57" i="1"/>
  <c r="AB58" i="1"/>
  <c r="AB59" i="1"/>
  <c r="AB60" i="1"/>
  <c r="AB61" i="1"/>
  <c r="AB62" i="1"/>
  <c r="AB63" i="1"/>
  <c r="AA18" i="1"/>
  <c r="AA19" i="1"/>
  <c r="AA20" i="1"/>
  <c r="AA21" i="1"/>
  <c r="AA22" i="1"/>
  <c r="AA23" i="1"/>
  <c r="AA24" i="1"/>
  <c r="AA25" i="1"/>
  <c r="AA26" i="1"/>
  <c r="AA59" i="1"/>
  <c r="AO59" i="1" s="1"/>
  <c r="AA62" i="1"/>
  <c r="AO62" i="1" s="1"/>
  <c r="AB3" i="1"/>
  <c r="AB4" i="1"/>
  <c r="AB5" i="1"/>
  <c r="AB6" i="1"/>
  <c r="AB2" i="1"/>
  <c r="Q16" i="1"/>
  <c r="S16" i="1" s="1"/>
  <c r="Q15" i="1"/>
  <c r="S15" i="1" s="1"/>
  <c r="Q14" i="1"/>
  <c r="AA14" i="1" s="1"/>
  <c r="S18" i="1"/>
  <c r="S19" i="1"/>
  <c r="S20" i="1"/>
  <c r="S21" i="1"/>
  <c r="S22" i="1"/>
  <c r="S23" i="1"/>
  <c r="S24" i="1"/>
  <c r="S25" i="1"/>
  <c r="S26" i="1"/>
  <c r="S59" i="1"/>
  <c r="S61" i="1"/>
  <c r="S62" i="1"/>
  <c r="Q13" i="1"/>
  <c r="AA13" i="1" s="1"/>
  <c r="Q12" i="1"/>
  <c r="AA12" i="1" s="1"/>
  <c r="Q10" i="1"/>
  <c r="AA10" i="1" s="1"/>
  <c r="Q11" i="1"/>
  <c r="AA11" i="1" s="1"/>
  <c r="Q7" i="1"/>
  <c r="Q9" i="1"/>
  <c r="S9" i="1" s="1"/>
  <c r="Q8" i="1"/>
  <c r="S8" i="1" s="1"/>
  <c r="Q2" i="1"/>
  <c r="Q3" i="1"/>
  <c r="K57" i="1"/>
  <c r="Z54" i="1"/>
  <c r="AN54" i="1" s="1"/>
  <c r="L57" i="1"/>
  <c r="Z57" i="1" s="1"/>
  <c r="AN57" i="1" s="1"/>
  <c r="Z55" i="1"/>
  <c r="AN55" i="1" s="1"/>
  <c r="Z58" i="1"/>
  <c r="AN58" i="1" s="1"/>
  <c r="K55" i="1"/>
  <c r="K54" i="1"/>
  <c r="T54" i="1"/>
  <c r="U54" i="1"/>
  <c r="V54" i="1"/>
  <c r="W54" i="1"/>
  <c r="X54" i="1"/>
  <c r="AM54" i="1"/>
  <c r="T55" i="1"/>
  <c r="U55" i="1"/>
  <c r="V55" i="1"/>
  <c r="W55" i="1"/>
  <c r="X55" i="1"/>
  <c r="K56" i="1"/>
  <c r="Z56" i="1"/>
  <c r="AN56" i="1" s="1"/>
  <c r="T56" i="1"/>
  <c r="U56" i="1"/>
  <c r="V56" i="1"/>
  <c r="W56" i="1"/>
  <c r="X56" i="1"/>
  <c r="T57" i="1"/>
  <c r="U57" i="1"/>
  <c r="V57" i="1"/>
  <c r="W57" i="1"/>
  <c r="AM57" i="1"/>
  <c r="K58" i="1"/>
  <c r="T58" i="1"/>
  <c r="U58" i="1"/>
  <c r="V58" i="1"/>
  <c r="W58" i="1"/>
  <c r="X58" i="1"/>
  <c r="K59" i="1"/>
  <c r="T59" i="1"/>
  <c r="U59" i="1"/>
  <c r="V59" i="1"/>
  <c r="W59" i="1"/>
  <c r="X59" i="1"/>
  <c r="AM59" i="1"/>
  <c r="Z59" i="1"/>
  <c r="AN59" i="1" s="1"/>
  <c r="K60" i="1"/>
  <c r="T60" i="1"/>
  <c r="U60" i="1"/>
  <c r="V60" i="1"/>
  <c r="W60" i="1"/>
  <c r="X60" i="1"/>
  <c r="AM60" i="1"/>
  <c r="Z60" i="1"/>
  <c r="AN60" i="1" s="1"/>
  <c r="K61" i="1"/>
  <c r="T61" i="1"/>
  <c r="U61" i="1"/>
  <c r="V61" i="1"/>
  <c r="W61" i="1"/>
  <c r="X61" i="1"/>
  <c r="AM61" i="1"/>
  <c r="Z61" i="1"/>
  <c r="AN61" i="1" s="1"/>
  <c r="K62" i="1"/>
  <c r="Z62" i="1"/>
  <c r="AN62" i="1" s="1"/>
  <c r="T62" i="1"/>
  <c r="U62" i="1"/>
  <c r="V62" i="1"/>
  <c r="W62" i="1"/>
  <c r="X62" i="1"/>
  <c r="AM62" i="1"/>
  <c r="K63" i="1"/>
  <c r="T63" i="1"/>
  <c r="U63" i="1"/>
  <c r="V63" i="1"/>
  <c r="W63" i="1"/>
  <c r="X63" i="1"/>
  <c r="AM63" i="1"/>
  <c r="Z63" i="1"/>
  <c r="AN63" i="1" s="1"/>
  <c r="AF34" i="1" l="1"/>
  <c r="AP34" i="1" s="1"/>
  <c r="AA60" i="1"/>
  <c r="AO60" i="1" s="1"/>
  <c r="AR60" i="1" s="1"/>
  <c r="AT60" i="1" s="1"/>
  <c r="AA63" i="1"/>
  <c r="AO63" i="1" s="1"/>
  <c r="AR113" i="1"/>
  <c r="AT113" i="1" s="1"/>
  <c r="AR77" i="1"/>
  <c r="AT77" i="1" s="1"/>
  <c r="AR93" i="1"/>
  <c r="AT93" i="1" s="1"/>
  <c r="AR58" i="1"/>
  <c r="AT58" i="1" s="1"/>
  <c r="AR62" i="1"/>
  <c r="AT62" i="1" s="1"/>
  <c r="AR59" i="1"/>
  <c r="AT59" i="1" s="1"/>
  <c r="AR74" i="1"/>
  <c r="AT74" i="1" s="1"/>
  <c r="AR75" i="1"/>
  <c r="AT75" i="1" s="1"/>
  <c r="AR76" i="1"/>
  <c r="AT76" i="1" s="1"/>
  <c r="AR61" i="1"/>
  <c r="AT61" i="1" s="1"/>
  <c r="AR112" i="1"/>
  <c r="AT112" i="1" s="1"/>
  <c r="AR55" i="1"/>
  <c r="AT55" i="1" s="1"/>
  <c r="AR56" i="1"/>
  <c r="AT56" i="1" s="1"/>
  <c r="AR111" i="1"/>
  <c r="AT111" i="1" s="1"/>
  <c r="AR63" i="1"/>
  <c r="AT63" i="1" s="1"/>
  <c r="AR78" i="1"/>
  <c r="AT78" i="1" s="1"/>
  <c r="AR110" i="1"/>
  <c r="AT110" i="1" s="1"/>
  <c r="AF116" i="1"/>
  <c r="AP116" i="1" s="1"/>
  <c r="AR116" i="1" s="1"/>
  <c r="AT116" i="1" s="1"/>
  <c r="AR118" i="1"/>
  <c r="AT118" i="1" s="1"/>
  <c r="AF57" i="1"/>
  <c r="AP57" i="1" s="1"/>
  <c r="AF54" i="1"/>
  <c r="AP54" i="1" s="1"/>
  <c r="AR54" i="1" s="1"/>
  <c r="AT54" i="1" s="1"/>
  <c r="AF109" i="1"/>
  <c r="AP109" i="1" s="1"/>
  <c r="AR109" i="1" s="1"/>
  <c r="AT109" i="1" s="1"/>
  <c r="AF117" i="1"/>
  <c r="AP117" i="1" s="1"/>
  <c r="AF115" i="1"/>
  <c r="AP115" i="1" s="1"/>
  <c r="S54" i="1"/>
  <c r="AF44" i="1"/>
  <c r="AP44" i="1" s="1"/>
  <c r="AF47" i="1"/>
  <c r="AP47" i="1" s="1"/>
  <c r="AF52" i="1"/>
  <c r="AP52" i="1" s="1"/>
  <c r="AF65" i="1"/>
  <c r="AP65" i="1" s="1"/>
  <c r="AR65" i="1" s="1"/>
  <c r="AT65" i="1" s="1"/>
  <c r="AF70" i="1"/>
  <c r="AP70" i="1" s="1"/>
  <c r="AF73" i="1"/>
  <c r="AP73" i="1" s="1"/>
  <c r="AF86" i="1"/>
  <c r="AP86" i="1" s="1"/>
  <c r="AR86" i="1" s="1"/>
  <c r="AT86" i="1" s="1"/>
  <c r="AF91" i="1"/>
  <c r="AP91" i="1" s="1"/>
  <c r="AF48" i="1"/>
  <c r="AP48" i="1" s="1"/>
  <c r="AF79" i="1"/>
  <c r="AP79" i="1" s="1"/>
  <c r="AF87" i="1"/>
  <c r="AP87" i="1" s="1"/>
  <c r="AB68" i="1"/>
  <c r="AF49" i="1"/>
  <c r="AP49" i="1" s="1"/>
  <c r="AF80" i="1"/>
  <c r="AP80" i="1" s="1"/>
  <c r="AF88" i="1"/>
  <c r="AP88" i="1" s="1"/>
  <c r="AF50" i="1"/>
  <c r="AP50" i="1" s="1"/>
  <c r="AF81" i="1"/>
  <c r="AP81" i="1" s="1"/>
  <c r="AF89" i="1"/>
  <c r="AP89" i="1" s="1"/>
  <c r="AR89" i="1" s="1"/>
  <c r="AT89" i="1" s="1"/>
  <c r="AF51" i="1"/>
  <c r="AP51" i="1" s="1"/>
  <c r="AF69" i="1"/>
  <c r="AP69" i="1" s="1"/>
  <c r="AF82" i="1"/>
  <c r="AP82" i="1" s="1"/>
  <c r="AR82" i="1" s="1"/>
  <c r="AT82" i="1" s="1"/>
  <c r="AF90" i="1"/>
  <c r="AP90" i="1" s="1"/>
  <c r="AF83" i="1"/>
  <c r="AP83" i="1" s="1"/>
  <c r="AR83" i="1" s="1"/>
  <c r="AT83" i="1" s="1"/>
  <c r="AF45" i="1"/>
  <c r="AP45" i="1" s="1"/>
  <c r="AF53" i="1"/>
  <c r="AP53" i="1" s="1"/>
  <c r="AF71" i="1"/>
  <c r="AP71" i="1" s="1"/>
  <c r="AF84" i="1"/>
  <c r="AP84" i="1" s="1"/>
  <c r="AF92" i="1"/>
  <c r="AP92" i="1" s="1"/>
  <c r="AR92" i="1" s="1"/>
  <c r="AT92" i="1" s="1"/>
  <c r="AF46" i="1"/>
  <c r="AP46" i="1" s="1"/>
  <c r="AF72" i="1"/>
  <c r="AP72" i="1" s="1"/>
  <c r="AF85" i="1"/>
  <c r="AP85" i="1" s="1"/>
  <c r="S89" i="1"/>
  <c r="S56" i="1"/>
  <c r="S55" i="1"/>
  <c r="S82" i="1"/>
  <c r="S64" i="1"/>
  <c r="S74" i="1"/>
  <c r="S68" i="1"/>
  <c r="S92" i="1"/>
  <c r="S65" i="1"/>
  <c r="AA90" i="1"/>
  <c r="AO90" i="1" s="1"/>
  <c r="O65" i="1"/>
  <c r="AA114" i="1"/>
  <c r="AO114" i="1" s="1"/>
  <c r="AR114" i="1" s="1"/>
  <c r="AT114" i="1" s="1"/>
  <c r="AA73" i="1"/>
  <c r="AO73" i="1" s="1"/>
  <c r="AB67" i="1"/>
  <c r="S57" i="1"/>
  <c r="AA91" i="1"/>
  <c r="AO91" i="1" s="1"/>
  <c r="AB64" i="1"/>
  <c r="S66" i="1"/>
  <c r="AA71" i="1"/>
  <c r="AO71" i="1" s="1"/>
  <c r="AR71" i="1" s="1"/>
  <c r="AT71" i="1" s="1"/>
  <c r="S93" i="1"/>
  <c r="S116" i="1"/>
  <c r="AA81" i="1"/>
  <c r="AO81" i="1" s="1"/>
  <c r="AA70" i="1"/>
  <c r="AO70" i="1" s="1"/>
  <c r="AA115" i="1"/>
  <c r="AO115" i="1" s="1"/>
  <c r="AR115" i="1" s="1"/>
  <c r="AT115" i="1" s="1"/>
  <c r="S83" i="1"/>
  <c r="AA117" i="1"/>
  <c r="AO117" i="1" s="1"/>
  <c r="AA57" i="1"/>
  <c r="AO57" i="1" s="1"/>
  <c r="S58" i="1"/>
  <c r="AB66" i="1"/>
  <c r="S67" i="1"/>
  <c r="AA16" i="1"/>
  <c r="AA72" i="1"/>
  <c r="AO72" i="1" s="1"/>
  <c r="AA84" i="1"/>
  <c r="AO84" i="1" s="1"/>
  <c r="AA79" i="1"/>
  <c r="AO79" i="1" s="1"/>
  <c r="AA85" i="1"/>
  <c r="AO85" i="1" s="1"/>
  <c r="AA15" i="1"/>
  <c r="AA69" i="1"/>
  <c r="AO69" i="1" s="1"/>
  <c r="S86" i="1"/>
  <c r="S14" i="1"/>
  <c r="AA87" i="1"/>
  <c r="AO87" i="1" s="1"/>
  <c r="S88" i="1"/>
  <c r="Z88" i="1"/>
  <c r="AN88" i="1" s="1"/>
  <c r="AM88" i="1"/>
  <c r="U88" i="1"/>
  <c r="T88" i="1"/>
  <c r="K88" i="1"/>
  <c r="X88" i="1"/>
  <c r="AA80" i="1"/>
  <c r="AO80" i="1" s="1"/>
  <c r="AA17" i="1"/>
  <c r="AA9" i="1"/>
  <c r="S13" i="1"/>
  <c r="S12" i="1"/>
  <c r="S10" i="1"/>
  <c r="Q52" i="1"/>
  <c r="Q53" i="1"/>
  <c r="Z53" i="1"/>
  <c r="AN53" i="1" s="1"/>
  <c r="Z52" i="1"/>
  <c r="AN52" i="1" s="1"/>
  <c r="Q51" i="1"/>
  <c r="Q50" i="1"/>
  <c r="Q49" i="1"/>
  <c r="Z51" i="1"/>
  <c r="AN51" i="1" s="1"/>
  <c r="Z50" i="1"/>
  <c r="AN50" i="1" s="1"/>
  <c r="Z49" i="1"/>
  <c r="AN49" i="1" s="1"/>
  <c r="S2" i="1"/>
  <c r="Q31" i="1"/>
  <c r="Q30" i="1"/>
  <c r="Q29" i="1"/>
  <c r="Q28" i="1"/>
  <c r="Q27" i="1"/>
  <c r="S3" i="1"/>
  <c r="S4" i="1"/>
  <c r="S5" i="1"/>
  <c r="S6" i="1"/>
  <c r="S7" i="1"/>
  <c r="S11" i="1"/>
  <c r="Q48" i="1"/>
  <c r="Q47" i="1"/>
  <c r="Z48" i="1"/>
  <c r="AN48" i="1" s="1"/>
  <c r="Z47" i="1"/>
  <c r="AN47" i="1" s="1"/>
  <c r="AM45" i="1"/>
  <c r="AM46" i="1"/>
  <c r="AM47" i="1"/>
  <c r="AM48" i="1"/>
  <c r="AM49" i="1"/>
  <c r="AM50" i="1"/>
  <c r="AM51" i="1"/>
  <c r="AM52" i="1"/>
  <c r="AM53" i="1"/>
  <c r="X47" i="1"/>
  <c r="X48" i="1"/>
  <c r="X49" i="1"/>
  <c r="X50" i="1"/>
  <c r="X51" i="1"/>
  <c r="X52" i="1"/>
  <c r="X53" i="1"/>
  <c r="X45" i="1"/>
  <c r="X46" i="1"/>
  <c r="W45" i="1"/>
  <c r="W46" i="1"/>
  <c r="W47" i="1"/>
  <c r="W48" i="1"/>
  <c r="W49" i="1"/>
  <c r="W50" i="1"/>
  <c r="W51" i="1"/>
  <c r="W52" i="1"/>
  <c r="W53" i="1"/>
  <c r="V45" i="1"/>
  <c r="V46" i="1"/>
  <c r="V47" i="1"/>
  <c r="V48" i="1"/>
  <c r="V49" i="1"/>
  <c r="V50" i="1"/>
  <c r="V51" i="1"/>
  <c r="V52" i="1"/>
  <c r="V53" i="1"/>
  <c r="U45" i="1"/>
  <c r="U46" i="1"/>
  <c r="U47" i="1"/>
  <c r="U48" i="1"/>
  <c r="U49" i="1"/>
  <c r="U50" i="1"/>
  <c r="U51" i="1"/>
  <c r="U52" i="1"/>
  <c r="U53" i="1"/>
  <c r="T45" i="1"/>
  <c r="T46" i="1"/>
  <c r="T47" i="1"/>
  <c r="T48" i="1"/>
  <c r="T49" i="1"/>
  <c r="T50" i="1"/>
  <c r="T51" i="1"/>
  <c r="T52" i="1"/>
  <c r="T53" i="1"/>
  <c r="Q45" i="1"/>
  <c r="Q46" i="1"/>
  <c r="Z45" i="1"/>
  <c r="AN45" i="1" s="1"/>
  <c r="Z46" i="1"/>
  <c r="AN46" i="1" s="1"/>
  <c r="U44" i="1"/>
  <c r="V44" i="1"/>
  <c r="Q44" i="1"/>
  <c r="Z44" i="1"/>
  <c r="AN44" i="1" s="1"/>
  <c r="X44" i="1"/>
  <c r="W44" i="1"/>
  <c r="AM44" i="1"/>
  <c r="T44" i="1"/>
  <c r="V43" i="1"/>
  <c r="U43" i="1"/>
  <c r="U42" i="1"/>
  <c r="V42" i="1"/>
  <c r="Q43" i="1"/>
  <c r="Q42" i="1"/>
  <c r="Z42" i="1"/>
  <c r="AN42" i="1" s="1"/>
  <c r="Z43" i="1"/>
  <c r="AN43" i="1" s="1"/>
  <c r="X43" i="1"/>
  <c r="X42" i="1"/>
  <c r="W43" i="1"/>
  <c r="AM43" i="1"/>
  <c r="T43" i="1"/>
  <c r="W42" i="1"/>
  <c r="AM42" i="1"/>
  <c r="T42" i="1"/>
  <c r="U41" i="1"/>
  <c r="V41" i="1"/>
  <c r="Q41" i="1"/>
  <c r="Z41" i="1"/>
  <c r="AN41" i="1" s="1"/>
  <c r="X41" i="1"/>
  <c r="W41" i="1"/>
  <c r="AM41" i="1"/>
  <c r="T41" i="1"/>
  <c r="U40" i="1"/>
  <c r="V40" i="1"/>
  <c r="Q40" i="1"/>
  <c r="Z40" i="1"/>
  <c r="AN40" i="1" s="1"/>
  <c r="X40" i="1"/>
  <c r="W40" i="1"/>
  <c r="AM40" i="1"/>
  <c r="T40" i="1"/>
  <c r="U39" i="1"/>
  <c r="V39" i="1"/>
  <c r="Q39" i="1"/>
  <c r="Z39" i="1"/>
  <c r="AN39" i="1" s="1"/>
  <c r="X39" i="1"/>
  <c r="W39" i="1"/>
  <c r="AM39" i="1"/>
  <c r="T39" i="1"/>
  <c r="Q34" i="1"/>
  <c r="Q35" i="1"/>
  <c r="Q36" i="1"/>
  <c r="Q37" i="1"/>
  <c r="Q38" i="1"/>
  <c r="Z38" i="1"/>
  <c r="AN38" i="1" s="1"/>
  <c r="Z37" i="1"/>
  <c r="AN37" i="1" s="1"/>
  <c r="Z36" i="1"/>
  <c r="AN36" i="1" s="1"/>
  <c r="Z35" i="1"/>
  <c r="AN35" i="1" s="1"/>
  <c r="T35" i="1"/>
  <c r="U35" i="1"/>
  <c r="V35" i="1"/>
  <c r="W35" i="1"/>
  <c r="X35" i="1"/>
  <c r="AM35" i="1"/>
  <c r="T36" i="1"/>
  <c r="U36" i="1"/>
  <c r="V36" i="1"/>
  <c r="W36" i="1"/>
  <c r="X36" i="1"/>
  <c r="AM36" i="1"/>
  <c r="T37" i="1"/>
  <c r="U37" i="1"/>
  <c r="V37" i="1"/>
  <c r="W37" i="1"/>
  <c r="X37" i="1"/>
  <c r="AM37" i="1"/>
  <c r="T38" i="1"/>
  <c r="U38" i="1"/>
  <c r="V38" i="1"/>
  <c r="W38" i="1"/>
  <c r="X38" i="1"/>
  <c r="AM38" i="1"/>
  <c r="U34" i="1"/>
  <c r="V34" i="1"/>
  <c r="Z34" i="1"/>
  <c r="AN34" i="1" s="1"/>
  <c r="X34" i="1"/>
  <c r="W34" i="1"/>
  <c r="AM34" i="1"/>
  <c r="T34" i="1"/>
  <c r="U30" i="1"/>
  <c r="V30" i="1"/>
  <c r="U31" i="1"/>
  <c r="V31" i="1"/>
  <c r="Z31" i="1"/>
  <c r="X31" i="1"/>
  <c r="W31" i="1"/>
  <c r="T31" i="1"/>
  <c r="Z30" i="1"/>
  <c r="X30" i="1"/>
  <c r="W30" i="1"/>
  <c r="T30" i="1"/>
  <c r="Z28" i="1"/>
  <c r="Z29" i="1"/>
  <c r="U29" i="1"/>
  <c r="V29" i="1"/>
  <c r="U28" i="1"/>
  <c r="V28" i="1"/>
  <c r="K30" i="1"/>
  <c r="X29" i="1"/>
  <c r="W29" i="1"/>
  <c r="T29" i="1"/>
  <c r="X28" i="1"/>
  <c r="W28" i="1"/>
  <c r="T28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Z2" i="1"/>
  <c r="Z3" i="1"/>
  <c r="AA3" i="1"/>
  <c r="Z4" i="1"/>
  <c r="AA4" i="1"/>
  <c r="Z5" i="1"/>
  <c r="AA5" i="1"/>
  <c r="Z6" i="1"/>
  <c r="AA6" i="1"/>
  <c r="Z7" i="1"/>
  <c r="AA7" i="1"/>
  <c r="Z8" i="1"/>
  <c r="AA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U27" i="1"/>
  <c r="V27" i="1"/>
  <c r="X27" i="1"/>
  <c r="W27" i="1"/>
  <c r="T27" i="1"/>
  <c r="U26" i="1"/>
  <c r="V26" i="1"/>
  <c r="X26" i="1"/>
  <c r="W26" i="1"/>
  <c r="T26" i="1"/>
  <c r="U25" i="1"/>
  <c r="V25" i="1"/>
  <c r="X25" i="1"/>
  <c r="W25" i="1"/>
  <c r="T25" i="1"/>
  <c r="U24" i="1"/>
  <c r="V24" i="1"/>
  <c r="U23" i="1"/>
  <c r="V23" i="1"/>
  <c r="X24" i="1"/>
  <c r="W24" i="1"/>
  <c r="T24" i="1"/>
  <c r="X23" i="1"/>
  <c r="W23" i="1"/>
  <c r="T23" i="1"/>
  <c r="U22" i="1"/>
  <c r="V22" i="1"/>
  <c r="X22" i="1"/>
  <c r="W22" i="1"/>
  <c r="T2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" i="1"/>
  <c r="K2" i="1"/>
  <c r="K3" i="1"/>
  <c r="K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" i="1"/>
  <c r="AR57" i="1" l="1"/>
  <c r="AT57" i="1" s="1"/>
  <c r="AR84" i="1"/>
  <c r="AT84" i="1" s="1"/>
  <c r="AR69" i="1"/>
  <c r="AT69" i="1" s="1"/>
  <c r="AR70" i="1"/>
  <c r="AT70" i="1" s="1"/>
  <c r="AR80" i="1"/>
  <c r="AT80" i="1" s="1"/>
  <c r="AR87" i="1"/>
  <c r="AT87" i="1" s="1"/>
  <c r="AR72" i="1"/>
  <c r="AT72" i="1" s="1"/>
  <c r="AR91" i="1"/>
  <c r="AT91" i="1" s="1"/>
  <c r="AR88" i="1"/>
  <c r="AT88" i="1" s="1"/>
  <c r="AR85" i="1"/>
  <c r="AT85" i="1" s="1"/>
  <c r="AR79" i="1"/>
  <c r="AT79" i="1" s="1"/>
  <c r="AR117" i="1"/>
  <c r="AT117" i="1" s="1"/>
  <c r="AR90" i="1"/>
  <c r="AT90" i="1" s="1"/>
  <c r="AR81" i="1"/>
  <c r="AT81" i="1" s="1"/>
  <c r="AR73" i="1"/>
  <c r="AT73" i="1" s="1"/>
  <c r="AF68" i="1"/>
  <c r="AP68" i="1" s="1"/>
  <c r="AR68" i="1" s="1"/>
  <c r="AT68" i="1" s="1"/>
  <c r="AF67" i="1"/>
  <c r="AP67" i="1" s="1"/>
  <c r="AR67" i="1" s="1"/>
  <c r="AT67" i="1" s="1"/>
  <c r="AF66" i="1"/>
  <c r="AP66" i="1" s="1"/>
  <c r="AR66" i="1" s="1"/>
  <c r="AT66" i="1" s="1"/>
  <c r="AF64" i="1"/>
  <c r="AP64" i="1" s="1"/>
  <c r="AR64" i="1" s="1"/>
  <c r="AT64" i="1" s="1"/>
  <c r="S31" i="1"/>
  <c r="AA31" i="1"/>
  <c r="S35" i="1"/>
  <c r="AA35" i="1"/>
  <c r="AO35" i="1" s="1"/>
  <c r="AR35" i="1" s="1"/>
  <c r="AT35" i="1" s="1"/>
  <c r="AA39" i="1"/>
  <c r="AO39" i="1" s="1"/>
  <c r="AR39" i="1" s="1"/>
  <c r="AT39" i="1" s="1"/>
  <c r="S39" i="1"/>
  <c r="AA52" i="1"/>
  <c r="AO52" i="1" s="1"/>
  <c r="AR52" i="1" s="1"/>
  <c r="AT52" i="1" s="1"/>
  <c r="S52" i="1"/>
  <c r="AA38" i="1"/>
  <c r="AO38" i="1" s="1"/>
  <c r="AR38" i="1" s="1"/>
  <c r="AT38" i="1" s="1"/>
  <c r="S38" i="1"/>
  <c r="AA44" i="1"/>
  <c r="AO44" i="1" s="1"/>
  <c r="AR44" i="1" s="1"/>
  <c r="AT44" i="1" s="1"/>
  <c r="S44" i="1"/>
  <c r="AA34" i="1"/>
  <c r="AO34" i="1" s="1"/>
  <c r="AR34" i="1" s="1"/>
  <c r="AT34" i="1" s="1"/>
  <c r="S34" i="1"/>
  <c r="S40" i="1"/>
  <c r="AA40" i="1"/>
  <c r="AO40" i="1" s="1"/>
  <c r="AR40" i="1" s="1"/>
  <c r="AT40" i="1" s="1"/>
  <c r="AA47" i="1"/>
  <c r="AO47" i="1" s="1"/>
  <c r="AR47" i="1" s="1"/>
  <c r="AT47" i="1" s="1"/>
  <c r="S47" i="1"/>
  <c r="AA27" i="1"/>
  <c r="S27" i="1"/>
  <c r="AA36" i="1"/>
  <c r="AO36" i="1" s="1"/>
  <c r="AR36" i="1" s="1"/>
  <c r="AT36" i="1" s="1"/>
  <c r="S36" i="1"/>
  <c r="AA42" i="1"/>
  <c r="AO42" i="1" s="1"/>
  <c r="AR42" i="1" s="1"/>
  <c r="AT42" i="1" s="1"/>
  <c r="S42" i="1"/>
  <c r="AA41" i="1"/>
  <c r="AO41" i="1" s="1"/>
  <c r="AR41" i="1" s="1"/>
  <c r="AT41" i="1" s="1"/>
  <c r="S41" i="1"/>
  <c r="S43" i="1"/>
  <c r="AA43" i="1"/>
  <c r="AO43" i="1" s="1"/>
  <c r="AR43" i="1" s="1"/>
  <c r="AT43" i="1" s="1"/>
  <c r="AA46" i="1"/>
  <c r="AO46" i="1" s="1"/>
  <c r="AR46" i="1" s="1"/>
  <c r="AT46" i="1" s="1"/>
  <c r="S46" i="1"/>
  <c r="AA48" i="1"/>
  <c r="AO48" i="1" s="1"/>
  <c r="AR48" i="1" s="1"/>
  <c r="AT48" i="1" s="1"/>
  <c r="S48" i="1"/>
  <c r="AA28" i="1"/>
  <c r="S28" i="1"/>
  <c r="AA49" i="1"/>
  <c r="AO49" i="1" s="1"/>
  <c r="AR49" i="1" s="1"/>
  <c r="AT49" i="1" s="1"/>
  <c r="S49" i="1"/>
  <c r="AA37" i="1"/>
  <c r="AO37" i="1" s="1"/>
  <c r="AR37" i="1" s="1"/>
  <c r="AT37" i="1" s="1"/>
  <c r="S37" i="1"/>
  <c r="AA53" i="1"/>
  <c r="AO53" i="1" s="1"/>
  <c r="AR53" i="1" s="1"/>
  <c r="AT53" i="1" s="1"/>
  <c r="S53" i="1"/>
  <c r="AA45" i="1"/>
  <c r="AO45" i="1" s="1"/>
  <c r="AR45" i="1" s="1"/>
  <c r="AT45" i="1" s="1"/>
  <c r="S45" i="1"/>
  <c r="AA29" i="1"/>
  <c r="S29" i="1"/>
  <c r="AA50" i="1"/>
  <c r="AO50" i="1" s="1"/>
  <c r="AR50" i="1" s="1"/>
  <c r="AT50" i="1" s="1"/>
  <c r="S50" i="1"/>
  <c r="S30" i="1"/>
  <c r="AA30" i="1"/>
  <c r="S51" i="1"/>
  <c r="AA51" i="1"/>
  <c r="AO51" i="1" s="1"/>
  <c r="AR51" i="1" s="1"/>
  <c r="AT51" i="1" s="1"/>
  <c r="AA2" i="1"/>
</calcChain>
</file>

<file path=xl/sharedStrings.xml><?xml version="1.0" encoding="utf-8"?>
<sst xmlns="http://schemas.openxmlformats.org/spreadsheetml/2006/main" count="666" uniqueCount="287">
  <si>
    <t>KODE</t>
  </si>
  <si>
    <t>2020</t>
  </si>
  <si>
    <t>2019</t>
  </si>
  <si>
    <t>2016</t>
  </si>
  <si>
    <t>2017</t>
  </si>
  <si>
    <t>2018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</si>
  <si>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</si>
  <si>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</si>
  <si>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</si>
  <si>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</si>
  <si>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</si>
  <si>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</si>
  <si>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</si>
  <si>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</si>
  <si>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</si>
  <si>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</si>
  <si>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</si>
  <si>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</si>
  <si>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</si>
  <si>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</si>
  <si>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</si>
  <si>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</si>
  <si>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</si>
  <si>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</si>
  <si>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</si>
  <si>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</si>
  <si>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</si>
  <si>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</si>
  <si>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</si>
  <si>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</si>
  <si>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</si>
  <si>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</si>
  <si>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</si>
  <si>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</si>
  <si>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</si>
  <si>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</si>
  <si>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</si>
  <si>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</si>
  <si>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</si>
  <si>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</si>
  <si>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</si>
  <si>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</si>
  <si>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</si>
  <si>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</si>
  <si>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</si>
  <si>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</si>
  <si>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TFCO</t>
  </si>
  <si>
    <t>CA</t>
  </si>
  <si>
    <t>FA</t>
  </si>
  <si>
    <t>STL</t>
  </si>
  <si>
    <t>LTL</t>
  </si>
  <si>
    <t>EQ</t>
  </si>
  <si>
    <t>ESTI</t>
  </si>
  <si>
    <t>SSTM</t>
  </si>
  <si>
    <t>MASA</t>
  </si>
  <si>
    <t>MYTX</t>
  </si>
  <si>
    <t>CR</t>
  </si>
  <si>
    <t>ROA</t>
  </si>
  <si>
    <t>DER</t>
  </si>
  <si>
    <t>DAR</t>
  </si>
  <si>
    <t>ROE</t>
  </si>
  <si>
    <t>WCTA</t>
  </si>
  <si>
    <t>EBIT</t>
  </si>
  <si>
    <t>PRAS</t>
  </si>
  <si>
    <t>RETA</t>
  </si>
  <si>
    <t>EBITTA</t>
  </si>
  <si>
    <t>MVEBVL</t>
  </si>
  <si>
    <t>STA</t>
  </si>
  <si>
    <t>RE</t>
  </si>
  <si>
    <t>EAT</t>
  </si>
  <si>
    <t>FPNI</t>
  </si>
  <si>
    <t>KRAS</t>
  </si>
  <si>
    <t>BRNA</t>
  </si>
  <si>
    <t>AMFG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</si>
  <si>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</si>
  <si>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</si>
  <si>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</si>
  <si>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</si>
  <si>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</si>
  <si>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</si>
  <si>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</si>
  <si>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</si>
  <si>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</si>
  <si>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</si>
  <si>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MV</t>
  </si>
  <si>
    <t>ALMI</t>
  </si>
  <si>
    <t>51</t>
  </si>
  <si>
    <t>52</t>
  </si>
  <si>
    <t>53</t>
  </si>
  <si>
    <t>54</t>
  </si>
  <si>
    <t>55</t>
  </si>
  <si>
    <t>ADMG</t>
  </si>
  <si>
    <t>56</t>
  </si>
  <si>
    <t>57</t>
  </si>
  <si>
    <t>58</t>
  </si>
  <si>
    <t>59</t>
  </si>
  <si>
    <t>60</t>
  </si>
  <si>
    <t>MVE</t>
  </si>
  <si>
    <t>AMIN</t>
  </si>
  <si>
    <t>ARGO</t>
  </si>
  <si>
    <t>ARKA</t>
  </si>
  <si>
    <t>ASII</t>
  </si>
  <si>
    <t>AUTO</t>
  </si>
  <si>
    <t>BATA</t>
  </si>
  <si>
    <t>BELL</t>
  </si>
  <si>
    <t>BIMA</t>
  </si>
  <si>
    <t>BOLT</t>
  </si>
  <si>
    <t>BRAM</t>
  </si>
  <si>
    <t>CCSI</t>
  </si>
  <si>
    <t>CNTB</t>
  </si>
  <si>
    <t>CNTX</t>
  </si>
  <si>
    <t>ERTX</t>
  </si>
  <si>
    <t>GDYR</t>
  </si>
  <si>
    <t>GJTL</t>
  </si>
  <si>
    <t>GMFI</t>
  </si>
  <si>
    <t>HDTX</t>
  </si>
  <si>
    <t>HOPE</t>
  </si>
  <si>
    <t>IKBI</t>
  </si>
  <si>
    <t>IMAS</t>
  </si>
  <si>
    <t>INDR</t>
  </si>
  <si>
    <t>INDS</t>
  </si>
  <si>
    <t>JECC</t>
  </si>
  <si>
    <t>JSKY</t>
  </si>
  <si>
    <t>KBLI</t>
  </si>
  <si>
    <t>KBLM</t>
  </si>
  <si>
    <t>KPAL</t>
  </si>
  <si>
    <t>KRAH</t>
  </si>
  <si>
    <t>LABA</t>
  </si>
  <si>
    <t>LPIN</t>
  </si>
  <si>
    <t>NIPS</t>
  </si>
  <si>
    <t>kd_emiten</t>
  </si>
  <si>
    <t>No</t>
  </si>
  <si>
    <t>PBRX</t>
  </si>
  <si>
    <t>POLU</t>
  </si>
  <si>
    <t>POLY</t>
  </si>
  <si>
    <t>PTSN</t>
  </si>
  <si>
    <t>RICY</t>
  </si>
  <si>
    <t>SBAT</t>
  </si>
  <si>
    <t>SCCO</t>
  </si>
  <si>
    <t>SCNP</t>
  </si>
  <si>
    <t>SLIS</t>
  </si>
  <si>
    <t>SMSM</t>
  </si>
  <si>
    <t>SRIL</t>
  </si>
  <si>
    <t>STAR</t>
  </si>
  <si>
    <t>TRIS</t>
  </si>
  <si>
    <t>UCID</t>
  </si>
  <si>
    <t>UNIT</t>
  </si>
  <si>
    <t>VOKS</t>
  </si>
  <si>
    <t>ZONE</t>
  </si>
  <si>
    <t>KIAS</t>
  </si>
  <si>
    <t>LMSH</t>
  </si>
  <si>
    <t>TIRT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</si>
  <si>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</si>
  <si>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</si>
  <si>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</si>
  <si>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</si>
  <si>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</si>
  <si>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</si>
  <si>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</si>
  <si>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</si>
  <si>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</si>
  <si>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</si>
  <si>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</si>
  <si>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</si>
  <si>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</si>
  <si>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</si>
  <si>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</si>
  <si>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k1</t>
  </si>
  <si>
    <t>k2</t>
  </si>
  <si>
    <t>memublikasikan LK periode 2016-2020</t>
  </si>
  <si>
    <t>terdaftar di IDX periode 2016-2020</t>
  </si>
  <si>
    <t>k3</t>
  </si>
  <si>
    <t>k4</t>
  </si>
  <si>
    <t>memublikasikan LK dalam mata uang Rp</t>
  </si>
  <si>
    <t>membukukan EPS negatif 2 tahun berurutan periode 2016-2020</t>
  </si>
  <si>
    <t>ETWA</t>
  </si>
  <si>
    <t>INCF</t>
  </si>
  <si>
    <t>CPRO</t>
  </si>
  <si>
    <t>SULI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</si>
  <si>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</si>
  <si>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</si>
  <si>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</si>
  <si>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</si>
  <si>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</si>
  <si>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</si>
  <si>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</si>
  <si>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</si>
  <si>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</si>
  <si>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</si>
  <si>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</si>
  <si>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</si>
  <si>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</si>
  <si>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</si>
  <si>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</si>
  <si>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</si>
  <si>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</si>
  <si>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</si>
  <si>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</si>
  <si>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</si>
  <si>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GDST</t>
  </si>
  <si>
    <t>96</t>
  </si>
  <si>
    <t>97</t>
  </si>
  <si>
    <t>98</t>
  </si>
  <si>
    <t>99</t>
  </si>
  <si>
    <t>100</t>
  </si>
  <si>
    <t>SN</t>
  </si>
  <si>
    <t>SATUAN</t>
  </si>
  <si>
    <t>ZSCORE</t>
  </si>
  <si>
    <t>NO</t>
  </si>
  <si>
    <t>AGII</t>
  </si>
  <si>
    <t>AKPI</t>
  </si>
  <si>
    <t>ALDO</t>
  </si>
  <si>
    <t>ALKA</t>
  </si>
  <si>
    <t>APLI</t>
  </si>
  <si>
    <t>ARNA</t>
  </si>
  <si>
    <t>BAJA</t>
  </si>
  <si>
    <t>BEBS</t>
  </si>
  <si>
    <t>BRPT</t>
  </si>
  <si>
    <t>BTON</t>
  </si>
  <si>
    <t>CAKK</t>
  </si>
  <si>
    <t>CPIN</t>
  </si>
  <si>
    <t>CTBN</t>
  </si>
  <si>
    <t>DPNS</t>
  </si>
  <si>
    <t>EKAD</t>
  </si>
  <si>
    <t>EPAC</t>
  </si>
  <si>
    <t>ESIP</t>
  </si>
  <si>
    <t>FASW</t>
  </si>
  <si>
    <t>IFII</t>
  </si>
  <si>
    <t>IGAR</t>
  </si>
  <si>
    <t>IMPC</t>
  </si>
  <si>
    <t>INAI</t>
  </si>
  <si>
    <t>INCI</t>
  </si>
  <si>
    <t>INKP</t>
  </si>
  <si>
    <t>INOV</t>
  </si>
  <si>
    <t>INRU</t>
  </si>
  <si>
    <t>INTP</t>
  </si>
  <si>
    <t>IPOL</t>
  </si>
  <si>
    <t>ISSP</t>
  </si>
  <si>
    <t>JKSW</t>
  </si>
  <si>
    <t>JPFA</t>
  </si>
  <si>
    <t>KBRI</t>
  </si>
  <si>
    <t>KDSI</t>
  </si>
  <si>
    <t>KMTR</t>
  </si>
  <si>
    <t>LION</t>
  </si>
  <si>
    <t>MAIN</t>
  </si>
  <si>
    <t>MARK</t>
  </si>
  <si>
    <t>MDKI</t>
  </si>
  <si>
    <t>MLIA</t>
  </si>
  <si>
    <t>MOLI</t>
  </si>
  <si>
    <t>NIKL</t>
  </si>
  <si>
    <t>NPGF</t>
  </si>
  <si>
    <t>PBID</t>
  </si>
  <si>
    <t>PICO</t>
  </si>
  <si>
    <t>PURE</t>
  </si>
  <si>
    <t>SAMF</t>
  </si>
  <si>
    <t>SINI</t>
  </si>
  <si>
    <t>SIPD</t>
  </si>
  <si>
    <t>SMBR</t>
  </si>
  <si>
    <t>SMCB</t>
  </si>
  <si>
    <t>SMGR</t>
  </si>
  <si>
    <t>SMKL</t>
  </si>
  <si>
    <t>SPMA</t>
  </si>
  <si>
    <t>SRSN</t>
  </si>
  <si>
    <t>SWAT</t>
  </si>
  <si>
    <t>TALF</t>
  </si>
  <si>
    <t>TBMS</t>
  </si>
  <si>
    <t>TDPM</t>
  </si>
  <si>
    <t>TKIM</t>
  </si>
  <si>
    <t>TOTO</t>
  </si>
  <si>
    <t>TPIA</t>
  </si>
  <si>
    <t>TRST</t>
  </si>
  <si>
    <t>UNIC</t>
  </si>
  <si>
    <t>WSBP</t>
  </si>
  <si>
    <t>WTON</t>
  </si>
  <si>
    <t>YPAS</t>
  </si>
  <si>
    <t>TERDAFTAR</t>
  </si>
  <si>
    <t>KELENGKAPAN</t>
  </si>
  <si>
    <t>KERUGIAN</t>
  </si>
  <si>
    <t>SEKTOR</t>
  </si>
  <si>
    <t>COEFF_X1</t>
  </si>
  <si>
    <t>COEFF_X2</t>
  </si>
  <si>
    <t>COEFF_X3</t>
  </si>
  <si>
    <t>COEFF_X4</t>
  </si>
  <si>
    <t>COEFF_X5</t>
  </si>
  <si>
    <t>SLS</t>
  </si>
  <si>
    <t>RAW_MVEBVL</t>
  </si>
  <si>
    <t>KURS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</si>
</sst>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64" formatCode="#,##0.000_ ;\-#,##0.000\ "/>
    <numFmt numFmtId="165" formatCode="#,##0_ ;\-#,##0\ "/>
    <numFmt numFmtId="166" formatCode="#,##0.000;\-#,##0.000"/>
    <numFmt numFmtId="167" formatCode="#,##0.00_ ;\-#,##0.00\ "/>
    <numFmt numFmtId="168" formatCode="#,##0.00000_ ;\-#,##0.00000\ 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68">
    <xf numFmtId="0" fontId="0" fillId="0" borderId="0" xfId="0"/>
    <xf numFmtId="37" fontId="3" fillId="0" borderId="0" xfId="1" applyNumberFormat="1" applyFont="1" applyAlignment="1">
      <alignment horizontal="right" vertical="top"/>
    </xf>
    <xf numFmtId="37" fontId="3" fillId="0" borderId="0" xfId="1" applyNumberFormat="1" applyFont="1" applyAlignment="1">
      <alignment horizontal="center" vertical="top"/>
    </xf>
    <xf numFmtId="0" fontId="0" fillId="0" borderId="0" xfId="0" quotePrefix="1"/>
    <xf numFmtId="0" fontId="0" fillId="0" borderId="0" xfId="0" applyAlignment="1">
      <alignment horizontal="center"/>
    </xf>
    <xf numFmtId="0" fontId="0" fillId="4" borderId="0" xfId="0" quotePrefix="1" applyFill="1"/>
    <xf numFmtId="0" fontId="0" fillId="0" borderId="0" xfId="0" quotePrefix="1" applyFont="1" applyAlignment="1">
      <alignment horizontal="right" vertical="top"/>
    </xf>
    <xf numFmtId="0" fontId="0" fillId="5" borderId="0" xfId="0" quotePrefix="1" applyFont="1" applyFill="1" applyAlignment="1">
      <alignment horizontal="center" vertical="top"/>
    </xf>
    <xf numFmtId="0" fontId="0" fillId="0" borderId="0" xfId="0" applyFont="1" applyAlignment="1">
      <alignment horizontal="right" vertical="top"/>
    </xf>
    <xf numFmtId="0" fontId="0" fillId="0" borderId="0" xfId="0" applyFont="1" applyAlignment="1">
      <alignment horizontal="center" vertical="top"/>
    </xf>
    <xf numFmtId="37" fontId="2" fillId="0" borderId="0" xfId="1" applyNumberFormat="1" applyFont="1" applyAlignment="1">
      <alignment horizontal="center" vertical="top"/>
    </xf>
    <xf numFmtId="39" fontId="2" fillId="3" borderId="0" xfId="1" applyNumberFormat="1" applyFont="1" applyFill="1" applyAlignment="1">
      <alignment horizontal="center" vertical="top"/>
    </xf>
    <xf numFmtId="37" fontId="2" fillId="2" borderId="0" xfId="1" applyNumberFormat="1" applyFont="1" applyFill="1" applyAlignment="1">
      <alignment horizontal="center" vertical="top"/>
    </xf>
    <xf numFmtId="164" fontId="2" fillId="0" borderId="0" xfId="1" applyNumberFormat="1" applyFont="1" applyAlignment="1">
      <alignment horizontal="center" vertical="top"/>
    </xf>
    <xf numFmtId="164" fontId="2" fillId="2" borderId="0" xfId="1" applyNumberFormat="1" applyFont="1" applyFill="1" applyAlignment="1">
      <alignment horizontal="center" vertical="top"/>
    </xf>
    <xf numFmtId="37" fontId="2" fillId="0" borderId="0" xfId="1" applyNumberFormat="1" applyFont="1" applyAlignment="1">
      <alignment horizontal="right" vertical="top"/>
    </xf>
    <xf numFmtId="39" fontId="2" fillId="3" borderId="0" xfId="1" applyNumberFormat="1" applyFont="1" applyFill="1" applyAlignment="1">
      <alignment horizontal="right" vertical="top"/>
    </xf>
    <xf numFmtId="37" fontId="2" fillId="2" borderId="0" xfId="1" applyNumberFormat="1" applyFont="1" applyFill="1" applyAlignment="1">
      <alignment horizontal="right" vertical="top"/>
    </xf>
    <xf numFmtId="164" fontId="2" fillId="0" borderId="0" xfId="1" applyNumberFormat="1" applyFont="1" applyAlignment="1">
      <alignment horizontal="right" vertical="top"/>
    </xf>
    <xf numFmtId="164" fontId="2" fillId="2" borderId="0" xfId="1" applyNumberFormat="1" applyFont="1" applyFill="1" applyAlignment="1">
      <alignment horizontal="right" vertical="top"/>
    </xf>
    <xf numFmtId="165" fontId="2" fillId="0" borderId="0" xfId="1" applyNumberFormat="1" applyFont="1"/>
    <xf numFmtId="39" fontId="2" fillId="0" borderId="0" xfId="1" applyNumberFormat="1" applyFont="1" applyAlignment="1">
      <alignment horizontal="right" vertical="top"/>
    </xf>
    <xf numFmtId="3" fontId="0" fillId="0" borderId="0" xfId="0" applyNumberFormat="1" applyFont="1"/>
    <xf numFmtId="0" fontId="0" fillId="0" borderId="0" xfId="0" applyFont="1" applyFill="1" applyAlignment="1">
      <alignment horizontal="center" vertical="center"/>
    </xf>
    <xf numFmtId="41" fontId="0" fillId="0" borderId="0" xfId="1" applyFont="1"/>
    <xf numFmtId="164" fontId="0" fillId="0" borderId="0" xfId="1" applyNumberFormat="1" applyFont="1" applyAlignment="1">
      <alignment horizontal="right" vertical="top"/>
    </xf>
    <xf numFmtId="0" fontId="0" fillId="7" borderId="0" xfId="0" quotePrefix="1" applyFont="1" applyFill="1" applyAlignment="1">
      <alignment horizontal="right" vertical="top"/>
    </xf>
    <xf numFmtId="0" fontId="0" fillId="7" borderId="0" xfId="0" quotePrefix="1" applyFont="1" applyFill="1" applyAlignment="1">
      <alignment horizontal="center" vertical="top"/>
    </xf>
    <xf numFmtId="0" fontId="0" fillId="7" borderId="0" xfId="0" applyFont="1" applyFill="1" applyAlignment="1">
      <alignment horizontal="center" vertical="center"/>
    </xf>
    <xf numFmtId="37" fontId="0" fillId="7" borderId="0" xfId="1" applyNumberFormat="1" applyFont="1" applyFill="1" applyAlignment="1">
      <alignment horizontal="right" vertical="top"/>
    </xf>
    <xf numFmtId="39" fontId="0" fillId="7" borderId="0" xfId="1" applyNumberFormat="1" applyFont="1" applyFill="1" applyAlignment="1">
      <alignment horizontal="right" vertical="top"/>
    </xf>
    <xf numFmtId="164" fontId="0" fillId="7" borderId="0" xfId="1" applyNumberFormat="1" applyFont="1" applyFill="1" applyAlignment="1">
      <alignment horizontal="right" vertical="top"/>
    </xf>
    <xf numFmtId="0" fontId="0" fillId="7" borderId="0" xfId="0" applyFont="1" applyFill="1" applyAlignment="1">
      <alignment horizontal="right" vertical="top"/>
    </xf>
    <xf numFmtId="41" fontId="0" fillId="0" borderId="0" xfId="1" applyFont="1" applyAlignment="1">
      <alignment horizontal="center" vertical="top"/>
    </xf>
    <xf numFmtId="41" fontId="0" fillId="0" borderId="0" xfId="1" applyFont="1" applyAlignment="1">
      <alignment horizontal="right" vertical="top"/>
    </xf>
    <xf numFmtId="41" fontId="0" fillId="7" borderId="0" xfId="1" applyFont="1" applyFill="1" applyAlignment="1">
      <alignment horizontal="right" vertical="top"/>
    </xf>
    <xf numFmtId="164" fontId="0" fillId="0" borderId="0" xfId="1" applyNumberFormat="1" applyFont="1" applyAlignment="1">
      <alignment horizontal="center" vertical="top"/>
    </xf>
    <xf numFmtId="164" fontId="2" fillId="0" borderId="0" xfId="1" applyNumberFormat="1" applyFont="1" applyFill="1" applyAlignment="1">
      <alignment horizontal="center" vertical="top"/>
    </xf>
    <xf numFmtId="164" fontId="2" fillId="0" borderId="0" xfId="1" applyNumberFormat="1" applyFont="1" applyFill="1" applyAlignment="1">
      <alignment horizontal="right" vertical="top"/>
    </xf>
    <xf numFmtId="164" fontId="0" fillId="0" borderId="0" xfId="1" applyNumberFormat="1" applyFont="1" applyFill="1" applyAlignment="1">
      <alignment horizontal="right" vertical="top"/>
    </xf>
    <xf numFmtId="3" fontId="0" fillId="0" borderId="0" xfId="0" applyNumberFormat="1"/>
    <xf numFmtId="166" fontId="0" fillId="0" borderId="0" xfId="1" applyNumberFormat="1" applyFont="1" applyAlignment="1">
      <alignment horizontal="right" vertical="top"/>
    </xf>
    <xf numFmtId="167" fontId="0" fillId="0" borderId="0" xfId="0" applyNumberFormat="1" applyFont="1" applyAlignment="1">
      <alignment horizontal="right" vertical="top"/>
    </xf>
    <xf numFmtId="164" fontId="0" fillId="0" borderId="0" xfId="0" applyNumberFormat="1" applyFont="1" applyAlignment="1">
      <alignment horizontal="center" vertical="top"/>
    </xf>
    <xf numFmtId="164" fontId="0" fillId="0" borderId="0" xfId="0" applyNumberFormat="1" applyFont="1" applyAlignment="1">
      <alignment horizontal="right" vertical="top"/>
    </xf>
    <xf numFmtId="164" fontId="0" fillId="7" borderId="0" xfId="0" applyNumberFormat="1" applyFont="1" applyFill="1" applyAlignment="1">
      <alignment horizontal="right" vertical="top"/>
    </xf>
    <xf numFmtId="168" fontId="0" fillId="0" borderId="0" xfId="0" applyNumberFormat="1" applyFont="1" applyAlignment="1">
      <alignment horizontal="right" vertical="top"/>
    </xf>
    <xf numFmtId="168" fontId="0" fillId="7" borderId="0" xfId="0" applyNumberFormat="1" applyFont="1" applyFill="1" applyAlignment="1">
      <alignment horizontal="right" vertical="top"/>
    </xf>
    <xf numFmtId="0" fontId="0" fillId="0" borderId="0" xfId="0" quotePrefix="1" applyFont="1" applyFill="1" applyAlignment="1">
      <alignment horizontal="right" vertical="top"/>
    </xf>
    <xf numFmtId="0" fontId="0" fillId="0" borderId="0" xfId="0" quotePrefix="1" applyFont="1" applyFill="1" applyAlignment="1">
      <alignment horizontal="center" vertical="top"/>
    </xf>
    <xf numFmtId="37" fontId="0" fillId="0" borderId="0" xfId="1" applyNumberFormat="1" applyFont="1" applyFill="1" applyAlignment="1">
      <alignment horizontal="right" vertical="top"/>
    </xf>
    <xf numFmtId="39" fontId="0" fillId="0" borderId="0" xfId="1" applyNumberFormat="1" applyFont="1" applyFill="1" applyAlignment="1">
      <alignment horizontal="right" vertical="top"/>
    </xf>
    <xf numFmtId="41" fontId="0" fillId="0" borderId="0" xfId="1" applyFont="1" applyFill="1" applyAlignment="1">
      <alignment horizontal="right" vertical="top"/>
    </xf>
    <xf numFmtId="0" fontId="0" fillId="0" borderId="0" xfId="0" applyFont="1" applyFill="1" applyAlignment="1">
      <alignment horizontal="right" vertical="top"/>
    </xf>
    <xf numFmtId="164" fontId="0" fillId="0" borderId="0" xfId="0" applyNumberFormat="1" applyFont="1" applyFill="1" applyAlignment="1">
      <alignment horizontal="right" vertical="top"/>
    </xf>
    <xf numFmtId="0" fontId="0" fillId="0" borderId="0" xfId="0" applyFont="1" applyFill="1" applyAlignment="1">
      <alignment horizontal="center" vertical="center"/>
    </xf>
    <xf numFmtId="0" fontId="0" fillId="6" borderId="0" xfId="0" quotePrefix="1" applyFont="1" applyFill="1" applyAlignment="1">
      <alignment horizontal="center" vertical="top"/>
    </xf>
    <xf numFmtId="0" fontId="0" fillId="6" borderId="0" xfId="0" quotePrefix="1" applyFont="1" applyFill="1" applyAlignment="1">
      <alignment horizontal="center" vertical="top"/>
    </xf>
    <xf numFmtId="0" fontId="0" fillId="0" borderId="0" xfId="0" applyFont="1" applyFill="1" applyAlignment="1">
      <alignment horizontal="center" vertical="center"/>
    </xf>
    <xf numFmtId="0" fontId="0" fillId="8" borderId="0" xfId="0" applyFill="1"/>
    <xf numFmtId="0" fontId="0" fillId="4" borderId="0" xfId="0" applyFill="1"/>
    <xf numFmtId="0" fontId="0" fillId="0" borderId="0" xfId="0" applyFont="1" applyAlignment="1">
      <alignment horizontal="center" vertical="center"/>
    </xf>
    <xf numFmtId="0" fontId="0" fillId="6" borderId="0" xfId="0" quotePrefix="1" applyFont="1" applyFill="1" applyAlignment="1">
      <alignment horizontal="center" vertical="top"/>
    </xf>
    <xf numFmtId="0" fontId="0" fillId="4" borderId="0" xfId="0" applyFont="1" applyFill="1" applyAlignment="1">
      <alignment horizontal="center" vertical="center"/>
    </xf>
    <xf numFmtId="0" fontId="0" fillId="5" borderId="0" xfId="0" quotePrefix="1" applyFont="1" applyFill="1" applyAlignment="1">
      <alignment horizontal="center" vertical="top"/>
    </xf>
    <xf numFmtId="0" fontId="4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79A33-03E6-4AD4-B904-343014EDB42B}">
  <dimension ref="A1:AU118"/>
  <sheetViews>
    <sheetView tabSelected="1" topLeftCell="X1" zoomScale="110" zoomScaleNormal="110" workbookViewId="0">
      <pane ySplit="1" topLeftCell="A32" activePane="bottomLeft" state="frozen"/>
      <selection pane="bottomLeft" activeCell="AT34" sqref="AT34"/>
    </sheetView>
  </sheetViews>
  <sheetFormatPr defaultRowHeight="15" x14ac:dyDescent="0.25"/>
  <cols>
    <col min="1" max="1" width="3.42578125" style="8" bestFit="1" customWidth="1"/>
    <col min="2" max="3" width="3.42578125" style="8" customWidth="1"/>
    <col min="4" max="4" width="9.140625" style="9"/>
    <col min="5" max="5" width="9.140625" style="8"/>
    <col min="6" max="13" width="19" style="15" customWidth="1"/>
    <col min="14" max="14" width="9.7109375" style="21" customWidth="1"/>
    <col min="15" max="15" width="17.7109375" style="15" bestFit="1" customWidth="1"/>
    <col min="16" max="18" width="19" style="15" customWidth="1"/>
    <col min="19" max="19" width="6" style="1" bestFit="1" customWidth="1"/>
    <col min="20" max="23" width="9.140625" style="18" customWidth="1"/>
    <col min="24" max="24" width="9.42578125" style="18" bestFit="1" customWidth="1"/>
    <col min="25" max="25" width="9.140625" style="18" customWidth="1"/>
    <col min="26" max="27" width="9.140625" style="18"/>
    <col min="28" max="28" width="15.5703125" style="18" bestFit="1" customWidth="1"/>
    <col min="29" max="29" width="9.140625" style="18"/>
    <col min="30" max="30" width="10.85546875" style="38" bestFit="1" customWidth="1"/>
    <col min="31" max="31" width="10.5703125" style="34" bestFit="1" customWidth="1"/>
    <col min="32" max="32" width="9.140625" style="25"/>
    <col min="33" max="33" width="9.140625" style="8"/>
    <col min="34" max="38" width="9.7109375" style="8" bestFit="1" customWidth="1"/>
    <col min="39" max="43" width="9.140625" style="46"/>
    <col min="44" max="44" width="9.140625" style="44"/>
    <col min="45" max="45" width="9.140625" style="8"/>
    <col min="46" max="46" width="16" style="8" bestFit="1" customWidth="1"/>
    <col min="47" max="16384" width="9.140625" style="8"/>
  </cols>
  <sheetData>
    <row r="1" spans="1:45" s="9" customFormat="1" x14ac:dyDescent="0.25">
      <c r="D1" s="9" t="s">
        <v>0</v>
      </c>
      <c r="F1" s="10" t="s">
        <v>47</v>
      </c>
      <c r="G1" s="10" t="s">
        <v>48</v>
      </c>
      <c r="H1" s="10" t="s">
        <v>49</v>
      </c>
      <c r="I1" s="10" t="s">
        <v>50</v>
      </c>
      <c r="J1" s="10" t="s">
        <v>51</v>
      </c>
      <c r="K1" s="10"/>
      <c r="L1" s="10" t="s">
        <v>68</v>
      </c>
      <c r="M1" s="10" t="s">
        <v>205</v>
      </c>
      <c r="N1" s="11" t="s">
        <v>84</v>
      </c>
      <c r="O1" s="12" t="s">
        <v>97</v>
      </c>
      <c r="P1" s="10" t="s">
        <v>284</v>
      </c>
      <c r="Q1" s="10" t="s">
        <v>62</v>
      </c>
      <c r="R1" s="10" t="s">
        <v>69</v>
      </c>
      <c r="S1" s="2"/>
      <c r="T1" s="13" t="s">
        <v>56</v>
      </c>
      <c r="U1" s="13" t="s">
        <v>57</v>
      </c>
      <c r="V1" s="13" t="s">
        <v>60</v>
      </c>
      <c r="W1" s="13" t="s">
        <v>59</v>
      </c>
      <c r="X1" s="13" t="s">
        <v>58</v>
      </c>
      <c r="Y1" s="14" t="s">
        <v>61</v>
      </c>
      <c r="Z1" s="14" t="s">
        <v>64</v>
      </c>
      <c r="AA1" s="14" t="s">
        <v>65</v>
      </c>
      <c r="AB1" s="14" t="s">
        <v>285</v>
      </c>
      <c r="AC1" s="14" t="s">
        <v>67</v>
      </c>
      <c r="AD1" s="37" t="s">
        <v>286</v>
      </c>
      <c r="AE1" s="33" t="s">
        <v>206</v>
      </c>
      <c r="AF1" s="36" t="s">
        <v>66</v>
      </c>
      <c r="AH1" s="53" t="s">
        <v>279</v>
      </c>
      <c r="AI1" s="53" t="s">
        <v>280</v>
      </c>
      <c r="AJ1" s="53" t="s">
        <v>281</v>
      </c>
      <c r="AK1" s="53" t="s">
        <v>282</v>
      </c>
      <c r="AL1" s="53" t="s">
        <v>283</v>
      </c>
      <c r="AM1" s="9" t="s">
        <v>61</v>
      </c>
      <c r="AN1" s="9" t="s">
        <v>64</v>
      </c>
      <c r="AO1" s="9" t="s">
        <v>65</v>
      </c>
      <c r="AP1" s="9" t="s">
        <v>66</v>
      </c>
      <c r="AQ1" s="9" t="s">
        <v>67</v>
      </c>
      <c r="AR1" s="43" t="s">
        <v>207</v>
      </c>
      <c r="AS1" s="9" t="s">
        <v>0</v>
      </c>
    </row>
    <row r="2" spans="1:45" x14ac:dyDescent="0.25">
      <c r="A2" s="6" t="s">
        <v>6</v>
      </c>
      <c r="B2" s="64"/>
      <c r="C2" s="7"/>
      <c r="D2" s="63" t="s">
        <v>46</v>
      </c>
      <c r="E2" s="6" t="s">
        <v>3</v>
      </c>
      <c r="F2" s="15">
        <v>85721387</v>
      </c>
      <c r="G2" s="15">
        <v>236562559</v>
      </c>
      <c r="H2" s="15">
        <v>26501119</v>
      </c>
      <c r="I2" s="15">
        <v>4166835</v>
      </c>
      <c r="J2" s="15">
        <v>291615992</v>
      </c>
      <c r="K2" s="15">
        <f t="shared" ref="K2:K4" si="0">(F2+G2)-(H2+I2+J2)</f>
        <v>0</v>
      </c>
      <c r="L2" s="15">
        <v>860500</v>
      </c>
      <c r="M2" s="15">
        <v>4823076400</v>
      </c>
      <c r="N2" s="16">
        <v>1020</v>
      </c>
      <c r="O2" s="17">
        <f>M2*N2</f>
        <v>4919537928000</v>
      </c>
      <c r="P2" s="15">
        <v>186376830</v>
      </c>
      <c r="Q2" s="15">
        <f>4696964+48634</f>
        <v>4745598</v>
      </c>
      <c r="R2" s="15">
        <v>6227268</v>
      </c>
      <c r="S2" s="1" t="str">
        <f t="shared" ref="S2:S67" si="1">IF(Q2&gt;R2,"","X")</f>
        <v>X</v>
      </c>
      <c r="T2" s="18">
        <f>F2/H2</f>
        <v>3.2346327338102214</v>
      </c>
      <c r="U2" s="18">
        <f>R2/(F2+G2)</f>
        <v>1.9322302824230655E-2</v>
      </c>
      <c r="V2" s="18">
        <f>R2/J2</f>
        <v>2.1354343283066589E-2</v>
      </c>
      <c r="W2" s="18">
        <f>(H2+I2)/(F2+G2)</f>
        <v>9.5158180792536282E-2</v>
      </c>
      <c r="X2" s="18">
        <f>(H2+I2)/J2</f>
        <v>0.10516554249878038</v>
      </c>
      <c r="Y2" s="19">
        <f>(F2-H2)/(F2+G2)</f>
        <v>0.18375183975189383</v>
      </c>
      <c r="Z2" s="19">
        <f t="shared" ref="Z2:Z26" si="2">L2/(F2+G2)</f>
        <v>2.6700057842781906E-3</v>
      </c>
      <c r="AA2" s="19">
        <f t="shared" ref="AA2:AA35" si="3">Q2/(F2+G2)</f>
        <v>1.472489728048694E-2</v>
      </c>
      <c r="AB2" s="19">
        <f t="shared" ref="AB2:AB35" si="4">(M2*N2)/(H2+I2)</f>
        <v>160412.9811855072</v>
      </c>
      <c r="AC2" s="19">
        <f t="shared" ref="AC2:AC63" si="5">P2/(F2+G2)</f>
        <v>0.57830007455599419</v>
      </c>
    </row>
    <row r="3" spans="1:45" x14ac:dyDescent="0.25">
      <c r="A3" s="6" t="s">
        <v>7</v>
      </c>
      <c r="B3" s="64"/>
      <c r="C3" s="7"/>
      <c r="D3" s="63"/>
      <c r="E3" s="6" t="s">
        <v>4</v>
      </c>
      <c r="F3" s="15">
        <v>106148204</v>
      </c>
      <c r="G3" s="15">
        <v>225020222</v>
      </c>
      <c r="H3" s="15">
        <v>31355898</v>
      </c>
      <c r="I3" s="15">
        <v>5105490</v>
      </c>
      <c r="J3" s="15">
        <v>294707038</v>
      </c>
      <c r="K3" s="15">
        <f t="shared" si="0"/>
        <v>0</v>
      </c>
      <c r="L3" s="15">
        <v>4011574</v>
      </c>
      <c r="M3" s="15">
        <v>4823076400</v>
      </c>
      <c r="N3" s="16">
        <v>790</v>
      </c>
      <c r="O3" s="17">
        <f t="shared" ref="O3:O69" si="6">M3*N3</f>
        <v>3810230356000</v>
      </c>
      <c r="P3" s="15">
        <v>216591205</v>
      </c>
      <c r="Q3" s="15">
        <f>5962794+50098</f>
        <v>6012892</v>
      </c>
      <c r="R3" s="15">
        <v>3272209</v>
      </c>
      <c r="S3" s="1" t="str">
        <f t="shared" si="1"/>
        <v/>
      </c>
      <c r="T3" s="18">
        <f t="shared" ref="T3:T34" si="7">F3/H3</f>
        <v>3.3852707391764061</v>
      </c>
      <c r="U3" s="18">
        <f t="shared" ref="U3:U29" si="8">R3/(F3+G3)</f>
        <v>9.8808000494588211E-3</v>
      </c>
      <c r="V3" s="18">
        <f t="shared" ref="V3:V29" si="9">R3/J3</f>
        <v>1.1103260452164702E-2</v>
      </c>
      <c r="W3" s="18">
        <f t="shared" ref="W3:W34" si="10">(H3+I3)/(F3+G3)</f>
        <v>0.11009922787747888</v>
      </c>
      <c r="X3" s="18">
        <f t="shared" ref="X3:X34" si="11">(H3+I3)/J3</f>
        <v>0.12372079149327951</v>
      </c>
      <c r="Y3" s="19">
        <f t="shared" ref="Y3:Y31" si="12">(F3-H3)/(F3+G3)</f>
        <v>0.22584371011263013</v>
      </c>
      <c r="Z3" s="19">
        <f t="shared" si="2"/>
        <v>1.2113395133870643E-2</v>
      </c>
      <c r="AA3" s="19">
        <f t="shared" si="3"/>
        <v>1.8156598056844948E-2</v>
      </c>
      <c r="AB3" s="19">
        <f t="shared" si="4"/>
        <v>104500.41989624751</v>
      </c>
      <c r="AC3" s="19">
        <f t="shared" si="5"/>
        <v>0.6540213015355516</v>
      </c>
    </row>
    <row r="4" spans="1:45" x14ac:dyDescent="0.25">
      <c r="A4" s="6" t="s">
        <v>8</v>
      </c>
      <c r="B4" s="64"/>
      <c r="C4" s="7"/>
      <c r="D4" s="63"/>
      <c r="E4" s="6" t="s">
        <v>5</v>
      </c>
      <c r="F4" s="15">
        <v>103669112</v>
      </c>
      <c r="G4" s="15">
        <v>218183755</v>
      </c>
      <c r="H4" s="15">
        <v>22461472</v>
      </c>
      <c r="I4" s="15">
        <v>4880106</v>
      </c>
      <c r="J4" s="15">
        <v>294511289</v>
      </c>
      <c r="K4" s="15">
        <f t="shared" si="0"/>
        <v>0</v>
      </c>
      <c r="L4" s="15">
        <v>4024366</v>
      </c>
      <c r="M4" s="15">
        <v>4823076400</v>
      </c>
      <c r="N4" s="16">
        <v>665</v>
      </c>
      <c r="O4" s="17">
        <f t="shared" si="6"/>
        <v>3207345806000</v>
      </c>
      <c r="P4" s="15">
        <v>228089922</v>
      </c>
      <c r="Q4" s="15">
        <v>-209317</v>
      </c>
      <c r="R4" s="15">
        <v>-494963</v>
      </c>
      <c r="S4" s="1" t="str">
        <f t="shared" si="1"/>
        <v/>
      </c>
      <c r="T4" s="18">
        <f t="shared" si="7"/>
        <v>4.6154193278160935</v>
      </c>
      <c r="U4" s="18">
        <f t="shared" si="8"/>
        <v>-1.5378548732952564E-3</v>
      </c>
      <c r="V4" s="18">
        <f t="shared" si="9"/>
        <v>-1.6806248809022734E-3</v>
      </c>
      <c r="W4" s="18">
        <f t="shared" si="10"/>
        <v>8.4950549780250989E-2</v>
      </c>
      <c r="X4" s="18">
        <f t="shared" si="11"/>
        <v>9.2837113622493431E-2</v>
      </c>
      <c r="Y4" s="19">
        <f t="shared" si="12"/>
        <v>0.25231293030551133</v>
      </c>
      <c r="Z4" s="19">
        <f t="shared" si="2"/>
        <v>1.2503744451653432E-2</v>
      </c>
      <c r="AA4" s="19">
        <f t="shared" si="3"/>
        <v>-6.5034996254981312E-4</v>
      </c>
      <c r="AB4" s="19">
        <f t="shared" si="4"/>
        <v>117306.53607483811</v>
      </c>
      <c r="AC4" s="19">
        <f t="shared" si="5"/>
        <v>0.70867761448276922</v>
      </c>
    </row>
    <row r="5" spans="1:45" x14ac:dyDescent="0.25">
      <c r="A5" s="6" t="s">
        <v>9</v>
      </c>
      <c r="B5" s="64"/>
      <c r="C5" s="7"/>
      <c r="D5" s="63"/>
      <c r="E5" s="6" t="s">
        <v>2</v>
      </c>
      <c r="F5" s="15">
        <v>98696739</v>
      </c>
      <c r="G5" s="15">
        <v>214872537</v>
      </c>
      <c r="H5" s="15">
        <v>17926402</v>
      </c>
      <c r="I5" s="15">
        <v>5850257</v>
      </c>
      <c r="J5" s="15">
        <v>289792617</v>
      </c>
      <c r="K5" s="15">
        <f>(F5+G5)-(H5+I5+J5)</f>
        <v>0</v>
      </c>
      <c r="L5" s="15">
        <v>-1065570</v>
      </c>
      <c r="M5" s="15">
        <v>4823076400</v>
      </c>
      <c r="N5" s="16">
        <v>474</v>
      </c>
      <c r="O5" s="17">
        <f t="shared" si="6"/>
        <v>2286138213600</v>
      </c>
      <c r="P5" s="15">
        <v>189022126</v>
      </c>
      <c r="Q5" s="15">
        <v>-4645951</v>
      </c>
      <c r="R5" s="15">
        <v>-5258349</v>
      </c>
      <c r="S5" s="1" t="str">
        <f t="shared" si="1"/>
        <v/>
      </c>
      <c r="T5" s="18">
        <f t="shared" si="7"/>
        <v>5.5056636016530254</v>
      </c>
      <c r="U5" s="18">
        <f t="shared" si="8"/>
        <v>-1.6769337439807082E-2</v>
      </c>
      <c r="V5" s="18">
        <f t="shared" si="9"/>
        <v>-1.8145213823718635E-2</v>
      </c>
      <c r="W5" s="18">
        <f t="shared" si="10"/>
        <v>7.5825856739867595E-2</v>
      </c>
      <c r="X5" s="18">
        <f t="shared" si="11"/>
        <v>8.2047152360682815E-2</v>
      </c>
      <c r="Y5" s="19">
        <f t="shared" si="12"/>
        <v>0.25758370855185442</v>
      </c>
      <c r="Z5" s="19">
        <f t="shared" si="2"/>
        <v>-3.3981964483025436E-3</v>
      </c>
      <c r="AA5" s="19">
        <f t="shared" si="3"/>
        <v>-1.4816346356586288E-2</v>
      </c>
      <c r="AB5" s="19">
        <f t="shared" si="4"/>
        <v>96150.523654311561</v>
      </c>
      <c r="AC5" s="19">
        <f t="shared" si="5"/>
        <v>0.60280818456206153</v>
      </c>
    </row>
    <row r="6" spans="1:45" x14ac:dyDescent="0.25">
      <c r="A6" s="6" t="s">
        <v>10</v>
      </c>
      <c r="B6" s="64"/>
      <c r="C6" s="7"/>
      <c r="D6" s="63"/>
      <c r="E6" s="6" t="s">
        <v>1</v>
      </c>
      <c r="F6" s="15">
        <v>115472289</v>
      </c>
      <c r="G6" s="15">
        <v>202250582</v>
      </c>
      <c r="H6" s="15">
        <v>22249879</v>
      </c>
      <c r="I6" s="15">
        <v>6160348</v>
      </c>
      <c r="J6" s="15">
        <v>289312644</v>
      </c>
      <c r="K6" s="15">
        <f t="shared" ref="K6:K53" si="13">(F6+G6)-(H6+I6+J6)</f>
        <v>0</v>
      </c>
      <c r="L6" s="15">
        <v>-4011574</v>
      </c>
      <c r="M6" s="15">
        <v>4823076400</v>
      </c>
      <c r="N6" s="16">
        <v>474</v>
      </c>
      <c r="O6" s="17">
        <f t="shared" si="6"/>
        <v>2286138213600</v>
      </c>
      <c r="P6" s="15">
        <v>148735880</v>
      </c>
      <c r="Q6" s="15">
        <v>-399873</v>
      </c>
      <c r="R6" s="15">
        <v>-857539</v>
      </c>
      <c r="S6" s="1" t="str">
        <f t="shared" si="1"/>
        <v/>
      </c>
      <c r="T6" s="18">
        <f t="shared" si="7"/>
        <v>5.1897940209023163</v>
      </c>
      <c r="U6" s="18">
        <f t="shared" si="8"/>
        <v>-2.6990156462485195E-3</v>
      </c>
      <c r="V6" s="18">
        <f t="shared" si="9"/>
        <v>-2.9640564205690228E-3</v>
      </c>
      <c r="W6" s="18">
        <f t="shared" si="10"/>
        <v>8.9418262244017055E-2</v>
      </c>
      <c r="X6" s="18">
        <f t="shared" si="11"/>
        <v>9.8199050712764566E-2</v>
      </c>
      <c r="Y6" s="19">
        <f t="shared" si="12"/>
        <v>0.2934079303343573</v>
      </c>
      <c r="Z6" s="19">
        <f t="shared" si="2"/>
        <v>-1.2626015833779872E-2</v>
      </c>
      <c r="AA6" s="19">
        <f t="shared" si="3"/>
        <v>-1.2585590667157228E-3</v>
      </c>
      <c r="AB6" s="19">
        <f t="shared" si="4"/>
        <v>80468.84713733544</v>
      </c>
      <c r="AC6" s="19">
        <f t="shared" si="5"/>
        <v>0.46813085734706206</v>
      </c>
    </row>
    <row r="7" spans="1:45" x14ac:dyDescent="0.25">
      <c r="A7" s="6" t="s">
        <v>11</v>
      </c>
      <c r="B7" s="64"/>
      <c r="C7" s="7"/>
      <c r="D7" s="63" t="s">
        <v>52</v>
      </c>
      <c r="E7" s="6" t="s">
        <v>3</v>
      </c>
      <c r="F7" s="15">
        <v>27019321</v>
      </c>
      <c r="G7" s="15">
        <v>22414041</v>
      </c>
      <c r="H7" s="15">
        <v>19587421</v>
      </c>
      <c r="I7" s="15">
        <v>13694329</v>
      </c>
      <c r="J7" s="15">
        <v>16151612</v>
      </c>
      <c r="K7" s="15">
        <f t="shared" si="13"/>
        <v>0</v>
      </c>
      <c r="L7" s="15">
        <v>-65456301</v>
      </c>
      <c r="M7" s="15">
        <v>2015208720</v>
      </c>
      <c r="N7" s="16">
        <v>95</v>
      </c>
      <c r="O7" s="17">
        <f t="shared" si="6"/>
        <v>191444828400</v>
      </c>
      <c r="P7" s="15">
        <v>35164569</v>
      </c>
      <c r="Q7" s="15">
        <f>3081055+762020+797052</f>
        <v>4640127</v>
      </c>
      <c r="R7" s="15">
        <v>3127492</v>
      </c>
      <c r="S7" s="1" t="str">
        <f t="shared" si="1"/>
        <v/>
      </c>
      <c r="T7" s="18">
        <f t="shared" si="7"/>
        <v>1.3794220790986216</v>
      </c>
      <c r="U7" s="18">
        <f t="shared" si="8"/>
        <v>6.3266827775136966E-2</v>
      </c>
      <c r="V7" s="18">
        <f t="shared" si="9"/>
        <v>0.19363342804421008</v>
      </c>
      <c r="W7" s="18">
        <f t="shared" si="10"/>
        <v>0.67326495009584819</v>
      </c>
      <c r="X7" s="18">
        <f t="shared" si="11"/>
        <v>2.0605837980753869</v>
      </c>
      <c r="Y7" s="19">
        <f t="shared" si="12"/>
        <v>0.15034178739451304</v>
      </c>
      <c r="Z7" s="19">
        <f t="shared" si="2"/>
        <v>-1.3241320911978434</v>
      </c>
      <c r="AA7" s="19">
        <f t="shared" si="3"/>
        <v>9.3866304298704184E-2</v>
      </c>
      <c r="AB7" s="19">
        <f t="shared" si="4"/>
        <v>5752.2464533866159</v>
      </c>
      <c r="AC7" s="19">
        <f t="shared" si="5"/>
        <v>0.71135297251277385</v>
      </c>
    </row>
    <row r="8" spans="1:45" x14ac:dyDescent="0.25">
      <c r="A8" s="6" t="s">
        <v>12</v>
      </c>
      <c r="B8" s="64"/>
      <c r="C8" s="7"/>
      <c r="D8" s="63"/>
      <c r="E8" s="6" t="s">
        <v>4</v>
      </c>
      <c r="F8" s="15">
        <v>25494309</v>
      </c>
      <c r="G8" s="15">
        <v>36065239</v>
      </c>
      <c r="H8" s="15">
        <v>27072234</v>
      </c>
      <c r="I8" s="15">
        <v>19774451</v>
      </c>
      <c r="J8" s="15">
        <v>14712863</v>
      </c>
      <c r="K8" s="15">
        <f t="shared" si="13"/>
        <v>0</v>
      </c>
      <c r="L8" s="15">
        <v>-67158712</v>
      </c>
      <c r="M8" s="15">
        <v>2015208720</v>
      </c>
      <c r="N8" s="16">
        <v>77</v>
      </c>
      <c r="O8" s="17">
        <f t="shared" si="6"/>
        <v>155171071440</v>
      </c>
      <c r="P8" s="15">
        <v>35125240</v>
      </c>
      <c r="Q8" s="15">
        <f>-2211156+1297385</f>
        <v>-913771</v>
      </c>
      <c r="R8" s="15">
        <v>-1702399</v>
      </c>
      <c r="S8" s="1" t="str">
        <f t="shared" si="1"/>
        <v/>
      </c>
      <c r="T8" s="18">
        <f t="shared" si="7"/>
        <v>0.94171426709742534</v>
      </c>
      <c r="U8" s="18">
        <f t="shared" si="8"/>
        <v>-2.765450779463163E-2</v>
      </c>
      <c r="V8" s="18">
        <f t="shared" si="9"/>
        <v>-0.1157082071653899</v>
      </c>
      <c r="W8" s="18">
        <f t="shared" si="10"/>
        <v>0.76099787152433285</v>
      </c>
      <c r="X8" s="18">
        <f t="shared" si="11"/>
        <v>3.184063156164779</v>
      </c>
      <c r="Y8" s="19">
        <f t="shared" si="12"/>
        <v>-2.5632498146347663E-2</v>
      </c>
      <c r="Z8" s="19">
        <f t="shared" si="2"/>
        <v>-1.0909552487292467</v>
      </c>
      <c r="AA8" s="19">
        <f t="shared" si="3"/>
        <v>-1.4843692484551706E-2</v>
      </c>
      <c r="AB8" s="19">
        <f t="shared" si="4"/>
        <v>3312.317006849044</v>
      </c>
      <c r="AC8" s="19">
        <f t="shared" si="5"/>
        <v>0.57058963460875312</v>
      </c>
    </row>
    <row r="9" spans="1:45" x14ac:dyDescent="0.25">
      <c r="A9" s="6" t="s">
        <v>13</v>
      </c>
      <c r="B9" s="64"/>
      <c r="C9" s="7"/>
      <c r="D9" s="63"/>
      <c r="E9" s="6" t="s">
        <v>5</v>
      </c>
      <c r="F9" s="15">
        <v>29234391</v>
      </c>
      <c r="G9" s="15">
        <v>32793329</v>
      </c>
      <c r="H9" s="15">
        <v>32031501</v>
      </c>
      <c r="I9" s="15">
        <v>13746594</v>
      </c>
      <c r="J9" s="15">
        <v>16249625</v>
      </c>
      <c r="K9" s="15">
        <f t="shared" si="13"/>
        <v>0</v>
      </c>
      <c r="L9" s="15">
        <v>-65745616</v>
      </c>
      <c r="M9" s="15">
        <v>2015208720</v>
      </c>
      <c r="N9" s="16">
        <v>81</v>
      </c>
      <c r="O9" s="17">
        <f t="shared" si="6"/>
        <v>163231906320</v>
      </c>
      <c r="P9" s="15">
        <v>35984816</v>
      </c>
      <c r="Q9" s="15">
        <f>1341990+1857923</f>
        <v>3199913</v>
      </c>
      <c r="R9" s="15">
        <v>1413112</v>
      </c>
      <c r="S9" s="1" t="str">
        <f t="shared" si="1"/>
        <v/>
      </c>
      <c r="T9" s="18">
        <f t="shared" si="7"/>
        <v>0.91267627452113465</v>
      </c>
      <c r="U9" s="18">
        <f t="shared" si="8"/>
        <v>2.2781943298899265E-2</v>
      </c>
      <c r="V9" s="18">
        <f t="shared" si="9"/>
        <v>8.6962745294122165E-2</v>
      </c>
      <c r="W9" s="18">
        <f t="shared" si="10"/>
        <v>0.73802640174425238</v>
      </c>
      <c r="X9" s="18">
        <f t="shared" si="11"/>
        <v>2.817178550274237</v>
      </c>
      <c r="Y9" s="19">
        <f t="shared" si="12"/>
        <v>-4.5094515806803799E-2</v>
      </c>
      <c r="Z9" s="19">
        <f t="shared" si="2"/>
        <v>-1.0599392658637139</v>
      </c>
      <c r="AA9" s="19">
        <f t="shared" si="3"/>
        <v>5.1588434977136027E-2</v>
      </c>
      <c r="AB9" s="19">
        <f t="shared" si="4"/>
        <v>3565.7208173472486</v>
      </c>
      <c r="AC9" s="19">
        <f t="shared" si="5"/>
        <v>0.58014087894896027</v>
      </c>
    </row>
    <row r="10" spans="1:45" x14ac:dyDescent="0.25">
      <c r="A10" s="6" t="s">
        <v>14</v>
      </c>
      <c r="B10" s="64"/>
      <c r="C10" s="7"/>
      <c r="D10" s="63"/>
      <c r="E10" s="6" t="s">
        <v>2</v>
      </c>
      <c r="F10" s="15">
        <v>31238967</v>
      </c>
      <c r="G10" s="15">
        <v>29873062</v>
      </c>
      <c r="H10" s="15">
        <v>27991824</v>
      </c>
      <c r="I10" s="15">
        <v>19663528</v>
      </c>
      <c r="J10" s="15">
        <v>13456677</v>
      </c>
      <c r="K10" s="15">
        <f t="shared" si="13"/>
        <v>0</v>
      </c>
      <c r="L10" s="15">
        <v>-68538491</v>
      </c>
      <c r="M10" s="15">
        <v>2015208720</v>
      </c>
      <c r="N10" s="16">
        <v>60</v>
      </c>
      <c r="O10" s="17">
        <f t="shared" si="6"/>
        <v>120912523200</v>
      </c>
      <c r="P10" s="15">
        <v>29894354</v>
      </c>
      <c r="Q10" s="15">
        <f>-2653375+2081100</f>
        <v>-572275</v>
      </c>
      <c r="R10" s="15">
        <v>-2792947</v>
      </c>
      <c r="S10" s="1" t="str">
        <f t="shared" si="1"/>
        <v/>
      </c>
      <c r="T10" s="18">
        <f t="shared" si="7"/>
        <v>1.1160032658107597</v>
      </c>
      <c r="U10" s="18">
        <f t="shared" si="8"/>
        <v>-4.5702082645627751E-2</v>
      </c>
      <c r="V10" s="18">
        <f t="shared" si="9"/>
        <v>-0.20755101723850547</v>
      </c>
      <c r="W10" s="18">
        <f t="shared" si="10"/>
        <v>0.77980313826595415</v>
      </c>
      <c r="X10" s="18">
        <f t="shared" si="11"/>
        <v>3.5413907906090039</v>
      </c>
      <c r="Y10" s="19">
        <f t="shared" si="12"/>
        <v>5.3134269196003947E-2</v>
      </c>
      <c r="Z10" s="19">
        <f t="shared" si="2"/>
        <v>-1.1215220983744461</v>
      </c>
      <c r="AA10" s="19">
        <f t="shared" si="3"/>
        <v>-9.3643593473226039E-3</v>
      </c>
      <c r="AB10" s="19">
        <f t="shared" si="4"/>
        <v>2537.2286243945905</v>
      </c>
      <c r="AC10" s="19">
        <f t="shared" si="5"/>
        <v>0.4891729908034963</v>
      </c>
    </row>
    <row r="11" spans="1:45" x14ac:dyDescent="0.25">
      <c r="A11" s="6" t="s">
        <v>15</v>
      </c>
      <c r="B11" s="64"/>
      <c r="C11" s="7"/>
      <c r="D11" s="63"/>
      <c r="E11" s="6" t="s">
        <v>1</v>
      </c>
      <c r="F11" s="15">
        <v>26751546</v>
      </c>
      <c r="G11" s="15">
        <v>27721849</v>
      </c>
      <c r="H11" s="15">
        <v>22926913</v>
      </c>
      <c r="I11" s="15">
        <v>18584408</v>
      </c>
      <c r="J11" s="15">
        <v>12962074</v>
      </c>
      <c r="K11" s="15">
        <f t="shared" si="13"/>
        <v>0</v>
      </c>
      <c r="L11" s="15">
        <v>-69116382</v>
      </c>
      <c r="M11" s="15">
        <v>2015208720</v>
      </c>
      <c r="N11" s="16">
        <v>52</v>
      </c>
      <c r="O11" s="17">
        <f t="shared" si="6"/>
        <v>104790853440</v>
      </c>
      <c r="P11" s="15">
        <v>23948102</v>
      </c>
      <c r="Q11" s="15">
        <f>-890812+1616615</f>
        <v>725803</v>
      </c>
      <c r="R11" s="15">
        <v>-577944</v>
      </c>
      <c r="S11" s="1" t="str">
        <f t="shared" si="1"/>
        <v/>
      </c>
      <c r="T11" s="18">
        <f t="shared" si="7"/>
        <v>1.1668184896937499</v>
      </c>
      <c r="U11" s="18">
        <f t="shared" si="8"/>
        <v>-1.060965632856186E-2</v>
      </c>
      <c r="V11" s="18">
        <f t="shared" si="9"/>
        <v>-4.4587309098837118E-2</v>
      </c>
      <c r="W11" s="18">
        <f t="shared" si="10"/>
        <v>0.76204761976006818</v>
      </c>
      <c r="X11" s="18">
        <f t="shared" si="11"/>
        <v>3.2025215254904422</v>
      </c>
      <c r="Y11" s="19">
        <f t="shared" si="12"/>
        <v>7.0211026869171633E-2</v>
      </c>
      <c r="Z11" s="19">
        <f t="shared" si="2"/>
        <v>-1.2688098841645541</v>
      </c>
      <c r="AA11" s="19">
        <f t="shared" si="3"/>
        <v>1.3323990546210678E-2</v>
      </c>
      <c r="AB11" s="19">
        <f t="shared" si="4"/>
        <v>2524.3921637666022</v>
      </c>
      <c r="AC11" s="19">
        <f t="shared" si="5"/>
        <v>0.43962932730739473</v>
      </c>
    </row>
    <row r="12" spans="1:45" x14ac:dyDescent="0.25">
      <c r="A12" s="6" t="s">
        <v>16</v>
      </c>
      <c r="B12" s="64"/>
      <c r="C12" s="7"/>
      <c r="D12" s="61" t="s">
        <v>53</v>
      </c>
      <c r="E12" s="6" t="s">
        <v>3</v>
      </c>
      <c r="F12" s="15">
        <v>351706167938</v>
      </c>
      <c r="G12" s="15">
        <v>319257825777</v>
      </c>
      <c r="H12" s="15">
        <v>277524504441</v>
      </c>
      <c r="I12" s="15">
        <v>130419987551</v>
      </c>
      <c r="J12" s="15">
        <v>263019501722</v>
      </c>
      <c r="K12" s="15">
        <f t="shared" si="13"/>
        <v>1</v>
      </c>
      <c r="L12" s="15">
        <v>-123401648679</v>
      </c>
      <c r="M12" s="15">
        <v>1170909181</v>
      </c>
      <c r="N12" s="16">
        <v>360</v>
      </c>
      <c r="O12" s="17">
        <f t="shared" si="6"/>
        <v>421527305160</v>
      </c>
      <c r="P12" s="15">
        <v>436691203876</v>
      </c>
      <c r="Q12" s="15">
        <f>-18713585127+29791603689</f>
        <v>11078018562</v>
      </c>
      <c r="R12" s="15">
        <v>-15752958422</v>
      </c>
      <c r="S12" s="1" t="str">
        <f t="shared" si="1"/>
        <v/>
      </c>
      <c r="T12" s="18">
        <f t="shared" si="7"/>
        <v>1.2672977063644142</v>
      </c>
      <c r="U12" s="18">
        <f t="shared" si="8"/>
        <v>-2.3478098034409964E-2</v>
      </c>
      <c r="V12" s="18">
        <f t="shared" si="9"/>
        <v>-5.9892739203232855E-2</v>
      </c>
      <c r="W12" s="18">
        <f t="shared" si="10"/>
        <v>0.60799759124672093</v>
      </c>
      <c r="X12" s="18">
        <f t="shared" si="11"/>
        <v>1.5510047328094299</v>
      </c>
      <c r="Y12" s="19">
        <f t="shared" si="12"/>
        <v>0.1105598276388428</v>
      </c>
      <c r="Z12" s="19">
        <f t="shared" si="2"/>
        <v>-0.18391694611770229</v>
      </c>
      <c r="AA12" s="19">
        <f t="shared" si="3"/>
        <v>1.6510600666755779E-2</v>
      </c>
      <c r="AB12" s="19">
        <f t="shared" si="4"/>
        <v>1.0332957385983443</v>
      </c>
      <c r="AC12" s="19">
        <f t="shared" si="5"/>
        <v>0.65084148771996519</v>
      </c>
    </row>
    <row r="13" spans="1:45" x14ac:dyDescent="0.25">
      <c r="A13" s="6" t="s">
        <v>17</v>
      </c>
      <c r="B13" s="64"/>
      <c r="C13" s="7"/>
      <c r="D13" s="61"/>
      <c r="E13" s="6" t="s">
        <v>4</v>
      </c>
      <c r="F13" s="15">
        <v>311547858349</v>
      </c>
      <c r="G13" s="15">
        <v>294095442959</v>
      </c>
      <c r="H13" s="15">
        <v>182421582456</v>
      </c>
      <c r="I13" s="15">
        <v>210756047129</v>
      </c>
      <c r="J13" s="15">
        <v>212465671723</v>
      </c>
      <c r="K13" s="15">
        <f t="shared" si="13"/>
        <v>0</v>
      </c>
      <c r="L13" s="15">
        <v>-147111482423</v>
      </c>
      <c r="M13" s="15">
        <v>1170909181</v>
      </c>
      <c r="N13" s="16">
        <v>380</v>
      </c>
      <c r="O13" s="17">
        <f t="shared" si="6"/>
        <v>444945488780</v>
      </c>
      <c r="P13" s="15">
        <v>343842837211</v>
      </c>
      <c r="Q13" s="15">
        <f>-31048829703+26532389857</f>
        <v>-4516439846</v>
      </c>
      <c r="R13" s="15">
        <v>-23709833744</v>
      </c>
      <c r="S13" s="1" t="str">
        <f t="shared" si="1"/>
        <v/>
      </c>
      <c r="T13" s="18">
        <f t="shared" si="7"/>
        <v>1.70784538843777</v>
      </c>
      <c r="U13" s="18">
        <f t="shared" si="8"/>
        <v>-3.9148181269064115E-2</v>
      </c>
      <c r="V13" s="18">
        <f t="shared" si="9"/>
        <v>-0.11159371559520194</v>
      </c>
      <c r="W13" s="18">
        <f t="shared" si="10"/>
        <v>0.64919009049693011</v>
      </c>
      <c r="X13" s="18">
        <f t="shared" si="11"/>
        <v>1.8505466148790446</v>
      </c>
      <c r="Y13" s="19">
        <f t="shared" si="12"/>
        <v>0.2132051582410433</v>
      </c>
      <c r="Z13" s="19">
        <f t="shared" si="2"/>
        <v>-0.24290119630694376</v>
      </c>
      <c r="AA13" s="19">
        <f t="shared" si="3"/>
        <v>-7.4572604637843818E-3</v>
      </c>
      <c r="AB13" s="19">
        <f t="shared" si="4"/>
        <v>1.1316653219809101</v>
      </c>
      <c r="AC13" s="19">
        <f t="shared" si="5"/>
        <v>0.56773159460099221</v>
      </c>
    </row>
    <row r="14" spans="1:45" x14ac:dyDescent="0.25">
      <c r="A14" s="6" t="s">
        <v>18</v>
      </c>
      <c r="B14" s="64"/>
      <c r="C14" s="7"/>
      <c r="D14" s="61"/>
      <c r="E14" s="6" t="s">
        <v>5</v>
      </c>
      <c r="F14" s="15">
        <v>294172560216</v>
      </c>
      <c r="G14" s="15">
        <v>268001620681</v>
      </c>
      <c r="H14" s="15">
        <v>131917686499</v>
      </c>
      <c r="I14" s="15">
        <v>215006169768</v>
      </c>
      <c r="J14" s="15">
        <v>215250324630</v>
      </c>
      <c r="K14" s="15">
        <f t="shared" si="13"/>
        <v>0</v>
      </c>
      <c r="L14" s="15">
        <v>-145999444506</v>
      </c>
      <c r="M14" s="15">
        <v>1170909181</v>
      </c>
      <c r="N14" s="16">
        <v>452</v>
      </c>
      <c r="O14" s="17">
        <f t="shared" si="6"/>
        <v>529250949812</v>
      </c>
      <c r="P14" s="15">
        <v>410244604874</v>
      </c>
      <c r="Q14" s="15">
        <f>-14018543753+24691421002</f>
        <v>10672877249</v>
      </c>
      <c r="R14" s="15">
        <v>1112037917</v>
      </c>
      <c r="S14" s="1" t="str">
        <f t="shared" si="1"/>
        <v/>
      </c>
      <c r="T14" s="18">
        <f t="shared" si="7"/>
        <v>2.229970582589242</v>
      </c>
      <c r="U14" s="18">
        <f t="shared" si="8"/>
        <v>1.9781020807921887E-3</v>
      </c>
      <c r="V14" s="18">
        <f t="shared" si="9"/>
        <v>5.1662543083803199E-3</v>
      </c>
      <c r="W14" s="18">
        <f t="shared" si="10"/>
        <v>0.61711097388615654</v>
      </c>
      <c r="X14" s="18">
        <f t="shared" si="11"/>
        <v>1.6117228016419369</v>
      </c>
      <c r="Y14" s="19">
        <f t="shared" si="12"/>
        <v>0.2886202875025452</v>
      </c>
      <c r="Z14" s="19">
        <f t="shared" si="2"/>
        <v>-0.25970499796530072</v>
      </c>
      <c r="AA14" s="19">
        <f t="shared" si="3"/>
        <v>1.8985000755407256E-2</v>
      </c>
      <c r="AB14" s="19">
        <f t="shared" si="4"/>
        <v>1.525553634468646</v>
      </c>
      <c r="AC14" s="19">
        <f t="shared" si="5"/>
        <v>0.72974643591674282</v>
      </c>
    </row>
    <row r="15" spans="1:45" x14ac:dyDescent="0.25">
      <c r="A15" s="6" t="s">
        <v>19</v>
      </c>
      <c r="B15" s="64"/>
      <c r="C15" s="7"/>
      <c r="D15" s="61"/>
      <c r="E15" s="6" t="s">
        <v>2</v>
      </c>
      <c r="F15" s="15">
        <v>263602799221</v>
      </c>
      <c r="G15" s="15">
        <v>251162932669</v>
      </c>
      <c r="H15" s="15">
        <v>166219539040</v>
      </c>
      <c r="I15" s="15">
        <v>148197267542</v>
      </c>
      <c r="J15" s="15">
        <v>200348925308</v>
      </c>
      <c r="K15" s="15">
        <f t="shared" si="13"/>
        <v>0</v>
      </c>
      <c r="L15" s="15">
        <v>-162266176683</v>
      </c>
      <c r="M15" s="15">
        <v>1170909181</v>
      </c>
      <c r="N15" s="16">
        <v>530</v>
      </c>
      <c r="O15" s="17">
        <f t="shared" si="6"/>
        <v>620581865930</v>
      </c>
      <c r="P15" s="15">
        <v>354113973461</v>
      </c>
      <c r="Q15" s="15">
        <f>-21323408393+20457460635</f>
        <v>-865947758</v>
      </c>
      <c r="R15" s="15">
        <v>-16266732177</v>
      </c>
      <c r="S15" s="1" t="str">
        <f t="shared" si="1"/>
        <v/>
      </c>
      <c r="T15" s="18">
        <f t="shared" si="7"/>
        <v>1.5858713165939242</v>
      </c>
      <c r="U15" s="18">
        <f t="shared" si="8"/>
        <v>-3.1600262350944583E-2</v>
      </c>
      <c r="V15" s="18">
        <f t="shared" si="9"/>
        <v>-8.1192011147516063E-2</v>
      </c>
      <c r="W15" s="18">
        <f t="shared" si="10"/>
        <v>0.61079591570246083</v>
      </c>
      <c r="X15" s="18">
        <f t="shared" si="11"/>
        <v>1.5693461100359856</v>
      </c>
      <c r="Y15" s="19">
        <f t="shared" si="12"/>
        <v>0.18917976498445271</v>
      </c>
      <c r="Z15" s="19">
        <f t="shared" si="2"/>
        <v>-0.31522334652547263</v>
      </c>
      <c r="AA15" s="19">
        <f t="shared" si="3"/>
        <v>-1.6822171802707408E-3</v>
      </c>
      <c r="AB15" s="19">
        <f t="shared" si="4"/>
        <v>1.9737553875579867</v>
      </c>
      <c r="AC15" s="19">
        <f t="shared" si="5"/>
        <v>0.68791287283410396</v>
      </c>
    </row>
    <row r="16" spans="1:45" x14ac:dyDescent="0.25">
      <c r="A16" s="6" t="s">
        <v>20</v>
      </c>
      <c r="B16" s="64"/>
      <c r="C16" s="7"/>
      <c r="D16" s="61"/>
      <c r="E16" s="6" t="s">
        <v>1</v>
      </c>
      <c r="F16" s="15">
        <v>246379557480</v>
      </c>
      <c r="G16" s="15">
        <v>235685736615</v>
      </c>
      <c r="H16" s="15">
        <v>164959909413</v>
      </c>
      <c r="I16" s="15">
        <v>130774066588</v>
      </c>
      <c r="J16" s="15">
        <v>186331318094</v>
      </c>
      <c r="K16" s="15">
        <f t="shared" si="13"/>
        <v>0</v>
      </c>
      <c r="L16" s="15">
        <v>-177620554126</v>
      </c>
      <c r="M16" s="15">
        <v>1170909181</v>
      </c>
      <c r="N16" s="16">
        <v>570</v>
      </c>
      <c r="O16" s="17">
        <f t="shared" si="6"/>
        <v>667418233170</v>
      </c>
      <c r="P16" s="15">
        <v>220499855235</v>
      </c>
      <c r="Q16" s="15">
        <f>-19399505768+14172948763</f>
        <v>-5226557005</v>
      </c>
      <c r="R16" s="15">
        <v>-15354377443</v>
      </c>
      <c r="S16" s="1" t="str">
        <f t="shared" si="1"/>
        <v/>
      </c>
      <c r="T16" s="18">
        <f t="shared" si="7"/>
        <v>1.4935723374044454</v>
      </c>
      <c r="U16" s="18">
        <f t="shared" si="8"/>
        <v>-3.1851240135063803E-2</v>
      </c>
      <c r="V16" s="18">
        <f t="shared" si="9"/>
        <v>-8.2403632411670369E-2</v>
      </c>
      <c r="W16" s="18">
        <f t="shared" si="10"/>
        <v>0.61347286275024826</v>
      </c>
      <c r="X16" s="18">
        <f t="shared" si="11"/>
        <v>1.5871404712105819</v>
      </c>
      <c r="Y16" s="19">
        <f t="shared" si="12"/>
        <v>0.16889755197965928</v>
      </c>
      <c r="Z16" s="19">
        <f t="shared" si="2"/>
        <v>-0.3684574606422435</v>
      </c>
      <c r="AA16" s="19">
        <f t="shared" si="3"/>
        <v>-1.0842010551313426E-2</v>
      </c>
      <c r="AB16" s="19">
        <f t="shared" si="4"/>
        <v>2.2568195991377844</v>
      </c>
      <c r="AC16" s="19">
        <f t="shared" si="5"/>
        <v>0.45740661677159933</v>
      </c>
    </row>
    <row r="17" spans="1:44" x14ac:dyDescent="0.25">
      <c r="A17" s="6" t="s">
        <v>21</v>
      </c>
      <c r="B17" s="64"/>
      <c r="C17" s="7"/>
      <c r="D17" s="63" t="s">
        <v>54</v>
      </c>
      <c r="E17" s="6" t="s">
        <v>3</v>
      </c>
      <c r="F17" s="15">
        <v>151754358</v>
      </c>
      <c r="G17" s="15">
        <v>457990852</v>
      </c>
      <c r="H17" s="15">
        <v>144039966</v>
      </c>
      <c r="I17" s="15">
        <v>126736982</v>
      </c>
      <c r="J17" s="15">
        <v>338968262</v>
      </c>
      <c r="K17" s="15">
        <f t="shared" si="13"/>
        <v>0</v>
      </c>
      <c r="L17" s="15">
        <f>118965+61647713</f>
        <v>61766678</v>
      </c>
      <c r="M17" s="15">
        <v>9182946945</v>
      </c>
      <c r="N17" s="16">
        <v>270</v>
      </c>
      <c r="O17" s="17">
        <f t="shared" si="6"/>
        <v>2479395675150</v>
      </c>
      <c r="P17" s="15">
        <v>229800572</v>
      </c>
      <c r="Q17" s="15">
        <f>-8302269+744638+841813+8412613+634916</f>
        <v>2331711</v>
      </c>
      <c r="R17" s="15">
        <v>-6702209</v>
      </c>
      <c r="S17" s="1" t="str">
        <f t="shared" si="1"/>
        <v/>
      </c>
      <c r="T17" s="18">
        <f t="shared" si="7"/>
        <v>1.0535573022837286</v>
      </c>
      <c r="U17" s="18">
        <f t="shared" si="8"/>
        <v>-1.0991819025523791E-2</v>
      </c>
      <c r="V17" s="18">
        <f t="shared" si="9"/>
        <v>-1.9772379161562919E-2</v>
      </c>
      <c r="W17" s="18">
        <f t="shared" si="10"/>
        <v>0.44408212407277459</v>
      </c>
      <c r="X17" s="18">
        <f t="shared" si="11"/>
        <v>0.79882684709874108</v>
      </c>
      <c r="Y17" s="19">
        <f t="shared" si="12"/>
        <v>1.2651828785994071E-2</v>
      </c>
      <c r="Z17" s="19">
        <f t="shared" si="2"/>
        <v>0.10129916067729339</v>
      </c>
      <c r="AA17" s="19">
        <f t="shared" si="3"/>
        <v>3.8240743211414487E-3</v>
      </c>
      <c r="AB17" s="19">
        <f t="shared" si="4"/>
        <v>9156.5980540928467</v>
      </c>
      <c r="AC17" s="19">
        <f t="shared" si="5"/>
        <v>0.37687966749259089</v>
      </c>
    </row>
    <row r="18" spans="1:44" x14ac:dyDescent="0.25">
      <c r="A18" s="6" t="s">
        <v>22</v>
      </c>
      <c r="B18" s="64"/>
      <c r="C18" s="7"/>
      <c r="D18" s="63"/>
      <c r="E18" s="6" t="s">
        <v>4</v>
      </c>
      <c r="F18" s="15">
        <v>172415901</v>
      </c>
      <c r="G18" s="15">
        <v>483115699</v>
      </c>
      <c r="H18" s="15">
        <v>181521337</v>
      </c>
      <c r="I18" s="15">
        <v>139096036</v>
      </c>
      <c r="J18" s="15">
        <v>334914227</v>
      </c>
      <c r="K18" s="15">
        <f t="shared" si="13"/>
        <v>0</v>
      </c>
      <c r="L18" s="15">
        <f>118965+52930883</f>
        <v>53049848</v>
      </c>
      <c r="M18" s="15">
        <v>9182946945</v>
      </c>
      <c r="N18" s="16">
        <v>280</v>
      </c>
      <c r="O18" s="17">
        <f t="shared" si="6"/>
        <v>2571225144600</v>
      </c>
      <c r="P18" s="15">
        <v>280974817</v>
      </c>
      <c r="R18" s="15">
        <v>-8095276</v>
      </c>
      <c r="S18" s="1" t="str">
        <f t="shared" si="1"/>
        <v/>
      </c>
      <c r="T18" s="18">
        <f t="shared" si="7"/>
        <v>0.94983820552181142</v>
      </c>
      <c r="U18" s="18">
        <f t="shared" si="8"/>
        <v>-1.2349177369939146E-2</v>
      </c>
      <c r="V18" s="18">
        <f t="shared" si="9"/>
        <v>-2.4171191748148697E-2</v>
      </c>
      <c r="W18" s="18">
        <f t="shared" si="10"/>
        <v>0.48909522134402061</v>
      </c>
      <c r="X18" s="18">
        <f t="shared" si="11"/>
        <v>0.95731189406892525</v>
      </c>
      <c r="Y18" s="19">
        <f t="shared" si="12"/>
        <v>-1.3890155714842731E-2</v>
      </c>
      <c r="Z18" s="19">
        <f t="shared" si="2"/>
        <v>8.0926454193817665E-2</v>
      </c>
      <c r="AA18" s="19">
        <f t="shared" si="3"/>
        <v>0</v>
      </c>
      <c r="AB18" s="19">
        <f t="shared" si="4"/>
        <v>8019.6064253823197</v>
      </c>
      <c r="AC18" s="19">
        <f t="shared" si="5"/>
        <v>0.42862131589079766</v>
      </c>
    </row>
    <row r="19" spans="1:44" x14ac:dyDescent="0.25">
      <c r="A19" s="6" t="s">
        <v>23</v>
      </c>
      <c r="B19" s="64"/>
      <c r="C19" s="7"/>
      <c r="D19" s="63"/>
      <c r="E19" s="6" t="s">
        <v>5</v>
      </c>
      <c r="F19" s="15">
        <v>231260203</v>
      </c>
      <c r="G19" s="15">
        <v>412101308</v>
      </c>
      <c r="H19" s="15">
        <v>218121004</v>
      </c>
      <c r="I19" s="15">
        <v>107343548</v>
      </c>
      <c r="J19" s="15">
        <v>317896959</v>
      </c>
      <c r="K19" s="15">
        <f t="shared" si="13"/>
        <v>0</v>
      </c>
      <c r="L19" s="15">
        <f>118965+34397782-1593744</f>
        <v>32923003</v>
      </c>
      <c r="M19" s="15">
        <v>9182946945</v>
      </c>
      <c r="N19" s="16">
        <v>720</v>
      </c>
      <c r="O19" s="17">
        <f t="shared" si="6"/>
        <v>6611721800400</v>
      </c>
      <c r="P19" s="15">
        <v>298640781</v>
      </c>
      <c r="R19" s="15">
        <v>-17908495</v>
      </c>
      <c r="S19" s="1" t="str">
        <f t="shared" si="1"/>
        <v/>
      </c>
      <c r="T19" s="18">
        <f t="shared" si="7"/>
        <v>1.0602381190213117</v>
      </c>
      <c r="U19" s="18">
        <f t="shared" si="8"/>
        <v>-2.7835819665624977E-2</v>
      </c>
      <c r="V19" s="18">
        <f t="shared" si="9"/>
        <v>-5.6334275912340512E-2</v>
      </c>
      <c r="W19" s="18">
        <f t="shared" si="10"/>
        <v>0.50588129136621607</v>
      </c>
      <c r="X19" s="18">
        <f t="shared" si="11"/>
        <v>1.0238051758148463</v>
      </c>
      <c r="Y19" s="19">
        <f t="shared" si="12"/>
        <v>2.0422730883570061E-2</v>
      </c>
      <c r="Z19" s="19">
        <f t="shared" si="2"/>
        <v>5.1173410962720774E-2</v>
      </c>
      <c r="AA19" s="19">
        <f t="shared" si="3"/>
        <v>0</v>
      </c>
      <c r="AB19" s="19">
        <f t="shared" si="4"/>
        <v>20314.721710154168</v>
      </c>
      <c r="AC19" s="19">
        <f t="shared" si="5"/>
        <v>0.46418813667577324</v>
      </c>
    </row>
    <row r="20" spans="1:44" x14ac:dyDescent="0.25">
      <c r="A20" s="6" t="s">
        <v>24</v>
      </c>
      <c r="B20" s="64"/>
      <c r="C20" s="7"/>
      <c r="D20" s="63"/>
      <c r="E20" s="6" t="s">
        <v>2</v>
      </c>
      <c r="F20" s="15">
        <v>128724986</v>
      </c>
      <c r="G20" s="15">
        <v>322378398</v>
      </c>
      <c r="H20" s="15">
        <v>72217808</v>
      </c>
      <c r="I20" s="15">
        <v>183497258</v>
      </c>
      <c r="J20" s="15">
        <v>195388318</v>
      </c>
      <c r="K20" s="15">
        <f t="shared" si="13"/>
        <v>0</v>
      </c>
      <c r="M20" s="15">
        <v>9182946945</v>
      </c>
      <c r="N20" s="16">
        <v>460</v>
      </c>
      <c r="O20" s="17">
        <f t="shared" si="6"/>
        <v>4224155594700</v>
      </c>
      <c r="P20" s="15">
        <v>318263297</v>
      </c>
      <c r="R20" s="15">
        <v>-11188992</v>
      </c>
      <c r="S20" s="1" t="str">
        <f t="shared" si="1"/>
        <v/>
      </c>
      <c r="T20" s="18">
        <f t="shared" si="7"/>
        <v>1.7824549036437107</v>
      </c>
      <c r="U20" s="18">
        <f t="shared" si="8"/>
        <v>-2.4803609099061867E-2</v>
      </c>
      <c r="V20" s="18">
        <f t="shared" si="9"/>
        <v>-5.7265409286137568E-2</v>
      </c>
      <c r="W20" s="18">
        <f t="shared" si="10"/>
        <v>0.56686576751550155</v>
      </c>
      <c r="X20" s="18">
        <f t="shared" si="11"/>
        <v>1.3087530954639774</v>
      </c>
      <c r="Y20" s="19">
        <f t="shared" si="12"/>
        <v>0.12526436290267332</v>
      </c>
      <c r="Z20" s="19">
        <f t="shared" si="2"/>
        <v>0</v>
      </c>
      <c r="AA20" s="19">
        <f t="shared" si="3"/>
        <v>0</v>
      </c>
      <c r="AB20" s="19">
        <f t="shared" si="4"/>
        <v>16518.993819081432</v>
      </c>
      <c r="AC20" s="19">
        <f t="shared" si="5"/>
        <v>0.70552185660393985</v>
      </c>
    </row>
    <row r="21" spans="1:44" x14ac:dyDescent="0.25">
      <c r="A21" s="6" t="s">
        <v>25</v>
      </c>
      <c r="B21" s="64"/>
      <c r="C21" s="7"/>
      <c r="D21" s="63"/>
      <c r="E21" s="6" t="s">
        <v>1</v>
      </c>
      <c r="F21" s="15">
        <v>143626412</v>
      </c>
      <c r="G21" s="15">
        <v>303528678</v>
      </c>
      <c r="H21" s="15">
        <v>89836183</v>
      </c>
      <c r="I21" s="15">
        <v>130056246</v>
      </c>
      <c r="J21" s="15">
        <v>227262661</v>
      </c>
      <c r="K21" s="15">
        <f t="shared" si="13"/>
        <v>0</v>
      </c>
      <c r="M21" s="15">
        <v>9182946945</v>
      </c>
      <c r="N21" s="16">
        <v>995</v>
      </c>
      <c r="O21" s="17">
        <f t="shared" si="6"/>
        <v>9137032210275</v>
      </c>
      <c r="P21" s="15">
        <v>289607854</v>
      </c>
      <c r="R21" s="15">
        <v>33160574</v>
      </c>
      <c r="S21" s="1" t="str">
        <f t="shared" si="1"/>
        <v>X</v>
      </c>
      <c r="T21" s="18">
        <f t="shared" si="7"/>
        <v>1.5987590657096373</v>
      </c>
      <c r="U21" s="18">
        <f t="shared" si="8"/>
        <v>7.4158999285907717E-2</v>
      </c>
      <c r="V21" s="18">
        <f t="shared" si="9"/>
        <v>0.14591298831971347</v>
      </c>
      <c r="W21" s="18">
        <f t="shared" si="10"/>
        <v>0.4917587519802134</v>
      </c>
      <c r="X21" s="18">
        <f t="shared" si="11"/>
        <v>0.96756954280316199</v>
      </c>
      <c r="Y21" s="19">
        <f t="shared" si="12"/>
        <v>0.12029434574925671</v>
      </c>
      <c r="Z21" s="19">
        <f t="shared" si="2"/>
        <v>0</v>
      </c>
      <c r="AA21" s="19">
        <f t="shared" si="3"/>
        <v>0</v>
      </c>
      <c r="AB21" s="19">
        <f t="shared" si="4"/>
        <v>41552.281958170555</v>
      </c>
      <c r="AC21" s="19">
        <f t="shared" si="5"/>
        <v>0.64766757770777028</v>
      </c>
    </row>
    <row r="22" spans="1:44" x14ac:dyDescent="0.25">
      <c r="A22" s="6" t="s">
        <v>26</v>
      </c>
      <c r="B22" s="64"/>
      <c r="C22" s="7"/>
      <c r="D22" s="61" t="s">
        <v>55</v>
      </c>
      <c r="E22" s="6" t="s">
        <v>3</v>
      </c>
      <c r="F22" s="15">
        <v>360309</v>
      </c>
      <c r="G22" s="15">
        <v>1259448</v>
      </c>
      <c r="H22" s="15">
        <v>854929</v>
      </c>
      <c r="I22" s="15">
        <v>1689801</v>
      </c>
      <c r="J22" s="15">
        <v>-924973</v>
      </c>
      <c r="K22" s="15">
        <f t="shared" si="13"/>
        <v>0</v>
      </c>
      <c r="M22" s="15">
        <v>19346396900</v>
      </c>
      <c r="N22" s="16">
        <v>54.05</v>
      </c>
      <c r="O22" s="17">
        <f t="shared" si="6"/>
        <v>1045672752445</v>
      </c>
      <c r="R22" s="15">
        <v>-356491</v>
      </c>
      <c r="S22" s="1" t="str">
        <f t="shared" si="1"/>
        <v/>
      </c>
      <c r="T22" s="18">
        <f t="shared" si="7"/>
        <v>0.42144903260972549</v>
      </c>
      <c r="U22" s="18">
        <f t="shared" si="8"/>
        <v>-0.22008918621743878</v>
      </c>
      <c r="V22" s="18">
        <f t="shared" si="9"/>
        <v>0.38540692539133575</v>
      </c>
      <c r="W22" s="18">
        <f t="shared" si="10"/>
        <v>1.5710566461512436</v>
      </c>
      <c r="X22" s="18">
        <f t="shared" si="11"/>
        <v>-2.7511397629984877</v>
      </c>
      <c r="Y22" s="19">
        <f t="shared" si="12"/>
        <v>-0.30536679267322198</v>
      </c>
      <c r="Z22" s="19">
        <f t="shared" si="2"/>
        <v>0</v>
      </c>
      <c r="AA22" s="19">
        <f t="shared" si="3"/>
        <v>0</v>
      </c>
      <c r="AB22" s="19">
        <f t="shared" si="4"/>
        <v>410916.974470769</v>
      </c>
      <c r="AC22" s="19">
        <f t="shared" si="5"/>
        <v>0</v>
      </c>
    </row>
    <row r="23" spans="1:44" x14ac:dyDescent="0.25">
      <c r="A23" s="6" t="s">
        <v>27</v>
      </c>
      <c r="B23" s="64"/>
      <c r="C23" s="7"/>
      <c r="D23" s="61"/>
      <c r="E23" s="6" t="s">
        <v>4</v>
      </c>
      <c r="F23" s="15">
        <v>764428</v>
      </c>
      <c r="G23" s="15">
        <v>2694309</v>
      </c>
      <c r="H23" s="15">
        <v>1643506</v>
      </c>
      <c r="I23" s="15">
        <v>1466145</v>
      </c>
      <c r="J23" s="15">
        <v>349086</v>
      </c>
      <c r="K23" s="15">
        <f t="shared" si="13"/>
        <v>0</v>
      </c>
      <c r="M23" s="15">
        <v>19346396900</v>
      </c>
      <c r="N23" s="16">
        <v>123.16</v>
      </c>
      <c r="O23" s="17">
        <f t="shared" si="6"/>
        <v>2382702242204</v>
      </c>
      <c r="R23" s="15">
        <v>-286485</v>
      </c>
      <c r="S23" s="1" t="str">
        <f t="shared" si="1"/>
        <v/>
      </c>
      <c r="T23" s="18">
        <f t="shared" si="7"/>
        <v>0.46512029770502816</v>
      </c>
      <c r="U23" s="18">
        <f t="shared" si="8"/>
        <v>-8.2829368061231604E-2</v>
      </c>
      <c r="V23" s="18">
        <f t="shared" si="9"/>
        <v>-0.82067169694573827</v>
      </c>
      <c r="W23" s="18">
        <f t="shared" si="10"/>
        <v>0.89907125057499315</v>
      </c>
      <c r="X23" s="18">
        <f t="shared" si="11"/>
        <v>8.9079796955478017</v>
      </c>
      <c r="Y23" s="19">
        <f t="shared" si="12"/>
        <v>-0.25416156244316929</v>
      </c>
      <c r="Z23" s="19">
        <f t="shared" si="2"/>
        <v>0</v>
      </c>
      <c r="AA23" s="19">
        <f t="shared" si="3"/>
        <v>0</v>
      </c>
      <c r="AB23" s="19">
        <f t="shared" si="4"/>
        <v>766228.18515775562</v>
      </c>
      <c r="AC23" s="19">
        <f t="shared" si="5"/>
        <v>0</v>
      </c>
    </row>
    <row r="24" spans="1:44" x14ac:dyDescent="0.25">
      <c r="A24" s="6" t="s">
        <v>28</v>
      </c>
      <c r="B24" s="64"/>
      <c r="C24" s="7"/>
      <c r="D24" s="61"/>
      <c r="E24" s="6" t="s">
        <v>5</v>
      </c>
      <c r="F24" s="15">
        <v>714140</v>
      </c>
      <c r="G24" s="15">
        <v>2940027</v>
      </c>
      <c r="H24" s="15">
        <v>1885089</v>
      </c>
      <c r="I24" s="15">
        <v>1530242</v>
      </c>
      <c r="J24" s="15">
        <v>238836</v>
      </c>
      <c r="K24" s="15">
        <f t="shared" si="13"/>
        <v>0</v>
      </c>
      <c r="M24" s="15">
        <v>19346396900</v>
      </c>
      <c r="N24" s="16">
        <v>106</v>
      </c>
      <c r="O24" s="17">
        <f t="shared" si="6"/>
        <v>2050718071400</v>
      </c>
      <c r="R24" s="15">
        <v>-170235</v>
      </c>
      <c r="S24" s="1" t="str">
        <f t="shared" si="1"/>
        <v/>
      </c>
      <c r="T24" s="18">
        <f t="shared" si="7"/>
        <v>0.37883622470875378</v>
      </c>
      <c r="U24" s="18">
        <f t="shared" si="8"/>
        <v>-4.6586540790281343E-2</v>
      </c>
      <c r="V24" s="18">
        <f t="shared" si="9"/>
        <v>-0.71276943174395824</v>
      </c>
      <c r="W24" s="18">
        <f t="shared" si="10"/>
        <v>0.9346400971822032</v>
      </c>
      <c r="X24" s="18">
        <f t="shared" si="11"/>
        <v>14.299900350030983</v>
      </c>
      <c r="Y24" s="19">
        <f t="shared" si="12"/>
        <v>-0.32044211444085613</v>
      </c>
      <c r="Z24" s="19">
        <f t="shared" si="2"/>
        <v>0</v>
      </c>
      <c r="AA24" s="19">
        <f t="shared" si="3"/>
        <v>0</v>
      </c>
      <c r="AB24" s="19">
        <f t="shared" si="4"/>
        <v>600444.89725886018</v>
      </c>
      <c r="AC24" s="19">
        <f t="shared" si="5"/>
        <v>0</v>
      </c>
    </row>
    <row r="25" spans="1:44" x14ac:dyDescent="0.25">
      <c r="A25" s="6" t="s">
        <v>29</v>
      </c>
      <c r="B25" s="64"/>
      <c r="C25" s="7"/>
      <c r="D25" s="61"/>
      <c r="E25" s="6" t="s">
        <v>2</v>
      </c>
      <c r="F25" s="15">
        <v>727262</v>
      </c>
      <c r="G25" s="15">
        <v>2958997</v>
      </c>
      <c r="H25" s="15">
        <v>1645796</v>
      </c>
      <c r="I25" s="15">
        <v>1728685</v>
      </c>
      <c r="J25" s="15">
        <v>311778</v>
      </c>
      <c r="K25" s="15">
        <f t="shared" si="13"/>
        <v>0</v>
      </c>
      <c r="M25" s="15">
        <v>19346396900</v>
      </c>
      <c r="N25" s="16">
        <v>56</v>
      </c>
      <c r="O25" s="17">
        <f t="shared" si="6"/>
        <v>1083398226400</v>
      </c>
      <c r="R25" s="15">
        <v>-241027</v>
      </c>
      <c r="S25" s="1" t="str">
        <f t="shared" si="1"/>
        <v/>
      </c>
      <c r="T25" s="18">
        <f t="shared" si="7"/>
        <v>0.44189073250876781</v>
      </c>
      <c r="U25" s="18">
        <f t="shared" si="8"/>
        <v>-6.538525914755311E-2</v>
      </c>
      <c r="V25" s="18">
        <f t="shared" si="9"/>
        <v>-0.77307250671952477</v>
      </c>
      <c r="W25" s="18">
        <f t="shared" si="10"/>
        <v>0.91542156967266819</v>
      </c>
      <c r="X25" s="18">
        <f t="shared" si="11"/>
        <v>10.823345457344649</v>
      </c>
      <c r="Y25" s="19">
        <f t="shared" si="12"/>
        <v>-0.24917782499818922</v>
      </c>
      <c r="Z25" s="19">
        <f t="shared" si="2"/>
        <v>0</v>
      </c>
      <c r="AA25" s="19">
        <f t="shared" si="3"/>
        <v>0</v>
      </c>
      <c r="AB25" s="19">
        <f t="shared" si="4"/>
        <v>321056.25321345712</v>
      </c>
      <c r="AC25" s="19">
        <f t="shared" si="5"/>
        <v>0</v>
      </c>
    </row>
    <row r="26" spans="1:44" x14ac:dyDescent="0.25">
      <c r="A26" s="6" t="s">
        <v>30</v>
      </c>
      <c r="B26" s="64"/>
      <c r="C26" s="7"/>
      <c r="D26" s="61"/>
      <c r="E26" s="6" t="s">
        <v>1</v>
      </c>
      <c r="F26" s="15">
        <v>680147</v>
      </c>
      <c r="G26" s="15">
        <v>3204420</v>
      </c>
      <c r="H26" s="15">
        <v>1787544</v>
      </c>
      <c r="I26" s="15">
        <v>2063329</v>
      </c>
      <c r="J26" s="15">
        <v>33694</v>
      </c>
      <c r="K26" s="15">
        <f t="shared" si="13"/>
        <v>0</v>
      </c>
      <c r="M26" s="15">
        <v>19346396900</v>
      </c>
      <c r="N26" s="16">
        <v>50</v>
      </c>
      <c r="O26" s="17">
        <f t="shared" si="6"/>
        <v>967319845000</v>
      </c>
      <c r="R26" s="15">
        <v>-114827</v>
      </c>
      <c r="S26" s="1" t="str">
        <f t="shared" si="1"/>
        <v/>
      </c>
      <c r="T26" s="18">
        <f t="shared" si="7"/>
        <v>0.38049245221376371</v>
      </c>
      <c r="U26" s="18">
        <f t="shared" si="8"/>
        <v>-2.9559793922977775E-2</v>
      </c>
      <c r="V26" s="18">
        <f t="shared" si="9"/>
        <v>-3.4079361310619101</v>
      </c>
      <c r="W26" s="18">
        <f t="shared" si="10"/>
        <v>0.99132618899352232</v>
      </c>
      <c r="X26" s="18">
        <f t="shared" si="11"/>
        <v>114.28957677924853</v>
      </c>
      <c r="Y26" s="19">
        <f t="shared" si="12"/>
        <v>-0.28507604579866946</v>
      </c>
      <c r="Z26" s="19">
        <f t="shared" si="2"/>
        <v>0</v>
      </c>
      <c r="AA26" s="19">
        <f t="shared" si="3"/>
        <v>0</v>
      </c>
      <c r="AB26" s="19">
        <f t="shared" si="4"/>
        <v>251194.94852206239</v>
      </c>
      <c r="AC26" s="19">
        <f t="shared" si="5"/>
        <v>0</v>
      </c>
    </row>
    <row r="27" spans="1:44" x14ac:dyDescent="0.25">
      <c r="A27" s="6" t="s">
        <v>31</v>
      </c>
      <c r="B27" s="64"/>
      <c r="C27" s="7"/>
      <c r="D27" s="61" t="s">
        <v>63</v>
      </c>
      <c r="E27" s="6" t="s">
        <v>3</v>
      </c>
      <c r="F27" s="15">
        <v>687016688458</v>
      </c>
      <c r="G27" s="15">
        <v>909449859204</v>
      </c>
      <c r="H27" s="15">
        <v>682161682936</v>
      </c>
      <c r="I27" s="15">
        <v>221302982166</v>
      </c>
      <c r="J27" s="15">
        <v>693001882560</v>
      </c>
      <c r="K27" s="15">
        <f t="shared" si="13"/>
        <v>0</v>
      </c>
      <c r="L27" s="15">
        <v>43275104276</v>
      </c>
      <c r="N27" s="16">
        <v>170</v>
      </c>
      <c r="O27" s="17">
        <f t="shared" si="6"/>
        <v>0</v>
      </c>
      <c r="P27" s="15">
        <v>366709612329</v>
      </c>
      <c r="Q27" s="15">
        <f>3969936660+44247927621</f>
        <v>48217864281</v>
      </c>
      <c r="R27" s="15">
        <v>-2690964318</v>
      </c>
      <c r="S27" s="1" t="str">
        <f t="shared" si="1"/>
        <v/>
      </c>
      <c r="T27" s="18">
        <f t="shared" si="7"/>
        <v>1.0071170891644108</v>
      </c>
      <c r="U27" s="18">
        <f t="shared" si="8"/>
        <v>-1.6855751358779642E-3</v>
      </c>
      <c r="V27" s="18">
        <f t="shared" si="9"/>
        <v>-3.883054845478023E-3</v>
      </c>
      <c r="W27" s="18">
        <f t="shared" si="10"/>
        <v>0.56591518715196987</v>
      </c>
      <c r="X27" s="18">
        <f t="shared" si="11"/>
        <v>1.3036972739013855</v>
      </c>
      <c r="Y27" s="19">
        <f t="shared" si="12"/>
        <v>3.0410944276346276E-3</v>
      </c>
      <c r="Z27" s="19">
        <f>L27/(F27+G27)</f>
        <v>2.7106803045372736E-2</v>
      </c>
      <c r="AA27" s="19">
        <f t="shared" si="3"/>
        <v>3.0202865416512674E-2</v>
      </c>
      <c r="AB27" s="19">
        <f t="shared" si="4"/>
        <v>0</v>
      </c>
      <c r="AC27" s="19">
        <f t="shared" si="5"/>
        <v>0.22970078068096098</v>
      </c>
    </row>
    <row r="28" spans="1:44" x14ac:dyDescent="0.25">
      <c r="A28" s="6" t="s">
        <v>32</v>
      </c>
      <c r="B28" s="64"/>
      <c r="C28" s="7"/>
      <c r="D28" s="61"/>
      <c r="E28" s="6" t="s">
        <v>4</v>
      </c>
      <c r="F28" s="15">
        <v>651105193487</v>
      </c>
      <c r="G28" s="15">
        <v>891138527815</v>
      </c>
      <c r="H28" s="15">
        <v>650095154148</v>
      </c>
      <c r="I28" s="15">
        <v>215743263746</v>
      </c>
      <c r="J28" s="15">
        <v>676405303408</v>
      </c>
      <c r="K28" s="15">
        <f t="shared" si="13"/>
        <v>0</v>
      </c>
      <c r="L28" s="15">
        <v>40048836002</v>
      </c>
      <c r="N28" s="16">
        <v>220</v>
      </c>
      <c r="O28" s="17">
        <f t="shared" si="6"/>
        <v>0</v>
      </c>
      <c r="P28" s="15">
        <v>348471154143</v>
      </c>
      <c r="Q28" s="15">
        <f>4006380783+44553317616</f>
        <v>48559698399</v>
      </c>
      <c r="R28" s="15">
        <v>3226268273</v>
      </c>
      <c r="S28" s="1" t="str">
        <f t="shared" si="1"/>
        <v/>
      </c>
      <c r="T28" s="18">
        <f t="shared" si="7"/>
        <v>1.0015536792307331</v>
      </c>
      <c r="U28" s="18">
        <f t="shared" si="8"/>
        <v>2.091931533542769E-3</v>
      </c>
      <c r="V28" s="18">
        <f t="shared" si="9"/>
        <v>4.7697264594833482E-3</v>
      </c>
      <c r="W28" s="18">
        <f t="shared" si="10"/>
        <v>0.56141477895791847</v>
      </c>
      <c r="X28" s="18">
        <f t="shared" si="11"/>
        <v>1.2800585884403335</v>
      </c>
      <c r="Y28" s="19">
        <f t="shared" si="12"/>
        <v>6.5491551370836507E-4</v>
      </c>
      <c r="Z28" s="19">
        <f t="shared" ref="Z28:Z31" si="14">L28/(F28+G28)</f>
        <v>2.5967903418137952E-2</v>
      </c>
      <c r="AA28" s="19">
        <f t="shared" si="3"/>
        <v>3.1486397207054088E-2</v>
      </c>
      <c r="AB28" s="19">
        <f t="shared" si="4"/>
        <v>0</v>
      </c>
      <c r="AC28" s="19">
        <f t="shared" si="5"/>
        <v>0.2259507685651734</v>
      </c>
    </row>
    <row r="29" spans="1:44" x14ac:dyDescent="0.25">
      <c r="A29" s="6" t="s">
        <v>33</v>
      </c>
      <c r="B29" s="64"/>
      <c r="C29" s="7"/>
      <c r="D29" s="61"/>
      <c r="E29" s="6" t="s">
        <v>5</v>
      </c>
      <c r="F29" s="15">
        <v>639455076770</v>
      </c>
      <c r="G29" s="15">
        <v>996087944744</v>
      </c>
      <c r="H29" s="15">
        <v>776997095215</v>
      </c>
      <c r="I29" s="15">
        <v>170416738315</v>
      </c>
      <c r="J29" s="15">
        <v>688129187984</v>
      </c>
      <c r="K29" s="15">
        <f t="shared" si="13"/>
        <v>0</v>
      </c>
      <c r="L29" s="15">
        <v>50771746571</v>
      </c>
      <c r="N29" s="16">
        <v>177</v>
      </c>
      <c r="O29" s="17">
        <f t="shared" si="6"/>
        <v>0</v>
      </c>
      <c r="P29" s="15">
        <v>574869742811</v>
      </c>
      <c r="Q29" s="15">
        <f>8159520050+53350394085</f>
        <v>61509914135</v>
      </c>
      <c r="R29" s="15">
        <v>6357160962</v>
      </c>
      <c r="S29" s="1" t="str">
        <f t="shared" si="1"/>
        <v/>
      </c>
      <c r="T29" s="18">
        <f t="shared" si="7"/>
        <v>0.82298258347163933</v>
      </c>
      <c r="U29" s="18">
        <f t="shared" si="8"/>
        <v>3.8868809186781662E-3</v>
      </c>
      <c r="V29" s="18">
        <f t="shared" si="9"/>
        <v>9.238324827674383E-3</v>
      </c>
      <c r="W29" s="18">
        <f t="shared" si="10"/>
        <v>0.57926561458040515</v>
      </c>
      <c r="X29" s="18">
        <f t="shared" si="11"/>
        <v>1.3767964650731088</v>
      </c>
      <c r="Y29" s="19">
        <f t="shared" si="12"/>
        <v>-8.4095628568473371E-2</v>
      </c>
      <c r="Z29" s="19">
        <f t="shared" si="14"/>
        <v>3.104274598903628E-2</v>
      </c>
      <c r="AA29" s="19">
        <f t="shared" si="3"/>
        <v>3.7608252015322169E-2</v>
      </c>
      <c r="AB29" s="19">
        <f t="shared" si="4"/>
        <v>0</v>
      </c>
      <c r="AC29" s="19">
        <f t="shared" si="5"/>
        <v>0.35148555265690956</v>
      </c>
    </row>
    <row r="30" spans="1:44" x14ac:dyDescent="0.25">
      <c r="A30" s="6" t="s">
        <v>34</v>
      </c>
      <c r="B30" s="64"/>
      <c r="C30" s="7"/>
      <c r="D30" s="61"/>
      <c r="E30" s="6" t="s">
        <v>2</v>
      </c>
      <c r="F30" s="15">
        <v>545073353346</v>
      </c>
      <c r="G30" s="15">
        <v>1112053916452</v>
      </c>
      <c r="H30" s="15">
        <v>906030161468</v>
      </c>
      <c r="I30" s="15">
        <v>105372134985</v>
      </c>
      <c r="J30" s="15">
        <v>645724973345</v>
      </c>
      <c r="K30" s="15">
        <f t="shared" si="13"/>
        <v>0</v>
      </c>
      <c r="L30" s="15">
        <v>8627238346</v>
      </c>
      <c r="N30" s="16">
        <v>136</v>
      </c>
      <c r="O30" s="17">
        <f t="shared" si="6"/>
        <v>0</v>
      </c>
      <c r="P30" s="15">
        <v>340551346399</v>
      </c>
      <c r="Q30" s="15">
        <f>-53777720146+63495263013</f>
        <v>9717542867</v>
      </c>
      <c r="R30" s="15">
        <v>-43624116829</v>
      </c>
      <c r="S30" s="1" t="str">
        <f t="shared" si="1"/>
        <v/>
      </c>
      <c r="T30" s="18">
        <f t="shared" si="7"/>
        <v>0.60160618986772152</v>
      </c>
      <c r="U30" s="18">
        <f t="shared" ref="U30:U31" si="15">R30/(F30+G30)</f>
        <v>-2.6325145704902724E-2</v>
      </c>
      <c r="V30" s="18">
        <f t="shared" ref="V30:V31" si="16">R30/J30</f>
        <v>-6.7558354763665562E-2</v>
      </c>
      <c r="W30" s="18">
        <f t="shared" si="10"/>
        <v>0.6103347129012533</v>
      </c>
      <c r="X30" s="18">
        <f t="shared" si="11"/>
        <v>1.5663050651637485</v>
      </c>
      <c r="Y30" s="19">
        <f t="shared" si="12"/>
        <v>-0.21782081237852044</v>
      </c>
      <c r="Z30" s="19">
        <f t="shared" si="14"/>
        <v>5.2061410751219131E-3</v>
      </c>
      <c r="AA30" s="19">
        <f t="shared" si="3"/>
        <v>5.864089647251141E-3</v>
      </c>
      <c r="AB30" s="19">
        <f t="shared" si="4"/>
        <v>0</v>
      </c>
      <c r="AC30" s="19">
        <f t="shared" si="5"/>
        <v>0.20550705585848722</v>
      </c>
    </row>
    <row r="31" spans="1:44" x14ac:dyDescent="0.25">
      <c r="A31" s="6" t="s">
        <v>35</v>
      </c>
      <c r="B31" s="64"/>
      <c r="C31" s="7"/>
      <c r="D31" s="61"/>
      <c r="E31" s="6" t="s">
        <v>1</v>
      </c>
      <c r="F31" s="15">
        <v>478672990906</v>
      </c>
      <c r="G31" s="15">
        <v>1190249589615</v>
      </c>
      <c r="H31" s="15">
        <v>201156971704</v>
      </c>
      <c r="I31" s="15">
        <v>947914301633</v>
      </c>
      <c r="J31" s="15">
        <v>519851307184</v>
      </c>
      <c r="K31" s="15">
        <f t="shared" si="13"/>
        <v>0</v>
      </c>
      <c r="L31" s="15">
        <v>3678758995</v>
      </c>
      <c r="N31" s="16">
        <v>122</v>
      </c>
      <c r="O31" s="17">
        <f t="shared" si="6"/>
        <v>0</v>
      </c>
      <c r="P31" s="15">
        <v>300527048812</v>
      </c>
      <c r="Q31" s="15">
        <f>703740254+19149393770</f>
        <v>19853134024</v>
      </c>
      <c r="R31" s="15">
        <v>-4948479351</v>
      </c>
      <c r="S31" s="1" t="str">
        <f t="shared" si="1"/>
        <v/>
      </c>
      <c r="T31" s="18">
        <f t="shared" si="7"/>
        <v>2.3795993091920344</v>
      </c>
      <c r="U31" s="18">
        <f t="shared" si="15"/>
        <v>-2.9650742393665715E-3</v>
      </c>
      <c r="V31" s="18">
        <f t="shared" si="16"/>
        <v>-9.5190283887244299E-3</v>
      </c>
      <c r="W31" s="18">
        <f t="shared" si="10"/>
        <v>0.68851083132824886</v>
      </c>
      <c r="X31" s="18">
        <f t="shared" si="11"/>
        <v>2.2103845031407978</v>
      </c>
      <c r="Y31" s="19">
        <f t="shared" si="12"/>
        <v>0.16628453736623647</v>
      </c>
      <c r="Z31" s="19">
        <f t="shared" si="14"/>
        <v>2.2042718086129403E-3</v>
      </c>
      <c r="AA31" s="19">
        <f t="shared" si="3"/>
        <v>1.1895778902938865E-2</v>
      </c>
      <c r="AB31" s="19">
        <f t="shared" si="4"/>
        <v>0</v>
      </c>
      <c r="AC31" s="19">
        <f t="shared" si="5"/>
        <v>0.18007249246887308</v>
      </c>
    </row>
    <row r="32" spans="1:44" s="32" customFormat="1" x14ac:dyDescent="0.25">
      <c r="A32" s="26"/>
      <c r="B32" s="27"/>
      <c r="C32" s="27"/>
      <c r="D32" s="28"/>
      <c r="E32" s="26"/>
      <c r="F32" s="29"/>
      <c r="G32" s="29"/>
      <c r="H32" s="29"/>
      <c r="I32" s="29"/>
      <c r="J32" s="29"/>
      <c r="K32" s="29"/>
      <c r="L32" s="29"/>
      <c r="M32" s="29"/>
      <c r="N32" s="30"/>
      <c r="O32" s="29"/>
      <c r="P32" s="29"/>
      <c r="Q32" s="29"/>
      <c r="R32" s="29"/>
      <c r="S32" s="29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5"/>
      <c r="AF32" s="31"/>
      <c r="AM32" s="47"/>
      <c r="AN32" s="47"/>
      <c r="AO32" s="47"/>
      <c r="AP32" s="47"/>
      <c r="AQ32" s="47"/>
      <c r="AR32" s="45"/>
    </row>
    <row r="33" spans="1:47" s="53" customFormat="1" x14ac:dyDescent="0.25">
      <c r="A33" s="48"/>
      <c r="B33" s="49"/>
      <c r="C33" s="49"/>
      <c r="D33" s="23"/>
      <c r="E33" s="48"/>
      <c r="F33" s="50"/>
      <c r="G33" s="50"/>
      <c r="H33" s="50"/>
      <c r="I33" s="50"/>
      <c r="J33" s="50"/>
      <c r="K33" s="50"/>
      <c r="L33" s="50"/>
      <c r="M33" s="50"/>
      <c r="N33" s="51"/>
      <c r="O33" s="50"/>
      <c r="P33" s="50"/>
      <c r="Q33" s="50"/>
      <c r="R33" s="50"/>
      <c r="S33" s="50"/>
      <c r="T33" s="39"/>
      <c r="U33" s="39"/>
      <c r="V33" s="39"/>
      <c r="W33" s="39"/>
      <c r="X33" s="39"/>
      <c r="Y33" s="14" t="s">
        <v>61</v>
      </c>
      <c r="Z33" s="14" t="s">
        <v>64</v>
      </c>
      <c r="AA33" s="14" t="s">
        <v>65</v>
      </c>
      <c r="AB33" s="14" t="s">
        <v>66</v>
      </c>
      <c r="AC33" s="14" t="s">
        <v>67</v>
      </c>
      <c r="AD33" s="39"/>
      <c r="AE33" s="52"/>
      <c r="AF33" s="39"/>
      <c r="AH33" s="53" t="s">
        <v>279</v>
      </c>
      <c r="AI33" s="53" t="s">
        <v>280</v>
      </c>
      <c r="AJ33" s="53" t="s">
        <v>281</v>
      </c>
      <c r="AK33" s="53" t="s">
        <v>282</v>
      </c>
      <c r="AL33" s="53" t="s">
        <v>283</v>
      </c>
      <c r="AM33" s="54" t="s">
        <v>61</v>
      </c>
      <c r="AN33" s="54" t="s">
        <v>64</v>
      </c>
      <c r="AO33" s="54" t="s">
        <v>65</v>
      </c>
      <c r="AP33" s="54" t="s">
        <v>66</v>
      </c>
      <c r="AQ33" s="54" t="s">
        <v>67</v>
      </c>
      <c r="AR33" s="54" t="s">
        <v>207</v>
      </c>
    </row>
    <row r="34" spans="1:47" x14ac:dyDescent="0.25">
      <c r="A34" s="6" t="s">
        <v>36</v>
      </c>
      <c r="B34" s="62"/>
      <c r="C34" s="62"/>
      <c r="D34" s="65" t="s">
        <v>70</v>
      </c>
      <c r="E34" s="6" t="s">
        <v>3</v>
      </c>
      <c r="F34" s="15">
        <v>87547</v>
      </c>
      <c r="G34" s="15">
        <v>117162</v>
      </c>
      <c r="H34" s="15">
        <v>87257</v>
      </c>
      <c r="I34" s="15">
        <v>19508</v>
      </c>
      <c r="J34" s="15">
        <v>97944</v>
      </c>
      <c r="K34" s="15">
        <f t="shared" si="13"/>
        <v>0</v>
      </c>
      <c r="L34" s="15">
        <f>(-111914)</f>
        <v>-111914</v>
      </c>
      <c r="M34" s="15">
        <v>5566414000</v>
      </c>
      <c r="N34" s="16">
        <v>129</v>
      </c>
      <c r="O34" s="17">
        <f>M34*N34</f>
        <v>718067406000</v>
      </c>
      <c r="P34" s="15">
        <v>441825</v>
      </c>
      <c r="Q34" s="15">
        <f>4389+132</f>
        <v>4521</v>
      </c>
      <c r="R34" s="15">
        <v>2169</v>
      </c>
      <c r="S34" s="1" t="str">
        <f t="shared" si="1"/>
        <v/>
      </c>
      <c r="T34" s="18">
        <f t="shared" si="7"/>
        <v>1.0033235155918723</v>
      </c>
      <c r="U34" s="18">
        <f t="shared" ref="U34" si="17">R34/(F34+G34)</f>
        <v>1.0595528286494488E-2</v>
      </c>
      <c r="V34" s="18">
        <f t="shared" ref="V34" si="18">R34/J34</f>
        <v>2.2145307522666014E-2</v>
      </c>
      <c r="W34" s="18">
        <f t="shared" si="10"/>
        <v>0.5215452178458202</v>
      </c>
      <c r="X34" s="18">
        <f t="shared" si="11"/>
        <v>1.0900616678918567</v>
      </c>
      <c r="Y34" s="19">
        <f>(F34-H34)/(F34+G34)</f>
        <v>1.4166450913247585E-3</v>
      </c>
      <c r="Z34" s="19">
        <f t="shared" ref="Z34" si="19">L34/(F34+G34)</f>
        <v>-0.54669799569144495</v>
      </c>
      <c r="AA34" s="19">
        <f t="shared" si="3"/>
        <v>2.2085008475445634E-2</v>
      </c>
      <c r="AB34" s="19">
        <f>(M34*N34)/(H34+I34)</f>
        <v>6725681.6934388606</v>
      </c>
      <c r="AC34" s="19">
        <f t="shared" si="5"/>
        <v>2.1583076464640052</v>
      </c>
      <c r="AD34" s="40">
        <v>13369</v>
      </c>
      <c r="AE34" s="34">
        <v>1000</v>
      </c>
      <c r="AF34" s="41">
        <f>O34/($AD34*AE34*(H34+I34))</f>
        <v>0.50308038697276247</v>
      </c>
      <c r="AH34" s="42">
        <v>1.2</v>
      </c>
      <c r="AI34" s="42">
        <v>1.4</v>
      </c>
      <c r="AJ34" s="42">
        <v>3.3</v>
      </c>
      <c r="AK34" s="42">
        <v>0.6</v>
      </c>
      <c r="AL34" s="42">
        <v>1</v>
      </c>
      <c r="AM34" s="44">
        <f t="shared" ref="AM34:AM65" si="20">AH34*Y34</f>
        <v>1.6999741095897103E-3</v>
      </c>
      <c r="AN34" s="44">
        <f t="shared" ref="AN34:AN65" si="21">AI34*Z34</f>
        <v>-0.76537719396802284</v>
      </c>
      <c r="AO34" s="44">
        <f t="shared" ref="AO34:AO65" si="22">AJ34*AA34</f>
        <v>7.2880527968970585E-2</v>
      </c>
      <c r="AP34" s="44">
        <f t="shared" ref="AP34:AP65" si="23">AK34*AF34</f>
        <v>0.30184823218365747</v>
      </c>
      <c r="AQ34" s="44">
        <f t="shared" ref="AQ34:AQ65" si="24">AL34*AC34</f>
        <v>2.1583076464640052</v>
      </c>
      <c r="AR34" s="44">
        <f t="shared" ref="AR34:AR65" si="25">AM34+AN34+AO34+AP34+AQ34</f>
        <v>1.7693591867582001</v>
      </c>
      <c r="AS34" s="67" t="s">
        <v>70</v>
      </c>
      <c r="AT34" s="8" t="str">
        <f>IF(AR34&lt;1.8,"financial distress",IF(AR34&gt;2.9,"aman","grey area"))</f>
        <v>financial distress</v>
      </c>
      <c r="AU34" s="6" t="s">
        <v>6</v>
      </c>
    </row>
    <row r="35" spans="1:47" x14ac:dyDescent="0.25">
      <c r="A35" s="6" t="s">
        <v>37</v>
      </c>
      <c r="B35" s="62"/>
      <c r="C35" s="62"/>
      <c r="D35" s="65"/>
      <c r="E35" s="6" t="s">
        <v>4</v>
      </c>
      <c r="F35" s="15">
        <v>87720</v>
      </c>
      <c r="G35" s="15">
        <v>104137</v>
      </c>
      <c r="H35" s="15">
        <v>78404</v>
      </c>
      <c r="I35" s="15">
        <v>17551</v>
      </c>
      <c r="J35" s="15">
        <v>95902</v>
      </c>
      <c r="K35" s="15">
        <f t="shared" si="13"/>
        <v>0</v>
      </c>
      <c r="L35" s="15">
        <f>(-113956)</f>
        <v>-113956</v>
      </c>
      <c r="M35" s="15">
        <v>5566414000</v>
      </c>
      <c r="N35" s="16">
        <v>188</v>
      </c>
      <c r="O35" s="17">
        <f t="shared" si="6"/>
        <v>1046485832000</v>
      </c>
      <c r="P35" s="15">
        <v>433346</v>
      </c>
      <c r="Q35" s="15">
        <f>-2206+82</f>
        <v>-2124</v>
      </c>
      <c r="R35" s="15">
        <v>-1746</v>
      </c>
      <c r="S35" s="1" t="str">
        <f t="shared" si="1"/>
        <v>X</v>
      </c>
      <c r="T35" s="18">
        <f t="shared" ref="T35:T53" si="26">F35/H35</f>
        <v>1.1188204683434519</v>
      </c>
      <c r="U35" s="18">
        <f t="shared" ref="U35:U53" si="27">R35/(F35+G35)</f>
        <v>-9.1005279974147417E-3</v>
      </c>
      <c r="V35" s="18">
        <f t="shared" ref="V35:V53" si="28">R35/J35</f>
        <v>-1.8206085378824215E-2</v>
      </c>
      <c r="W35" s="18">
        <f t="shared" ref="W35:W53" si="29">(H35+I35)/(F35+G35)</f>
        <v>0.50013812370671906</v>
      </c>
      <c r="X35" s="18">
        <f t="shared" ref="X35:X53" si="30">(H35+I35)/J35</f>
        <v>1.0005526474943172</v>
      </c>
      <c r="Y35" s="19">
        <f t="shared" ref="Y35:Y93" si="31">(F35-H35)/(F35+G35)</f>
        <v>4.8556998180936846E-2</v>
      </c>
      <c r="Z35" s="19">
        <f t="shared" ref="Z35:Z38" si="32">L35/(F35+G35)</f>
        <v>-0.59396321218407455</v>
      </c>
      <c r="AA35" s="19">
        <f t="shared" si="3"/>
        <v>-1.1070745398916901E-2</v>
      </c>
      <c r="AB35" s="19">
        <f t="shared" si="4"/>
        <v>10906006.273774166</v>
      </c>
      <c r="AC35" s="19">
        <f t="shared" si="5"/>
        <v>2.2586926721464424</v>
      </c>
      <c r="AD35" s="40">
        <v>13480</v>
      </c>
      <c r="AE35" s="34">
        <v>1000</v>
      </c>
      <c r="AF35" s="41">
        <f t="shared" ref="AF35:AF43" si="33">O35/($AD35*AE35*(H35+I35))</f>
        <v>0.80905091051737132</v>
      </c>
      <c r="AH35" s="42">
        <v>1.2</v>
      </c>
      <c r="AI35" s="42">
        <v>1.4</v>
      </c>
      <c r="AJ35" s="42">
        <v>3.3</v>
      </c>
      <c r="AK35" s="42">
        <v>0.6</v>
      </c>
      <c r="AL35" s="42">
        <v>1</v>
      </c>
      <c r="AM35" s="44">
        <f t="shared" si="20"/>
        <v>5.8268397817124215E-2</v>
      </c>
      <c r="AN35" s="44">
        <f t="shared" si="21"/>
        <v>-0.83154849705770428</v>
      </c>
      <c r="AO35" s="44">
        <f t="shared" si="22"/>
        <v>-3.6533459816425772E-2</v>
      </c>
      <c r="AP35" s="44">
        <f t="shared" si="23"/>
        <v>0.48543054631042276</v>
      </c>
      <c r="AQ35" s="44">
        <f t="shared" si="24"/>
        <v>2.2586926721464424</v>
      </c>
      <c r="AR35" s="44">
        <f t="shared" si="25"/>
        <v>1.9343096593998594</v>
      </c>
      <c r="AS35" s="67"/>
      <c r="AT35" s="8" t="str">
        <f>IF(AR35&lt;1.8,"financial distress",IF(AR35&gt;2.9,"safe","grey area"))</f>
        <v>grey area</v>
      </c>
      <c r="AU35" s="6" t="s">
        <v>7</v>
      </c>
    </row>
    <row r="36" spans="1:47" x14ac:dyDescent="0.25">
      <c r="A36" s="6" t="s">
        <v>38</v>
      </c>
      <c r="B36" s="62"/>
      <c r="C36" s="62"/>
      <c r="D36" s="65"/>
      <c r="E36" s="6" t="s">
        <v>5</v>
      </c>
      <c r="F36" s="15">
        <v>92279</v>
      </c>
      <c r="G36" s="15">
        <v>103547</v>
      </c>
      <c r="H36" s="15">
        <v>79199</v>
      </c>
      <c r="I36" s="15">
        <v>14092</v>
      </c>
      <c r="J36" s="15">
        <v>102535</v>
      </c>
      <c r="K36" s="15">
        <f t="shared" si="13"/>
        <v>0</v>
      </c>
      <c r="L36" s="15">
        <f>(-107323)</f>
        <v>-107323</v>
      </c>
      <c r="M36" s="15">
        <v>5566414000</v>
      </c>
      <c r="N36" s="16">
        <v>160</v>
      </c>
      <c r="O36" s="17">
        <f t="shared" si="6"/>
        <v>890626240000</v>
      </c>
      <c r="P36" s="15">
        <v>433868</v>
      </c>
      <c r="Q36" s="15">
        <f>8562+64</f>
        <v>8626</v>
      </c>
      <c r="R36" s="15">
        <v>6125</v>
      </c>
      <c r="S36" s="1" t="str">
        <f t="shared" si="1"/>
        <v/>
      </c>
      <c r="T36" s="18">
        <f t="shared" si="26"/>
        <v>1.1651536004242478</v>
      </c>
      <c r="U36" s="18">
        <f t="shared" si="27"/>
        <v>3.127776699723224E-2</v>
      </c>
      <c r="V36" s="18">
        <f t="shared" si="28"/>
        <v>5.9735700004876387E-2</v>
      </c>
      <c r="W36" s="18">
        <f t="shared" si="29"/>
        <v>0.47639741403082331</v>
      </c>
      <c r="X36" s="18">
        <f t="shared" si="30"/>
        <v>0.90984541863753843</v>
      </c>
      <c r="Y36" s="19">
        <f t="shared" si="31"/>
        <v>6.6793990583477167E-2</v>
      </c>
      <c r="Z36" s="19">
        <f t="shared" si="32"/>
        <v>-0.54805286325615599</v>
      </c>
      <c r="AA36" s="19">
        <f t="shared" ref="AA36:AA63" si="34">Q36/(F36+G36)</f>
        <v>4.4049309080510246E-2</v>
      </c>
      <c r="AB36" s="19">
        <f t="shared" ref="AB36:AB63" si="35">(M36*N36)/(H36+I36)</f>
        <v>9546754.1349111926</v>
      </c>
      <c r="AC36" s="19">
        <f t="shared" si="5"/>
        <v>2.2155791365804336</v>
      </c>
      <c r="AD36" s="40">
        <v>14409</v>
      </c>
      <c r="AE36" s="34">
        <v>1000</v>
      </c>
      <c r="AF36" s="41">
        <f t="shared" si="33"/>
        <v>0.66255494030891748</v>
      </c>
      <c r="AH36" s="42">
        <v>1.2</v>
      </c>
      <c r="AI36" s="42">
        <v>1.4</v>
      </c>
      <c r="AJ36" s="42">
        <v>3.3</v>
      </c>
      <c r="AK36" s="42">
        <v>0.6</v>
      </c>
      <c r="AL36" s="42">
        <v>1</v>
      </c>
      <c r="AM36" s="44">
        <f t="shared" si="20"/>
        <v>8.0152788700172603E-2</v>
      </c>
      <c r="AN36" s="44">
        <f t="shared" si="21"/>
        <v>-0.76727400855861838</v>
      </c>
      <c r="AO36" s="44">
        <f t="shared" si="22"/>
        <v>0.14536271996568381</v>
      </c>
      <c r="AP36" s="44">
        <f t="shared" si="23"/>
        <v>0.3975329641853505</v>
      </c>
      <c r="AQ36" s="44">
        <f t="shared" si="24"/>
        <v>2.2155791365804336</v>
      </c>
      <c r="AR36" s="44">
        <f t="shared" si="25"/>
        <v>2.0713536008730222</v>
      </c>
      <c r="AS36" s="67"/>
      <c r="AT36" s="8" t="str">
        <f t="shared" ref="AT36:AT114" si="36">IF(AR36&lt;1.8,"financial distress",IF(AR36&gt;2.9,"safe","grey area"))</f>
        <v>grey area</v>
      </c>
      <c r="AU36" s="6" t="s">
        <v>8</v>
      </c>
    </row>
    <row r="37" spans="1:47" x14ac:dyDescent="0.25">
      <c r="A37" s="6" t="s">
        <v>39</v>
      </c>
      <c r="B37" s="62"/>
      <c r="C37" s="62"/>
      <c r="D37" s="65"/>
      <c r="E37" s="6" t="s">
        <v>2</v>
      </c>
      <c r="F37" s="15">
        <v>71356</v>
      </c>
      <c r="G37" s="15">
        <v>94372</v>
      </c>
      <c r="H37" s="15">
        <v>54106</v>
      </c>
      <c r="I37" s="15">
        <v>12426</v>
      </c>
      <c r="J37" s="15">
        <v>99196</v>
      </c>
      <c r="K37" s="15">
        <f t="shared" si="13"/>
        <v>0</v>
      </c>
      <c r="L37" s="15">
        <f>(-110662)</f>
        <v>-110662</v>
      </c>
      <c r="M37" s="15">
        <v>5566414000</v>
      </c>
      <c r="N37" s="16">
        <v>119</v>
      </c>
      <c r="O37" s="17">
        <f t="shared" si="6"/>
        <v>662403266000</v>
      </c>
      <c r="P37" s="15">
        <v>331945</v>
      </c>
      <c r="Q37" s="15">
        <f>-4333+52</f>
        <v>-4281</v>
      </c>
      <c r="R37" s="15">
        <v>-3286</v>
      </c>
      <c r="S37" s="1" t="str">
        <f t="shared" si="1"/>
        <v>X</v>
      </c>
      <c r="T37" s="18">
        <f t="shared" si="26"/>
        <v>1.3188186153106864</v>
      </c>
      <c r="U37" s="18">
        <f t="shared" si="27"/>
        <v>-1.9827669434253715E-2</v>
      </c>
      <c r="V37" s="18">
        <f t="shared" si="28"/>
        <v>-3.3126335739344329E-2</v>
      </c>
      <c r="W37" s="18">
        <f t="shared" si="29"/>
        <v>0.40145298320139022</v>
      </c>
      <c r="X37" s="18">
        <f t="shared" si="30"/>
        <v>0.67071252873099718</v>
      </c>
      <c r="Y37" s="19">
        <f t="shared" si="31"/>
        <v>0.10408621355474029</v>
      </c>
      <c r="Z37" s="19">
        <f t="shared" si="32"/>
        <v>-0.66773267039969109</v>
      </c>
      <c r="AA37" s="19">
        <f t="shared" si="34"/>
        <v>-2.5831482911759025E-2</v>
      </c>
      <c r="AB37" s="19">
        <f t="shared" si="35"/>
        <v>9956160.4340768345</v>
      </c>
      <c r="AC37" s="19">
        <f t="shared" si="5"/>
        <v>2.0029506178798995</v>
      </c>
      <c r="AD37" s="40">
        <v>13831</v>
      </c>
      <c r="AE37" s="34">
        <v>1000</v>
      </c>
      <c r="AF37" s="41">
        <f t="shared" si="33"/>
        <v>0.71984386046394588</v>
      </c>
      <c r="AH37" s="42">
        <v>1.2</v>
      </c>
      <c r="AI37" s="42">
        <v>1.4</v>
      </c>
      <c r="AJ37" s="42">
        <v>3.3</v>
      </c>
      <c r="AK37" s="42">
        <v>0.6</v>
      </c>
      <c r="AL37" s="42">
        <v>1</v>
      </c>
      <c r="AM37" s="44">
        <f t="shared" si="20"/>
        <v>0.12490345626568834</v>
      </c>
      <c r="AN37" s="44">
        <f t="shared" si="21"/>
        <v>-0.93482573855956741</v>
      </c>
      <c r="AO37" s="44">
        <f t="shared" si="22"/>
        <v>-8.5243893608804785E-2</v>
      </c>
      <c r="AP37" s="44">
        <f t="shared" si="23"/>
        <v>0.43190631627836751</v>
      </c>
      <c r="AQ37" s="44">
        <f t="shared" si="24"/>
        <v>2.0029506178798995</v>
      </c>
      <c r="AR37" s="44">
        <f t="shared" si="25"/>
        <v>1.539690758255583</v>
      </c>
      <c r="AS37" s="67"/>
      <c r="AT37" s="8" t="str">
        <f t="shared" si="36"/>
        <v>financial distress</v>
      </c>
      <c r="AU37" s="6" t="s">
        <v>9</v>
      </c>
    </row>
    <row r="38" spans="1:47" x14ac:dyDescent="0.25">
      <c r="A38" s="6" t="s">
        <v>40</v>
      </c>
      <c r="B38" s="62"/>
      <c r="C38" s="62"/>
      <c r="D38" s="65"/>
      <c r="E38" s="6" t="s">
        <v>1</v>
      </c>
      <c r="F38" s="15">
        <v>71563</v>
      </c>
      <c r="G38" s="15">
        <v>77814</v>
      </c>
      <c r="H38" s="15">
        <v>45164</v>
      </c>
      <c r="I38" s="15">
        <v>9051</v>
      </c>
      <c r="J38" s="15">
        <v>95162</v>
      </c>
      <c r="K38" s="15">
        <f t="shared" si="13"/>
        <v>0</v>
      </c>
      <c r="L38" s="15">
        <f>(-114830)</f>
        <v>-114830</v>
      </c>
      <c r="M38" s="15">
        <v>5566414000</v>
      </c>
      <c r="N38" s="16">
        <v>362</v>
      </c>
      <c r="O38" s="17">
        <f t="shared" si="6"/>
        <v>2015041868000</v>
      </c>
      <c r="P38" s="15">
        <v>309367</v>
      </c>
      <c r="Q38" s="15">
        <f>-7825+101</f>
        <v>-7724</v>
      </c>
      <c r="R38" s="15">
        <v>-4945</v>
      </c>
      <c r="S38" s="1" t="str">
        <f t="shared" si="1"/>
        <v>X</v>
      </c>
      <c r="T38" s="18">
        <f t="shared" si="26"/>
        <v>1.584514214861394</v>
      </c>
      <c r="U38" s="18">
        <f t="shared" si="27"/>
        <v>-3.3104159274854897E-2</v>
      </c>
      <c r="V38" s="18">
        <f t="shared" si="28"/>
        <v>-5.1964019251381853E-2</v>
      </c>
      <c r="W38" s="18">
        <f t="shared" si="29"/>
        <v>0.3629407472368571</v>
      </c>
      <c r="X38" s="18">
        <f t="shared" si="30"/>
        <v>0.56971270044765765</v>
      </c>
      <c r="Y38" s="19">
        <f t="shared" si="31"/>
        <v>0.17672734088915965</v>
      </c>
      <c r="Z38" s="19">
        <f t="shared" si="32"/>
        <v>-0.76872610910648898</v>
      </c>
      <c r="AA38" s="19">
        <f t="shared" si="34"/>
        <v>-5.1708094284930076E-2</v>
      </c>
      <c r="AB38" s="19">
        <f t="shared" si="35"/>
        <v>37167608.005164623</v>
      </c>
      <c r="AC38" s="19">
        <f t="shared" si="5"/>
        <v>2.0710484211090061</v>
      </c>
      <c r="AD38" s="40">
        <v>14034</v>
      </c>
      <c r="AE38" s="34">
        <v>1000</v>
      </c>
      <c r="AF38" s="41">
        <f t="shared" si="33"/>
        <v>2.6483973211603691</v>
      </c>
      <c r="AH38" s="42">
        <v>1.2</v>
      </c>
      <c r="AI38" s="42">
        <v>1.4</v>
      </c>
      <c r="AJ38" s="42">
        <v>3.3</v>
      </c>
      <c r="AK38" s="42">
        <v>0.6</v>
      </c>
      <c r="AL38" s="42">
        <v>1</v>
      </c>
      <c r="AM38" s="44">
        <f t="shared" si="20"/>
        <v>0.21207280906699158</v>
      </c>
      <c r="AN38" s="44">
        <f t="shared" si="21"/>
        <v>-1.0762165527490846</v>
      </c>
      <c r="AO38" s="44">
        <f t="shared" si="22"/>
        <v>-0.17063671114026924</v>
      </c>
      <c r="AP38" s="44">
        <f t="shared" si="23"/>
        <v>1.5890383926962215</v>
      </c>
      <c r="AQ38" s="44">
        <f t="shared" si="24"/>
        <v>2.0710484211090061</v>
      </c>
      <c r="AR38" s="44">
        <f t="shared" si="25"/>
        <v>2.6253063589828654</v>
      </c>
      <c r="AS38" s="67"/>
      <c r="AT38" s="8" t="str">
        <f t="shared" si="36"/>
        <v>grey area</v>
      </c>
      <c r="AU38" s="6" t="s">
        <v>10</v>
      </c>
    </row>
    <row r="39" spans="1:47" x14ac:dyDescent="0.25">
      <c r="A39" s="6" t="s">
        <v>41</v>
      </c>
      <c r="B39" s="62"/>
      <c r="C39" s="62"/>
      <c r="D39" s="63" t="s">
        <v>71</v>
      </c>
      <c r="E39" s="6" t="s">
        <v>3</v>
      </c>
      <c r="F39" s="15">
        <v>997324</v>
      </c>
      <c r="G39" s="15">
        <v>2939389</v>
      </c>
      <c r="H39" s="15">
        <v>1224501</v>
      </c>
      <c r="I39" s="15">
        <v>872535</v>
      </c>
      <c r="J39" s="15">
        <v>1839677</v>
      </c>
      <c r="K39" s="15">
        <f t="shared" si="13"/>
        <v>0</v>
      </c>
      <c r="L39" s="15">
        <f>-658631</f>
        <v>-658631</v>
      </c>
      <c r="M39" s="15">
        <v>19346396900</v>
      </c>
      <c r="N39" s="16">
        <v>770</v>
      </c>
      <c r="O39" s="17">
        <f t="shared" si="6"/>
        <v>14896725613000</v>
      </c>
      <c r="P39" s="15">
        <v>1344715</v>
      </c>
      <c r="Q39" s="15">
        <f>-191700+127651</f>
        <v>-64049</v>
      </c>
      <c r="R39" s="15">
        <v>-180724</v>
      </c>
      <c r="S39" s="1" t="str">
        <f t="shared" si="1"/>
        <v/>
      </c>
      <c r="T39" s="18">
        <f t="shared" si="26"/>
        <v>0.81447381423126641</v>
      </c>
      <c r="U39" s="18">
        <f t="shared" si="27"/>
        <v>-4.5907334367529459E-2</v>
      </c>
      <c r="V39" s="18">
        <f t="shared" si="28"/>
        <v>-9.8236810048720508E-2</v>
      </c>
      <c r="W39" s="18">
        <f t="shared" si="29"/>
        <v>0.53268704119401133</v>
      </c>
      <c r="X39" s="18">
        <f t="shared" si="30"/>
        <v>1.1398935791445999</v>
      </c>
      <c r="Y39" s="19">
        <f t="shared" si="31"/>
        <v>-5.7707280159869416E-2</v>
      </c>
      <c r="Z39" s="19">
        <f t="shared" ref="Z39:Z53" si="37">L39/(F39+G39)</f>
        <v>-0.16730480479526955</v>
      </c>
      <c r="AA39" s="19">
        <f t="shared" si="34"/>
        <v>-1.6269664565336614E-2</v>
      </c>
      <c r="AB39" s="19">
        <f t="shared" si="35"/>
        <v>7103705.2358662421</v>
      </c>
      <c r="AC39" s="19">
        <f t="shared" si="5"/>
        <v>0.34158319389805658</v>
      </c>
      <c r="AD39" s="40">
        <v>13369</v>
      </c>
      <c r="AE39" s="34">
        <v>1000</v>
      </c>
      <c r="AF39" s="41">
        <f t="shared" si="33"/>
        <v>0.53135651401497808</v>
      </c>
      <c r="AH39" s="42">
        <v>1.2</v>
      </c>
      <c r="AI39" s="42">
        <v>1.4</v>
      </c>
      <c r="AJ39" s="42">
        <v>3.3</v>
      </c>
      <c r="AK39" s="42">
        <v>0.6</v>
      </c>
      <c r="AL39" s="42">
        <v>1</v>
      </c>
      <c r="AM39" s="44">
        <f t="shared" si="20"/>
        <v>-6.9248736191843296E-2</v>
      </c>
      <c r="AN39" s="44">
        <f t="shared" si="21"/>
        <v>-0.23422672671337735</v>
      </c>
      <c r="AO39" s="44">
        <f t="shared" si="22"/>
        <v>-5.3689893065610825E-2</v>
      </c>
      <c r="AP39" s="44">
        <f t="shared" si="23"/>
        <v>0.31881390840898682</v>
      </c>
      <c r="AQ39" s="44">
        <f t="shared" si="24"/>
        <v>0.34158319389805658</v>
      </c>
      <c r="AR39" s="44">
        <f t="shared" si="25"/>
        <v>0.30323174633621192</v>
      </c>
      <c r="AS39" s="66" t="s">
        <v>71</v>
      </c>
      <c r="AT39" s="8" t="str">
        <f t="shared" si="36"/>
        <v>financial distress</v>
      </c>
      <c r="AU39" s="6" t="s">
        <v>11</v>
      </c>
    </row>
    <row r="40" spans="1:47" x14ac:dyDescent="0.25">
      <c r="A40" s="6" t="s">
        <v>42</v>
      </c>
      <c r="B40" s="62"/>
      <c r="C40" s="62"/>
      <c r="D40" s="63"/>
      <c r="E40" s="6" t="s">
        <v>4</v>
      </c>
      <c r="F40" s="15">
        <v>1021697</v>
      </c>
      <c r="G40" s="15">
        <v>3092689</v>
      </c>
      <c r="H40" s="15">
        <v>1361905</v>
      </c>
      <c r="I40" s="15">
        <v>899672</v>
      </c>
      <c r="J40" s="15">
        <v>1852809</v>
      </c>
      <c r="K40" s="15">
        <f t="shared" si="13"/>
        <v>0</v>
      </c>
      <c r="L40" s="15">
        <f>-750189</f>
        <v>-750189</v>
      </c>
      <c r="M40" s="15">
        <v>19346396900</v>
      </c>
      <c r="N40" s="16">
        <v>424</v>
      </c>
      <c r="O40" s="17">
        <f t="shared" si="6"/>
        <v>8202872285600</v>
      </c>
      <c r="P40" s="15">
        <v>1449020</v>
      </c>
      <c r="Q40" s="15">
        <f>-77931+99288</f>
        <v>21357</v>
      </c>
      <c r="R40" s="15">
        <v>-86097</v>
      </c>
      <c r="S40" s="1" t="str">
        <f t="shared" si="1"/>
        <v/>
      </c>
      <c r="T40" s="18">
        <f t="shared" si="26"/>
        <v>0.750196966748782</v>
      </c>
      <c r="U40" s="18">
        <f t="shared" si="27"/>
        <v>-2.0925844099216748E-2</v>
      </c>
      <c r="V40" s="18">
        <f t="shared" si="28"/>
        <v>-4.6468362362229461E-2</v>
      </c>
      <c r="W40" s="18">
        <f t="shared" si="29"/>
        <v>0.54967545582743083</v>
      </c>
      <c r="X40" s="18">
        <f t="shared" si="30"/>
        <v>1.2206206899901717</v>
      </c>
      <c r="Y40" s="19">
        <f t="shared" si="31"/>
        <v>-8.2687428938364074E-2</v>
      </c>
      <c r="Z40" s="19">
        <f t="shared" si="37"/>
        <v>-0.18233315979589665</v>
      </c>
      <c r="AA40" s="19">
        <f t="shared" si="34"/>
        <v>5.1908109739825089E-3</v>
      </c>
      <c r="AB40" s="19">
        <f t="shared" si="35"/>
        <v>3627058.5903553138</v>
      </c>
      <c r="AC40" s="19">
        <f t="shared" si="5"/>
        <v>0.3521837766315557</v>
      </c>
      <c r="AD40" s="40">
        <v>13480</v>
      </c>
      <c r="AE40" s="34">
        <v>1000</v>
      </c>
      <c r="AF40" s="41">
        <f t="shared" si="33"/>
        <v>0.26906962836463755</v>
      </c>
      <c r="AH40" s="42">
        <v>1.2</v>
      </c>
      <c r="AI40" s="42">
        <v>1.4</v>
      </c>
      <c r="AJ40" s="42">
        <v>3.3</v>
      </c>
      <c r="AK40" s="42">
        <v>0.6</v>
      </c>
      <c r="AL40" s="42">
        <v>1</v>
      </c>
      <c r="AM40" s="44">
        <f t="shared" si="20"/>
        <v>-9.9224914726036881E-2</v>
      </c>
      <c r="AN40" s="44">
        <f t="shared" si="21"/>
        <v>-0.25526642371425529</v>
      </c>
      <c r="AO40" s="44">
        <f t="shared" si="22"/>
        <v>1.712967621414228E-2</v>
      </c>
      <c r="AP40" s="44">
        <f t="shared" si="23"/>
        <v>0.16144177701878251</v>
      </c>
      <c r="AQ40" s="44">
        <f t="shared" si="24"/>
        <v>0.3521837766315557</v>
      </c>
      <c r="AR40" s="44">
        <f t="shared" si="25"/>
        <v>0.17626389142418833</v>
      </c>
      <c r="AS40" s="66"/>
      <c r="AT40" s="8" t="str">
        <f t="shared" si="36"/>
        <v>financial distress</v>
      </c>
      <c r="AU40" s="6" t="s">
        <v>12</v>
      </c>
    </row>
    <row r="41" spans="1:47" x14ac:dyDescent="0.25">
      <c r="A41" s="6" t="s">
        <v>43</v>
      </c>
      <c r="B41" s="62"/>
      <c r="C41" s="62"/>
      <c r="D41" s="63"/>
      <c r="E41" s="6" t="s">
        <v>5</v>
      </c>
      <c r="F41" s="15">
        <v>989720</v>
      </c>
      <c r="G41" s="15">
        <v>3308598</v>
      </c>
      <c r="H41" s="15">
        <v>1598675</v>
      </c>
      <c r="I41" s="15">
        <v>899430</v>
      </c>
      <c r="J41" s="15">
        <v>1800213</v>
      </c>
      <c r="K41" s="15">
        <f t="shared" si="13"/>
        <v>0</v>
      </c>
      <c r="L41" s="15">
        <f>-821407</f>
        <v>-821407</v>
      </c>
      <c r="M41" s="15">
        <v>19346396900</v>
      </c>
      <c r="N41" s="16">
        <v>402</v>
      </c>
      <c r="O41" s="17">
        <f t="shared" si="6"/>
        <v>7777251553800</v>
      </c>
      <c r="P41" s="15">
        <v>1739535</v>
      </c>
      <c r="Q41" s="15">
        <f>-78222+112334</f>
        <v>34112</v>
      </c>
      <c r="R41" s="15">
        <v>-77163</v>
      </c>
      <c r="S41" s="1" t="str">
        <f t="shared" si="1"/>
        <v/>
      </c>
      <c r="T41" s="18">
        <f t="shared" si="26"/>
        <v>0.61908768198664521</v>
      </c>
      <c r="U41" s="18">
        <f t="shared" si="27"/>
        <v>-1.7951905838516368E-2</v>
      </c>
      <c r="V41" s="18">
        <f t="shared" si="28"/>
        <v>-4.2863261180760275E-2</v>
      </c>
      <c r="W41" s="18">
        <f t="shared" si="29"/>
        <v>0.58118198793109299</v>
      </c>
      <c r="X41" s="18">
        <f t="shared" si="30"/>
        <v>1.3876719032692242</v>
      </c>
      <c r="Y41" s="19">
        <f t="shared" si="31"/>
        <v>-0.14167285901136212</v>
      </c>
      <c r="Z41" s="19">
        <f t="shared" si="37"/>
        <v>-0.19109963478737496</v>
      </c>
      <c r="AA41" s="19">
        <f t="shared" si="34"/>
        <v>7.9361275736229853E-3</v>
      </c>
      <c r="AB41" s="19">
        <f t="shared" si="35"/>
        <v>3113260.4729585024</v>
      </c>
      <c r="AC41" s="19">
        <f t="shared" si="5"/>
        <v>0.40470132735642173</v>
      </c>
      <c r="AD41" s="40">
        <v>14409</v>
      </c>
      <c r="AE41" s="34">
        <v>1000</v>
      </c>
      <c r="AF41" s="41">
        <f t="shared" si="33"/>
        <v>0.2160636042028248</v>
      </c>
      <c r="AH41" s="42">
        <v>1.2</v>
      </c>
      <c r="AI41" s="42">
        <v>1.4</v>
      </c>
      <c r="AJ41" s="42">
        <v>3.3</v>
      </c>
      <c r="AK41" s="42">
        <v>0.6</v>
      </c>
      <c r="AL41" s="42">
        <v>1</v>
      </c>
      <c r="AM41" s="44">
        <f t="shared" si="20"/>
        <v>-0.17000743081363454</v>
      </c>
      <c r="AN41" s="44">
        <f t="shared" si="21"/>
        <v>-0.26753948870232491</v>
      </c>
      <c r="AO41" s="44">
        <f t="shared" si="22"/>
        <v>2.6189220992955849E-2</v>
      </c>
      <c r="AP41" s="44">
        <f t="shared" si="23"/>
        <v>0.12963816252169488</v>
      </c>
      <c r="AQ41" s="44">
        <f t="shared" si="24"/>
        <v>0.40470132735642173</v>
      </c>
      <c r="AR41" s="44">
        <f t="shared" si="25"/>
        <v>0.122981791355113</v>
      </c>
      <c r="AS41" s="66"/>
      <c r="AT41" s="8" t="str">
        <f t="shared" si="36"/>
        <v>financial distress</v>
      </c>
      <c r="AU41" s="6" t="s">
        <v>13</v>
      </c>
    </row>
    <row r="42" spans="1:47" x14ac:dyDescent="0.25">
      <c r="A42" s="6" t="s">
        <v>44</v>
      </c>
      <c r="B42" s="62"/>
      <c r="C42" s="62"/>
      <c r="D42" s="63"/>
      <c r="E42" s="6" t="s">
        <v>2</v>
      </c>
      <c r="F42" s="15">
        <v>690608</v>
      </c>
      <c r="G42" s="15">
        <v>2597429</v>
      </c>
      <c r="H42" s="15">
        <v>2494040</v>
      </c>
      <c r="I42" s="15">
        <v>446757</v>
      </c>
      <c r="J42" s="15">
        <v>347240</v>
      </c>
      <c r="K42" s="15">
        <f t="shared" si="13"/>
        <v>0</v>
      </c>
      <c r="L42" s="15">
        <f>-2319809</f>
        <v>-2319809</v>
      </c>
      <c r="M42" s="15">
        <v>19346396900</v>
      </c>
      <c r="N42" s="16">
        <v>304</v>
      </c>
      <c r="O42" s="17">
        <f t="shared" si="6"/>
        <v>5881304657600</v>
      </c>
      <c r="P42" s="15">
        <v>1420500</v>
      </c>
      <c r="Q42" s="15">
        <f>-530542+150005</f>
        <v>-380537</v>
      </c>
      <c r="R42" s="15">
        <v>-505390</v>
      </c>
      <c r="S42" s="1" t="str">
        <f t="shared" si="1"/>
        <v/>
      </c>
      <c r="T42" s="18">
        <f t="shared" si="26"/>
        <v>0.27690333755673524</v>
      </c>
      <c r="U42" s="18">
        <f t="shared" si="27"/>
        <v>-0.15370569126807271</v>
      </c>
      <c r="V42" s="18">
        <f t="shared" si="28"/>
        <v>-1.4554486810275313</v>
      </c>
      <c r="W42" s="18">
        <f t="shared" si="29"/>
        <v>0.89439291589480285</v>
      </c>
      <c r="X42" s="18">
        <f t="shared" si="30"/>
        <v>8.4690617440387044</v>
      </c>
      <c r="Y42" s="19">
        <f t="shared" si="31"/>
        <v>-0.54848287899436654</v>
      </c>
      <c r="Z42" s="19">
        <f t="shared" si="37"/>
        <v>-0.70553007767248366</v>
      </c>
      <c r="AA42" s="19">
        <f t="shared" si="34"/>
        <v>-0.11573379496641917</v>
      </c>
      <c r="AB42" s="19">
        <f t="shared" si="35"/>
        <v>1999901.6108898369</v>
      </c>
      <c r="AC42" s="19">
        <f t="shared" si="5"/>
        <v>0.43202068589860759</v>
      </c>
      <c r="AD42" s="40">
        <v>13831</v>
      </c>
      <c r="AE42" s="34">
        <v>1000</v>
      </c>
      <c r="AF42" s="41">
        <f t="shared" si="33"/>
        <v>0.1445955904048758</v>
      </c>
      <c r="AH42" s="42">
        <v>1.2</v>
      </c>
      <c r="AI42" s="42">
        <v>1.4</v>
      </c>
      <c r="AJ42" s="42">
        <v>3.3</v>
      </c>
      <c r="AK42" s="42">
        <v>0.6</v>
      </c>
      <c r="AL42" s="42">
        <v>1</v>
      </c>
      <c r="AM42" s="44">
        <f t="shared" si="20"/>
        <v>-0.6581794547932398</v>
      </c>
      <c r="AN42" s="44">
        <f t="shared" si="21"/>
        <v>-0.98774210874147705</v>
      </c>
      <c r="AO42" s="44">
        <f t="shared" si="22"/>
        <v>-0.38192152338918323</v>
      </c>
      <c r="AP42" s="44">
        <f t="shared" si="23"/>
        <v>8.675735424292548E-2</v>
      </c>
      <c r="AQ42" s="44">
        <f t="shared" si="24"/>
        <v>0.43202068589860759</v>
      </c>
      <c r="AR42" s="44">
        <f t="shared" si="25"/>
        <v>-1.509065046782367</v>
      </c>
      <c r="AS42" s="66"/>
      <c r="AT42" s="8" t="str">
        <f t="shared" si="36"/>
        <v>financial distress</v>
      </c>
      <c r="AU42" s="6" t="s">
        <v>14</v>
      </c>
    </row>
    <row r="43" spans="1:47" x14ac:dyDescent="0.25">
      <c r="A43" s="6" t="s">
        <v>45</v>
      </c>
      <c r="B43" s="62"/>
      <c r="C43" s="62"/>
      <c r="D43" s="63"/>
      <c r="E43" s="6" t="s">
        <v>1</v>
      </c>
      <c r="F43" s="15">
        <v>835342</v>
      </c>
      <c r="G43" s="15">
        <v>2651007</v>
      </c>
      <c r="H43" s="15">
        <v>827496</v>
      </c>
      <c r="I43" s="15">
        <v>2210130</v>
      </c>
      <c r="J43" s="15">
        <v>448723</v>
      </c>
      <c r="K43" s="15">
        <f t="shared" si="13"/>
        <v>0</v>
      </c>
      <c r="L43" s="15">
        <f>-2340062</f>
        <v>-2340062</v>
      </c>
      <c r="M43" s="15">
        <v>19346396900</v>
      </c>
      <c r="N43" s="16">
        <v>428</v>
      </c>
      <c r="O43" s="17">
        <f t="shared" si="6"/>
        <v>8280257873200</v>
      </c>
      <c r="P43" s="15">
        <v>1353657</v>
      </c>
      <c r="Q43" s="15">
        <f>166657+138348</f>
        <v>305005</v>
      </c>
      <c r="R43" s="15">
        <v>22635</v>
      </c>
      <c r="S43" s="1" t="str">
        <f t="shared" si="1"/>
        <v/>
      </c>
      <c r="T43" s="18">
        <f t="shared" si="26"/>
        <v>1.0094816168295677</v>
      </c>
      <c r="U43" s="18">
        <f t="shared" si="27"/>
        <v>6.4924653269078916E-3</v>
      </c>
      <c r="V43" s="18">
        <f t="shared" si="28"/>
        <v>5.0443146440008649E-2</v>
      </c>
      <c r="W43" s="18">
        <f t="shared" si="29"/>
        <v>0.87129142836818685</v>
      </c>
      <c r="X43" s="18">
        <f t="shared" si="30"/>
        <v>6.7694903091662342</v>
      </c>
      <c r="Y43" s="19">
        <f t="shared" si="31"/>
        <v>2.2504918469149243E-3</v>
      </c>
      <c r="Z43" s="19">
        <f t="shared" si="37"/>
        <v>-0.67120704209475301</v>
      </c>
      <c r="AA43" s="19">
        <f t="shared" si="34"/>
        <v>8.7485504176432138E-2</v>
      </c>
      <c r="AB43" s="19">
        <f t="shared" si="35"/>
        <v>2725897.7481757137</v>
      </c>
      <c r="AC43" s="19">
        <f t="shared" si="5"/>
        <v>0.38827352052247205</v>
      </c>
      <c r="AD43" s="40">
        <v>14034</v>
      </c>
      <c r="AE43" s="34">
        <v>1000</v>
      </c>
      <c r="AF43" s="41">
        <f t="shared" si="33"/>
        <v>0.19423526779077338</v>
      </c>
      <c r="AH43" s="42">
        <v>1.2</v>
      </c>
      <c r="AI43" s="42">
        <v>1.4</v>
      </c>
      <c r="AJ43" s="42">
        <v>3.3</v>
      </c>
      <c r="AK43" s="42">
        <v>0.6</v>
      </c>
      <c r="AL43" s="42">
        <v>1</v>
      </c>
      <c r="AM43" s="44">
        <f t="shared" si="20"/>
        <v>2.7005902162979089E-3</v>
      </c>
      <c r="AN43" s="44">
        <f t="shared" si="21"/>
        <v>-0.93968985893265411</v>
      </c>
      <c r="AO43" s="44">
        <f t="shared" si="22"/>
        <v>0.28870216378222602</v>
      </c>
      <c r="AP43" s="44">
        <f t="shared" si="23"/>
        <v>0.11654116067446402</v>
      </c>
      <c r="AQ43" s="44">
        <f t="shared" si="24"/>
        <v>0.38827352052247205</v>
      </c>
      <c r="AR43" s="44">
        <f t="shared" si="25"/>
        <v>-0.1434724237371941</v>
      </c>
      <c r="AS43" s="66"/>
      <c r="AT43" s="8" t="str">
        <f t="shared" si="36"/>
        <v>financial distress</v>
      </c>
      <c r="AU43" s="6" t="s">
        <v>15</v>
      </c>
    </row>
    <row r="44" spans="1:47" x14ac:dyDescent="0.25">
      <c r="A44" s="6" t="s">
        <v>74</v>
      </c>
      <c r="B44" s="62"/>
      <c r="C44" s="62"/>
      <c r="D44" s="66" t="s">
        <v>72</v>
      </c>
      <c r="E44" s="6" t="s">
        <v>3</v>
      </c>
      <c r="F44" s="15">
        <v>777316455</v>
      </c>
      <c r="G44" s="15">
        <v>1311380454</v>
      </c>
      <c r="H44" s="15">
        <v>560277480</v>
      </c>
      <c r="I44" s="15">
        <v>500066154</v>
      </c>
      <c r="J44" s="15">
        <v>1028353275</v>
      </c>
      <c r="K44" s="15">
        <f t="shared" si="13"/>
        <v>0</v>
      </c>
      <c r="L44" s="15">
        <f>229537381</f>
        <v>229537381</v>
      </c>
      <c r="M44" s="15">
        <v>979110000</v>
      </c>
      <c r="N44" s="16">
        <v>1100</v>
      </c>
      <c r="O44" s="17">
        <f t="shared" si="6"/>
        <v>1077021000000</v>
      </c>
      <c r="P44" s="15">
        <v>1364849405</v>
      </c>
      <c r="Q44" s="15">
        <f>20458245+91057484</f>
        <v>111515729</v>
      </c>
      <c r="R44" s="15">
        <v>12664977</v>
      </c>
      <c r="S44" s="1" t="str">
        <f t="shared" si="1"/>
        <v/>
      </c>
      <c r="T44" s="18">
        <f t="shared" si="26"/>
        <v>1.3873776525874286</v>
      </c>
      <c r="U44" s="18">
        <f t="shared" si="27"/>
        <v>6.0635781790205154E-3</v>
      </c>
      <c r="V44" s="18">
        <f t="shared" si="28"/>
        <v>1.2315784184185148E-2</v>
      </c>
      <c r="W44" s="18">
        <f t="shared" si="29"/>
        <v>0.50765797058973861</v>
      </c>
      <c r="X44" s="18">
        <f t="shared" si="30"/>
        <v>1.0311083358002628</v>
      </c>
      <c r="Y44" s="19">
        <f t="shared" si="31"/>
        <v>0.10391118695335801</v>
      </c>
      <c r="Z44" s="19">
        <f t="shared" si="37"/>
        <v>0.1098950163668768</v>
      </c>
      <c r="AA44" s="19">
        <f t="shared" si="34"/>
        <v>5.3390096245888592E-2</v>
      </c>
      <c r="AB44" s="19">
        <f t="shared" si="35"/>
        <v>1015.7282653144122</v>
      </c>
      <c r="AC44" s="19">
        <f t="shared" si="5"/>
        <v>0.65344540853150657</v>
      </c>
      <c r="AE44" s="34">
        <v>1000</v>
      </c>
      <c r="AF44" s="25">
        <f t="shared" ref="AF44:AF54" si="38">AB44/AE44</f>
        <v>1.0157282653144122</v>
      </c>
      <c r="AH44" s="42">
        <v>1.2</v>
      </c>
      <c r="AI44" s="42">
        <v>1.4</v>
      </c>
      <c r="AJ44" s="42">
        <v>3.3</v>
      </c>
      <c r="AK44" s="42">
        <v>0.6</v>
      </c>
      <c r="AL44" s="42">
        <v>1</v>
      </c>
      <c r="AM44" s="44">
        <f t="shared" si="20"/>
        <v>0.12469342434402961</v>
      </c>
      <c r="AN44" s="44">
        <f t="shared" si="21"/>
        <v>0.15385302291362751</v>
      </c>
      <c r="AO44" s="44">
        <f t="shared" si="22"/>
        <v>0.17618731761143233</v>
      </c>
      <c r="AP44" s="44">
        <f t="shared" si="23"/>
        <v>0.60943695918864726</v>
      </c>
      <c r="AQ44" s="44">
        <f t="shared" si="24"/>
        <v>0.65344540853150657</v>
      </c>
      <c r="AR44" s="44">
        <f t="shared" si="25"/>
        <v>1.7176161325892432</v>
      </c>
      <c r="AS44" s="66" t="s">
        <v>72</v>
      </c>
      <c r="AT44" s="8" t="str">
        <f t="shared" si="36"/>
        <v>financial distress</v>
      </c>
      <c r="AU44" s="6" t="s">
        <v>16</v>
      </c>
    </row>
    <row r="45" spans="1:47" x14ac:dyDescent="0.25">
      <c r="A45" s="6" t="s">
        <v>75</v>
      </c>
      <c r="B45" s="62"/>
      <c r="C45" s="62"/>
      <c r="D45" s="66"/>
      <c r="E45" s="6" t="s">
        <v>4</v>
      </c>
      <c r="F45" s="15">
        <v>718757530</v>
      </c>
      <c r="G45" s="15">
        <v>1246119552</v>
      </c>
      <c r="H45" s="15">
        <v>654032840</v>
      </c>
      <c r="I45" s="15">
        <v>457814805</v>
      </c>
      <c r="J45" s="15">
        <v>853029437</v>
      </c>
      <c r="K45" s="15">
        <f t="shared" si="13"/>
        <v>0</v>
      </c>
      <c r="L45" s="15">
        <f>86645525</f>
        <v>86645525</v>
      </c>
      <c r="M45" s="15">
        <v>979110000</v>
      </c>
      <c r="N45" s="16">
        <v>1240</v>
      </c>
      <c r="O45" s="17">
        <f t="shared" si="6"/>
        <v>1214096400000</v>
      </c>
      <c r="P45" s="15">
        <v>1310440496</v>
      </c>
      <c r="Q45" s="15">
        <f>-224189380+77812790</f>
        <v>-146376590</v>
      </c>
      <c r="R45" s="15">
        <v>-178283422</v>
      </c>
      <c r="S45" s="1" t="str">
        <f t="shared" si="1"/>
        <v/>
      </c>
      <c r="T45" s="18">
        <f t="shared" si="26"/>
        <v>1.0989624465951893</v>
      </c>
      <c r="U45" s="18">
        <f t="shared" si="27"/>
        <v>-9.0735152663356272E-2</v>
      </c>
      <c r="V45" s="18">
        <f t="shared" si="28"/>
        <v>-0.20900031612859804</v>
      </c>
      <c r="W45" s="18">
        <f t="shared" si="29"/>
        <v>0.56586117024087723</v>
      </c>
      <c r="X45" s="18">
        <f t="shared" si="30"/>
        <v>1.3034106406810906</v>
      </c>
      <c r="Y45" s="19">
        <f t="shared" si="31"/>
        <v>3.2940834107606537E-2</v>
      </c>
      <c r="Z45" s="19">
        <f t="shared" si="37"/>
        <v>4.4097173199152823E-2</v>
      </c>
      <c r="AA45" s="19">
        <f t="shared" si="34"/>
        <v>-7.4496563342785233E-2</v>
      </c>
      <c r="AB45" s="19">
        <f t="shared" si="35"/>
        <v>1091.9629190742226</v>
      </c>
      <c r="AC45" s="19">
        <f t="shared" si="5"/>
        <v>0.66693255675115048</v>
      </c>
      <c r="AE45" s="34">
        <v>1000</v>
      </c>
      <c r="AF45" s="25">
        <f t="shared" si="38"/>
        <v>1.0919629190742226</v>
      </c>
      <c r="AH45" s="42">
        <v>1.2</v>
      </c>
      <c r="AI45" s="42">
        <v>1.4</v>
      </c>
      <c r="AJ45" s="42">
        <v>3.3</v>
      </c>
      <c r="AK45" s="42">
        <v>0.6</v>
      </c>
      <c r="AL45" s="42">
        <v>1</v>
      </c>
      <c r="AM45" s="44">
        <f t="shared" si="20"/>
        <v>3.9529000929127846E-2</v>
      </c>
      <c r="AN45" s="44">
        <f t="shared" si="21"/>
        <v>6.1736042478813945E-2</v>
      </c>
      <c r="AO45" s="44">
        <f t="shared" si="22"/>
        <v>-0.24583865903119126</v>
      </c>
      <c r="AP45" s="44">
        <f t="shared" si="23"/>
        <v>0.6551777514445335</v>
      </c>
      <c r="AQ45" s="44">
        <f t="shared" si="24"/>
        <v>0.66693255675115048</v>
      </c>
      <c r="AR45" s="44">
        <f t="shared" si="25"/>
        <v>1.1775366925724344</v>
      </c>
      <c r="AS45" s="66"/>
      <c r="AT45" s="8" t="str">
        <f t="shared" si="36"/>
        <v>financial distress</v>
      </c>
      <c r="AU45" s="6" t="s">
        <v>17</v>
      </c>
    </row>
    <row r="46" spans="1:47" x14ac:dyDescent="0.25">
      <c r="A46" s="6" t="s">
        <v>76</v>
      </c>
      <c r="B46" s="62"/>
      <c r="C46" s="62"/>
      <c r="D46" s="66"/>
      <c r="E46" s="6" t="s">
        <v>5</v>
      </c>
      <c r="F46" s="15">
        <v>811798388</v>
      </c>
      <c r="G46" s="15">
        <v>1649527795</v>
      </c>
      <c r="H46" s="15">
        <v>825079803</v>
      </c>
      <c r="I46" s="15">
        <v>512974818</v>
      </c>
      <c r="J46" s="15">
        <v>1123271562</v>
      </c>
      <c r="K46" s="15">
        <f t="shared" si="13"/>
        <v>0</v>
      </c>
      <c r="L46" s="15">
        <f>98179198</f>
        <v>98179198</v>
      </c>
      <c r="M46" s="15">
        <v>979110000</v>
      </c>
      <c r="N46" s="16">
        <v>1200</v>
      </c>
      <c r="O46" s="17">
        <f t="shared" si="6"/>
        <v>1174932000000</v>
      </c>
      <c r="P46" s="15">
        <v>1319344703</v>
      </c>
      <c r="Q46" s="15">
        <f>-21224294+88859686</f>
        <v>67635392</v>
      </c>
      <c r="R46" s="15">
        <v>-23662406</v>
      </c>
      <c r="S46" s="1" t="str">
        <f t="shared" si="1"/>
        <v/>
      </c>
      <c r="T46" s="18">
        <f t="shared" si="26"/>
        <v>0.98390287224131701</v>
      </c>
      <c r="U46" s="18">
        <f t="shared" si="27"/>
        <v>-9.6136815036676516E-3</v>
      </c>
      <c r="V46" s="18">
        <f t="shared" si="28"/>
        <v>-2.1065614763600683E-2</v>
      </c>
      <c r="W46" s="18">
        <f t="shared" si="29"/>
        <v>0.54363157156566111</v>
      </c>
      <c r="X46" s="18">
        <f t="shared" si="30"/>
        <v>1.1912120508219544</v>
      </c>
      <c r="Y46" s="19">
        <f t="shared" si="31"/>
        <v>-5.3960401883068904E-3</v>
      </c>
      <c r="Z46" s="19">
        <f t="shared" si="37"/>
        <v>3.9888739118816741E-2</v>
      </c>
      <c r="AA46" s="19">
        <f t="shared" si="34"/>
        <v>2.7479247759661929E-2</v>
      </c>
      <c r="AB46" s="19">
        <f t="shared" si="35"/>
        <v>878.08971439589686</v>
      </c>
      <c r="AC46" s="19">
        <f t="shared" si="5"/>
        <v>0.53603001183366517</v>
      </c>
      <c r="AE46" s="34">
        <v>1000</v>
      </c>
      <c r="AF46" s="25">
        <f t="shared" si="38"/>
        <v>0.87808971439589689</v>
      </c>
      <c r="AH46" s="42">
        <v>1.2</v>
      </c>
      <c r="AI46" s="42">
        <v>1.4</v>
      </c>
      <c r="AJ46" s="42">
        <v>3.3</v>
      </c>
      <c r="AK46" s="42">
        <v>0.6</v>
      </c>
      <c r="AL46" s="42">
        <v>1</v>
      </c>
      <c r="AM46" s="44">
        <f t="shared" si="20"/>
        <v>-6.4752482259682687E-3</v>
      </c>
      <c r="AN46" s="44">
        <f t="shared" si="21"/>
        <v>5.5844234766343433E-2</v>
      </c>
      <c r="AO46" s="44">
        <f t="shared" si="22"/>
        <v>9.0681517606884365E-2</v>
      </c>
      <c r="AP46" s="44">
        <f t="shared" si="23"/>
        <v>0.52685382863753816</v>
      </c>
      <c r="AQ46" s="44">
        <f t="shared" si="24"/>
        <v>0.53603001183366517</v>
      </c>
      <c r="AR46" s="44">
        <f t="shared" si="25"/>
        <v>1.2029343446184628</v>
      </c>
      <c r="AS46" s="66"/>
      <c r="AT46" s="8" t="str">
        <f t="shared" si="36"/>
        <v>financial distress</v>
      </c>
      <c r="AU46" s="6" t="s">
        <v>18</v>
      </c>
    </row>
    <row r="47" spans="1:47" x14ac:dyDescent="0.25">
      <c r="A47" s="6" t="s">
        <v>77</v>
      </c>
      <c r="B47" s="62"/>
      <c r="C47" s="62"/>
      <c r="D47" s="66"/>
      <c r="E47" s="6" t="s">
        <v>2</v>
      </c>
      <c r="F47" s="15">
        <v>665275229</v>
      </c>
      <c r="G47" s="15">
        <v>1597837689</v>
      </c>
      <c r="H47" s="15">
        <v>840292748</v>
      </c>
      <c r="I47" s="15">
        <v>469039379</v>
      </c>
      <c r="J47" s="15">
        <v>953780791</v>
      </c>
      <c r="K47" s="15">
        <f t="shared" si="13"/>
        <v>0</v>
      </c>
      <c r="L47" s="15">
        <f>-14810645</f>
        <v>-14810645</v>
      </c>
      <c r="M47" s="15">
        <v>979110000</v>
      </c>
      <c r="N47" s="16">
        <v>1030</v>
      </c>
      <c r="O47" s="17">
        <f t="shared" si="6"/>
        <v>1008483300000</v>
      </c>
      <c r="P47" s="15">
        <v>1221535436</v>
      </c>
      <c r="Q47" s="15">
        <f>-159492681+95426650</f>
        <v>-64066031</v>
      </c>
      <c r="R47" s="15">
        <v>-163083992</v>
      </c>
      <c r="S47" s="1" t="str">
        <f t="shared" si="1"/>
        <v/>
      </c>
      <c r="T47" s="18">
        <f t="shared" si="26"/>
        <v>0.79171839883592565</v>
      </c>
      <c r="U47" s="18">
        <f t="shared" si="27"/>
        <v>-7.2061800674145596E-2</v>
      </c>
      <c r="V47" s="18">
        <f t="shared" si="28"/>
        <v>-0.17098686987500883</v>
      </c>
      <c r="W47" s="18">
        <f t="shared" si="29"/>
        <v>0.57855360047924931</v>
      </c>
      <c r="X47" s="18">
        <f t="shared" si="30"/>
        <v>1.3727809779301794</v>
      </c>
      <c r="Y47" s="19">
        <f t="shared" si="31"/>
        <v>-7.7334859258666469E-2</v>
      </c>
      <c r="Z47" s="19">
        <f t="shared" si="37"/>
        <v>-6.5443685474999352E-3</v>
      </c>
      <c r="AA47" s="19">
        <f t="shared" si="34"/>
        <v>-2.8308808849280758E-2</v>
      </c>
      <c r="AB47" s="19">
        <f t="shared" si="35"/>
        <v>770.22726258973103</v>
      </c>
      <c r="AC47" s="19">
        <f t="shared" si="5"/>
        <v>0.53975894277494463</v>
      </c>
      <c r="AE47" s="34">
        <v>1000</v>
      </c>
      <c r="AF47" s="25">
        <f t="shared" si="38"/>
        <v>0.77022726258973107</v>
      </c>
      <c r="AH47" s="42">
        <v>1.2</v>
      </c>
      <c r="AI47" s="42">
        <v>1.4</v>
      </c>
      <c r="AJ47" s="42">
        <v>3.3</v>
      </c>
      <c r="AK47" s="42">
        <v>0.6</v>
      </c>
      <c r="AL47" s="42">
        <v>1</v>
      </c>
      <c r="AM47" s="44">
        <f t="shared" si="20"/>
        <v>-9.280183111039976E-2</v>
      </c>
      <c r="AN47" s="44">
        <f t="shared" si="21"/>
        <v>-9.1621159664999081E-3</v>
      </c>
      <c r="AO47" s="44">
        <f t="shared" si="22"/>
        <v>-9.3419069202626492E-2</v>
      </c>
      <c r="AP47" s="44">
        <f t="shared" si="23"/>
        <v>0.46213635755383864</v>
      </c>
      <c r="AQ47" s="44">
        <f t="shared" si="24"/>
        <v>0.53975894277494463</v>
      </c>
      <c r="AR47" s="44">
        <f t="shared" si="25"/>
        <v>0.80651228404925712</v>
      </c>
      <c r="AS47" s="66"/>
      <c r="AT47" s="8" t="str">
        <f t="shared" si="36"/>
        <v>financial distress</v>
      </c>
      <c r="AU47" s="6" t="s">
        <v>19</v>
      </c>
    </row>
    <row r="48" spans="1:47" x14ac:dyDescent="0.25">
      <c r="A48" s="6" t="s">
        <v>78</v>
      </c>
      <c r="B48" s="62"/>
      <c r="C48" s="62"/>
      <c r="D48" s="66"/>
      <c r="E48" s="6" t="s">
        <v>1</v>
      </c>
      <c r="F48" s="15">
        <v>494691709</v>
      </c>
      <c r="G48" s="15">
        <v>1471026838</v>
      </c>
      <c r="H48" s="15">
        <v>742677853</v>
      </c>
      <c r="I48" s="15">
        <v>456317176</v>
      </c>
      <c r="J48" s="15">
        <v>766723518</v>
      </c>
      <c r="K48" s="15">
        <f t="shared" si="13"/>
        <v>0</v>
      </c>
      <c r="L48" s="15">
        <f>-145333991</f>
        <v>-145333991</v>
      </c>
      <c r="M48" s="15">
        <v>979110000</v>
      </c>
      <c r="N48" s="16">
        <v>1200</v>
      </c>
      <c r="O48" s="17">
        <f t="shared" si="6"/>
        <v>1174932000000</v>
      </c>
      <c r="P48" s="15">
        <v>1123569559</v>
      </c>
      <c r="Q48" s="15">
        <f>-207715034+95818580</f>
        <v>-111896454</v>
      </c>
      <c r="R48" s="15">
        <v>-187053341</v>
      </c>
      <c r="S48" s="1" t="str">
        <f t="shared" si="1"/>
        <v/>
      </c>
      <c r="T48" s="18">
        <f t="shared" si="26"/>
        <v>0.66609190916589778</v>
      </c>
      <c r="U48" s="18">
        <f t="shared" si="27"/>
        <v>-9.5157743353173951E-2</v>
      </c>
      <c r="V48" s="18">
        <f t="shared" si="28"/>
        <v>-0.24396452777127414</v>
      </c>
      <c r="W48" s="18">
        <f t="shared" si="29"/>
        <v>0.60995254423877598</v>
      </c>
      <c r="X48" s="18">
        <f t="shared" si="30"/>
        <v>1.5637905983731675</v>
      </c>
      <c r="Y48" s="19">
        <f t="shared" si="31"/>
        <v>-0.12615546837998065</v>
      </c>
      <c r="Z48" s="19">
        <f t="shared" si="37"/>
        <v>-7.3934282820805067E-2</v>
      </c>
      <c r="AA48" s="19">
        <f t="shared" si="34"/>
        <v>-5.6923944768579322E-2</v>
      </c>
      <c r="AB48" s="19">
        <f t="shared" si="35"/>
        <v>979.93066825300411</v>
      </c>
      <c r="AC48" s="19">
        <f t="shared" si="5"/>
        <v>0.57158211215677157</v>
      </c>
      <c r="AE48" s="34">
        <v>1000</v>
      </c>
      <c r="AF48" s="25">
        <f t="shared" si="38"/>
        <v>0.97993066825300412</v>
      </c>
      <c r="AH48" s="42">
        <v>1.2</v>
      </c>
      <c r="AI48" s="42">
        <v>1.4</v>
      </c>
      <c r="AJ48" s="42">
        <v>3.3</v>
      </c>
      <c r="AK48" s="42">
        <v>0.6</v>
      </c>
      <c r="AL48" s="42">
        <v>1</v>
      </c>
      <c r="AM48" s="44">
        <f t="shared" si="20"/>
        <v>-0.15138656205597678</v>
      </c>
      <c r="AN48" s="44">
        <f t="shared" si="21"/>
        <v>-0.10350799594912709</v>
      </c>
      <c r="AO48" s="44">
        <f t="shared" si="22"/>
        <v>-0.18784901773631174</v>
      </c>
      <c r="AP48" s="44">
        <f t="shared" si="23"/>
        <v>0.58795840095180241</v>
      </c>
      <c r="AQ48" s="44">
        <f t="shared" si="24"/>
        <v>0.57158211215677157</v>
      </c>
      <c r="AR48" s="44">
        <f t="shared" si="25"/>
        <v>0.71679693736715833</v>
      </c>
      <c r="AS48" s="66"/>
      <c r="AT48" s="8" t="str">
        <f t="shared" si="36"/>
        <v>financial distress</v>
      </c>
      <c r="AU48" s="6" t="s">
        <v>20</v>
      </c>
    </row>
    <row r="49" spans="1:47" x14ac:dyDescent="0.25">
      <c r="A49" s="6" t="s">
        <v>79</v>
      </c>
      <c r="B49" s="62"/>
      <c r="C49" s="62"/>
      <c r="D49" s="61" t="s">
        <v>73</v>
      </c>
      <c r="E49" s="6" t="s">
        <v>3</v>
      </c>
      <c r="F49" s="15">
        <v>1787723</v>
      </c>
      <c r="G49" s="15">
        <v>3717167</v>
      </c>
      <c r="H49" s="15">
        <v>885086</v>
      </c>
      <c r="I49" s="15">
        <v>1020540</v>
      </c>
      <c r="J49" s="15">
        <v>3599264</v>
      </c>
      <c r="K49" s="15">
        <f t="shared" si="13"/>
        <v>0</v>
      </c>
      <c r="L49" s="15">
        <f>3134681</f>
        <v>3134681</v>
      </c>
      <c r="M49" s="15">
        <v>434000000</v>
      </c>
      <c r="N49" s="16">
        <v>6700</v>
      </c>
      <c r="O49" s="17">
        <f t="shared" si="6"/>
        <v>2907800000000</v>
      </c>
      <c r="P49" s="15">
        <v>3724075</v>
      </c>
      <c r="Q49" s="15">
        <f>348561+2446</f>
        <v>351007</v>
      </c>
      <c r="R49" s="15">
        <v>260444</v>
      </c>
      <c r="S49" s="1" t="str">
        <f t="shared" si="1"/>
        <v/>
      </c>
      <c r="T49" s="18">
        <f t="shared" si="26"/>
        <v>2.0198297114630668</v>
      </c>
      <c r="U49" s="18">
        <f t="shared" si="27"/>
        <v>4.7311390418337151E-2</v>
      </c>
      <c r="V49" s="18">
        <f t="shared" si="28"/>
        <v>7.2360349226953072E-2</v>
      </c>
      <c r="W49" s="18">
        <f t="shared" si="29"/>
        <v>0.34616967823153594</v>
      </c>
      <c r="X49" s="18">
        <f t="shared" si="30"/>
        <v>0.52944879842101056</v>
      </c>
      <c r="Y49" s="19">
        <f t="shared" si="31"/>
        <v>0.16397003391530077</v>
      </c>
      <c r="Z49" s="19">
        <f t="shared" si="37"/>
        <v>0.56943571987814467</v>
      </c>
      <c r="AA49" s="19">
        <f t="shared" si="34"/>
        <v>6.3762763651953075E-2</v>
      </c>
      <c r="AB49" s="19">
        <f t="shared" si="35"/>
        <v>1525902.7742064812</v>
      </c>
      <c r="AC49" s="19">
        <f t="shared" si="5"/>
        <v>0.67650307272261567</v>
      </c>
      <c r="AE49" s="34">
        <v>1000000</v>
      </c>
      <c r="AF49" s="25">
        <f t="shared" si="38"/>
        <v>1.5259027742064812</v>
      </c>
      <c r="AH49" s="42">
        <v>1.2</v>
      </c>
      <c r="AI49" s="42">
        <v>1.4</v>
      </c>
      <c r="AJ49" s="42">
        <v>3.3</v>
      </c>
      <c r="AK49" s="42">
        <v>0.6</v>
      </c>
      <c r="AL49" s="42">
        <v>1</v>
      </c>
      <c r="AM49" s="44">
        <f t="shared" si="20"/>
        <v>0.19676404069836093</v>
      </c>
      <c r="AN49" s="44">
        <f t="shared" si="21"/>
        <v>0.79721000782940254</v>
      </c>
      <c r="AO49" s="44">
        <f t="shared" si="22"/>
        <v>0.21041712005144514</v>
      </c>
      <c r="AP49" s="44">
        <f t="shared" si="23"/>
        <v>0.91554166452388874</v>
      </c>
      <c r="AQ49" s="44">
        <f t="shared" si="24"/>
        <v>0.67650307272261567</v>
      </c>
      <c r="AR49" s="44">
        <f t="shared" si="25"/>
        <v>2.7964359058257129</v>
      </c>
      <c r="AS49" s="66" t="s">
        <v>73</v>
      </c>
      <c r="AT49" s="8" t="str">
        <f t="shared" si="36"/>
        <v>grey area</v>
      </c>
      <c r="AU49" s="6" t="s">
        <v>21</v>
      </c>
    </row>
    <row r="50" spans="1:47" x14ac:dyDescent="0.25">
      <c r="A50" s="6" t="s">
        <v>80</v>
      </c>
      <c r="B50" s="62"/>
      <c r="C50" s="62"/>
      <c r="D50" s="61"/>
      <c r="E50" s="6" t="s">
        <v>4</v>
      </c>
      <c r="F50" s="15">
        <v>2003321</v>
      </c>
      <c r="G50" s="15">
        <v>4264495</v>
      </c>
      <c r="H50" s="15">
        <v>996903</v>
      </c>
      <c r="I50" s="15">
        <v>1722036</v>
      </c>
      <c r="J50" s="15">
        <v>3548877</v>
      </c>
      <c r="K50" s="15">
        <f t="shared" si="13"/>
        <v>0</v>
      </c>
      <c r="L50" s="15">
        <f>3084294</f>
        <v>3084294</v>
      </c>
      <c r="M50" s="15">
        <v>434000000</v>
      </c>
      <c r="N50" s="16">
        <v>6025</v>
      </c>
      <c r="O50" s="17">
        <f t="shared" si="6"/>
        <v>2614850000000</v>
      </c>
      <c r="P50" s="15">
        <v>3885791</v>
      </c>
      <c r="Q50" s="15">
        <f>63589+29753</f>
        <v>93342</v>
      </c>
      <c r="R50" s="15">
        <v>38569</v>
      </c>
      <c r="S50" s="1" t="str">
        <f t="shared" si="1"/>
        <v/>
      </c>
      <c r="T50" s="18">
        <f t="shared" si="26"/>
        <v>2.0095445595007737</v>
      </c>
      <c r="U50" s="18">
        <f t="shared" si="27"/>
        <v>6.1534990816577897E-3</v>
      </c>
      <c r="V50" s="18">
        <f t="shared" si="28"/>
        <v>1.0867944986540813E-2</v>
      </c>
      <c r="W50" s="18">
        <f t="shared" si="29"/>
        <v>0.43379368507307808</v>
      </c>
      <c r="X50" s="18">
        <f t="shared" si="30"/>
        <v>0.76614066928777746</v>
      </c>
      <c r="Y50" s="19">
        <f t="shared" si="31"/>
        <v>0.16056916795260104</v>
      </c>
      <c r="Z50" s="19">
        <f t="shared" si="37"/>
        <v>0.49208432410906766</v>
      </c>
      <c r="AA50" s="19">
        <f t="shared" si="34"/>
        <v>1.4892268694550063E-2</v>
      </c>
      <c r="AB50" s="19">
        <f t="shared" si="35"/>
        <v>961717.05212952557</v>
      </c>
      <c r="AC50" s="19">
        <f t="shared" si="5"/>
        <v>0.61995932873587867</v>
      </c>
      <c r="AE50" s="34">
        <v>1000000</v>
      </c>
      <c r="AF50" s="25">
        <f t="shared" si="38"/>
        <v>0.96171705212952563</v>
      </c>
      <c r="AH50" s="42">
        <v>1.2</v>
      </c>
      <c r="AI50" s="42">
        <v>1.4</v>
      </c>
      <c r="AJ50" s="42">
        <v>3.3</v>
      </c>
      <c r="AK50" s="42">
        <v>0.6</v>
      </c>
      <c r="AL50" s="42">
        <v>1</v>
      </c>
      <c r="AM50" s="44">
        <f t="shared" si="20"/>
        <v>0.19268300154312124</v>
      </c>
      <c r="AN50" s="44">
        <f t="shared" si="21"/>
        <v>0.68891805375269466</v>
      </c>
      <c r="AO50" s="44">
        <f t="shared" si="22"/>
        <v>4.914448669201521E-2</v>
      </c>
      <c r="AP50" s="44">
        <f t="shared" si="23"/>
        <v>0.57703023127771536</v>
      </c>
      <c r="AQ50" s="44">
        <f t="shared" si="24"/>
        <v>0.61995932873587867</v>
      </c>
      <c r="AR50" s="44">
        <f t="shared" si="25"/>
        <v>2.127735102001425</v>
      </c>
      <c r="AS50" s="66"/>
      <c r="AT50" s="8" t="str">
        <f t="shared" si="36"/>
        <v>grey area</v>
      </c>
      <c r="AU50" s="6" t="s">
        <v>22</v>
      </c>
    </row>
    <row r="51" spans="1:47" x14ac:dyDescent="0.25">
      <c r="A51" s="6" t="s">
        <v>81</v>
      </c>
      <c r="B51" s="62"/>
      <c r="C51" s="62"/>
      <c r="D51" s="61"/>
      <c r="E51" s="6" t="s">
        <v>5</v>
      </c>
      <c r="F51" s="15">
        <v>2208918</v>
      </c>
      <c r="G51" s="15">
        <v>6223714</v>
      </c>
      <c r="H51" s="15">
        <v>1738904</v>
      </c>
      <c r="I51" s="15">
        <v>3097062</v>
      </c>
      <c r="J51" s="15">
        <v>3596666</v>
      </c>
      <c r="K51" s="15">
        <f t="shared" si="13"/>
        <v>0</v>
      </c>
      <c r="L51" s="15">
        <f>3132083</f>
        <v>3132083</v>
      </c>
      <c r="M51" s="15">
        <v>434000000</v>
      </c>
      <c r="N51" s="16">
        <v>3690</v>
      </c>
      <c r="O51" s="17">
        <f t="shared" si="6"/>
        <v>1601460000000</v>
      </c>
      <c r="P51" s="15">
        <v>4443262</v>
      </c>
      <c r="Q51" s="15">
        <f>11184+165512</f>
        <v>176696</v>
      </c>
      <c r="R51" s="15">
        <v>6596</v>
      </c>
      <c r="S51" s="1" t="str">
        <f t="shared" si="1"/>
        <v/>
      </c>
      <c r="T51" s="18">
        <f t="shared" si="26"/>
        <v>1.2702932421801318</v>
      </c>
      <c r="U51" s="18">
        <f t="shared" si="27"/>
        <v>7.8219943666461432E-4</v>
      </c>
      <c r="V51" s="18">
        <f t="shared" si="28"/>
        <v>1.8339206365005814E-3</v>
      </c>
      <c r="W51" s="18">
        <f t="shared" si="29"/>
        <v>0.57348239553202374</v>
      </c>
      <c r="X51" s="18">
        <f t="shared" si="30"/>
        <v>1.3445691092806504</v>
      </c>
      <c r="Y51" s="19">
        <f t="shared" si="31"/>
        <v>5.5737520622268347E-2</v>
      </c>
      <c r="Z51" s="19">
        <f t="shared" si="37"/>
        <v>0.37142412950073</v>
      </c>
      <c r="AA51" s="19">
        <f t="shared" si="34"/>
        <v>2.0953837425847589E-2</v>
      </c>
      <c r="AB51" s="19">
        <f t="shared" si="35"/>
        <v>331156.17438170576</v>
      </c>
      <c r="AC51" s="19">
        <f t="shared" si="5"/>
        <v>0.52691283101171738</v>
      </c>
      <c r="AE51" s="34">
        <v>1000000</v>
      </c>
      <c r="AF51" s="25">
        <f t="shared" si="38"/>
        <v>0.33115617438170575</v>
      </c>
      <c r="AH51" s="42">
        <v>1.2</v>
      </c>
      <c r="AI51" s="42">
        <v>1.4</v>
      </c>
      <c r="AJ51" s="42">
        <v>3.3</v>
      </c>
      <c r="AK51" s="42">
        <v>0.6</v>
      </c>
      <c r="AL51" s="42">
        <v>1</v>
      </c>
      <c r="AM51" s="44">
        <f t="shared" si="20"/>
        <v>6.6885024746722019E-2</v>
      </c>
      <c r="AN51" s="44">
        <f t="shared" si="21"/>
        <v>0.51999378130102203</v>
      </c>
      <c r="AO51" s="44">
        <f t="shared" si="22"/>
        <v>6.9147663505297038E-2</v>
      </c>
      <c r="AP51" s="44">
        <f t="shared" si="23"/>
        <v>0.19869370462902344</v>
      </c>
      <c r="AQ51" s="44">
        <f t="shared" si="24"/>
        <v>0.52691283101171738</v>
      </c>
      <c r="AR51" s="44">
        <f t="shared" si="25"/>
        <v>1.3816330051937817</v>
      </c>
      <c r="AS51" s="66"/>
      <c r="AT51" s="8" t="str">
        <f t="shared" si="36"/>
        <v>financial distress</v>
      </c>
      <c r="AU51" s="6" t="s">
        <v>23</v>
      </c>
    </row>
    <row r="52" spans="1:47" x14ac:dyDescent="0.25">
      <c r="A52" s="6" t="s">
        <v>82</v>
      </c>
      <c r="B52" s="62"/>
      <c r="C52" s="62"/>
      <c r="D52" s="61"/>
      <c r="E52" s="6" t="s">
        <v>2</v>
      </c>
      <c r="F52" s="15">
        <v>2347673</v>
      </c>
      <c r="G52" s="15">
        <v>6390382</v>
      </c>
      <c r="H52" s="15">
        <v>2286103</v>
      </c>
      <c r="I52" s="15">
        <v>3042021</v>
      </c>
      <c r="J52" s="15">
        <v>3409931</v>
      </c>
      <c r="K52" s="15">
        <f t="shared" si="13"/>
        <v>0</v>
      </c>
      <c r="L52" s="15">
        <f>2945348</f>
        <v>2945348</v>
      </c>
      <c r="M52" s="15">
        <v>434000000</v>
      </c>
      <c r="N52" s="16">
        <v>3430</v>
      </c>
      <c r="O52" s="17">
        <f t="shared" si="6"/>
        <v>1488620000000</v>
      </c>
      <c r="P52" s="15">
        <v>4289776</v>
      </c>
      <c r="Q52" s="15">
        <f>-168416+21853</f>
        <v>-146563</v>
      </c>
      <c r="R52" s="15">
        <v>-132223</v>
      </c>
      <c r="S52" s="1" t="str">
        <f t="shared" si="1"/>
        <v>X</v>
      </c>
      <c r="T52" s="18">
        <f t="shared" si="26"/>
        <v>1.0269322948266111</v>
      </c>
      <c r="U52" s="18">
        <f t="shared" si="27"/>
        <v>-1.5131857146699122E-2</v>
      </c>
      <c r="V52" s="18">
        <f t="shared" si="28"/>
        <v>-3.8775857927917018E-2</v>
      </c>
      <c r="W52" s="18">
        <f t="shared" si="29"/>
        <v>0.60976086783614891</v>
      </c>
      <c r="X52" s="18">
        <f t="shared" si="30"/>
        <v>1.5625313239476106</v>
      </c>
      <c r="Y52" s="19">
        <f t="shared" si="31"/>
        <v>7.046190485182343E-3</v>
      </c>
      <c r="Z52" s="19">
        <f t="shared" si="37"/>
        <v>0.33707135054654613</v>
      </c>
      <c r="AA52" s="19">
        <f t="shared" si="34"/>
        <v>-1.6772954622052621E-2</v>
      </c>
      <c r="AB52" s="19">
        <f t="shared" si="35"/>
        <v>279389.14334576298</v>
      </c>
      <c r="AC52" s="19">
        <f t="shared" si="5"/>
        <v>0.4909303042839625</v>
      </c>
      <c r="AE52" s="34">
        <v>1000000</v>
      </c>
      <c r="AF52" s="25">
        <f t="shared" si="38"/>
        <v>0.27938914334576298</v>
      </c>
      <c r="AH52" s="42">
        <v>1.2</v>
      </c>
      <c r="AI52" s="42">
        <v>1.4</v>
      </c>
      <c r="AJ52" s="42">
        <v>3.3</v>
      </c>
      <c r="AK52" s="42">
        <v>0.6</v>
      </c>
      <c r="AL52" s="42">
        <v>1</v>
      </c>
      <c r="AM52" s="44">
        <f t="shared" si="20"/>
        <v>8.4554285822188106E-3</v>
      </c>
      <c r="AN52" s="44">
        <f t="shared" si="21"/>
        <v>0.47189989076516453</v>
      </c>
      <c r="AO52" s="44">
        <f t="shared" si="22"/>
        <v>-5.5350750252773646E-2</v>
      </c>
      <c r="AP52" s="44">
        <f t="shared" si="23"/>
        <v>0.16763348600745778</v>
      </c>
      <c r="AQ52" s="44">
        <f t="shared" si="24"/>
        <v>0.4909303042839625</v>
      </c>
      <c r="AR52" s="44">
        <f t="shared" si="25"/>
        <v>1.0835683593860299</v>
      </c>
      <c r="AS52" s="66"/>
      <c r="AT52" s="8" t="str">
        <f t="shared" si="36"/>
        <v>financial distress</v>
      </c>
      <c r="AU52" s="6" t="s">
        <v>24</v>
      </c>
    </row>
    <row r="53" spans="1:47" x14ac:dyDescent="0.25">
      <c r="A53" s="6" t="s">
        <v>83</v>
      </c>
      <c r="B53" s="62"/>
      <c r="C53" s="62"/>
      <c r="D53" s="61"/>
      <c r="E53" s="6" t="s">
        <v>1</v>
      </c>
      <c r="F53" s="15">
        <v>1932986</v>
      </c>
      <c r="G53" s="15">
        <v>6028671</v>
      </c>
      <c r="H53" s="15">
        <v>2404568</v>
      </c>
      <c r="I53" s="15">
        <v>2627252</v>
      </c>
      <c r="J53" s="15">
        <v>2929837</v>
      </c>
      <c r="K53" s="15">
        <f t="shared" si="13"/>
        <v>0</v>
      </c>
      <c r="L53" s="15">
        <f>2465254</f>
        <v>2465254</v>
      </c>
      <c r="M53" s="15">
        <v>434000000</v>
      </c>
      <c r="N53" s="16">
        <v>2700</v>
      </c>
      <c r="O53" s="17">
        <f t="shared" si="6"/>
        <v>1171800000000</v>
      </c>
      <c r="P53" s="15">
        <v>3767789</v>
      </c>
      <c r="Q53" s="15">
        <f>-465748+174196</f>
        <v>-291552</v>
      </c>
      <c r="R53" s="15">
        <v>-430987</v>
      </c>
      <c r="S53" s="1" t="str">
        <f t="shared" si="1"/>
        <v/>
      </c>
      <c r="T53" s="18">
        <f t="shared" si="26"/>
        <v>0.80388078024826082</v>
      </c>
      <c r="U53" s="18">
        <f t="shared" si="27"/>
        <v>-5.4132826872596997E-2</v>
      </c>
      <c r="V53" s="18">
        <f t="shared" si="28"/>
        <v>-0.14710272277945838</v>
      </c>
      <c r="W53" s="18">
        <f t="shared" si="29"/>
        <v>0.63200662877087022</v>
      </c>
      <c r="X53" s="18">
        <f t="shared" si="30"/>
        <v>1.7174402535021573</v>
      </c>
      <c r="Y53" s="19">
        <f t="shared" si="31"/>
        <v>-5.9231639845826065E-2</v>
      </c>
      <c r="Z53" s="19">
        <f t="shared" si="37"/>
        <v>0.30964081974393021</v>
      </c>
      <c r="AA53" s="19">
        <f t="shared" si="34"/>
        <v>-3.6619512747158037E-2</v>
      </c>
      <c r="AB53" s="19">
        <f t="shared" si="35"/>
        <v>232877.96463307511</v>
      </c>
      <c r="AC53" s="19">
        <f t="shared" si="5"/>
        <v>0.47324181385859754</v>
      </c>
      <c r="AE53" s="34">
        <v>1000000</v>
      </c>
      <c r="AF53" s="25">
        <f t="shared" si="38"/>
        <v>0.23287796463307511</v>
      </c>
      <c r="AH53" s="42">
        <v>1.2</v>
      </c>
      <c r="AI53" s="42">
        <v>1.4</v>
      </c>
      <c r="AJ53" s="42">
        <v>3.3</v>
      </c>
      <c r="AK53" s="42">
        <v>0.6</v>
      </c>
      <c r="AL53" s="42">
        <v>1</v>
      </c>
      <c r="AM53" s="44">
        <f t="shared" si="20"/>
        <v>-7.1077967814991275E-2</v>
      </c>
      <c r="AN53" s="44">
        <f t="shared" si="21"/>
        <v>0.43349714764150227</v>
      </c>
      <c r="AO53" s="44">
        <f t="shared" si="22"/>
        <v>-0.12084439206562152</v>
      </c>
      <c r="AP53" s="44">
        <f t="shared" si="23"/>
        <v>0.13972677877984507</v>
      </c>
      <c r="AQ53" s="44">
        <f t="shared" si="24"/>
        <v>0.47324181385859754</v>
      </c>
      <c r="AR53" s="44">
        <f t="shared" si="25"/>
        <v>0.85454338039933209</v>
      </c>
      <c r="AS53" s="66"/>
      <c r="AT53" s="8" t="str">
        <f t="shared" si="36"/>
        <v>financial distress</v>
      </c>
      <c r="AU53" s="6" t="s">
        <v>25</v>
      </c>
    </row>
    <row r="54" spans="1:47" x14ac:dyDescent="0.25">
      <c r="A54" s="6" t="s">
        <v>86</v>
      </c>
      <c r="B54" s="62"/>
      <c r="C54" s="62"/>
      <c r="D54" s="63" t="s">
        <v>85</v>
      </c>
      <c r="E54" s="6" t="s">
        <v>3</v>
      </c>
      <c r="F54" s="20">
        <v>1424711407181</v>
      </c>
      <c r="G54" s="20">
        <v>728319096350</v>
      </c>
      <c r="H54" s="20">
        <v>1667249369925</v>
      </c>
      <c r="I54" s="20">
        <v>82086791545</v>
      </c>
      <c r="J54" s="20">
        <v>403694342061</v>
      </c>
      <c r="K54" s="15">
        <f t="shared" ref="K54:K73" si="39">(F54+G54)-(H54+I54+J54)</f>
        <v>0</v>
      </c>
      <c r="L54" s="15">
        <v>-146401607484</v>
      </c>
      <c r="M54" s="15">
        <v>616000000</v>
      </c>
      <c r="N54" s="16">
        <v>183</v>
      </c>
      <c r="O54" s="17">
        <f t="shared" si="6"/>
        <v>112728000000</v>
      </c>
      <c r="P54" s="15">
        <v>2461800368336</v>
      </c>
      <c r="Q54" s="15">
        <f>-91041353107+44196441226</f>
        <v>-46844911881</v>
      </c>
      <c r="R54" s="15">
        <v>-99931854409</v>
      </c>
      <c r="S54" s="1" t="str">
        <f t="shared" si="1"/>
        <v/>
      </c>
      <c r="T54" s="18">
        <f t="shared" ref="T54:T63" si="40">F54/H54</f>
        <v>0.85452808252978352</v>
      </c>
      <c r="U54" s="18">
        <f t="shared" ref="U54:U63" si="41">R54/(F54+G54)</f>
        <v>-4.6414509337006776E-2</v>
      </c>
      <c r="V54" s="18">
        <f t="shared" ref="V54:V63" si="42">R54/J54</f>
        <v>-0.24754336139271393</v>
      </c>
      <c r="W54" s="18">
        <f t="shared" ref="W54:W63" si="43">(H54+I54)/(F54+G54)</f>
        <v>0.81249947857267435</v>
      </c>
      <c r="X54" s="18">
        <f t="shared" ref="X54:X63" si="44">(H54+I54)/J54</f>
        <v>4.3333185016639835</v>
      </c>
      <c r="Y54" s="19">
        <f t="shared" si="31"/>
        <v>-0.11264957107957103</v>
      </c>
      <c r="Z54" s="19">
        <f t="shared" ref="Z54:Z63" si="45">L54/(F54+G54)</f>
        <v>-6.7997925363295741E-2</v>
      </c>
      <c r="AA54" s="19">
        <f t="shared" si="34"/>
        <v>-2.1757662886881395E-2</v>
      </c>
      <c r="AB54" s="19">
        <f t="shared" si="35"/>
        <v>6.4440444600009042E-2</v>
      </c>
      <c r="AC54" s="19">
        <f t="shared" si="5"/>
        <v>1.1434117465120039</v>
      </c>
      <c r="AD54" s="40"/>
      <c r="AE54" s="34">
        <v>1</v>
      </c>
      <c r="AF54" s="25">
        <f t="shared" si="38"/>
        <v>6.4440444600009042E-2</v>
      </c>
      <c r="AH54" s="42">
        <v>1.2</v>
      </c>
      <c r="AI54" s="42">
        <v>1.4</v>
      </c>
      <c r="AJ54" s="42">
        <v>3.3</v>
      </c>
      <c r="AK54" s="42">
        <v>0.6</v>
      </c>
      <c r="AL54" s="42">
        <v>1</v>
      </c>
      <c r="AM54" s="44">
        <f t="shared" si="20"/>
        <v>-0.13517948529548524</v>
      </c>
      <c r="AN54" s="44">
        <f t="shared" si="21"/>
        <v>-9.5197095508614035E-2</v>
      </c>
      <c r="AO54" s="44">
        <f t="shared" si="22"/>
        <v>-7.1800287526708598E-2</v>
      </c>
      <c r="AP54" s="44">
        <f t="shared" si="23"/>
        <v>3.8664266760005422E-2</v>
      </c>
      <c r="AQ54" s="44">
        <f t="shared" si="24"/>
        <v>1.1434117465120039</v>
      </c>
      <c r="AR54" s="44">
        <f t="shared" si="25"/>
        <v>0.87989914494120147</v>
      </c>
      <c r="AS54" s="66" t="s">
        <v>85</v>
      </c>
      <c r="AT54" s="8" t="str">
        <f t="shared" si="36"/>
        <v>financial distress</v>
      </c>
      <c r="AU54" s="6" t="s">
        <v>26</v>
      </c>
    </row>
    <row r="55" spans="1:47" x14ac:dyDescent="0.25">
      <c r="A55" s="6" t="s">
        <v>87</v>
      </c>
      <c r="B55" s="62"/>
      <c r="C55" s="62"/>
      <c r="D55" s="63"/>
      <c r="E55" s="6" t="s">
        <v>4</v>
      </c>
      <c r="F55" s="20">
        <v>1701281476100</v>
      </c>
      <c r="G55" s="20">
        <v>675000320828</v>
      </c>
      <c r="H55" s="20">
        <v>1747767173359</v>
      </c>
      <c r="I55" s="20">
        <v>249644071180</v>
      </c>
      <c r="J55" s="20">
        <v>378870552389</v>
      </c>
      <c r="K55" s="15">
        <f t="shared" si="39"/>
        <v>0</v>
      </c>
      <c r="L55" s="15">
        <v>-142917791945</v>
      </c>
      <c r="M55" s="15">
        <v>616000000</v>
      </c>
      <c r="N55" s="16">
        <v>220</v>
      </c>
      <c r="O55" s="17">
        <f t="shared" si="6"/>
        <v>135520000000</v>
      </c>
      <c r="P55" s="15">
        <v>3484905171484</v>
      </c>
      <c r="Q55" s="15">
        <f>4716551594+51880212801</f>
        <v>56596764395</v>
      </c>
      <c r="R55" s="15">
        <v>8446455684</v>
      </c>
      <c r="S55" s="1" t="str">
        <f t="shared" si="1"/>
        <v/>
      </c>
      <c r="T55" s="18">
        <f t="shared" si="40"/>
        <v>0.97340280904254539</v>
      </c>
      <c r="U55" s="18">
        <f t="shared" si="41"/>
        <v>3.5544840241251586E-3</v>
      </c>
      <c r="V55" s="18">
        <f t="shared" si="42"/>
        <v>2.2293777203691779E-2</v>
      </c>
      <c r="W55" s="18">
        <f t="shared" si="43"/>
        <v>0.84056160642277578</v>
      </c>
      <c r="X55" s="18">
        <f t="shared" si="44"/>
        <v>5.272015024509443</v>
      </c>
      <c r="Y55" s="19">
        <f t="shared" si="31"/>
        <v>-1.9562367274409791E-2</v>
      </c>
      <c r="Z55" s="19">
        <f t="shared" si="45"/>
        <v>-6.0143452737701684E-2</v>
      </c>
      <c r="AA55" s="19">
        <f t="shared" si="34"/>
        <v>2.3817362262407993E-2</v>
      </c>
      <c r="AB55" s="19">
        <f t="shared" si="35"/>
        <v>6.7847820708187637E-2</v>
      </c>
      <c r="AC55" s="19">
        <f t="shared" si="5"/>
        <v>1.4665369974172262</v>
      </c>
      <c r="AD55" s="40"/>
      <c r="AE55" s="34">
        <v>1</v>
      </c>
      <c r="AF55" s="25">
        <f t="shared" ref="AF55:AF57" si="46">AB55/AE55</f>
        <v>6.7847820708187637E-2</v>
      </c>
      <c r="AH55" s="42">
        <v>1.2</v>
      </c>
      <c r="AI55" s="42">
        <v>1.4</v>
      </c>
      <c r="AJ55" s="42">
        <v>3.3</v>
      </c>
      <c r="AK55" s="42">
        <v>0.6</v>
      </c>
      <c r="AL55" s="42">
        <v>1</v>
      </c>
      <c r="AM55" s="44">
        <f t="shared" si="20"/>
        <v>-2.3474840729291749E-2</v>
      </c>
      <c r="AN55" s="44">
        <f t="shared" si="21"/>
        <v>-8.420083383278236E-2</v>
      </c>
      <c r="AO55" s="44">
        <f t="shared" si="22"/>
        <v>7.8597295465946376E-2</v>
      </c>
      <c r="AP55" s="44">
        <f t="shared" si="23"/>
        <v>4.0708692424912582E-2</v>
      </c>
      <c r="AQ55" s="44">
        <f t="shared" si="24"/>
        <v>1.4665369974172262</v>
      </c>
      <c r="AR55" s="44">
        <f t="shared" si="25"/>
        <v>1.4781673107460112</v>
      </c>
      <c r="AS55" s="66"/>
      <c r="AT55" s="8" t="str">
        <f t="shared" si="36"/>
        <v>financial distress</v>
      </c>
      <c r="AU55" s="6" t="s">
        <v>27</v>
      </c>
    </row>
    <row r="56" spans="1:47" x14ac:dyDescent="0.25">
      <c r="A56" s="6" t="s">
        <v>88</v>
      </c>
      <c r="B56" s="62"/>
      <c r="C56" s="62"/>
      <c r="D56" s="63"/>
      <c r="E56" s="6" t="s">
        <v>5</v>
      </c>
      <c r="F56" s="20">
        <v>2115994105157</v>
      </c>
      <c r="G56" s="20">
        <v>665672268860</v>
      </c>
      <c r="H56" s="20">
        <v>2144650311300</v>
      </c>
      <c r="I56" s="20">
        <v>309815366787</v>
      </c>
      <c r="J56" s="20">
        <v>327200695930</v>
      </c>
      <c r="K56" s="15">
        <f t="shared" si="39"/>
        <v>0</v>
      </c>
      <c r="L56" s="15">
        <v>-130823462725</v>
      </c>
      <c r="M56" s="15">
        <v>616000000</v>
      </c>
      <c r="N56" s="16">
        <v>400</v>
      </c>
      <c r="O56" s="17">
        <f t="shared" si="6"/>
        <v>246400000000</v>
      </c>
      <c r="P56" s="15">
        <v>4422880456073</v>
      </c>
      <c r="Q56" s="15">
        <f>13900879443+91848277580</f>
        <v>105749157023</v>
      </c>
      <c r="R56" s="15">
        <v>6544635062</v>
      </c>
      <c r="S56" s="1" t="str">
        <f>IF(Q57&gt;R56,"","X")</f>
        <v>X</v>
      </c>
      <c r="T56" s="18">
        <f t="shared" si="40"/>
        <v>0.98663828504254858</v>
      </c>
      <c r="U56" s="18">
        <f t="shared" si="41"/>
        <v>2.352774985214673E-3</v>
      </c>
      <c r="V56" s="18">
        <f t="shared" si="42"/>
        <v>2.0001898355986789E-2</v>
      </c>
      <c r="W56" s="18">
        <f t="shared" si="43"/>
        <v>0.88237241569071057</v>
      </c>
      <c r="X56" s="18">
        <f t="shared" si="44"/>
        <v>7.5014072666034259</v>
      </c>
      <c r="Y56" s="19">
        <f t="shared" si="31"/>
        <v>-1.0301812758953411E-2</v>
      </c>
      <c r="Z56" s="19">
        <f t="shared" si="45"/>
        <v>-4.7030608683699925E-2</v>
      </c>
      <c r="AA56" s="19">
        <f>Q57/(F56+G56)</f>
        <v>-4.9290770913694791E-6</v>
      </c>
      <c r="AB56" s="19">
        <f t="shared" si="35"/>
        <v>0.10038844796234556</v>
      </c>
      <c r="AC56" s="19">
        <f t="shared" si="5"/>
        <v>1.5900111161375279</v>
      </c>
      <c r="AD56" s="40"/>
      <c r="AE56" s="34">
        <v>1</v>
      </c>
      <c r="AF56" s="25">
        <f t="shared" si="46"/>
        <v>0.10038844796234556</v>
      </c>
      <c r="AH56" s="42">
        <v>1.2</v>
      </c>
      <c r="AI56" s="42">
        <v>1.4</v>
      </c>
      <c r="AJ56" s="42">
        <v>3.3</v>
      </c>
      <c r="AK56" s="42">
        <v>0.6</v>
      </c>
      <c r="AL56" s="42">
        <v>1</v>
      </c>
      <c r="AM56" s="44">
        <f t="shared" si="20"/>
        <v>-1.2362175310744093E-2</v>
      </c>
      <c r="AN56" s="44">
        <f t="shared" si="21"/>
        <v>-6.5842852157179887E-2</v>
      </c>
      <c r="AO56" s="44">
        <f t="shared" si="22"/>
        <v>-1.6265954401519279E-5</v>
      </c>
      <c r="AP56" s="44">
        <f t="shared" si="23"/>
        <v>6.0233068777407334E-2</v>
      </c>
      <c r="AQ56" s="44">
        <f t="shared" si="24"/>
        <v>1.5900111161375279</v>
      </c>
      <c r="AR56" s="44">
        <f t="shared" si="25"/>
        <v>1.5720228914926098</v>
      </c>
      <c r="AS56" s="66"/>
      <c r="AT56" s="8" t="str">
        <f t="shared" si="36"/>
        <v>financial distress</v>
      </c>
      <c r="AU56" s="6" t="s">
        <v>28</v>
      </c>
    </row>
    <row r="57" spans="1:47" x14ac:dyDescent="0.25">
      <c r="A57" s="6" t="s">
        <v>89</v>
      </c>
      <c r="B57" s="62"/>
      <c r="C57" s="62"/>
      <c r="D57" s="63"/>
      <c r="E57" s="6" t="s">
        <v>2</v>
      </c>
      <c r="F57" s="20">
        <v>1160620662903</v>
      </c>
      <c r="G57" s="20">
        <v>565028961975</v>
      </c>
      <c r="H57" s="20">
        <v>1573757483662</v>
      </c>
      <c r="I57" s="20">
        <v>149702039069</v>
      </c>
      <c r="J57" s="20">
        <v>2190102147</v>
      </c>
      <c r="K57" s="15">
        <f t="shared" si="39"/>
        <v>0</v>
      </c>
      <c r="L57" s="15">
        <f>-144281030930</f>
        <v>-144281030930</v>
      </c>
      <c r="M57" s="15">
        <v>616000000</v>
      </c>
      <c r="N57" s="16">
        <v>358</v>
      </c>
      <c r="O57" s="17">
        <f t="shared" si="6"/>
        <v>220528000000</v>
      </c>
      <c r="P57" s="15">
        <v>2234124975480</v>
      </c>
      <c r="Q57" s="15">
        <f>-21105970+7394922</f>
        <v>-13711048</v>
      </c>
      <c r="R57" s="15">
        <v>-22438088</v>
      </c>
      <c r="S57" s="1" t="str">
        <f>IF(Q58&gt;R57,"","X")</f>
        <v/>
      </c>
      <c r="T57" s="18">
        <f t="shared" si="40"/>
        <v>0.73748380862490592</v>
      </c>
      <c r="U57" s="18">
        <f t="shared" si="41"/>
        <v>-1.3002690509428487E-5</v>
      </c>
      <c r="V57" s="18">
        <f t="shared" si="42"/>
        <v>-1.0245224420575849E-2</v>
      </c>
      <c r="W57" s="18">
        <f t="shared" si="43"/>
        <v>0.99873085352007374</v>
      </c>
      <c r="X57" s="18">
        <f>(H57+I57)/J57</f>
        <v>786.93111419108618</v>
      </c>
      <c r="Y57" s="19">
        <f t="shared" si="31"/>
        <v>-0.23940944604453407</v>
      </c>
      <c r="Z57" s="19">
        <f t="shared" si="45"/>
        <v>-8.3609690431915101E-2</v>
      </c>
      <c r="AA57" s="19">
        <f>Q58/(F57+G57)</f>
        <v>-5.7244059614351773E-6</v>
      </c>
      <c r="AB57" s="19">
        <f t="shared" si="35"/>
        <v>0.12795658795081566</v>
      </c>
      <c r="AC57" s="19">
        <f t="shared" si="5"/>
        <v>1.2946573529594387</v>
      </c>
      <c r="AD57" s="40"/>
      <c r="AE57" s="34">
        <v>1</v>
      </c>
      <c r="AF57" s="25">
        <f t="shared" si="46"/>
        <v>0.12795658795081566</v>
      </c>
      <c r="AH57" s="42">
        <v>1.2</v>
      </c>
      <c r="AI57" s="42">
        <v>1.4</v>
      </c>
      <c r="AJ57" s="42">
        <v>3.3</v>
      </c>
      <c r="AK57" s="42">
        <v>0.6</v>
      </c>
      <c r="AL57" s="42">
        <v>1</v>
      </c>
      <c r="AM57" s="44">
        <f t="shared" si="20"/>
        <v>-0.28729133525344086</v>
      </c>
      <c r="AN57" s="44">
        <f t="shared" si="21"/>
        <v>-0.11705356660468114</v>
      </c>
      <c r="AO57" s="44">
        <f t="shared" si="22"/>
        <v>-1.8890539672736082E-5</v>
      </c>
      <c r="AP57" s="44">
        <f t="shared" si="23"/>
        <v>7.6773952770489387E-2</v>
      </c>
      <c r="AQ57" s="44">
        <f t="shared" si="24"/>
        <v>1.2946573529594387</v>
      </c>
      <c r="AR57" s="44">
        <f t="shared" si="25"/>
        <v>0.96706751333213337</v>
      </c>
      <c r="AS57" s="66"/>
      <c r="AT57" s="8" t="str">
        <f t="shared" si="36"/>
        <v>financial distress</v>
      </c>
      <c r="AU57" s="6" t="s">
        <v>29</v>
      </c>
    </row>
    <row r="58" spans="1:47" x14ac:dyDescent="0.25">
      <c r="A58" s="6" t="s">
        <v>90</v>
      </c>
      <c r="B58" s="62"/>
      <c r="C58" s="62"/>
      <c r="D58" s="63"/>
      <c r="E58" s="6" t="s">
        <v>1</v>
      </c>
      <c r="F58" s="20">
        <v>65009326</v>
      </c>
      <c r="G58" s="20">
        <v>36139795</v>
      </c>
      <c r="H58" s="20">
        <v>99946499</v>
      </c>
      <c r="I58" s="20">
        <v>20285489</v>
      </c>
      <c r="J58" s="20">
        <v>-19082867</v>
      </c>
      <c r="K58" s="15">
        <f t="shared" si="39"/>
        <v>0</v>
      </c>
      <c r="L58" s="15">
        <v>-120043058</v>
      </c>
      <c r="M58" s="15">
        <v>616000000</v>
      </c>
      <c r="N58" s="16">
        <v>248</v>
      </c>
      <c r="O58" s="17">
        <f t="shared" si="6"/>
        <v>152768000000</v>
      </c>
      <c r="P58" s="15">
        <v>68013921</v>
      </c>
      <c r="Q58" s="15">
        <f>-18448831+8570512</f>
        <v>-9878319</v>
      </c>
      <c r="R58" s="15">
        <v>-18916626</v>
      </c>
      <c r="S58" s="1" t="str">
        <f t="shared" si="1"/>
        <v/>
      </c>
      <c r="T58" s="18">
        <f t="shared" si="40"/>
        <v>0.65044125257453989</v>
      </c>
      <c r="U58" s="18">
        <f t="shared" si="41"/>
        <v>-0.18701720601210167</v>
      </c>
      <c r="V58" s="18">
        <f t="shared" si="42"/>
        <v>0.9912884683417853</v>
      </c>
      <c r="W58" s="18">
        <f t="shared" si="43"/>
        <v>1.1886607299335799</v>
      </c>
      <c r="X58" s="18">
        <f t="shared" si="44"/>
        <v>-6.3005201472084877</v>
      </c>
      <c r="Y58" s="19">
        <f t="shared" si="31"/>
        <v>-0.34540263577772468</v>
      </c>
      <c r="Z58" s="19">
        <f t="shared" si="45"/>
        <v>-1.1867928936327583</v>
      </c>
      <c r="AA58" s="19">
        <f t="shared" si="34"/>
        <v>-9.7660947542984586E-2</v>
      </c>
      <c r="AB58" s="19">
        <f t="shared" si="35"/>
        <v>1270.610280518692</v>
      </c>
      <c r="AC58" s="19">
        <f t="shared" si="5"/>
        <v>0.67241237815600985</v>
      </c>
      <c r="AD58" s="40">
        <v>14034</v>
      </c>
      <c r="AE58" s="34">
        <v>1</v>
      </c>
      <c r="AF58" s="25">
        <f t="shared" ref="AF58:AF63" si="47">O58/($AD58*AE58*(H58+I58))</f>
        <v>9.0537999181893397E-2</v>
      </c>
      <c r="AH58" s="42">
        <v>1.2</v>
      </c>
      <c r="AI58" s="42">
        <v>1.4</v>
      </c>
      <c r="AJ58" s="42">
        <v>3.3</v>
      </c>
      <c r="AK58" s="42">
        <v>0.6</v>
      </c>
      <c r="AL58" s="42">
        <v>1</v>
      </c>
      <c r="AM58" s="44">
        <f t="shared" si="20"/>
        <v>-0.41448316293326959</v>
      </c>
      <c r="AN58" s="44">
        <f t="shared" si="21"/>
        <v>-1.6615100510858616</v>
      </c>
      <c r="AO58" s="44">
        <f t="shared" si="22"/>
        <v>-0.32228112689184912</v>
      </c>
      <c r="AP58" s="44">
        <f t="shared" si="23"/>
        <v>5.4322799509136037E-2</v>
      </c>
      <c r="AQ58" s="44">
        <f t="shared" si="24"/>
        <v>0.67241237815600985</v>
      </c>
      <c r="AR58" s="44">
        <f t="shared" si="25"/>
        <v>-1.6715391632458345</v>
      </c>
      <c r="AS58" s="66"/>
      <c r="AT58" s="8" t="str">
        <f t="shared" si="36"/>
        <v>financial distress</v>
      </c>
      <c r="AU58" s="6" t="s">
        <v>30</v>
      </c>
    </row>
    <row r="59" spans="1:47" x14ac:dyDescent="0.25">
      <c r="A59" s="6" t="s">
        <v>92</v>
      </c>
      <c r="B59" s="62"/>
      <c r="C59" s="62"/>
      <c r="D59" s="63" t="s">
        <v>91</v>
      </c>
      <c r="E59" s="6" t="s">
        <v>3</v>
      </c>
      <c r="F59" s="20">
        <v>132444530</v>
      </c>
      <c r="G59" s="20">
        <v>248402992</v>
      </c>
      <c r="H59" s="20">
        <v>71253970</v>
      </c>
      <c r="I59" s="20">
        <v>64135047</v>
      </c>
      <c r="J59" s="20">
        <v>245458505</v>
      </c>
      <c r="K59" s="15">
        <f t="shared" si="39"/>
        <v>0</v>
      </c>
      <c r="L59" s="15">
        <v>-25773443</v>
      </c>
      <c r="M59" s="15">
        <v>3889179559</v>
      </c>
      <c r="N59" s="16">
        <v>126</v>
      </c>
      <c r="O59" s="17">
        <f t="shared" si="6"/>
        <v>490036624434</v>
      </c>
      <c r="P59" s="15">
        <v>279954690</v>
      </c>
      <c r="Q59" s="15">
        <f>-28114407+4977003</f>
        <v>-23137404</v>
      </c>
      <c r="R59" s="15">
        <v>-20569761</v>
      </c>
      <c r="S59" s="1" t="str">
        <f t="shared" si="1"/>
        <v>X</v>
      </c>
      <c r="T59" s="18">
        <f t="shared" si="40"/>
        <v>1.858767027296865</v>
      </c>
      <c r="U59" s="18">
        <f t="shared" si="41"/>
        <v>-5.401048926872104E-2</v>
      </c>
      <c r="V59" s="18">
        <f t="shared" si="42"/>
        <v>-8.3801378159620091E-2</v>
      </c>
      <c r="W59" s="18">
        <f t="shared" si="43"/>
        <v>0.35549402104288863</v>
      </c>
      <c r="X59" s="18">
        <f t="shared" si="44"/>
        <v>0.55157598633626481</v>
      </c>
      <c r="Y59" s="19">
        <f t="shared" si="31"/>
        <v>0.1606694450279238</v>
      </c>
      <c r="Z59" s="19">
        <f t="shared" si="45"/>
        <v>-6.7673915441676419E-2</v>
      </c>
      <c r="AA59" s="19">
        <f t="shared" si="34"/>
        <v>-6.0752407888845339E-2</v>
      </c>
      <c r="AB59" s="19">
        <f t="shared" si="35"/>
        <v>3619.4710272104271</v>
      </c>
      <c r="AC59" s="19">
        <f t="shared" si="5"/>
        <v>0.73508339644651799</v>
      </c>
      <c r="AD59" s="40">
        <v>13369</v>
      </c>
      <c r="AE59" s="34">
        <v>1</v>
      </c>
      <c r="AF59" s="25">
        <f t="shared" si="47"/>
        <v>0.27073610795201042</v>
      </c>
      <c r="AH59" s="42">
        <v>1.2</v>
      </c>
      <c r="AI59" s="42">
        <v>1.4</v>
      </c>
      <c r="AJ59" s="42">
        <v>3.3</v>
      </c>
      <c r="AK59" s="42">
        <v>0.6</v>
      </c>
      <c r="AL59" s="42">
        <v>1</v>
      </c>
      <c r="AM59" s="44">
        <f t="shared" si="20"/>
        <v>0.19280333403350855</v>
      </c>
      <c r="AN59" s="44">
        <f t="shared" si="21"/>
        <v>-9.4743481618346975E-2</v>
      </c>
      <c r="AO59" s="44">
        <f t="shared" si="22"/>
        <v>-0.20048294603318961</v>
      </c>
      <c r="AP59" s="44">
        <f t="shared" si="23"/>
        <v>0.16244166477120625</v>
      </c>
      <c r="AQ59" s="44">
        <f t="shared" si="24"/>
        <v>0.73508339644651799</v>
      </c>
      <c r="AR59" s="44">
        <f t="shared" si="25"/>
        <v>0.7951019675996962</v>
      </c>
      <c r="AS59" s="66" t="s">
        <v>91</v>
      </c>
      <c r="AT59" s="8" t="str">
        <f t="shared" si="36"/>
        <v>financial distress</v>
      </c>
      <c r="AU59" s="6" t="s">
        <v>31</v>
      </c>
    </row>
    <row r="60" spans="1:47" x14ac:dyDescent="0.25">
      <c r="A60" s="6" t="s">
        <v>93</v>
      </c>
      <c r="B60" s="62"/>
      <c r="C60" s="62"/>
      <c r="D60" s="63"/>
      <c r="E60" s="6" t="s">
        <v>4</v>
      </c>
      <c r="F60" s="20">
        <v>149564786</v>
      </c>
      <c r="G60" s="20">
        <v>224545517</v>
      </c>
      <c r="H60" s="20">
        <v>69487329</v>
      </c>
      <c r="I60" s="20">
        <v>65031095</v>
      </c>
      <c r="J60" s="20">
        <v>239591879</v>
      </c>
      <c r="K60" s="15">
        <f t="shared" si="39"/>
        <v>0</v>
      </c>
      <c r="L60" s="15">
        <v>-33911526</v>
      </c>
      <c r="M60" s="15">
        <v>3889179559</v>
      </c>
      <c r="N60" s="16">
        <v>246</v>
      </c>
      <c r="O60" s="17">
        <f t="shared" si="6"/>
        <v>956738171514</v>
      </c>
      <c r="P60" s="15">
        <v>355097424</v>
      </c>
      <c r="Q60" s="15">
        <f>-11751064+4077942</f>
        <v>-7673122</v>
      </c>
      <c r="R60" s="15">
        <v>-8637865</v>
      </c>
      <c r="S60" s="1" t="str">
        <f t="shared" si="1"/>
        <v/>
      </c>
      <c r="T60" s="18">
        <f t="shared" si="40"/>
        <v>2.1524037281674766</v>
      </c>
      <c r="U60" s="18">
        <f t="shared" si="41"/>
        <v>-2.3089086108382319E-2</v>
      </c>
      <c r="V60" s="18">
        <f t="shared" si="42"/>
        <v>-3.6052411442543092E-2</v>
      </c>
      <c r="W60" s="18">
        <f t="shared" si="43"/>
        <v>0.3595688836187973</v>
      </c>
      <c r="X60" s="18">
        <f t="shared" si="44"/>
        <v>0.56144817829989968</v>
      </c>
      <c r="Y60" s="19">
        <f t="shared" si="31"/>
        <v>0.2140477189691298</v>
      </c>
      <c r="Z60" s="19">
        <f t="shared" si="45"/>
        <v>-9.0645795446055916E-2</v>
      </c>
      <c r="AA60" s="19">
        <f t="shared" si="34"/>
        <v>-2.0510319920272285E-2</v>
      </c>
      <c r="AB60" s="19">
        <f t="shared" si="35"/>
        <v>7112.3206997578263</v>
      </c>
      <c r="AC60" s="19">
        <f t="shared" si="5"/>
        <v>0.94917841383267121</v>
      </c>
      <c r="AD60" s="40">
        <v>13480</v>
      </c>
      <c r="AE60" s="34">
        <v>1</v>
      </c>
      <c r="AF60" s="25">
        <f t="shared" si="47"/>
        <v>0.52762022995236102</v>
      </c>
      <c r="AH60" s="42">
        <v>1.2</v>
      </c>
      <c r="AI60" s="42">
        <v>1.4</v>
      </c>
      <c r="AJ60" s="42">
        <v>3.3</v>
      </c>
      <c r="AK60" s="42">
        <v>0.6</v>
      </c>
      <c r="AL60" s="42">
        <v>1</v>
      </c>
      <c r="AM60" s="44">
        <f t="shared" si="20"/>
        <v>0.25685726276295573</v>
      </c>
      <c r="AN60" s="44">
        <f t="shared" si="21"/>
        <v>-0.12690411362447829</v>
      </c>
      <c r="AO60" s="44">
        <f t="shared" si="22"/>
        <v>-6.7684055736898535E-2</v>
      </c>
      <c r="AP60" s="44">
        <f t="shared" si="23"/>
        <v>0.31657213797141659</v>
      </c>
      <c r="AQ60" s="44">
        <f t="shared" si="24"/>
        <v>0.94917841383267121</v>
      </c>
      <c r="AR60" s="44">
        <f t="shared" si="25"/>
        <v>1.3280196452056667</v>
      </c>
      <c r="AS60" s="66"/>
      <c r="AT60" s="8" t="str">
        <f t="shared" si="36"/>
        <v>financial distress</v>
      </c>
      <c r="AU60" s="6" t="s">
        <v>32</v>
      </c>
    </row>
    <row r="61" spans="1:47" x14ac:dyDescent="0.25">
      <c r="A61" s="6" t="s">
        <v>94</v>
      </c>
      <c r="B61" s="62"/>
      <c r="C61" s="62"/>
      <c r="D61" s="63"/>
      <c r="E61" s="6" t="s">
        <v>5</v>
      </c>
      <c r="F61" s="20">
        <v>124180421</v>
      </c>
      <c r="G61" s="20">
        <v>156499433</v>
      </c>
      <c r="H61" s="20">
        <v>26463482</v>
      </c>
      <c r="I61" s="20">
        <v>10440410</v>
      </c>
      <c r="J61" s="20">
        <v>243775962</v>
      </c>
      <c r="K61" s="15">
        <f t="shared" si="39"/>
        <v>0</v>
      </c>
      <c r="L61" s="15">
        <v>-36914645</v>
      </c>
      <c r="M61" s="15">
        <v>3889179559</v>
      </c>
      <c r="N61" s="16">
        <v>314</v>
      </c>
      <c r="O61" s="17">
        <f t="shared" si="6"/>
        <v>1221202381526</v>
      </c>
      <c r="P61" s="15">
        <v>356636089</v>
      </c>
      <c r="Q61" s="15">
        <f>-1395757+949260</f>
        <v>-446497</v>
      </c>
      <c r="R61" s="15">
        <v>-1304581</v>
      </c>
      <c r="S61" s="1" t="str">
        <f t="shared" si="1"/>
        <v/>
      </c>
      <c r="T61" s="18">
        <f t="shared" si="40"/>
        <v>4.6925200924050738</v>
      </c>
      <c r="U61" s="18">
        <f t="shared" si="41"/>
        <v>-4.6479324447703321E-3</v>
      </c>
      <c r="V61" s="18">
        <f t="shared" si="42"/>
        <v>-5.3515571810152469E-3</v>
      </c>
      <c r="W61" s="18">
        <f t="shared" si="43"/>
        <v>0.13148037336516499</v>
      </c>
      <c r="X61" s="18">
        <f t="shared" si="44"/>
        <v>0.15138445848897933</v>
      </c>
      <c r="Y61" s="19">
        <f t="shared" si="31"/>
        <v>0.34814375740697084</v>
      </c>
      <c r="Z61" s="19">
        <f t="shared" si="45"/>
        <v>-0.13151868391665902</v>
      </c>
      <c r="AA61" s="19">
        <f t="shared" si="34"/>
        <v>-1.5907696745488546E-3</v>
      </c>
      <c r="AB61" s="19">
        <f t="shared" si="35"/>
        <v>33091.425195098665</v>
      </c>
      <c r="AC61" s="19">
        <f t="shared" si="5"/>
        <v>1.2706152006192792</v>
      </c>
      <c r="AD61" s="40">
        <v>14409</v>
      </c>
      <c r="AE61" s="34">
        <v>1</v>
      </c>
      <c r="AF61" s="25">
        <f t="shared" si="47"/>
        <v>2.2965802758760958</v>
      </c>
      <c r="AH61" s="42">
        <v>1.2</v>
      </c>
      <c r="AI61" s="42">
        <v>1.4</v>
      </c>
      <c r="AJ61" s="42">
        <v>3.3</v>
      </c>
      <c r="AK61" s="42">
        <v>0.6</v>
      </c>
      <c r="AL61" s="42">
        <v>1</v>
      </c>
      <c r="AM61" s="44">
        <f t="shared" si="20"/>
        <v>0.41777250888836498</v>
      </c>
      <c r="AN61" s="44">
        <f t="shared" si="21"/>
        <v>-0.18412615748332262</v>
      </c>
      <c r="AO61" s="44">
        <f t="shared" si="22"/>
        <v>-5.2495399260112201E-3</v>
      </c>
      <c r="AP61" s="44">
        <f t="shared" si="23"/>
        <v>1.3779481655256574</v>
      </c>
      <c r="AQ61" s="44">
        <f t="shared" si="24"/>
        <v>1.2706152006192792</v>
      </c>
      <c r="AR61" s="44">
        <f t="shared" si="25"/>
        <v>2.8769601776239675</v>
      </c>
      <c r="AS61" s="66"/>
      <c r="AT61" s="8" t="str">
        <f t="shared" si="36"/>
        <v>grey area</v>
      </c>
      <c r="AU61" s="6" t="s">
        <v>33</v>
      </c>
    </row>
    <row r="62" spans="1:47" x14ac:dyDescent="0.25">
      <c r="A62" s="6" t="s">
        <v>95</v>
      </c>
      <c r="B62" s="62"/>
      <c r="C62" s="62"/>
      <c r="D62" s="63"/>
      <c r="E62" s="6" t="s">
        <v>2</v>
      </c>
      <c r="F62" s="20">
        <v>110385770</v>
      </c>
      <c r="G62" s="20">
        <v>144842425</v>
      </c>
      <c r="H62" s="20">
        <v>33969979</v>
      </c>
      <c r="I62" s="20">
        <v>13434848</v>
      </c>
      <c r="J62" s="20">
        <v>207823368</v>
      </c>
      <c r="K62" s="15">
        <f t="shared" si="39"/>
        <v>0</v>
      </c>
      <c r="L62" s="15">
        <v>-66505959</v>
      </c>
      <c r="M62" s="15">
        <v>3889179559</v>
      </c>
      <c r="N62" s="16">
        <v>186</v>
      </c>
      <c r="O62" s="17">
        <f t="shared" si="6"/>
        <v>723387397974</v>
      </c>
      <c r="P62" s="15">
        <v>233390689</v>
      </c>
      <c r="Q62" s="15">
        <f>-29748345+562885</f>
        <v>-29185460</v>
      </c>
      <c r="R62" s="15">
        <v>-29590834</v>
      </c>
      <c r="S62" s="1" t="str">
        <f t="shared" si="1"/>
        <v/>
      </c>
      <c r="T62" s="18">
        <f t="shared" si="40"/>
        <v>3.2495095154459768</v>
      </c>
      <c r="U62" s="18">
        <f t="shared" si="41"/>
        <v>-0.1159387347467626</v>
      </c>
      <c r="V62" s="18">
        <f t="shared" si="42"/>
        <v>-0.14238453685343028</v>
      </c>
      <c r="W62" s="18">
        <f t="shared" si="43"/>
        <v>0.18573507131529884</v>
      </c>
      <c r="X62" s="18">
        <f t="shared" si="44"/>
        <v>0.228101524175087</v>
      </c>
      <c r="Y62" s="19">
        <f t="shared" si="31"/>
        <v>0.29940183920510821</v>
      </c>
      <c r="Z62" s="19">
        <f t="shared" si="45"/>
        <v>-0.26057449883230965</v>
      </c>
      <c r="AA62" s="19">
        <f t="shared" si="34"/>
        <v>-0.11435045411029138</v>
      </c>
      <c r="AB62" s="19">
        <f t="shared" si="35"/>
        <v>15259.783523184253</v>
      </c>
      <c r="AC62" s="19">
        <f t="shared" si="5"/>
        <v>0.91443928833959742</v>
      </c>
      <c r="AD62" s="40">
        <v>13831</v>
      </c>
      <c r="AE62" s="34">
        <v>1</v>
      </c>
      <c r="AF62" s="25">
        <f t="shared" si="47"/>
        <v>1.1033029804919567</v>
      </c>
      <c r="AH62" s="42">
        <v>1.2</v>
      </c>
      <c r="AI62" s="42">
        <v>1.4</v>
      </c>
      <c r="AJ62" s="42">
        <v>3.3</v>
      </c>
      <c r="AK62" s="42">
        <v>0.6</v>
      </c>
      <c r="AL62" s="42">
        <v>1</v>
      </c>
      <c r="AM62" s="44">
        <f t="shared" si="20"/>
        <v>0.35928220704612984</v>
      </c>
      <c r="AN62" s="44">
        <f t="shared" si="21"/>
        <v>-0.36480429836523348</v>
      </c>
      <c r="AO62" s="44">
        <f t="shared" si="22"/>
        <v>-0.37735649856396153</v>
      </c>
      <c r="AP62" s="44">
        <f t="shared" si="23"/>
        <v>0.66198178829517407</v>
      </c>
      <c r="AQ62" s="44">
        <f t="shared" si="24"/>
        <v>0.91443928833959742</v>
      </c>
      <c r="AR62" s="44">
        <f t="shared" si="25"/>
        <v>1.1935424867517064</v>
      </c>
      <c r="AS62" s="66"/>
      <c r="AT62" s="8" t="str">
        <f t="shared" si="36"/>
        <v>financial distress</v>
      </c>
      <c r="AU62" s="6" t="s">
        <v>34</v>
      </c>
    </row>
    <row r="63" spans="1:47" x14ac:dyDescent="0.25">
      <c r="A63" s="6" t="s">
        <v>96</v>
      </c>
      <c r="B63" s="62"/>
      <c r="C63" s="62"/>
      <c r="D63" s="63"/>
      <c r="E63" s="6" t="s">
        <v>1</v>
      </c>
      <c r="F63" s="20">
        <v>77977126</v>
      </c>
      <c r="G63" s="20">
        <v>127787042</v>
      </c>
      <c r="H63" s="20">
        <v>22365962</v>
      </c>
      <c r="I63" s="20">
        <v>15946538</v>
      </c>
      <c r="J63" s="20">
        <v>167451668</v>
      </c>
      <c r="K63" s="15">
        <f t="shared" si="39"/>
        <v>0</v>
      </c>
      <c r="L63" s="15">
        <v>-101066760</v>
      </c>
      <c r="M63" s="15">
        <v>3889179559</v>
      </c>
      <c r="N63" s="16">
        <v>234</v>
      </c>
      <c r="O63" s="17">
        <f t="shared" si="6"/>
        <v>910068016806</v>
      </c>
      <c r="P63" s="15">
        <v>152712749</v>
      </c>
      <c r="Q63" s="15">
        <f>-34690549+317642</f>
        <v>-34372907</v>
      </c>
      <c r="R63" s="15">
        <v>-38676045</v>
      </c>
      <c r="S63" s="1" t="str">
        <f t="shared" si="1"/>
        <v/>
      </c>
      <c r="T63" s="18">
        <f t="shared" si="40"/>
        <v>3.4864194976276899</v>
      </c>
      <c r="U63" s="18">
        <f t="shared" si="41"/>
        <v>-0.18796297419480734</v>
      </c>
      <c r="V63" s="18">
        <f t="shared" si="42"/>
        <v>-0.23096840695549237</v>
      </c>
      <c r="W63" s="18">
        <f t="shared" si="43"/>
        <v>0.18619616997649466</v>
      </c>
      <c r="X63" s="18">
        <f t="shared" si="44"/>
        <v>0.22879736259181366</v>
      </c>
      <c r="Y63" s="19">
        <f t="shared" si="31"/>
        <v>0.27026651209748043</v>
      </c>
      <c r="Z63" s="19">
        <f t="shared" si="45"/>
        <v>-0.49117764760674948</v>
      </c>
      <c r="AA63" s="19">
        <f t="shared" si="34"/>
        <v>-0.16705001329483177</v>
      </c>
      <c r="AB63" s="19">
        <f t="shared" si="35"/>
        <v>23753.814468019576</v>
      </c>
      <c r="AC63" s="19">
        <f t="shared" si="5"/>
        <v>0.74217367622529884</v>
      </c>
      <c r="AD63" s="40">
        <v>14034</v>
      </c>
      <c r="AE63" s="34">
        <v>1</v>
      </c>
      <c r="AF63" s="25">
        <f t="shared" si="47"/>
        <v>1.6925904566067818</v>
      </c>
      <c r="AH63" s="42">
        <v>1.2</v>
      </c>
      <c r="AI63" s="42">
        <v>1.4</v>
      </c>
      <c r="AJ63" s="42">
        <v>3.3</v>
      </c>
      <c r="AK63" s="42">
        <v>0.6</v>
      </c>
      <c r="AL63" s="42">
        <v>1</v>
      </c>
      <c r="AM63" s="44">
        <f t="shared" si="20"/>
        <v>0.3243198145169765</v>
      </c>
      <c r="AN63" s="44">
        <f t="shared" si="21"/>
        <v>-0.68764870664944922</v>
      </c>
      <c r="AO63" s="44">
        <f t="shared" si="22"/>
        <v>-0.55126504387294484</v>
      </c>
      <c r="AP63" s="44">
        <f t="shared" si="23"/>
        <v>1.0155542739640691</v>
      </c>
      <c r="AQ63" s="44">
        <f t="shared" si="24"/>
        <v>0.74217367622529884</v>
      </c>
      <c r="AR63" s="44">
        <f t="shared" si="25"/>
        <v>0.84313401418395029</v>
      </c>
      <c r="AS63" s="66"/>
      <c r="AT63" s="8" t="str">
        <f t="shared" si="36"/>
        <v>financial distress</v>
      </c>
      <c r="AU63" s="6" t="s">
        <v>35</v>
      </c>
    </row>
    <row r="64" spans="1:47" x14ac:dyDescent="0.25">
      <c r="A64" s="6" t="s">
        <v>152</v>
      </c>
      <c r="B64" s="62"/>
      <c r="C64" s="62"/>
      <c r="D64" s="61" t="s">
        <v>149</v>
      </c>
      <c r="E64" s="6" t="s">
        <v>3</v>
      </c>
      <c r="F64" s="15">
        <v>519660973376</v>
      </c>
      <c r="G64" s="15">
        <v>1340008954586</v>
      </c>
      <c r="H64" s="15">
        <v>165847701694</v>
      </c>
      <c r="I64" s="15">
        <v>173792154123</v>
      </c>
      <c r="J64" s="15">
        <v>1520030072145</v>
      </c>
      <c r="K64" s="15">
        <f t="shared" si="39"/>
        <v>0</v>
      </c>
      <c r="L64" s="15">
        <v>-362705242674</v>
      </c>
      <c r="M64" s="15">
        <f>425000000+14504100000</f>
        <v>14929100000</v>
      </c>
      <c r="N64" s="16">
        <v>80</v>
      </c>
      <c r="O64" s="17">
        <f t="shared" si="6"/>
        <v>1194328000000</v>
      </c>
      <c r="P64" s="15">
        <v>863714584966</v>
      </c>
      <c r="Q64" s="15">
        <f>-165927480293</f>
        <v>-165927480293</v>
      </c>
      <c r="R64" s="15">
        <v>-252499070120</v>
      </c>
      <c r="S64" s="1" t="str">
        <f t="shared" si="1"/>
        <v/>
      </c>
      <c r="T64" s="18">
        <f t="shared" ref="T64:T68" si="48">F64/H64</f>
        <v>3.1333625251847561</v>
      </c>
      <c r="U64" s="18">
        <f t="shared" ref="U64:U68" si="49">R64/(F64+G64)</f>
        <v>-0.13577628283569229</v>
      </c>
      <c r="V64" s="18">
        <f t="shared" ref="V64:V68" si="50">R64/J64</f>
        <v>-0.1661145228289361</v>
      </c>
      <c r="W64" s="18">
        <f t="shared" ref="W64:W68" si="51">(H64+I64)/(F64+G64)</f>
        <v>0.18263448298548823</v>
      </c>
      <c r="X64" s="18">
        <f t="shared" ref="X64:X68" si="52">(H64+I64)/J64</f>
        <v>0.22344285290205809</v>
      </c>
      <c r="Y64" s="19">
        <f t="shared" si="31"/>
        <v>0.19025595153315278</v>
      </c>
      <c r="Z64" s="19">
        <f t="shared" ref="Z64:Z68" si="53">L64/(F64+G64)</f>
        <v>-0.19503742961068704</v>
      </c>
      <c r="AA64" s="19">
        <f t="shared" ref="AA64:AA68" si="54">Q64/(F64+G64)</f>
        <v>-8.9224156286077508E-2</v>
      </c>
      <c r="AB64" s="19">
        <f t="shared" ref="AB64:AB68" si="55">(M64*N64)/(H64+I64)</f>
        <v>3.5164542074340979</v>
      </c>
      <c r="AC64" s="19">
        <f>P64/(F64+G64)</f>
        <v>0.46444509962718983</v>
      </c>
      <c r="AE64" s="34">
        <v>1</v>
      </c>
      <c r="AF64" s="25">
        <f t="shared" ref="AF64:AF73" si="56">AB64/AE64</f>
        <v>3.5164542074340979</v>
      </c>
      <c r="AH64" s="42">
        <v>1.2</v>
      </c>
      <c r="AI64" s="42">
        <v>1.4</v>
      </c>
      <c r="AJ64" s="42">
        <v>3.3</v>
      </c>
      <c r="AK64" s="42">
        <v>0.6</v>
      </c>
      <c r="AL64" s="42">
        <v>1</v>
      </c>
      <c r="AM64" s="44">
        <f t="shared" si="20"/>
        <v>0.22830714183978332</v>
      </c>
      <c r="AN64" s="44">
        <f t="shared" si="21"/>
        <v>-0.27305240145496185</v>
      </c>
      <c r="AO64" s="44">
        <f t="shared" si="22"/>
        <v>-0.29443971574405575</v>
      </c>
      <c r="AP64" s="44">
        <f t="shared" si="23"/>
        <v>2.1098725244604588</v>
      </c>
      <c r="AQ64" s="44">
        <f t="shared" si="24"/>
        <v>0.46444509962718983</v>
      </c>
      <c r="AR64" s="44">
        <f t="shared" si="25"/>
        <v>2.2351326487284142</v>
      </c>
      <c r="AS64" s="66" t="s">
        <v>149</v>
      </c>
      <c r="AT64" s="8" t="str">
        <f t="shared" si="36"/>
        <v>grey area</v>
      </c>
      <c r="AU64" s="6" t="s">
        <v>36</v>
      </c>
    </row>
    <row r="65" spans="1:47" x14ac:dyDescent="0.25">
      <c r="A65" s="6" t="s">
        <v>153</v>
      </c>
      <c r="B65" s="62"/>
      <c r="C65" s="62"/>
      <c r="D65" s="61"/>
      <c r="E65" s="6" t="s">
        <v>4</v>
      </c>
      <c r="F65" s="15">
        <v>527456425373</v>
      </c>
      <c r="G65" s="15">
        <v>1240147080324</v>
      </c>
      <c r="H65" s="15">
        <v>169750005433</v>
      </c>
      <c r="I65" s="15">
        <v>171123203424</v>
      </c>
      <c r="J65" s="15">
        <v>1426730296840</v>
      </c>
      <c r="K65" s="15">
        <f t="shared" si="39"/>
        <v>0</v>
      </c>
      <c r="L65" s="15">
        <v>-450927977401</v>
      </c>
      <c r="M65" s="15">
        <f>425000000+14504100000</f>
        <v>14929100000</v>
      </c>
      <c r="N65" s="16">
        <v>100</v>
      </c>
      <c r="O65" s="17">
        <f t="shared" si="6"/>
        <v>1492910000000</v>
      </c>
      <c r="P65" s="15">
        <v>810064124425</v>
      </c>
      <c r="Q65" s="15">
        <f>-94710676180+0</f>
        <v>-94710676180</v>
      </c>
      <c r="R65" s="15">
        <v>-85300976555</v>
      </c>
      <c r="S65" s="1" t="str">
        <f t="shared" si="1"/>
        <v>X</v>
      </c>
      <c r="T65" s="18">
        <f t="shared" si="48"/>
        <v>3.107254247371356</v>
      </c>
      <c r="U65" s="18">
        <f t="shared" si="49"/>
        <v>-4.8257981091389714E-2</v>
      </c>
      <c r="V65" s="18">
        <f t="shared" si="50"/>
        <v>-5.978773755903919E-2</v>
      </c>
      <c r="W65" s="18">
        <f t="shared" si="51"/>
        <v>0.19284483638913533</v>
      </c>
      <c r="X65" s="18">
        <f t="shared" si="52"/>
        <v>0.23891916335693197</v>
      </c>
      <c r="Y65" s="19">
        <f t="shared" si="31"/>
        <v>0.20236801906485782</v>
      </c>
      <c r="Z65" s="19">
        <f t="shared" si="53"/>
        <v>-0.2551069716413526</v>
      </c>
      <c r="AA65" s="19">
        <f t="shared" si="54"/>
        <v>-5.3581403224618386E-2</v>
      </c>
      <c r="AB65" s="19">
        <f t="shared" si="55"/>
        <v>4.3796636438690957</v>
      </c>
      <c r="AC65" s="19">
        <f t="shared" ref="AC65:AC68" si="57">P65/(F65+G65)</f>
        <v>0.45828384126539518</v>
      </c>
      <c r="AE65" s="34">
        <v>1</v>
      </c>
      <c r="AF65" s="25">
        <f t="shared" si="56"/>
        <v>4.3796636438690957</v>
      </c>
      <c r="AH65" s="42">
        <v>1.2</v>
      </c>
      <c r="AI65" s="42">
        <v>1.4</v>
      </c>
      <c r="AJ65" s="42">
        <v>3.3</v>
      </c>
      <c r="AK65" s="42">
        <v>0.6</v>
      </c>
      <c r="AL65" s="42">
        <v>1</v>
      </c>
      <c r="AM65" s="44">
        <f t="shared" si="20"/>
        <v>0.24284162287782937</v>
      </c>
      <c r="AN65" s="44">
        <f t="shared" si="21"/>
        <v>-0.35714976029789364</v>
      </c>
      <c r="AO65" s="44">
        <f t="shared" si="22"/>
        <v>-0.17681863064124068</v>
      </c>
      <c r="AP65" s="44">
        <f t="shared" si="23"/>
        <v>2.6277981863214572</v>
      </c>
      <c r="AQ65" s="44">
        <f t="shared" si="24"/>
        <v>0.45828384126539518</v>
      </c>
      <c r="AR65" s="44">
        <f t="shared" si="25"/>
        <v>2.7949552595255476</v>
      </c>
      <c r="AS65" s="66"/>
      <c r="AT65" s="8" t="str">
        <f t="shared" si="36"/>
        <v>grey area</v>
      </c>
      <c r="AU65" s="6" t="s">
        <v>37</v>
      </c>
    </row>
    <row r="66" spans="1:47" x14ac:dyDescent="0.25">
      <c r="A66" s="6" t="s">
        <v>154</v>
      </c>
      <c r="B66" s="62"/>
      <c r="C66" s="62"/>
      <c r="D66" s="61"/>
      <c r="E66" s="6" t="s">
        <v>5</v>
      </c>
      <c r="F66" s="15">
        <v>560456340708</v>
      </c>
      <c r="G66" s="15">
        <v>1143968238500</v>
      </c>
      <c r="H66" s="15">
        <v>192300522743</v>
      </c>
      <c r="I66" s="15">
        <v>157286823080</v>
      </c>
      <c r="J66" s="15">
        <v>1354837233385</v>
      </c>
      <c r="K66" s="15">
        <f t="shared" si="39"/>
        <v>0</v>
      </c>
      <c r="L66" s="15">
        <v>-518295367839</v>
      </c>
      <c r="M66" s="15">
        <f>425000000+14504100000</f>
        <v>14929100000</v>
      </c>
      <c r="N66" s="16">
        <v>100</v>
      </c>
      <c r="O66" s="17">
        <f t="shared" si="6"/>
        <v>1492910000000</v>
      </c>
      <c r="P66" s="15">
        <v>875963168811</v>
      </c>
      <c r="Q66" s="15">
        <f>-95039015931+1638002142</f>
        <v>-93401013789</v>
      </c>
      <c r="R66" s="15">
        <v>-79206468705</v>
      </c>
      <c r="S66" s="1" t="str">
        <f t="shared" si="1"/>
        <v>X</v>
      </c>
      <c r="T66" s="18">
        <f t="shared" si="48"/>
        <v>2.9144816286174207</v>
      </c>
      <c r="U66" s="18">
        <f t="shared" si="49"/>
        <v>-4.6471090402724131E-2</v>
      </c>
      <c r="V66" s="18">
        <f t="shared" si="50"/>
        <v>-5.8461981080270578E-2</v>
      </c>
      <c r="W66" s="18">
        <f t="shared" si="51"/>
        <v>0.20510578765852097</v>
      </c>
      <c r="X66" s="18">
        <f t="shared" si="52"/>
        <v>0.2580290364102053</v>
      </c>
      <c r="Y66" s="19">
        <f t="shared" si="31"/>
        <v>0.21600006386675794</v>
      </c>
      <c r="Z66" s="19">
        <f t="shared" si="53"/>
        <v>-0.30408817976553582</v>
      </c>
      <c r="AA66" s="19">
        <f t="shared" si="54"/>
        <v>-5.4799147423936427E-2</v>
      </c>
      <c r="AB66" s="19">
        <f t="shared" si="55"/>
        <v>4.270492104013047</v>
      </c>
      <c r="AC66" s="19">
        <f t="shared" si="57"/>
        <v>0.5139348373032947</v>
      </c>
      <c r="AE66" s="34">
        <v>1</v>
      </c>
      <c r="AF66" s="25">
        <f t="shared" si="56"/>
        <v>4.270492104013047</v>
      </c>
      <c r="AH66" s="42">
        <v>1.2</v>
      </c>
      <c r="AI66" s="42">
        <v>1.4</v>
      </c>
      <c r="AJ66" s="42">
        <v>3.3</v>
      </c>
      <c r="AK66" s="42">
        <v>0.6</v>
      </c>
      <c r="AL66" s="42">
        <v>1</v>
      </c>
      <c r="AM66" s="44">
        <f t="shared" ref="AM66:AM93" si="58">AH66*Y66</f>
        <v>0.25920007664010952</v>
      </c>
      <c r="AN66" s="44">
        <f t="shared" ref="AN66:AN93" si="59">AI66*Z66</f>
        <v>-0.42572345167175013</v>
      </c>
      <c r="AO66" s="44">
        <f t="shared" ref="AO66:AO93" si="60">AJ66*AA66</f>
        <v>-0.18083718649899019</v>
      </c>
      <c r="AP66" s="44">
        <f t="shared" ref="AP66:AP93" si="61">AK66*AF66</f>
        <v>2.5622952624078281</v>
      </c>
      <c r="AQ66" s="44">
        <f t="shared" ref="AQ66:AQ93" si="62">AL66*AC66</f>
        <v>0.5139348373032947</v>
      </c>
      <c r="AR66" s="44">
        <f t="shared" ref="AR66:AR97" si="63">AM66+AN66+AO66+AP66+AQ66</f>
        <v>2.7288695381804922</v>
      </c>
      <c r="AS66" s="66"/>
      <c r="AT66" s="8" t="str">
        <f t="shared" si="36"/>
        <v>grey area</v>
      </c>
      <c r="AU66" s="6" t="s">
        <v>38</v>
      </c>
    </row>
    <row r="67" spans="1:47" x14ac:dyDescent="0.25">
      <c r="A67" s="6" t="s">
        <v>155</v>
      </c>
      <c r="B67" s="62"/>
      <c r="C67" s="62"/>
      <c r="D67" s="61"/>
      <c r="E67" s="6" t="s">
        <v>2</v>
      </c>
      <c r="F67" s="15">
        <v>418960114294</v>
      </c>
      <c r="G67" s="15">
        <v>812720450677</v>
      </c>
      <c r="H67" s="15">
        <v>275411165942</v>
      </c>
      <c r="I67" s="15">
        <v>50701838548</v>
      </c>
      <c r="J67" s="15">
        <v>905567560481</v>
      </c>
      <c r="K67" s="15">
        <f t="shared" si="39"/>
        <v>0</v>
      </c>
      <c r="L67" s="15">
        <v>-988480511049</v>
      </c>
      <c r="M67" s="15">
        <f>425000000+14504100000</f>
        <v>14929100000</v>
      </c>
      <c r="N67" s="16">
        <v>64</v>
      </c>
      <c r="O67" s="17">
        <f t="shared" si="6"/>
        <v>955462400000</v>
      </c>
      <c r="P67" s="15">
        <v>735066462915</v>
      </c>
      <c r="Q67" s="15">
        <f>-507582722152+2340112579</f>
        <v>-505242609573</v>
      </c>
      <c r="R67" s="15">
        <v>-494426816904</v>
      </c>
      <c r="S67" s="1" t="str">
        <f t="shared" si="1"/>
        <v>X</v>
      </c>
      <c r="T67" s="18">
        <f t="shared" si="48"/>
        <v>1.5212168789925917</v>
      </c>
      <c r="U67" s="18">
        <f t="shared" si="49"/>
        <v>-0.40142455029778057</v>
      </c>
      <c r="V67" s="18">
        <f t="shared" si="50"/>
        <v>-0.54598556582722657</v>
      </c>
      <c r="W67" s="18">
        <f t="shared" si="51"/>
        <v>0.26477076424249524</v>
      </c>
      <c r="X67" s="18">
        <f t="shared" si="52"/>
        <v>0.36012001613306716</v>
      </c>
      <c r="Y67" s="19">
        <f t="shared" si="31"/>
        <v>0.11654722209193896</v>
      </c>
      <c r="Z67" s="19">
        <f t="shared" si="53"/>
        <v>-0.80254616266700107</v>
      </c>
      <c r="AA67" s="19">
        <f t="shared" si="54"/>
        <v>-0.4102058796266676</v>
      </c>
      <c r="AB67" s="19">
        <f t="shared" si="55"/>
        <v>2.9298506555855504</v>
      </c>
      <c r="AC67" s="19">
        <f t="shared" si="57"/>
        <v>0.59679959546354233</v>
      </c>
      <c r="AE67" s="34">
        <v>1</v>
      </c>
      <c r="AF67" s="25">
        <f t="shared" si="56"/>
        <v>2.9298506555855504</v>
      </c>
      <c r="AH67" s="42">
        <v>1.2</v>
      </c>
      <c r="AI67" s="42">
        <v>1.4</v>
      </c>
      <c r="AJ67" s="42">
        <v>3.3</v>
      </c>
      <c r="AK67" s="42">
        <v>0.6</v>
      </c>
      <c r="AL67" s="42">
        <v>1</v>
      </c>
      <c r="AM67" s="44">
        <f t="shared" si="58"/>
        <v>0.13985666651032674</v>
      </c>
      <c r="AN67" s="44">
        <f t="shared" si="59"/>
        <v>-1.1235646277338014</v>
      </c>
      <c r="AO67" s="44">
        <f t="shared" si="60"/>
        <v>-1.353679402768003</v>
      </c>
      <c r="AP67" s="44">
        <f t="shared" si="61"/>
        <v>1.7579103933513303</v>
      </c>
      <c r="AQ67" s="44">
        <f t="shared" si="62"/>
        <v>0.59679959546354233</v>
      </c>
      <c r="AR67" s="44">
        <f t="shared" si="63"/>
        <v>1.7322624823395083E-2</v>
      </c>
      <c r="AS67" s="66"/>
      <c r="AT67" s="8" t="str">
        <f t="shared" si="36"/>
        <v>financial distress</v>
      </c>
      <c r="AU67" s="6" t="s">
        <v>39</v>
      </c>
    </row>
    <row r="68" spans="1:47" x14ac:dyDescent="0.25">
      <c r="A68" s="6" t="s">
        <v>156</v>
      </c>
      <c r="B68" s="62"/>
      <c r="C68" s="62"/>
      <c r="D68" s="61"/>
      <c r="E68" s="6" t="s">
        <v>1</v>
      </c>
      <c r="F68" s="15">
        <v>213856436953</v>
      </c>
      <c r="G68" s="15">
        <v>807526272968</v>
      </c>
      <c r="H68" s="15">
        <v>127909759386</v>
      </c>
      <c r="I68" s="15">
        <v>41217586655</v>
      </c>
      <c r="J68" s="15">
        <v>852255363880</v>
      </c>
      <c r="K68" s="15">
        <f t="shared" si="39"/>
        <v>0</v>
      </c>
      <c r="L68" s="15">
        <v>-1044374174283</v>
      </c>
      <c r="M68" s="15">
        <f>425000000+14504100000</f>
        <v>14929100000</v>
      </c>
      <c r="N68" s="16">
        <v>50</v>
      </c>
      <c r="O68" s="17">
        <f t="shared" si="6"/>
        <v>746455000000</v>
      </c>
      <c r="P68" s="15">
        <v>437171365385</v>
      </c>
      <c r="Q68" s="15">
        <f>-60542991055+2750559195</f>
        <v>-57792431860</v>
      </c>
      <c r="R68" s="15">
        <v>-51749994901</v>
      </c>
      <c r="S68" s="1" t="str">
        <f t="shared" ref="S68" si="64">IF(Q68&gt;R68,"","X")</f>
        <v>X</v>
      </c>
      <c r="T68" s="18">
        <f t="shared" si="48"/>
        <v>1.6719321338697402</v>
      </c>
      <c r="U68" s="18">
        <f t="shared" si="49"/>
        <v>-5.0666605571385345E-2</v>
      </c>
      <c r="V68" s="18">
        <f t="shared" si="50"/>
        <v>-6.0721231093696641E-2</v>
      </c>
      <c r="W68" s="18">
        <f t="shared" si="51"/>
        <v>0.16558665463808503</v>
      </c>
      <c r="X68" s="18">
        <f t="shared" si="52"/>
        <v>0.19844679565409415</v>
      </c>
      <c r="Y68" s="19">
        <f t="shared" si="31"/>
        <v>8.4147378580206864E-2</v>
      </c>
      <c r="Z68" s="19">
        <f t="shared" si="53"/>
        <v>-1.0225101366399461</v>
      </c>
      <c r="AA68" s="19">
        <f t="shared" si="54"/>
        <v>-5.6582543740602405E-2</v>
      </c>
      <c r="AB68" s="19">
        <f t="shared" si="55"/>
        <v>4.4135677492334313</v>
      </c>
      <c r="AC68" s="19">
        <f t="shared" si="57"/>
        <v>0.42801915593305229</v>
      </c>
      <c r="AE68" s="34">
        <v>1</v>
      </c>
      <c r="AF68" s="25">
        <f t="shared" si="56"/>
        <v>4.4135677492334313</v>
      </c>
      <c r="AH68" s="42">
        <v>1.2</v>
      </c>
      <c r="AI68" s="42">
        <v>1.4</v>
      </c>
      <c r="AJ68" s="42">
        <v>3.3</v>
      </c>
      <c r="AK68" s="42">
        <v>0.6</v>
      </c>
      <c r="AL68" s="42">
        <v>1</v>
      </c>
      <c r="AM68" s="44">
        <f t="shared" si="58"/>
        <v>0.10097685429624824</v>
      </c>
      <c r="AN68" s="44">
        <f t="shared" si="59"/>
        <v>-1.4315141912959244</v>
      </c>
      <c r="AO68" s="44">
        <f t="shared" si="60"/>
        <v>-0.18672239434398794</v>
      </c>
      <c r="AP68" s="44">
        <f t="shared" si="61"/>
        <v>2.6481406495400588</v>
      </c>
      <c r="AQ68" s="44">
        <f t="shared" si="62"/>
        <v>0.42801915593305229</v>
      </c>
      <c r="AR68" s="44">
        <f t="shared" si="63"/>
        <v>1.558900074129447</v>
      </c>
      <c r="AS68" s="66"/>
      <c r="AT68" s="8" t="str">
        <f t="shared" si="36"/>
        <v>financial distress</v>
      </c>
      <c r="AU68" s="6" t="s">
        <v>40</v>
      </c>
    </row>
    <row r="69" spans="1:47" x14ac:dyDescent="0.25">
      <c r="A69" s="6" t="s">
        <v>157</v>
      </c>
      <c r="B69" s="62"/>
      <c r="C69" s="62"/>
      <c r="D69" s="61" t="s">
        <v>150</v>
      </c>
      <c r="E69" s="6" t="s">
        <v>3</v>
      </c>
      <c r="F69" s="15">
        <v>98274709046</v>
      </c>
      <c r="G69" s="15">
        <v>64553460204</v>
      </c>
      <c r="H69" s="15">
        <v>35476763264</v>
      </c>
      <c r="I69" s="15">
        <v>10034936864</v>
      </c>
      <c r="J69" s="15">
        <v>117316469122</v>
      </c>
      <c r="K69" s="15">
        <f t="shared" si="39"/>
        <v>0</v>
      </c>
      <c r="L69" s="15">
        <f>106720131762</f>
        <v>106720131762</v>
      </c>
      <c r="M69" s="15">
        <v>96000000</v>
      </c>
      <c r="N69" s="16">
        <v>590</v>
      </c>
      <c r="O69" s="17">
        <f t="shared" si="6"/>
        <v>56640000000</v>
      </c>
      <c r="P69" s="15">
        <v>157855084036</v>
      </c>
      <c r="Q69" s="15">
        <f>9424028642+253661528</f>
        <v>9677690170</v>
      </c>
      <c r="R69" s="15">
        <v>6252814811</v>
      </c>
      <c r="S69" s="1" t="str">
        <f t="shared" ref="S69:S73" si="65">IF(Q69&gt;R69,"","X")</f>
        <v/>
      </c>
      <c r="T69" s="18">
        <f t="shared" ref="T69" si="66">F69/H69</f>
        <v>2.7701148584128061</v>
      </c>
      <c r="U69" s="18">
        <f t="shared" ref="U69" si="67">R69/(F69+G69)</f>
        <v>3.8401308814076711E-2</v>
      </c>
      <c r="V69" s="18">
        <f t="shared" ref="V69" si="68">R69/J69</f>
        <v>5.3298695893221601E-2</v>
      </c>
      <c r="W69" s="18">
        <f t="shared" ref="W69" si="69">(H69+I69)/(F69+G69)</f>
        <v>0.27950753446182347</v>
      </c>
      <c r="X69" s="18">
        <f t="shared" ref="X69" si="70">(H69+I69)/J69</f>
        <v>0.38793956610364205</v>
      </c>
      <c r="Y69" s="19">
        <f t="shared" si="31"/>
        <v>0.38567003529704058</v>
      </c>
      <c r="Z69" s="19">
        <f t="shared" ref="Z69" si="71">L69/(F69+G69)</f>
        <v>0.65541565844264993</v>
      </c>
      <c r="AA69" s="19">
        <f>Q69/(F69+G69)</f>
        <v>5.9434987291058054E-2</v>
      </c>
      <c r="AB69" s="19">
        <f>(M69*N69)/(H69+I69)</f>
        <v>1.244515143154443</v>
      </c>
      <c r="AC69" s="19">
        <f t="shared" ref="AC69" si="72">P69/(F69+G69)</f>
        <v>0.96945807818815111</v>
      </c>
      <c r="AE69" s="34">
        <v>1</v>
      </c>
      <c r="AF69" s="25">
        <f t="shared" si="56"/>
        <v>1.244515143154443</v>
      </c>
      <c r="AH69" s="42">
        <v>1.2</v>
      </c>
      <c r="AI69" s="42">
        <v>1.4</v>
      </c>
      <c r="AJ69" s="42">
        <v>3.3</v>
      </c>
      <c r="AK69" s="42">
        <v>0.6</v>
      </c>
      <c r="AL69" s="42">
        <v>1</v>
      </c>
      <c r="AM69" s="44">
        <f t="shared" si="58"/>
        <v>0.46280404235644867</v>
      </c>
      <c r="AN69" s="44">
        <f t="shared" si="59"/>
        <v>0.91758192181970988</v>
      </c>
      <c r="AO69" s="44">
        <f t="shared" si="60"/>
        <v>0.19613545806049157</v>
      </c>
      <c r="AP69" s="44">
        <f t="shared" si="61"/>
        <v>0.74670908589266582</v>
      </c>
      <c r="AQ69" s="44">
        <f t="shared" si="62"/>
        <v>0.96945807818815111</v>
      </c>
      <c r="AR69" s="44">
        <f t="shared" si="63"/>
        <v>3.2926885863174666</v>
      </c>
      <c r="AS69" s="66" t="s">
        <v>150</v>
      </c>
      <c r="AT69" s="8" t="str">
        <f t="shared" si="36"/>
        <v>safe</v>
      </c>
      <c r="AU69" s="6" t="s">
        <v>41</v>
      </c>
    </row>
    <row r="70" spans="1:47" x14ac:dyDescent="0.25">
      <c r="A70" s="6" t="s">
        <v>158</v>
      </c>
      <c r="B70" s="62"/>
      <c r="C70" s="62"/>
      <c r="D70" s="61"/>
      <c r="E70" s="6" t="s">
        <v>4</v>
      </c>
      <c r="F70" s="15">
        <v>89570023525</v>
      </c>
      <c r="G70" s="15">
        <v>71593403315</v>
      </c>
      <c r="H70" s="15">
        <v>20918453456</v>
      </c>
      <c r="I70" s="15">
        <v>10622970307</v>
      </c>
      <c r="J70" s="15">
        <v>129622003077</v>
      </c>
      <c r="K70" s="15">
        <f t="shared" si="39"/>
        <v>0</v>
      </c>
      <c r="L70" s="15">
        <f>118925665717</f>
        <v>118925665717</v>
      </c>
      <c r="M70" s="15">
        <v>96000000</v>
      </c>
      <c r="N70" s="16">
        <v>640</v>
      </c>
      <c r="O70" s="17">
        <f t="shared" ref="O70:O73" si="73">M70*N70</f>
        <v>61440000000</v>
      </c>
      <c r="P70" s="15">
        <v>224371164551</v>
      </c>
      <c r="Q70" s="15">
        <f>17488236349+668898671</f>
        <v>18157135020</v>
      </c>
      <c r="R70" s="15">
        <v>12967113850</v>
      </c>
      <c r="S70" s="1" t="str">
        <f t="shared" si="65"/>
        <v/>
      </c>
      <c r="T70" s="18">
        <f t="shared" ref="T70:T73" si="74">F70/H70</f>
        <v>4.281866425422038</v>
      </c>
      <c r="U70" s="18">
        <f t="shared" ref="U70:U73" si="75">R70/(F70+G70)</f>
        <v>8.0459407597937876E-2</v>
      </c>
      <c r="V70" s="18">
        <f t="shared" ref="V70:V73" si="76">R70/J70</f>
        <v>0.10003790669935166</v>
      </c>
      <c r="W70" s="18">
        <f t="shared" ref="W70:W73" si="77">(H70+I70)/(F70+G70)</f>
        <v>0.19571080350825332</v>
      </c>
      <c r="X70" s="18">
        <f t="shared" ref="X70:X73" si="78">(H70+I70)/J70</f>
        <v>0.24333387090356329</v>
      </c>
      <c r="Y70" s="19">
        <f t="shared" si="31"/>
        <v>0.42597487168820242</v>
      </c>
      <c r="Z70" s="19">
        <f t="shared" ref="Z70:Z73" si="79">L70/(F70+G70)</f>
        <v>0.73791968841086475</v>
      </c>
      <c r="AA70" s="19">
        <f t="shared" ref="AA70:AA73" si="80">Q70/(F70+G70)</f>
        <v>0.11266287504562719</v>
      </c>
      <c r="AB70" s="19">
        <f t="shared" ref="AB70:AB73" si="81">(M70*N70)/(H70+I70)</f>
        <v>1.9479146046689508</v>
      </c>
      <c r="AC70" s="19">
        <f t="shared" ref="AC70:AC73" si="82">P70/(F70+G70)</f>
        <v>1.3921965358415433</v>
      </c>
      <c r="AE70" s="34">
        <v>1</v>
      </c>
      <c r="AF70" s="25">
        <f t="shared" si="56"/>
        <v>1.9479146046689508</v>
      </c>
      <c r="AH70" s="42">
        <v>1.2</v>
      </c>
      <c r="AI70" s="42">
        <v>1.4</v>
      </c>
      <c r="AJ70" s="42">
        <v>3.3</v>
      </c>
      <c r="AK70" s="42">
        <v>0.6</v>
      </c>
      <c r="AL70" s="42">
        <v>1</v>
      </c>
      <c r="AM70" s="44">
        <f t="shared" si="58"/>
        <v>0.51116984602584292</v>
      </c>
      <c r="AN70" s="44">
        <f t="shared" si="59"/>
        <v>1.0330875637752106</v>
      </c>
      <c r="AO70" s="44">
        <f t="shared" si="60"/>
        <v>0.37178748765056974</v>
      </c>
      <c r="AP70" s="44">
        <f t="shared" si="61"/>
        <v>1.1687487628013704</v>
      </c>
      <c r="AQ70" s="44">
        <f t="shared" si="62"/>
        <v>1.3921965358415433</v>
      </c>
      <c r="AR70" s="44">
        <f t="shared" si="63"/>
        <v>4.4769901960945369</v>
      </c>
      <c r="AS70" s="66"/>
      <c r="AT70" s="8" t="str">
        <f t="shared" si="36"/>
        <v>safe</v>
      </c>
      <c r="AU70" s="6" t="s">
        <v>42</v>
      </c>
    </row>
    <row r="71" spans="1:47" x14ac:dyDescent="0.25">
      <c r="A71" s="6" t="s">
        <v>159</v>
      </c>
      <c r="B71" s="62"/>
      <c r="C71" s="62"/>
      <c r="D71" s="61"/>
      <c r="E71" s="6" t="s">
        <v>5</v>
      </c>
      <c r="F71" s="15">
        <v>91588263964</v>
      </c>
      <c r="G71" s="15">
        <v>68439016189</v>
      </c>
      <c r="H71" s="15">
        <v>17303304955</v>
      </c>
      <c r="I71" s="15">
        <v>10031766908</v>
      </c>
      <c r="J71" s="15">
        <v>132692208290</v>
      </c>
      <c r="K71" s="15">
        <f t="shared" si="39"/>
        <v>0</v>
      </c>
      <c r="L71" s="15">
        <f>121895870930</f>
        <v>121895870930</v>
      </c>
      <c r="M71" s="15">
        <v>96000000</v>
      </c>
      <c r="N71" s="16">
        <v>580</v>
      </c>
      <c r="O71" s="17">
        <f t="shared" si="73"/>
        <v>55680000000</v>
      </c>
      <c r="P71" s="15">
        <v>240029648845</v>
      </c>
      <c r="Q71" s="15">
        <f>5024560665+737998770</f>
        <v>5762559435</v>
      </c>
      <c r="R71" s="15">
        <v>2886727390</v>
      </c>
      <c r="S71" s="1" t="str">
        <f t="shared" si="65"/>
        <v/>
      </c>
      <c r="T71" s="18">
        <f t="shared" si="74"/>
        <v>5.2931081202226897</v>
      </c>
      <c r="U71" s="18">
        <f t="shared" si="75"/>
        <v>1.8038970525775591E-2</v>
      </c>
      <c r="V71" s="18">
        <f t="shared" si="76"/>
        <v>2.175506329422924E-2</v>
      </c>
      <c r="W71" s="18">
        <f t="shared" si="77"/>
        <v>0.17081507501011886</v>
      </c>
      <c r="X71" s="18">
        <f t="shared" si="78"/>
        <v>0.20600359444813035</v>
      </c>
      <c r="Y71" s="19">
        <f t="shared" si="31"/>
        <v>0.46420184694745242</v>
      </c>
      <c r="Z71" s="19">
        <f t="shared" si="79"/>
        <v>0.76171931944014137</v>
      </c>
      <c r="AA71" s="19">
        <f t="shared" si="80"/>
        <v>3.6009856753739064E-2</v>
      </c>
      <c r="AB71" s="19">
        <f t="shared" si="81"/>
        <v>2.0369436114549568</v>
      </c>
      <c r="AC71" s="19">
        <f t="shared" si="82"/>
        <v>1.4999295658559639</v>
      </c>
      <c r="AE71" s="34">
        <v>1</v>
      </c>
      <c r="AF71" s="25">
        <f t="shared" si="56"/>
        <v>2.0369436114549568</v>
      </c>
      <c r="AH71" s="42">
        <v>1.2</v>
      </c>
      <c r="AI71" s="42">
        <v>1.4</v>
      </c>
      <c r="AJ71" s="42">
        <v>3.3</v>
      </c>
      <c r="AK71" s="42">
        <v>0.6</v>
      </c>
      <c r="AL71" s="42">
        <v>1</v>
      </c>
      <c r="AM71" s="44">
        <f t="shared" si="58"/>
        <v>0.55704221633694284</v>
      </c>
      <c r="AN71" s="44">
        <f t="shared" si="59"/>
        <v>1.0664070472161979</v>
      </c>
      <c r="AO71" s="44">
        <f t="shared" si="60"/>
        <v>0.11883252728733891</v>
      </c>
      <c r="AP71" s="44">
        <f t="shared" si="61"/>
        <v>1.222166166872974</v>
      </c>
      <c r="AQ71" s="44">
        <f t="shared" si="62"/>
        <v>1.4999295658559639</v>
      </c>
      <c r="AR71" s="44">
        <f t="shared" si="63"/>
        <v>4.4643775235694179</v>
      </c>
      <c r="AS71" s="66"/>
      <c r="AT71" s="8" t="str">
        <f t="shared" si="36"/>
        <v>safe</v>
      </c>
      <c r="AU71" s="6" t="s">
        <v>43</v>
      </c>
    </row>
    <row r="72" spans="1:47" x14ac:dyDescent="0.25">
      <c r="A72" s="6" t="s">
        <v>160</v>
      </c>
      <c r="B72" s="62"/>
      <c r="C72" s="62"/>
      <c r="D72" s="61"/>
      <c r="E72" s="6" t="s">
        <v>2</v>
      </c>
      <c r="F72" s="15">
        <v>79841884794</v>
      </c>
      <c r="G72" s="15">
        <v>67248756659</v>
      </c>
      <c r="H72" s="15">
        <v>21455055711</v>
      </c>
      <c r="I72" s="15">
        <v>12000121855</v>
      </c>
      <c r="J72" s="15">
        <v>113635463887</v>
      </c>
      <c r="K72" s="15">
        <f t="shared" si="39"/>
        <v>0</v>
      </c>
      <c r="L72" s="15">
        <f>102739126527</f>
        <v>102739126527</v>
      </c>
      <c r="M72" s="15">
        <v>96000000</v>
      </c>
      <c r="N72" s="16">
        <v>476</v>
      </c>
      <c r="O72" s="17">
        <f t="shared" si="73"/>
        <v>45696000000</v>
      </c>
      <c r="P72" s="15">
        <v>177788235456</v>
      </c>
      <c r="Q72" s="15">
        <f>-18595167688+197972540</f>
        <v>-18397195148</v>
      </c>
      <c r="R72" s="15">
        <v>-18245567355</v>
      </c>
      <c r="S72" s="1" t="str">
        <f t="shared" si="65"/>
        <v>X</v>
      </c>
      <c r="T72" s="18">
        <f t="shared" si="74"/>
        <v>3.7213552772582683</v>
      </c>
      <c r="U72" s="18">
        <f t="shared" si="75"/>
        <v>-0.12404301983297844</v>
      </c>
      <c r="V72" s="18">
        <f t="shared" si="76"/>
        <v>-0.16056226402299492</v>
      </c>
      <c r="W72" s="18">
        <f t="shared" si="77"/>
        <v>0.22744599680524177</v>
      </c>
      <c r="X72" s="18">
        <f t="shared" si="78"/>
        <v>0.29440789364197162</v>
      </c>
      <c r="Y72" s="19">
        <f t="shared" si="31"/>
        <v>0.3969445540942616</v>
      </c>
      <c r="Z72" s="19">
        <f t="shared" si="79"/>
        <v>0.69847493703281127</v>
      </c>
      <c r="AA72" s="19">
        <f t="shared" si="80"/>
        <v>-0.12507386578960886</v>
      </c>
      <c r="AB72" s="19">
        <f t="shared" si="81"/>
        <v>1.3658872355363065</v>
      </c>
      <c r="AC72" s="19">
        <f t="shared" si="82"/>
        <v>1.2086984848237869</v>
      </c>
      <c r="AE72" s="34">
        <v>1</v>
      </c>
      <c r="AF72" s="25">
        <f t="shared" si="56"/>
        <v>1.3658872355363065</v>
      </c>
      <c r="AH72" s="42">
        <v>1.2</v>
      </c>
      <c r="AI72" s="42">
        <v>1.4</v>
      </c>
      <c r="AJ72" s="42">
        <v>3.3</v>
      </c>
      <c r="AK72" s="42">
        <v>0.6</v>
      </c>
      <c r="AL72" s="42">
        <v>1</v>
      </c>
      <c r="AM72" s="44">
        <f t="shared" si="58"/>
        <v>0.4763334649131139</v>
      </c>
      <c r="AN72" s="44">
        <f t="shared" si="59"/>
        <v>0.97786491184593571</v>
      </c>
      <c r="AO72" s="44">
        <f t="shared" si="60"/>
        <v>-0.41274375710570921</v>
      </c>
      <c r="AP72" s="44">
        <f t="shared" si="61"/>
        <v>0.81953234132178387</v>
      </c>
      <c r="AQ72" s="44">
        <f t="shared" si="62"/>
        <v>1.2086984848237869</v>
      </c>
      <c r="AR72" s="44">
        <f t="shared" si="63"/>
        <v>3.0696854457989113</v>
      </c>
      <c r="AS72" s="66"/>
      <c r="AT72" s="8" t="str">
        <f t="shared" si="36"/>
        <v>safe</v>
      </c>
      <c r="AU72" s="6" t="s">
        <v>44</v>
      </c>
    </row>
    <row r="73" spans="1:47" x14ac:dyDescent="0.25">
      <c r="A73" s="6" t="s">
        <v>161</v>
      </c>
      <c r="B73" s="62"/>
      <c r="C73" s="62"/>
      <c r="D73" s="61"/>
      <c r="E73" s="6" t="s">
        <v>1</v>
      </c>
      <c r="F73" s="15">
        <v>79949514002</v>
      </c>
      <c r="G73" s="15">
        <v>63536675957</v>
      </c>
      <c r="H73" s="15">
        <v>23270556685</v>
      </c>
      <c r="I73" s="15">
        <v>11864188605</v>
      </c>
      <c r="J73" s="15">
        <v>108351444669</v>
      </c>
      <c r="K73" s="15">
        <f t="shared" si="39"/>
        <v>0</v>
      </c>
      <c r="L73" s="15">
        <f>97455107309</f>
        <v>97455107309</v>
      </c>
      <c r="M73" s="15">
        <v>96000000</v>
      </c>
      <c r="N73" s="16">
        <v>420</v>
      </c>
      <c r="O73" s="17">
        <f t="shared" si="73"/>
        <v>40320000000</v>
      </c>
      <c r="P73" s="15">
        <v>124814032661</v>
      </c>
      <c r="Q73" s="15">
        <f>-7494245384+355555923</f>
        <v>-7138689461</v>
      </c>
      <c r="R73" s="15">
        <v>-8068488692</v>
      </c>
      <c r="S73" s="1" t="str">
        <f t="shared" si="65"/>
        <v/>
      </c>
      <c r="T73" s="18">
        <f t="shared" si="74"/>
        <v>3.43565111416242</v>
      </c>
      <c r="U73" s="18">
        <f t="shared" si="75"/>
        <v>-5.6231813628234914E-2</v>
      </c>
      <c r="V73" s="18">
        <f t="shared" si="76"/>
        <v>-7.44659078302852E-2</v>
      </c>
      <c r="W73" s="18">
        <f t="shared" si="77"/>
        <v>0.24486499571867831</v>
      </c>
      <c r="X73" s="18">
        <f t="shared" si="78"/>
        <v>0.32426651437211768</v>
      </c>
      <c r="Y73" s="19">
        <f t="shared" si="31"/>
        <v>0.39501332729787825</v>
      </c>
      <c r="Z73" s="19">
        <f t="shared" si="79"/>
        <v>0.67919503149987459</v>
      </c>
      <c r="AA73" s="19">
        <f t="shared" si="80"/>
        <v>-4.9751752855378084E-2</v>
      </c>
      <c r="AB73" s="19">
        <f t="shared" si="81"/>
        <v>1.1475819638708415</v>
      </c>
      <c r="AC73" s="19">
        <f t="shared" si="82"/>
        <v>0.86986791339755121</v>
      </c>
      <c r="AE73" s="34">
        <v>1</v>
      </c>
      <c r="AF73" s="25">
        <f t="shared" si="56"/>
        <v>1.1475819638708415</v>
      </c>
      <c r="AH73" s="42">
        <v>1.2</v>
      </c>
      <c r="AI73" s="42">
        <v>1.4</v>
      </c>
      <c r="AJ73" s="42">
        <v>3.3</v>
      </c>
      <c r="AK73" s="42">
        <v>0.6</v>
      </c>
      <c r="AL73" s="42">
        <v>1</v>
      </c>
      <c r="AM73" s="44">
        <f t="shared" si="58"/>
        <v>0.47401599275745387</v>
      </c>
      <c r="AN73" s="44">
        <f t="shared" si="59"/>
        <v>0.95087304409982432</v>
      </c>
      <c r="AO73" s="44">
        <f t="shared" si="60"/>
        <v>-0.16418078442274767</v>
      </c>
      <c r="AP73" s="44">
        <f t="shared" si="61"/>
        <v>0.68854917832250495</v>
      </c>
      <c r="AQ73" s="44">
        <f t="shared" si="62"/>
        <v>0.86986791339755121</v>
      </c>
      <c r="AR73" s="44">
        <f t="shared" si="63"/>
        <v>2.8191253441545867</v>
      </c>
      <c r="AS73" s="66"/>
      <c r="AT73" s="8" t="str">
        <f t="shared" si="36"/>
        <v>grey area</v>
      </c>
      <c r="AU73" s="6" t="s">
        <v>45</v>
      </c>
    </row>
    <row r="74" spans="1:47" x14ac:dyDescent="0.25">
      <c r="A74" s="6" t="s">
        <v>162</v>
      </c>
      <c r="B74" s="62"/>
      <c r="C74" s="62"/>
      <c r="D74" s="63" t="s">
        <v>178</v>
      </c>
      <c r="E74" s="6" t="s">
        <v>3</v>
      </c>
      <c r="F74" s="15">
        <v>34467170</v>
      </c>
      <c r="G74" s="15">
        <v>57104676</v>
      </c>
      <c r="H74" s="15">
        <v>39040191</v>
      </c>
      <c r="I74" s="15">
        <v>67973936</v>
      </c>
      <c r="J74" s="15">
        <v>-15442281</v>
      </c>
      <c r="K74" s="15">
        <f t="shared" ref="K74:K78" si="83">(F74+G74)-(H74+I74+J74)</f>
        <v>0</v>
      </c>
      <c r="L74" s="15">
        <v>-214369785</v>
      </c>
      <c r="M74" s="15">
        <v>3111401022</v>
      </c>
      <c r="N74" s="16">
        <v>190</v>
      </c>
      <c r="O74" s="17">
        <f>M74*N74</f>
        <v>591166194180</v>
      </c>
      <c r="P74" s="15">
        <v>73717004</v>
      </c>
      <c r="Q74" s="15">
        <f>597956+6151720</f>
        <v>6749676</v>
      </c>
      <c r="R74" s="15">
        <v>383448</v>
      </c>
      <c r="S74" s="1" t="str">
        <f t="shared" ref="S74" si="84">IF(Q74&gt;R74,"","X")</f>
        <v/>
      </c>
      <c r="T74" s="18">
        <f t="shared" ref="T74" si="85">F74/H74</f>
        <v>0.8828637646777906</v>
      </c>
      <c r="U74" s="18">
        <f t="shared" ref="U74" si="86">R74/(F74+G74)</f>
        <v>4.1874005685109813E-3</v>
      </c>
      <c r="V74" s="18">
        <f t="shared" ref="V74" si="87">R74/J74</f>
        <v>-2.4831046656902566E-2</v>
      </c>
      <c r="W74" s="18">
        <f t="shared" ref="W74" si="88">(H74+I74)/(F74+G74)</f>
        <v>1.1686356852519932</v>
      </c>
      <c r="X74" s="18">
        <f t="shared" ref="X74" si="89">(H74+I74)/J74</f>
        <v>-6.9299429922302282</v>
      </c>
      <c r="Y74" s="19">
        <f t="shared" si="31"/>
        <v>-4.9939159247701523E-2</v>
      </c>
      <c r="Z74" s="19">
        <f t="shared" ref="Z74" si="90">L74/(F74+G74)</f>
        <v>-2.3410010212090735</v>
      </c>
      <c r="AA74" s="19">
        <f t="shared" ref="AA74" si="91">Q74/(F74+G74)</f>
        <v>7.3709074293424201E-2</v>
      </c>
      <c r="AB74" s="19">
        <f t="shared" ref="AB74" si="92">(M74*N74)/(H74+I74)</f>
        <v>5524.1883548701935</v>
      </c>
      <c r="AC74" s="19">
        <f t="shared" ref="AC74" si="93">P74/(F74+G74)</f>
        <v>0.80501821487796588</v>
      </c>
      <c r="AD74" s="40">
        <v>13369</v>
      </c>
      <c r="AE74" s="34">
        <v>1</v>
      </c>
      <c r="AF74" s="25">
        <f>O74/($AD74*AE74*(H74+I74))</f>
        <v>0.41320879309373881</v>
      </c>
      <c r="AH74" s="42">
        <v>1.2</v>
      </c>
      <c r="AI74" s="42">
        <v>1.4</v>
      </c>
      <c r="AJ74" s="42">
        <v>3.3</v>
      </c>
      <c r="AK74" s="42">
        <v>0.6</v>
      </c>
      <c r="AL74" s="42">
        <v>1</v>
      </c>
      <c r="AM74" s="44">
        <f t="shared" si="58"/>
        <v>-5.9926991097241825E-2</v>
      </c>
      <c r="AN74" s="44">
        <f t="shared" si="59"/>
        <v>-3.2774014296927025</v>
      </c>
      <c r="AO74" s="44">
        <f t="shared" si="60"/>
        <v>0.24323994516829986</v>
      </c>
      <c r="AP74" s="44">
        <f t="shared" si="61"/>
        <v>0.24792527585624327</v>
      </c>
      <c r="AQ74" s="44">
        <f t="shared" si="62"/>
        <v>0.80501821487796588</v>
      </c>
      <c r="AR74" s="44">
        <f t="shared" si="63"/>
        <v>-2.0411449848874357</v>
      </c>
      <c r="AS74" s="66" t="s">
        <v>178</v>
      </c>
      <c r="AT74" s="8" t="str">
        <f t="shared" si="36"/>
        <v>financial distress</v>
      </c>
      <c r="AU74" s="6" t="s">
        <v>74</v>
      </c>
    </row>
    <row r="75" spans="1:47" x14ac:dyDescent="0.25">
      <c r="A75" s="6" t="s">
        <v>163</v>
      </c>
      <c r="B75" s="62"/>
      <c r="C75" s="62"/>
      <c r="D75" s="63"/>
      <c r="E75" s="6" t="s">
        <v>4</v>
      </c>
      <c r="F75" s="22">
        <v>28633520</v>
      </c>
      <c r="G75" s="22">
        <v>53894077</v>
      </c>
      <c r="H75" s="15">
        <v>29974970</v>
      </c>
      <c r="I75" s="15">
        <v>51684826</v>
      </c>
      <c r="J75" s="15">
        <v>867801</v>
      </c>
      <c r="K75" s="15">
        <f t="shared" si="83"/>
        <v>0</v>
      </c>
      <c r="L75" s="15">
        <v>-213390834</v>
      </c>
      <c r="M75" s="15">
        <v>3986916802</v>
      </c>
      <c r="N75" s="16">
        <v>190</v>
      </c>
      <c r="O75" s="17">
        <f>M75*N75</f>
        <v>757514192380</v>
      </c>
      <c r="P75" s="15">
        <v>65920016</v>
      </c>
      <c r="Q75" s="15">
        <f>546092+3794316</f>
        <v>4340408</v>
      </c>
      <c r="R75" s="15">
        <v>1346166</v>
      </c>
      <c r="T75" s="18">
        <f t="shared" ref="T75:T78" si="94">F75/H75</f>
        <v>0.9552476616323553</v>
      </c>
      <c r="U75" s="18">
        <f t="shared" ref="U75:U78" si="95">R75/(F75+G75)</f>
        <v>1.6311707222009628E-2</v>
      </c>
      <c r="V75" s="18">
        <f t="shared" ref="V75:V78" si="96">R75/J75</f>
        <v>1.5512381294789934</v>
      </c>
      <c r="W75" s="18">
        <f t="shared" ref="W75:W78" si="97">(H75+I75)/(F75+G75)</f>
        <v>0.98948471745760391</v>
      </c>
      <c r="X75" s="18">
        <f t="shared" ref="X75:X78" si="98">(H75+I75)/J75</f>
        <v>94.099679534824233</v>
      </c>
      <c r="Y75" s="19">
        <f t="shared" si="31"/>
        <v>-1.6254562701007762E-2</v>
      </c>
      <c r="Z75" s="19">
        <f t="shared" ref="Z75:Z78" si="99">L75/(F75+G75)</f>
        <v>-2.5856906266154822</v>
      </c>
      <c r="AA75" s="19">
        <f t="shared" ref="AA75:AA78" si="100">Q75/(F75+G75)</f>
        <v>5.2593413085806923E-2</v>
      </c>
      <c r="AB75" s="19">
        <f t="shared" ref="AB75:AB78" si="101">(M75*N75)/(H75+I75)</f>
        <v>9276.4644229579026</v>
      </c>
      <c r="AC75" s="19">
        <f t="shared" ref="AC75:AC78" si="102">P75/(F75+G75)</f>
        <v>0.79876330338323065</v>
      </c>
      <c r="AD75" s="40">
        <v>13480</v>
      </c>
      <c r="AE75" s="34">
        <v>1</v>
      </c>
      <c r="AF75" s="25">
        <f>O75/($AD75*AE75*(H75+I75))</f>
        <v>0.6881650165399037</v>
      </c>
      <c r="AH75" s="42">
        <v>1.2</v>
      </c>
      <c r="AI75" s="42">
        <v>1.4</v>
      </c>
      <c r="AJ75" s="42">
        <v>3.3</v>
      </c>
      <c r="AK75" s="42">
        <v>0.6</v>
      </c>
      <c r="AL75" s="42">
        <v>1</v>
      </c>
      <c r="AM75" s="44">
        <f t="shared" si="58"/>
        <v>-1.9505475241209314E-2</v>
      </c>
      <c r="AN75" s="44">
        <f t="shared" si="59"/>
        <v>-3.6199668772616747</v>
      </c>
      <c r="AO75" s="44">
        <f t="shared" si="60"/>
        <v>0.17355826318316284</v>
      </c>
      <c r="AP75" s="44">
        <f t="shared" si="61"/>
        <v>0.41289900992394218</v>
      </c>
      <c r="AQ75" s="44">
        <f t="shared" si="62"/>
        <v>0.79876330338323065</v>
      </c>
      <c r="AR75" s="44">
        <f t="shared" si="63"/>
        <v>-2.2542517760125484</v>
      </c>
      <c r="AS75" s="66"/>
      <c r="AT75" s="8" t="str">
        <f t="shared" si="36"/>
        <v>financial distress</v>
      </c>
      <c r="AU75" s="6" t="s">
        <v>75</v>
      </c>
    </row>
    <row r="76" spans="1:47" x14ac:dyDescent="0.25">
      <c r="A76" s="6" t="s">
        <v>164</v>
      </c>
      <c r="B76" s="62"/>
      <c r="C76" s="62"/>
      <c r="D76" s="63"/>
      <c r="E76" s="6" t="s">
        <v>5</v>
      </c>
      <c r="F76" s="22">
        <v>41046100</v>
      </c>
      <c r="G76" s="15">
        <v>60144018</v>
      </c>
      <c r="H76" s="15">
        <v>90200114</v>
      </c>
      <c r="I76" s="15">
        <v>6004287</v>
      </c>
      <c r="J76" s="15">
        <v>4985717</v>
      </c>
      <c r="K76" s="15">
        <f t="shared" si="83"/>
        <v>0</v>
      </c>
      <c r="L76" s="15">
        <v>-210029559</v>
      </c>
      <c r="M76" s="15">
        <v>3986916802</v>
      </c>
      <c r="N76" s="16">
        <v>101</v>
      </c>
      <c r="O76" s="17">
        <f>M76*N76</f>
        <v>402678597002</v>
      </c>
      <c r="P76" s="15">
        <v>93849379</v>
      </c>
      <c r="Q76" s="15">
        <f>1310006+8154031</f>
        <v>9464037</v>
      </c>
      <c r="R76" s="15">
        <v>3267396</v>
      </c>
      <c r="T76" s="18">
        <f t="shared" si="94"/>
        <v>0.45505596589379033</v>
      </c>
      <c r="U76" s="18">
        <f t="shared" si="95"/>
        <v>3.2289674768439344E-2</v>
      </c>
      <c r="V76" s="18">
        <f t="shared" si="96"/>
        <v>0.65535127645632518</v>
      </c>
      <c r="W76" s="18">
        <f t="shared" si="97"/>
        <v>0.95072921053417492</v>
      </c>
      <c r="X76" s="18">
        <f t="shared" si="98"/>
        <v>19.296001156904815</v>
      </c>
      <c r="Y76" s="19">
        <f t="shared" si="31"/>
        <v>-0.48575903429621459</v>
      </c>
      <c r="Z76" s="19">
        <f t="shared" si="99"/>
        <v>-2.0755935772305354</v>
      </c>
      <c r="AA76" s="19">
        <f t="shared" si="100"/>
        <v>9.3527284946935227E-2</v>
      </c>
      <c r="AB76" s="19">
        <f t="shared" si="101"/>
        <v>4185.6567144157989</v>
      </c>
      <c r="AC76" s="19">
        <f t="shared" si="102"/>
        <v>0.92745596956414267</v>
      </c>
      <c r="AD76" s="40">
        <v>14409</v>
      </c>
      <c r="AE76" s="34">
        <v>1</v>
      </c>
      <c r="AF76" s="25">
        <f>O76/($AD76*AE76*(H76+I76))</f>
        <v>0.29048904951181892</v>
      </c>
      <c r="AH76" s="42">
        <v>1.2</v>
      </c>
      <c r="AI76" s="42">
        <v>1.4</v>
      </c>
      <c r="AJ76" s="42">
        <v>3.3</v>
      </c>
      <c r="AK76" s="42">
        <v>0.6</v>
      </c>
      <c r="AL76" s="42">
        <v>1</v>
      </c>
      <c r="AM76" s="44">
        <f t="shared" si="58"/>
        <v>-0.58291084115545744</v>
      </c>
      <c r="AN76" s="44">
        <f t="shared" si="59"/>
        <v>-2.9058310081227492</v>
      </c>
      <c r="AO76" s="44">
        <f t="shared" si="60"/>
        <v>0.30864004032488623</v>
      </c>
      <c r="AP76" s="44">
        <f t="shared" si="61"/>
        <v>0.17429342970709136</v>
      </c>
      <c r="AQ76" s="44">
        <f t="shared" si="62"/>
        <v>0.92745596956414267</v>
      </c>
      <c r="AR76" s="44">
        <f t="shared" si="63"/>
        <v>-2.0783524096820862</v>
      </c>
      <c r="AS76" s="66"/>
      <c r="AT76" s="8" t="str">
        <f t="shared" si="36"/>
        <v>financial distress</v>
      </c>
      <c r="AU76" s="6" t="s">
        <v>76</v>
      </c>
    </row>
    <row r="77" spans="1:47" x14ac:dyDescent="0.25">
      <c r="A77" s="6" t="s">
        <v>165</v>
      </c>
      <c r="B77" s="62"/>
      <c r="C77" s="62"/>
      <c r="D77" s="63"/>
      <c r="E77" s="6" t="s">
        <v>2</v>
      </c>
      <c r="F77" s="15">
        <v>32879799</v>
      </c>
      <c r="G77" s="15">
        <v>72160166</v>
      </c>
      <c r="H77" s="15">
        <v>95539486</v>
      </c>
      <c r="I77" s="15">
        <v>4936330</v>
      </c>
      <c r="J77" s="15">
        <v>4564149</v>
      </c>
      <c r="K77" s="15">
        <f t="shared" si="83"/>
        <v>0</v>
      </c>
      <c r="L77" s="15">
        <v>-217971788</v>
      </c>
      <c r="M77" s="15">
        <v>3986916802</v>
      </c>
      <c r="N77" s="16">
        <v>50</v>
      </c>
      <c r="O77" s="17">
        <f>M77*N77</f>
        <v>199345840100</v>
      </c>
      <c r="P77" s="15">
        <v>65923702</v>
      </c>
      <c r="Q77" s="15">
        <f>-9416777+4990351</f>
        <v>-4426426</v>
      </c>
      <c r="R77" s="15">
        <v>-9255126</v>
      </c>
      <c r="T77" s="18">
        <f t="shared" si="94"/>
        <v>0.3441487951902944</v>
      </c>
      <c r="U77" s="18">
        <f t="shared" si="95"/>
        <v>-8.8110520600420988E-2</v>
      </c>
      <c r="V77" s="18">
        <f t="shared" si="96"/>
        <v>-2.0277878745851639</v>
      </c>
      <c r="W77" s="18">
        <f t="shared" si="97"/>
        <v>0.95654845277223766</v>
      </c>
      <c r="X77" s="18">
        <f t="shared" si="98"/>
        <v>22.014140204449941</v>
      </c>
      <c r="Y77" s="19">
        <f t="shared" si="31"/>
        <v>-0.59653187241637029</v>
      </c>
      <c r="Z77" s="19">
        <f t="shared" si="99"/>
        <v>-2.0751319557275174</v>
      </c>
      <c r="AA77" s="19">
        <f t="shared" si="100"/>
        <v>-4.214039865683504E-2</v>
      </c>
      <c r="AB77" s="19">
        <f t="shared" si="101"/>
        <v>1984.0181253168423</v>
      </c>
      <c r="AC77" s="19">
        <f t="shared" si="102"/>
        <v>0.62760590219160872</v>
      </c>
      <c r="AD77" s="40">
        <v>13831</v>
      </c>
      <c r="AE77" s="34">
        <v>1</v>
      </c>
      <c r="AF77" s="25">
        <f>O77/($AD77*AE77*(H77+I77))</f>
        <v>0.14344719292291536</v>
      </c>
      <c r="AH77" s="42">
        <v>1.2</v>
      </c>
      <c r="AI77" s="42">
        <v>1.4</v>
      </c>
      <c r="AJ77" s="42">
        <v>3.3</v>
      </c>
      <c r="AK77" s="42">
        <v>0.6</v>
      </c>
      <c r="AL77" s="42">
        <v>1</v>
      </c>
      <c r="AM77" s="44">
        <f t="shared" si="58"/>
        <v>-0.71583824689964437</v>
      </c>
      <c r="AN77" s="44">
        <f t="shared" si="59"/>
        <v>-2.9051847380185243</v>
      </c>
      <c r="AO77" s="44">
        <f t="shared" si="60"/>
        <v>-0.13906331556755563</v>
      </c>
      <c r="AP77" s="44">
        <f t="shared" si="61"/>
        <v>8.6068315753749208E-2</v>
      </c>
      <c r="AQ77" s="44">
        <f t="shared" si="62"/>
        <v>0.62760590219160872</v>
      </c>
      <c r="AR77" s="44">
        <f t="shared" si="63"/>
        <v>-3.0464120825403667</v>
      </c>
      <c r="AS77" s="66"/>
      <c r="AT77" s="8" t="str">
        <f t="shared" si="36"/>
        <v>financial distress</v>
      </c>
      <c r="AU77" s="6" t="s">
        <v>77</v>
      </c>
    </row>
    <row r="78" spans="1:47" x14ac:dyDescent="0.25">
      <c r="A78" s="6" t="s">
        <v>166</v>
      </c>
      <c r="B78" s="62"/>
      <c r="C78" s="62"/>
      <c r="D78" s="63"/>
      <c r="E78" s="6" t="s">
        <v>1</v>
      </c>
      <c r="F78" s="15">
        <v>16880576</v>
      </c>
      <c r="G78" s="15">
        <v>68218746</v>
      </c>
      <c r="H78" s="15">
        <v>98991041</v>
      </c>
      <c r="I78" s="15">
        <v>4200043</v>
      </c>
      <c r="J78" s="15">
        <v>-18091762</v>
      </c>
      <c r="K78" s="15">
        <f t="shared" si="83"/>
        <v>0</v>
      </c>
      <c r="L78" s="15">
        <v>-239028316</v>
      </c>
      <c r="M78" s="15">
        <v>3986916802</v>
      </c>
      <c r="N78" s="16">
        <v>50</v>
      </c>
      <c r="O78" s="17">
        <f>M78*N78</f>
        <v>199345840100</v>
      </c>
      <c r="P78" s="15">
        <v>52524459</v>
      </c>
      <c r="Q78" s="15">
        <f>-21250115+4531126</f>
        <v>-16718989</v>
      </c>
      <c r="R78" s="15">
        <v>-21055729</v>
      </c>
      <c r="T78" s="18">
        <f t="shared" si="94"/>
        <v>0.17052630045581599</v>
      </c>
      <c r="U78" s="18">
        <f t="shared" si="95"/>
        <v>-0.24742534376478345</v>
      </c>
      <c r="V78" s="18">
        <f t="shared" si="96"/>
        <v>1.1638296479911685</v>
      </c>
      <c r="W78" s="18">
        <f t="shared" si="97"/>
        <v>1.2125958418329115</v>
      </c>
      <c r="X78" s="18">
        <f t="shared" si="98"/>
        <v>-5.7037608608824284</v>
      </c>
      <c r="Y78" s="19">
        <f t="shared" si="31"/>
        <v>-0.96487801630193948</v>
      </c>
      <c r="Z78" s="19">
        <f t="shared" si="99"/>
        <v>-2.8088157506119731</v>
      </c>
      <c r="AA78" s="19">
        <f t="shared" si="100"/>
        <v>-0.19646442071536127</v>
      </c>
      <c r="AB78" s="19">
        <f t="shared" si="101"/>
        <v>1931.812637029765</v>
      </c>
      <c r="AC78" s="19">
        <f t="shared" si="102"/>
        <v>0.61721360130225245</v>
      </c>
      <c r="AD78" s="40">
        <v>14034</v>
      </c>
      <c r="AE78" s="34">
        <v>1</v>
      </c>
      <c r="AF78" s="25">
        <f>O78/($AD78*AE78*(H78+I78))</f>
        <v>0.13765231844305009</v>
      </c>
      <c r="AH78" s="42">
        <v>1.2</v>
      </c>
      <c r="AI78" s="42">
        <v>1.4</v>
      </c>
      <c r="AJ78" s="42">
        <v>3.3</v>
      </c>
      <c r="AK78" s="42">
        <v>0.6</v>
      </c>
      <c r="AL78" s="42">
        <v>1</v>
      </c>
      <c r="AM78" s="44">
        <f t="shared" si="58"/>
        <v>-1.1578536195623272</v>
      </c>
      <c r="AN78" s="44">
        <f t="shared" si="59"/>
        <v>-3.9323420508567621</v>
      </c>
      <c r="AO78" s="44">
        <f t="shared" si="60"/>
        <v>-0.64833258836069219</v>
      </c>
      <c r="AP78" s="44">
        <f t="shared" si="61"/>
        <v>8.259139106583005E-2</v>
      </c>
      <c r="AQ78" s="44">
        <f t="shared" si="62"/>
        <v>0.61721360130225245</v>
      </c>
      <c r="AR78" s="44">
        <f t="shared" si="63"/>
        <v>-5.038723266411699</v>
      </c>
      <c r="AS78" s="66"/>
      <c r="AT78" s="8" t="str">
        <f t="shared" si="36"/>
        <v>financial distress</v>
      </c>
      <c r="AU78" s="6" t="s">
        <v>78</v>
      </c>
    </row>
    <row r="79" spans="1:47" x14ac:dyDescent="0.25">
      <c r="A79" s="6" t="s">
        <v>179</v>
      </c>
      <c r="B79" s="62"/>
      <c r="C79" s="62"/>
      <c r="D79" s="61" t="s">
        <v>151</v>
      </c>
      <c r="E79" s="6" t="s">
        <v>3</v>
      </c>
      <c r="F79" s="15">
        <v>558602090736</v>
      </c>
      <c r="G79" s="15">
        <v>257395387059</v>
      </c>
      <c r="H79" s="15">
        <v>496551611099</v>
      </c>
      <c r="I79" s="15">
        <v>192637764711</v>
      </c>
      <c r="J79" s="15">
        <v>126808101985</v>
      </c>
      <c r="K79" s="15">
        <f t="shared" ref="K79:K113" si="103">(F79+G79)-(H79+I79+J79)</f>
        <v>0</v>
      </c>
      <c r="L79" s="15">
        <f>-101878947247</f>
        <v>-101878947247</v>
      </c>
      <c r="M79" s="15">
        <v>1011774750</v>
      </c>
      <c r="N79" s="16">
        <v>125</v>
      </c>
      <c r="O79" s="17">
        <f t="shared" ref="O79:O113" si="104">M79*N79</f>
        <v>126471843750</v>
      </c>
      <c r="P79" s="15">
        <v>843528979435</v>
      </c>
      <c r="Q79" s="15">
        <f>37132935023+21614391334</f>
        <v>58747326357</v>
      </c>
      <c r="R79" s="15">
        <v>28988504757</v>
      </c>
      <c r="S79" s="1" t="str">
        <f t="shared" ref="S79:S93" si="105">IF(Q79&gt;R79,"","X")</f>
        <v/>
      </c>
      <c r="T79" s="18">
        <f t="shared" ref="T79" si="106">F79/H79</f>
        <v>1.1249627999386929</v>
      </c>
      <c r="U79" s="18">
        <f t="shared" ref="U79" si="107">R79/(F79+G79)</f>
        <v>3.5525238184967375E-2</v>
      </c>
      <c r="V79" s="18">
        <f t="shared" ref="V79" si="108">R79/J79</f>
        <v>0.22860136145266979</v>
      </c>
      <c r="W79" s="18">
        <f t="shared" ref="W79" si="109">(H79+I79)/(F79+G79)</f>
        <v>0.84459743389444941</v>
      </c>
      <c r="X79" s="18">
        <f t="shared" ref="X79" si="110">(H79+I79)/J79</f>
        <v>5.4349001761064404</v>
      </c>
      <c r="Y79" s="19">
        <f t="shared" si="31"/>
        <v>7.6042489499690225E-2</v>
      </c>
      <c r="Z79" s="19">
        <f t="shared" ref="Z79" si="111">L79/(F79+G79)</f>
        <v>-0.12485203694783314</v>
      </c>
      <c r="AA79" s="19">
        <f>Q79/(F79+G79)</f>
        <v>7.1994495026808006E-2</v>
      </c>
      <c r="AB79" s="19">
        <f>(M79*N79)/(H79+I79)</f>
        <v>0.18350811575027318</v>
      </c>
      <c r="AC79" s="19">
        <f t="shared" ref="AC79" si="112">P79/(F79+G79)</f>
        <v>1.0337396896304092</v>
      </c>
      <c r="AE79" s="34">
        <v>1</v>
      </c>
      <c r="AF79" s="25">
        <f t="shared" ref="AF79:AF109" si="113">AB79/AE79</f>
        <v>0.18350811575027318</v>
      </c>
      <c r="AH79" s="42">
        <v>1.2</v>
      </c>
      <c r="AI79" s="42">
        <v>1.4</v>
      </c>
      <c r="AJ79" s="42">
        <v>3.3</v>
      </c>
      <c r="AK79" s="42">
        <v>0.6</v>
      </c>
      <c r="AL79" s="42">
        <v>1</v>
      </c>
      <c r="AM79" s="44">
        <f t="shared" si="58"/>
        <v>9.1250987399628267E-2</v>
      </c>
      <c r="AN79" s="44">
        <f t="shared" si="59"/>
        <v>-0.1747928517269664</v>
      </c>
      <c r="AO79" s="44">
        <f t="shared" si="60"/>
        <v>0.23758183358846641</v>
      </c>
      <c r="AP79" s="44">
        <f t="shared" si="61"/>
        <v>0.1101048694501639</v>
      </c>
      <c r="AQ79" s="44">
        <f t="shared" si="62"/>
        <v>1.0337396896304092</v>
      </c>
      <c r="AR79" s="44">
        <f t="shared" si="63"/>
        <v>1.2978845283417013</v>
      </c>
      <c r="AS79" s="66" t="s">
        <v>151</v>
      </c>
      <c r="AT79" s="8" t="str">
        <f t="shared" si="36"/>
        <v>financial distress</v>
      </c>
      <c r="AU79" s="6" t="s">
        <v>79</v>
      </c>
    </row>
    <row r="80" spans="1:47" x14ac:dyDescent="0.25">
      <c r="A80" s="6" t="s">
        <v>180</v>
      </c>
      <c r="B80" s="62"/>
      <c r="C80" s="62"/>
      <c r="D80" s="61"/>
      <c r="E80" s="6" t="s">
        <v>4</v>
      </c>
      <c r="F80" s="15">
        <v>589913892673</v>
      </c>
      <c r="G80" s="15">
        <v>269385163782</v>
      </c>
      <c r="H80" s="15">
        <v>513715444072</v>
      </c>
      <c r="I80" s="15">
        <v>221761267659</v>
      </c>
      <c r="J80" s="15">
        <v>123822344724</v>
      </c>
      <c r="K80" s="15">
        <f t="shared" si="103"/>
        <v>0</v>
      </c>
      <c r="L80" s="15">
        <f>-100877561305</f>
        <v>-100877561305</v>
      </c>
      <c r="M80" s="15">
        <v>1011774750</v>
      </c>
      <c r="N80" s="16">
        <v>89</v>
      </c>
      <c r="O80" s="17">
        <f t="shared" si="104"/>
        <v>90047952750</v>
      </c>
      <c r="P80" s="15">
        <v>795611411050</v>
      </c>
      <c r="Q80" s="15">
        <f>2334588272+22447715481</f>
        <v>24782303753</v>
      </c>
      <c r="R80" s="15">
        <v>1001385942</v>
      </c>
      <c r="S80" s="1" t="str">
        <f t="shared" si="105"/>
        <v/>
      </c>
      <c r="T80" s="18">
        <f t="shared" ref="T80:T81" si="114">F80/H80</f>
        <v>1.1483281249966089</v>
      </c>
      <c r="U80" s="18">
        <f t="shared" ref="U80:U81" si="115">R80/(F80+G80)</f>
        <v>1.1653520790901053E-3</v>
      </c>
      <c r="V80" s="18">
        <f t="shared" ref="V80:V81" si="116">R80/J80</f>
        <v>8.0872797573983048E-3</v>
      </c>
      <c r="W80" s="18">
        <f t="shared" ref="W80:W81" si="117">(H80+I80)/(F80+G80)</f>
        <v>0.85590308310726704</v>
      </c>
      <c r="X80" s="18">
        <f t="shared" ref="X80:X81" si="118">(H80+I80)/J80</f>
        <v>5.939773740921944</v>
      </c>
      <c r="Y80" s="19">
        <f t="shared" si="31"/>
        <v>8.8675121924785189E-2</v>
      </c>
      <c r="Z80" s="19">
        <f t="shared" ref="Z80:Z81" si="119">L80/(F80+G80)</f>
        <v>-0.11739517289960248</v>
      </c>
      <c r="AA80" s="19">
        <f t="shared" ref="AA80:AA81" si="120">Q80/(F80+G80)</f>
        <v>2.8840138444045652E-2</v>
      </c>
      <c r="AB80" s="19">
        <f t="shared" ref="AB80:AB81" si="121">(M80*N80)/(H80+I80)</f>
        <v>0.12243481175367925</v>
      </c>
      <c r="AC80" s="19">
        <f t="shared" ref="AC80:AC81" si="122">P80/(F80+G80)</f>
        <v>0.92588419022855617</v>
      </c>
      <c r="AE80" s="34">
        <v>1</v>
      </c>
      <c r="AF80" s="25">
        <f t="shared" si="113"/>
        <v>0.12243481175367925</v>
      </c>
      <c r="AH80" s="42">
        <v>1.2</v>
      </c>
      <c r="AI80" s="42">
        <v>1.4</v>
      </c>
      <c r="AJ80" s="42">
        <v>3.3</v>
      </c>
      <c r="AK80" s="42">
        <v>0.6</v>
      </c>
      <c r="AL80" s="42">
        <v>1</v>
      </c>
      <c r="AM80" s="44">
        <f t="shared" si="58"/>
        <v>0.10641014630974223</v>
      </c>
      <c r="AN80" s="44">
        <f t="shared" si="59"/>
        <v>-0.16435324205944346</v>
      </c>
      <c r="AO80" s="44">
        <f t="shared" si="60"/>
        <v>9.5172456865350641E-2</v>
      </c>
      <c r="AP80" s="44">
        <f t="shared" si="61"/>
        <v>7.3460887052207546E-2</v>
      </c>
      <c r="AQ80" s="44">
        <f t="shared" si="62"/>
        <v>0.92588419022855617</v>
      </c>
      <c r="AR80" s="44">
        <f t="shared" si="63"/>
        <v>1.0365744383964131</v>
      </c>
      <c r="AS80" s="66"/>
      <c r="AT80" s="8" t="str">
        <f t="shared" si="36"/>
        <v>financial distress</v>
      </c>
      <c r="AU80" s="6" t="s">
        <v>80</v>
      </c>
    </row>
    <row r="81" spans="1:47" x14ac:dyDescent="0.25">
      <c r="A81" s="6" t="s">
        <v>181</v>
      </c>
      <c r="B81" s="62"/>
      <c r="C81" s="62"/>
      <c r="D81" s="61"/>
      <c r="E81" s="6" t="s">
        <v>5</v>
      </c>
      <c r="F81" s="15">
        <v>648335408999</v>
      </c>
      <c r="G81" s="15">
        <v>275031024800</v>
      </c>
      <c r="H81" s="15">
        <v>599302543303</v>
      </c>
      <c r="I81" s="15">
        <v>236578471371</v>
      </c>
      <c r="J81" s="15">
        <v>87485419125</v>
      </c>
      <c r="K81" s="15">
        <f t="shared" si="103"/>
        <v>0</v>
      </c>
      <c r="L81" s="15">
        <f>-137354735820</f>
        <v>-137354735820</v>
      </c>
      <c r="M81" s="15">
        <v>1011774750</v>
      </c>
      <c r="N81" s="16">
        <v>62</v>
      </c>
      <c r="O81" s="17">
        <f t="shared" si="104"/>
        <v>62730034500</v>
      </c>
      <c r="P81" s="15">
        <v>1042813378742</v>
      </c>
      <c r="Q81" s="15">
        <f>-37845576140+24407130120</f>
        <v>-13438446020</v>
      </c>
      <c r="R81" s="15">
        <v>-36477174515</v>
      </c>
      <c r="S81" s="1" t="str">
        <f t="shared" si="105"/>
        <v/>
      </c>
      <c r="T81" s="18">
        <f t="shared" si="114"/>
        <v>1.0818165486596469</v>
      </c>
      <c r="U81" s="18">
        <f t="shared" si="115"/>
        <v>-3.9504548984872906E-2</v>
      </c>
      <c r="V81" s="18">
        <f t="shared" si="116"/>
        <v>-0.41695147465523447</v>
      </c>
      <c r="W81" s="18">
        <f t="shared" si="117"/>
        <v>0.90525384514459839</v>
      </c>
      <c r="X81" s="18">
        <f t="shared" si="118"/>
        <v>9.5545180332243156</v>
      </c>
      <c r="Y81" s="19">
        <f t="shared" si="31"/>
        <v>5.3102283017008131E-2</v>
      </c>
      <c r="Z81" s="19">
        <f t="shared" si="119"/>
        <v>-0.14875430900696962</v>
      </c>
      <c r="AA81" s="19">
        <f t="shared" si="120"/>
        <v>-1.4553751932166622E-2</v>
      </c>
      <c r="AB81" s="19">
        <f t="shared" si="121"/>
        <v>7.5046607589795769E-2</v>
      </c>
      <c r="AC81" s="19">
        <f t="shared" si="122"/>
        <v>1.1293602848996365</v>
      </c>
      <c r="AE81" s="34">
        <v>1</v>
      </c>
      <c r="AF81" s="25">
        <f t="shared" si="113"/>
        <v>7.5046607589795769E-2</v>
      </c>
      <c r="AH81" s="42">
        <v>1.2</v>
      </c>
      <c r="AI81" s="42">
        <v>1.4</v>
      </c>
      <c r="AJ81" s="42">
        <v>3.3</v>
      </c>
      <c r="AK81" s="42">
        <v>0.6</v>
      </c>
      <c r="AL81" s="42">
        <v>1</v>
      </c>
      <c r="AM81" s="44">
        <f t="shared" si="58"/>
        <v>6.3722739620409752E-2</v>
      </c>
      <c r="AN81" s="44">
        <f t="shared" si="59"/>
        <v>-0.20825603260975745</v>
      </c>
      <c r="AO81" s="44">
        <f t="shared" si="60"/>
        <v>-4.8027381376149848E-2</v>
      </c>
      <c r="AP81" s="44">
        <f t="shared" si="61"/>
        <v>4.5027964553877461E-2</v>
      </c>
      <c r="AQ81" s="44">
        <f t="shared" si="62"/>
        <v>1.1293602848996365</v>
      </c>
      <c r="AR81" s="44">
        <f t="shared" si="63"/>
        <v>0.98182757508801632</v>
      </c>
      <c r="AS81" s="66"/>
      <c r="AT81" s="8" t="str">
        <f t="shared" si="36"/>
        <v>financial distress</v>
      </c>
      <c r="AU81" s="6" t="s">
        <v>81</v>
      </c>
    </row>
    <row r="82" spans="1:47" x14ac:dyDescent="0.25">
      <c r="A82" s="6" t="s">
        <v>182</v>
      </c>
      <c r="B82" s="62"/>
      <c r="C82" s="62"/>
      <c r="D82" s="61"/>
      <c r="E82" s="6" t="s">
        <v>2</v>
      </c>
      <c r="F82" s="15">
        <v>616143811548</v>
      </c>
      <c r="G82" s="15">
        <v>279539206533</v>
      </c>
      <c r="H82" s="15">
        <v>606083831925</v>
      </c>
      <c r="I82" s="15">
        <v>253652960420</v>
      </c>
      <c r="J82" s="15">
        <v>35946225736</v>
      </c>
      <c r="K82" s="15">
        <f t="shared" si="103"/>
        <v>0</v>
      </c>
      <c r="L82" s="15">
        <f>-189097633875</f>
        <v>-189097633875</v>
      </c>
      <c r="M82" s="15">
        <v>1011774750</v>
      </c>
      <c r="N82" s="16">
        <v>53</v>
      </c>
      <c r="O82" s="17">
        <f t="shared" si="104"/>
        <v>53624061750</v>
      </c>
      <c r="P82" s="15">
        <v>645859484361</v>
      </c>
      <c r="Q82" s="15">
        <f>-52794021588+24963659217</f>
        <v>-27830362371</v>
      </c>
      <c r="R82" s="15">
        <v>-51742898055</v>
      </c>
      <c r="S82" s="1" t="str">
        <f t="shared" si="105"/>
        <v/>
      </c>
      <c r="T82" s="18">
        <f t="shared" ref="T82:T83" si="123">F82/H82</f>
        <v>1.0165983302855122</v>
      </c>
      <c r="U82" s="18">
        <f t="shared" ref="U82:U83" si="124">R82/(F82+G82)</f>
        <v>-5.7769207421012748E-2</v>
      </c>
      <c r="V82" s="18">
        <f t="shared" ref="V82:V83" si="125">R82/J82</f>
        <v>-1.4394528770562884</v>
      </c>
      <c r="W82" s="18">
        <f t="shared" ref="W82:W83" si="126">(H82+I82)/(F82+G82)</f>
        <v>0.95986724654776334</v>
      </c>
      <c r="X82" s="18">
        <f t="shared" ref="X82:X83" si="127">(H82+I82)/J82</f>
        <v>23.917303548338236</v>
      </c>
      <c r="Y82" s="19">
        <f t="shared" si="31"/>
        <v>1.1231629292864675E-2</v>
      </c>
      <c r="Z82" s="19">
        <f t="shared" ref="Z82:Z83" si="128">L82/(F82+G82)</f>
        <v>-0.21112115565185272</v>
      </c>
      <c r="AA82" s="19">
        <f t="shared" ref="AA82:AA83" si="129">Q82/(F82+G82)</f>
        <v>-3.1071664650544034E-2</v>
      </c>
      <c r="AB82" s="19">
        <f t="shared" ref="AB82:AB83" si="130">(M82*N82)/(H82+I82)</f>
        <v>6.2372649661457592E-2</v>
      </c>
      <c r="AC82" s="19">
        <f t="shared" ref="AC82:AC83" si="131">P82/(F82+G82)</f>
        <v>0.72108041720468619</v>
      </c>
      <c r="AE82" s="34">
        <v>1</v>
      </c>
      <c r="AF82" s="25">
        <f t="shared" si="113"/>
        <v>6.2372649661457592E-2</v>
      </c>
      <c r="AH82" s="42">
        <v>1.2</v>
      </c>
      <c r="AI82" s="42">
        <v>1.4</v>
      </c>
      <c r="AJ82" s="42">
        <v>3.3</v>
      </c>
      <c r="AK82" s="42">
        <v>0.6</v>
      </c>
      <c r="AL82" s="42">
        <v>1</v>
      </c>
      <c r="AM82" s="44">
        <f t="shared" si="58"/>
        <v>1.3477955151437611E-2</v>
      </c>
      <c r="AN82" s="44">
        <f t="shared" si="59"/>
        <v>-0.29556961791259379</v>
      </c>
      <c r="AO82" s="44">
        <f t="shared" si="60"/>
        <v>-0.10253649334679531</v>
      </c>
      <c r="AP82" s="44">
        <f t="shared" si="61"/>
        <v>3.7423589796874553E-2</v>
      </c>
      <c r="AQ82" s="44">
        <f t="shared" si="62"/>
        <v>0.72108041720468619</v>
      </c>
      <c r="AR82" s="44">
        <f t="shared" si="63"/>
        <v>0.37387585089360925</v>
      </c>
      <c r="AS82" s="66"/>
      <c r="AT82" s="8" t="str">
        <f t="shared" si="36"/>
        <v>financial distress</v>
      </c>
      <c r="AU82" s="6" t="s">
        <v>82</v>
      </c>
    </row>
    <row r="83" spans="1:47" x14ac:dyDescent="0.25">
      <c r="A83" s="6" t="s">
        <v>183</v>
      </c>
      <c r="B83" s="62"/>
      <c r="C83" s="62"/>
      <c r="D83" s="61"/>
      <c r="E83" s="6" t="s">
        <v>1</v>
      </c>
      <c r="F83" s="15">
        <v>143392688609</v>
      </c>
      <c r="G83" s="15">
        <v>251332855114</v>
      </c>
      <c r="H83" s="15">
        <v>423487395154</v>
      </c>
      <c r="I83" s="15">
        <v>361560947733</v>
      </c>
      <c r="J83" s="15">
        <v>-390322799164</v>
      </c>
      <c r="K83" s="15">
        <f t="shared" si="103"/>
        <v>0</v>
      </c>
      <c r="L83" s="15">
        <f>-603496073290</f>
        <v>-603496073290</v>
      </c>
      <c r="M83" s="15">
        <v>1011774750</v>
      </c>
      <c r="N83" s="16">
        <v>51</v>
      </c>
      <c r="O83" s="17">
        <f t="shared" si="104"/>
        <v>51600512250</v>
      </c>
      <c r="P83" s="15">
        <v>168879831491</v>
      </c>
      <c r="Q83" s="15">
        <f>-400263966463+22225067585</f>
        <v>-378038898878</v>
      </c>
      <c r="R83" s="15">
        <v>-414398439415</v>
      </c>
      <c r="S83" s="1" t="str">
        <f t="shared" si="105"/>
        <v/>
      </c>
      <c r="T83" s="18">
        <f t="shared" si="123"/>
        <v>0.33859966140634634</v>
      </c>
      <c r="U83" s="18">
        <f t="shared" si="124"/>
        <v>-1.0498394289521975</v>
      </c>
      <c r="V83" s="18">
        <f t="shared" si="125"/>
        <v>1.0616813578468016</v>
      </c>
      <c r="W83" s="18">
        <f t="shared" si="126"/>
        <v>1.9888460611961569</v>
      </c>
      <c r="X83" s="18">
        <f t="shared" si="127"/>
        <v>-2.0112797524726456</v>
      </c>
      <c r="Y83" s="19">
        <f t="shared" si="31"/>
        <v>-0.70959356697107345</v>
      </c>
      <c r="Z83" s="19">
        <f t="shared" si="128"/>
        <v>-1.5289004800599006</v>
      </c>
      <c r="AA83" s="19">
        <f t="shared" si="129"/>
        <v>-0.95772595640096225</v>
      </c>
      <c r="AB83" s="19">
        <f t="shared" si="130"/>
        <v>6.5729088810301955E-2</v>
      </c>
      <c r="AC83" s="19">
        <f t="shared" si="131"/>
        <v>0.42784115235651432</v>
      </c>
      <c r="AE83" s="34">
        <v>1</v>
      </c>
      <c r="AF83" s="25">
        <f t="shared" si="113"/>
        <v>6.5729088810301955E-2</v>
      </c>
      <c r="AH83" s="42">
        <v>1.2</v>
      </c>
      <c r="AI83" s="42">
        <v>1.4</v>
      </c>
      <c r="AJ83" s="42">
        <v>3.3</v>
      </c>
      <c r="AK83" s="42">
        <v>0.6</v>
      </c>
      <c r="AL83" s="42">
        <v>1</v>
      </c>
      <c r="AM83" s="44">
        <f t="shared" si="58"/>
        <v>-0.85151228036528814</v>
      </c>
      <c r="AN83" s="44">
        <f t="shared" si="59"/>
        <v>-2.1404606720838606</v>
      </c>
      <c r="AO83" s="44">
        <f t="shared" si="60"/>
        <v>-3.1604956561231754</v>
      </c>
      <c r="AP83" s="44">
        <f t="shared" si="61"/>
        <v>3.9437453286181173E-2</v>
      </c>
      <c r="AQ83" s="44">
        <f t="shared" si="62"/>
        <v>0.42784115235651432</v>
      </c>
      <c r="AR83" s="44">
        <f t="shared" si="63"/>
        <v>-5.6851900029296285</v>
      </c>
      <c r="AS83" s="66"/>
      <c r="AT83" s="8" t="str">
        <f t="shared" si="36"/>
        <v>financial distress</v>
      </c>
      <c r="AU83" s="6" t="s">
        <v>83</v>
      </c>
    </row>
    <row r="84" spans="1:47" x14ac:dyDescent="0.25">
      <c r="A84" s="6" t="s">
        <v>184</v>
      </c>
      <c r="B84" s="62"/>
      <c r="C84" s="62"/>
      <c r="D84" s="61" t="s">
        <v>176</v>
      </c>
      <c r="E84" s="6" t="s">
        <v>3</v>
      </c>
      <c r="F84" s="15">
        <v>326152847307</v>
      </c>
      <c r="G84" s="15">
        <v>112568336396</v>
      </c>
      <c r="H84" s="15">
        <v>285084248364</v>
      </c>
      <c r="I84" s="15">
        <v>13134638814</v>
      </c>
      <c r="J84" s="15">
        <v>140502296525</v>
      </c>
      <c r="K84" s="15">
        <f t="shared" si="103"/>
        <v>0</v>
      </c>
      <c r="L84" s="15">
        <v>-51720095051</v>
      </c>
      <c r="M84" s="15">
        <v>1438370465</v>
      </c>
      <c r="N84" s="16">
        <v>488</v>
      </c>
      <c r="O84" s="17">
        <f t="shared" si="104"/>
        <v>701924786920</v>
      </c>
      <c r="P84" s="15">
        <v>446830466068</v>
      </c>
      <c r="Q84" s="15">
        <f>-6605337030+26223516654</f>
        <v>19618179624</v>
      </c>
      <c r="R84" s="15">
        <v>5913125765</v>
      </c>
      <c r="S84" s="1" t="str">
        <f t="shared" si="105"/>
        <v/>
      </c>
      <c r="T84" s="18">
        <f t="shared" ref="T84:T88" si="132">F84/H84</f>
        <v>1.1440577624989052</v>
      </c>
      <c r="U84" s="18">
        <f t="shared" ref="U84:U88" si="133">R84/(F84+G84)</f>
        <v>1.3478094937405607E-2</v>
      </c>
      <c r="V84" s="18">
        <f t="shared" ref="V84:V88" si="134">R84/J84</f>
        <v>4.2085616472097021E-2</v>
      </c>
      <c r="W84" s="18">
        <f t="shared" ref="W84:W88" si="135">(H84+I84)/(F84+G84)</f>
        <v>0.67974581181811478</v>
      </c>
      <c r="X84" s="18">
        <f t="shared" ref="X84:X88" si="136">(H84+I84)/J84</f>
        <v>2.1225196637617736</v>
      </c>
      <c r="Y84" s="19">
        <f t="shared" si="31"/>
        <v>9.360979243437241E-2</v>
      </c>
      <c r="Z84" s="19">
        <f t="shared" ref="Z84:Z88" si="137">L84/(F84+G84)</f>
        <v>-0.11788830120866201</v>
      </c>
      <c r="AA84" s="19">
        <f t="shared" ref="AA84:AA88" si="138">Q84/(F84+G84)</f>
        <v>4.4716736626241579E-2</v>
      </c>
      <c r="AB84" s="19">
        <f t="shared" ref="AB84:AB88" si="139">(M84*N84)/(H84+I84)</f>
        <v>2.3537234464329457</v>
      </c>
      <c r="AC84" s="19">
        <f t="shared" ref="AC84:AC88" si="140">P84/(F84+G84)</f>
        <v>1.0184839088383062</v>
      </c>
      <c r="AE84" s="34">
        <v>1</v>
      </c>
      <c r="AF84" s="25">
        <f t="shared" si="113"/>
        <v>2.3537234464329457</v>
      </c>
      <c r="AH84" s="42">
        <v>1.2</v>
      </c>
      <c r="AI84" s="42">
        <v>1.4</v>
      </c>
      <c r="AJ84" s="42">
        <v>3.3</v>
      </c>
      <c r="AK84" s="42">
        <v>0.6</v>
      </c>
      <c r="AL84" s="42">
        <v>1</v>
      </c>
      <c r="AM84" s="44">
        <f t="shared" si="58"/>
        <v>0.11233175092124689</v>
      </c>
      <c r="AN84" s="44">
        <f t="shared" si="59"/>
        <v>-0.1650436216921268</v>
      </c>
      <c r="AO84" s="44">
        <f t="shared" si="60"/>
        <v>0.1475652308665972</v>
      </c>
      <c r="AP84" s="44">
        <f t="shared" si="61"/>
        <v>1.4122340678597674</v>
      </c>
      <c r="AQ84" s="44">
        <f t="shared" si="62"/>
        <v>1.0184839088383062</v>
      </c>
      <c r="AR84" s="44">
        <f t="shared" si="63"/>
        <v>2.5255713367937909</v>
      </c>
      <c r="AS84" s="66" t="s">
        <v>176</v>
      </c>
      <c r="AT84" s="8" t="str">
        <f t="shared" si="36"/>
        <v>grey area</v>
      </c>
      <c r="AU84" s="6" t="s">
        <v>86</v>
      </c>
    </row>
    <row r="85" spans="1:47" x14ac:dyDescent="0.25">
      <c r="A85" s="6" t="s">
        <v>185</v>
      </c>
      <c r="B85" s="62"/>
      <c r="C85" s="62"/>
      <c r="D85" s="61"/>
      <c r="E85" s="6" t="s">
        <v>4</v>
      </c>
      <c r="F85" s="15">
        <v>350317114180</v>
      </c>
      <c r="G85" s="15">
        <v>229650730117</v>
      </c>
      <c r="H85" s="15">
        <v>419107925736</v>
      </c>
      <c r="I85" s="15">
        <v>18247628370</v>
      </c>
      <c r="J85" s="15">
        <v>142612290191</v>
      </c>
      <c r="K85" s="15">
        <f t="shared" si="103"/>
        <v>0</v>
      </c>
      <c r="L85" s="15">
        <v>-47973758904</v>
      </c>
      <c r="M85" s="15">
        <v>1438370465</v>
      </c>
      <c r="N85" s="16">
        <v>192</v>
      </c>
      <c r="O85" s="17">
        <f t="shared" si="104"/>
        <v>276167129280</v>
      </c>
      <c r="P85" s="15">
        <v>563864071410</v>
      </c>
      <c r="Q85" s="15">
        <f>5345868131+25989879193</f>
        <v>31335747324</v>
      </c>
      <c r="R85" s="15">
        <v>3803969459</v>
      </c>
      <c r="S85" s="1" t="str">
        <f t="shared" si="105"/>
        <v/>
      </c>
      <c r="T85" s="18">
        <f t="shared" si="132"/>
        <v>0.83586373024276339</v>
      </c>
      <c r="U85" s="18">
        <f t="shared" si="133"/>
        <v>6.5589316656183396E-3</v>
      </c>
      <c r="V85" s="18">
        <f t="shared" si="134"/>
        <v>2.6673503762581478E-2</v>
      </c>
      <c r="W85" s="18">
        <f t="shared" si="135"/>
        <v>0.75410310831307292</v>
      </c>
      <c r="X85" s="18">
        <f t="shared" si="136"/>
        <v>3.0667451838845845</v>
      </c>
      <c r="Y85" s="19">
        <f t="shared" si="31"/>
        <v>-0.11861142343052455</v>
      </c>
      <c r="Z85" s="19">
        <f t="shared" si="137"/>
        <v>-8.2717963376315679E-2</v>
      </c>
      <c r="AA85" s="19">
        <f t="shared" si="138"/>
        <v>5.4030146036774147E-2</v>
      </c>
      <c r="AB85" s="19">
        <f t="shared" si="139"/>
        <v>0.63144763268072401</v>
      </c>
      <c r="AC85" s="19">
        <f t="shared" si="140"/>
        <v>0.97223333492476649</v>
      </c>
      <c r="AE85" s="34">
        <v>1</v>
      </c>
      <c r="AF85" s="25">
        <f t="shared" si="113"/>
        <v>0.63144763268072401</v>
      </c>
      <c r="AH85" s="42">
        <v>1.2</v>
      </c>
      <c r="AI85" s="42">
        <v>1.4</v>
      </c>
      <c r="AJ85" s="42">
        <v>3.3</v>
      </c>
      <c r="AK85" s="42">
        <v>0.6</v>
      </c>
      <c r="AL85" s="42">
        <v>1</v>
      </c>
      <c r="AM85" s="44">
        <f t="shared" si="58"/>
        <v>-0.14233370811662946</v>
      </c>
      <c r="AN85" s="44">
        <f t="shared" si="59"/>
        <v>-0.11580514872684194</v>
      </c>
      <c r="AO85" s="44">
        <f t="shared" si="60"/>
        <v>0.17829948192135467</v>
      </c>
      <c r="AP85" s="44">
        <f t="shared" si="61"/>
        <v>0.3788685796084344</v>
      </c>
      <c r="AQ85" s="44">
        <f t="shared" si="62"/>
        <v>0.97223333492476649</v>
      </c>
      <c r="AR85" s="44">
        <f t="shared" si="63"/>
        <v>1.2712625396110842</v>
      </c>
      <c r="AS85" s="66"/>
      <c r="AT85" s="8" t="str">
        <f t="shared" si="36"/>
        <v>financial distress</v>
      </c>
      <c r="AU85" s="6" t="s">
        <v>87</v>
      </c>
    </row>
    <row r="86" spans="1:47" x14ac:dyDescent="0.25">
      <c r="A86" s="6" t="s">
        <v>186</v>
      </c>
      <c r="B86" s="62"/>
      <c r="C86" s="62"/>
      <c r="D86" s="61"/>
      <c r="E86" s="6" t="s">
        <v>5</v>
      </c>
      <c r="F86" s="15">
        <v>376627797262</v>
      </c>
      <c r="G86" s="15">
        <v>158048880207</v>
      </c>
      <c r="H86" s="15">
        <v>369060636786</v>
      </c>
      <c r="I86" s="15">
        <v>15921447789</v>
      </c>
      <c r="J86" s="15">
        <v>149694592894</v>
      </c>
      <c r="K86" s="15">
        <f t="shared" si="103"/>
        <v>0</v>
      </c>
      <c r="L86" s="15">
        <v>-43524486366</v>
      </c>
      <c r="M86" s="15">
        <v>1438370465</v>
      </c>
      <c r="N86" s="16">
        <v>276</v>
      </c>
      <c r="O86" s="17">
        <f t="shared" si="104"/>
        <v>396990248340</v>
      </c>
      <c r="P86" s="15">
        <v>735093525919</v>
      </c>
      <c r="Q86" s="15">
        <f>6508601486+33009721133</f>
        <v>39518322619</v>
      </c>
      <c r="R86" s="15">
        <v>4470170253</v>
      </c>
      <c r="S86" s="1" t="str">
        <f t="shared" si="105"/>
        <v/>
      </c>
      <c r="T86" s="18">
        <f t="shared" si="132"/>
        <v>1.0205038406206073</v>
      </c>
      <c r="U86" s="18">
        <f t="shared" si="133"/>
        <v>8.3605110179117096E-3</v>
      </c>
      <c r="V86" s="18">
        <f t="shared" si="134"/>
        <v>2.9861935335001481E-2</v>
      </c>
      <c r="W86" s="18">
        <f t="shared" si="135"/>
        <v>0.72002782391293074</v>
      </c>
      <c r="X86" s="18">
        <f t="shared" si="136"/>
        <v>2.5717835035471794</v>
      </c>
      <c r="Y86" s="19">
        <f t="shared" si="31"/>
        <v>1.4152778295512499E-2</v>
      </c>
      <c r="Z86" s="19">
        <f t="shared" si="137"/>
        <v>-8.1403375535345851E-2</v>
      </c>
      <c r="AA86" s="19">
        <f t="shared" si="138"/>
        <v>7.3910690861003991E-2</v>
      </c>
      <c r="AB86" s="19">
        <f t="shared" si="139"/>
        <v>1.0311914872045445</v>
      </c>
      <c r="AC86" s="19">
        <f t="shared" si="140"/>
        <v>1.374837461395761</v>
      </c>
      <c r="AE86" s="34">
        <v>1</v>
      </c>
      <c r="AF86" s="25">
        <f t="shared" si="113"/>
        <v>1.0311914872045445</v>
      </c>
      <c r="AH86" s="42">
        <v>1.2</v>
      </c>
      <c r="AI86" s="42">
        <v>1.4</v>
      </c>
      <c r="AJ86" s="42">
        <v>3.3</v>
      </c>
      <c r="AK86" s="42">
        <v>0.6</v>
      </c>
      <c r="AL86" s="42">
        <v>1</v>
      </c>
      <c r="AM86" s="44">
        <f t="shared" si="58"/>
        <v>1.6983333954614998E-2</v>
      </c>
      <c r="AN86" s="44">
        <f t="shared" si="59"/>
        <v>-0.11396472574948419</v>
      </c>
      <c r="AO86" s="44">
        <f t="shared" si="60"/>
        <v>0.24390527984131316</v>
      </c>
      <c r="AP86" s="44">
        <f t="shared" si="61"/>
        <v>0.6187148923227267</v>
      </c>
      <c r="AQ86" s="44">
        <f t="shared" si="62"/>
        <v>1.374837461395761</v>
      </c>
      <c r="AR86" s="44">
        <f t="shared" si="63"/>
        <v>2.1404762417649317</v>
      </c>
      <c r="AS86" s="66"/>
      <c r="AT86" s="8" t="str">
        <f t="shared" si="36"/>
        <v>grey area</v>
      </c>
      <c r="AU86" s="6" t="s">
        <v>88</v>
      </c>
    </row>
    <row r="87" spans="1:47" x14ac:dyDescent="0.25">
      <c r="A87" s="6" t="s">
        <v>187</v>
      </c>
      <c r="B87" s="62"/>
      <c r="C87" s="62"/>
      <c r="D87" s="61"/>
      <c r="E87" s="6" t="s">
        <v>2</v>
      </c>
      <c r="F87" s="15">
        <v>270007416065</v>
      </c>
      <c r="G87" s="15">
        <v>197720460989</v>
      </c>
      <c r="H87" s="15">
        <v>303085785310</v>
      </c>
      <c r="I87" s="15">
        <v>16578891025</v>
      </c>
      <c r="J87" s="15">
        <v>148063200719</v>
      </c>
      <c r="K87" s="15">
        <f t="shared" si="103"/>
        <v>0</v>
      </c>
      <c r="L87" s="15">
        <f>-45619948969</f>
        <v>-45619948969</v>
      </c>
      <c r="M87" s="15">
        <v>1438370465</v>
      </c>
      <c r="N87" s="16">
        <v>50</v>
      </c>
      <c r="O87" s="17">
        <f t="shared" si="104"/>
        <v>71918523250</v>
      </c>
      <c r="P87" s="15">
        <v>535719525407</v>
      </c>
      <c r="Q87" s="15">
        <f>-3572157075+31938394315</f>
        <v>28366237240</v>
      </c>
      <c r="R87" s="15">
        <v>-4223774106</v>
      </c>
      <c r="S87" s="1" t="str">
        <f t="shared" si="105"/>
        <v/>
      </c>
      <c r="T87" s="18">
        <f t="shared" si="132"/>
        <v>0.89086136385061077</v>
      </c>
      <c r="U87" s="18">
        <f t="shared" si="133"/>
        <v>-9.0304091614200662E-3</v>
      </c>
      <c r="V87" s="18">
        <f t="shared" si="134"/>
        <v>-2.8526832362728939E-2</v>
      </c>
      <c r="W87" s="18">
        <f t="shared" si="135"/>
        <v>0.68344157365265223</v>
      </c>
      <c r="X87" s="18">
        <f t="shared" si="136"/>
        <v>2.1589745107676812</v>
      </c>
      <c r="Y87" s="19">
        <f t="shared" si="31"/>
        <v>-7.0721397778009801E-2</v>
      </c>
      <c r="Z87" s="19">
        <f t="shared" si="137"/>
        <v>-9.753523620687056E-2</v>
      </c>
      <c r="AA87" s="19">
        <f t="shared" si="138"/>
        <v>6.0646881726754698E-2</v>
      </c>
      <c r="AB87" s="19">
        <f t="shared" si="139"/>
        <v>0.22498113984490209</v>
      </c>
      <c r="AC87" s="19">
        <f t="shared" si="140"/>
        <v>1.1453658242079727</v>
      </c>
      <c r="AE87" s="34">
        <v>1</v>
      </c>
      <c r="AF87" s="25">
        <f t="shared" si="113"/>
        <v>0.22498113984490209</v>
      </c>
      <c r="AH87" s="42">
        <v>1.2</v>
      </c>
      <c r="AI87" s="42">
        <v>1.4</v>
      </c>
      <c r="AJ87" s="42">
        <v>3.3</v>
      </c>
      <c r="AK87" s="42">
        <v>0.6</v>
      </c>
      <c r="AL87" s="42">
        <v>1</v>
      </c>
      <c r="AM87" s="44">
        <f t="shared" si="58"/>
        <v>-8.4865677333611764E-2</v>
      </c>
      <c r="AN87" s="44">
        <f t="shared" si="59"/>
        <v>-0.13654933068961878</v>
      </c>
      <c r="AO87" s="44">
        <f t="shared" si="60"/>
        <v>0.2001347096982905</v>
      </c>
      <c r="AP87" s="44">
        <f t="shared" si="61"/>
        <v>0.13498868390694124</v>
      </c>
      <c r="AQ87" s="44">
        <f t="shared" si="62"/>
        <v>1.1453658242079727</v>
      </c>
      <c r="AR87" s="44">
        <f t="shared" si="63"/>
        <v>1.2590742097899739</v>
      </c>
      <c r="AS87" s="66"/>
      <c r="AT87" s="8" t="str">
        <f t="shared" si="36"/>
        <v>financial distress</v>
      </c>
      <c r="AU87" s="6" t="s">
        <v>89</v>
      </c>
    </row>
    <row r="88" spans="1:47" x14ac:dyDescent="0.25">
      <c r="A88" s="6" t="s">
        <v>188</v>
      </c>
      <c r="B88" s="62"/>
      <c r="C88" s="62"/>
      <c r="D88" s="61"/>
      <c r="E88" s="6" t="s">
        <v>1</v>
      </c>
      <c r="F88" s="15">
        <v>350679816815</v>
      </c>
      <c r="G88" s="15">
        <v>135396705962</v>
      </c>
      <c r="H88" s="15">
        <v>177077322265</v>
      </c>
      <c r="I88" s="15">
        <v>167472141173</v>
      </c>
      <c r="J88" s="15">
        <v>141527059339</v>
      </c>
      <c r="K88" s="15">
        <f t="shared" si="103"/>
        <v>0</v>
      </c>
      <c r="L88" s="15">
        <v>-52358668654</v>
      </c>
      <c r="M88" s="15">
        <v>1438370465</v>
      </c>
      <c r="N88" s="16">
        <v>76</v>
      </c>
      <c r="O88" s="17">
        <f t="shared" si="104"/>
        <v>109316155340</v>
      </c>
      <c r="P88" s="15">
        <v>288636107329</v>
      </c>
      <c r="Q88" s="15">
        <f>-8735044491+30902873249</f>
        <v>22167828758</v>
      </c>
      <c r="R88" s="15">
        <v>-6805143468</v>
      </c>
      <c r="S88" s="1" t="str">
        <f t="shared" si="105"/>
        <v/>
      </c>
      <c r="T88" s="18">
        <f t="shared" si="132"/>
        <v>1.9803767773842895</v>
      </c>
      <c r="U88" s="18">
        <f t="shared" si="133"/>
        <v>-1.4000148431612347E-2</v>
      </c>
      <c r="V88" s="18">
        <f t="shared" si="134"/>
        <v>-4.8083691555405164E-2</v>
      </c>
      <c r="W88" s="18">
        <f t="shared" si="135"/>
        <v>0.70883790368964361</v>
      </c>
      <c r="X88" s="18">
        <f t="shared" si="136"/>
        <v>2.4345129832218171</v>
      </c>
      <c r="Y88" s="19">
        <f t="shared" si="31"/>
        <v>0.3571505440299666</v>
      </c>
      <c r="Z88" s="19">
        <f t="shared" si="137"/>
        <v>-0.10771692562905548</v>
      </c>
      <c r="AA88" s="19">
        <f t="shared" si="138"/>
        <v>4.5605635572261646E-2</v>
      </c>
      <c r="AB88" s="19">
        <f t="shared" si="139"/>
        <v>0.31727274873458311</v>
      </c>
      <c r="AC88" s="19">
        <f t="shared" si="140"/>
        <v>0.59380795780877316</v>
      </c>
      <c r="AE88" s="34">
        <v>1</v>
      </c>
      <c r="AF88" s="25">
        <f t="shared" si="113"/>
        <v>0.31727274873458311</v>
      </c>
      <c r="AH88" s="42">
        <v>1.2</v>
      </c>
      <c r="AI88" s="42">
        <v>1.4</v>
      </c>
      <c r="AJ88" s="42">
        <v>3.3</v>
      </c>
      <c r="AK88" s="42">
        <v>0.6</v>
      </c>
      <c r="AL88" s="42">
        <v>1</v>
      </c>
      <c r="AM88" s="44">
        <f t="shared" si="58"/>
        <v>0.42858065283595992</v>
      </c>
      <c r="AN88" s="44">
        <f t="shared" si="59"/>
        <v>-0.15080369588067766</v>
      </c>
      <c r="AO88" s="44">
        <f t="shared" si="60"/>
        <v>0.15049859738846341</v>
      </c>
      <c r="AP88" s="44">
        <f t="shared" si="61"/>
        <v>0.19036364924074986</v>
      </c>
      <c r="AQ88" s="44">
        <f t="shared" si="62"/>
        <v>0.59380795780877316</v>
      </c>
      <c r="AR88" s="44">
        <f t="shared" si="63"/>
        <v>1.2124471613932686</v>
      </c>
      <c r="AS88" s="66"/>
      <c r="AT88" s="8" t="str">
        <f t="shared" si="36"/>
        <v>financial distress</v>
      </c>
      <c r="AU88" s="6" t="s">
        <v>90</v>
      </c>
    </row>
    <row r="89" spans="1:47" x14ac:dyDescent="0.25">
      <c r="A89" s="6" t="s">
        <v>189</v>
      </c>
      <c r="B89" s="62"/>
      <c r="C89" s="62"/>
      <c r="D89" s="61" t="s">
        <v>199</v>
      </c>
      <c r="E89" s="6" t="s">
        <v>3</v>
      </c>
      <c r="F89" s="15">
        <v>467637658247</v>
      </c>
      <c r="G89" s="15">
        <v>789972211663</v>
      </c>
      <c r="H89" s="15">
        <v>377013051111</v>
      </c>
      <c r="I89" s="15">
        <v>48473858679</v>
      </c>
      <c r="J89" s="15">
        <v>832122960120</v>
      </c>
      <c r="K89" s="15">
        <f t="shared" si="103"/>
        <v>0</v>
      </c>
      <c r="L89" s="15">
        <v>-28801383080</v>
      </c>
      <c r="M89" s="15">
        <v>8200000000</v>
      </c>
      <c r="N89" s="16">
        <v>113</v>
      </c>
      <c r="O89" s="17">
        <f t="shared" si="104"/>
        <v>926600000000</v>
      </c>
      <c r="P89" s="15">
        <v>757282528180</v>
      </c>
      <c r="Q89" s="15">
        <f>45514137913+10239099310</f>
        <v>55753237223</v>
      </c>
      <c r="R89" s="15">
        <v>31704557018</v>
      </c>
      <c r="S89" s="1" t="str">
        <f t="shared" si="105"/>
        <v/>
      </c>
      <c r="T89" s="18">
        <f t="shared" ref="T89:T112" si="141">F89/H89</f>
        <v>1.240375251914869</v>
      </c>
      <c r="U89" s="18">
        <f t="shared" ref="U89:U112" si="142">R89/(F89+G89)</f>
        <v>2.5210168730839332E-2</v>
      </c>
      <c r="V89" s="18">
        <f t="shared" ref="V89:V112" si="143">R89/J89</f>
        <v>3.8100807858285637E-2</v>
      </c>
      <c r="W89" s="18">
        <f t="shared" ref="W89:W112" si="144">(H89+I89)/(F89+G89)</f>
        <v>0.33832981115236449</v>
      </c>
      <c r="X89" s="18">
        <f t="shared" ref="X89:X112" si="145">(H89+I89)/J89</f>
        <v>0.51132696750566864</v>
      </c>
      <c r="Y89" s="19">
        <f t="shared" si="31"/>
        <v>7.2060985926013357E-2</v>
      </c>
      <c r="Z89" s="19">
        <f t="shared" ref="Z89:Z112" si="146">L89/(F89+G89)</f>
        <v>-2.2901683398891544E-2</v>
      </c>
      <c r="AA89" s="19">
        <f t="shared" ref="AA89:AA112" si="147">Q89/(F89+G89)</f>
        <v>4.4332696933262729E-2</v>
      </c>
      <c r="AB89" s="19">
        <f t="shared" ref="AB89:AB112" si="148">(M89*N89)/(H89+I89)</f>
        <v>2.1777403221577969</v>
      </c>
      <c r="AC89" s="19">
        <f t="shared" ref="AC89:AC112" si="149">P89/(F89+G89)</f>
        <v>0.60216013431430404</v>
      </c>
      <c r="AE89" s="34">
        <v>1</v>
      </c>
      <c r="AF89" s="25">
        <f t="shared" si="113"/>
        <v>2.1777403221577969</v>
      </c>
      <c r="AH89" s="42">
        <v>1.2</v>
      </c>
      <c r="AI89" s="42">
        <v>1.4</v>
      </c>
      <c r="AJ89" s="42">
        <v>3.3</v>
      </c>
      <c r="AK89" s="42">
        <v>0.6</v>
      </c>
      <c r="AL89" s="42">
        <v>1</v>
      </c>
      <c r="AM89" s="44">
        <f t="shared" si="58"/>
        <v>8.6473183111216032E-2</v>
      </c>
      <c r="AN89" s="44">
        <f t="shared" si="59"/>
        <v>-3.2062356758448159E-2</v>
      </c>
      <c r="AO89" s="44">
        <f t="shared" si="60"/>
        <v>0.14629789987976699</v>
      </c>
      <c r="AP89" s="44">
        <f t="shared" si="61"/>
        <v>1.3066441932946782</v>
      </c>
      <c r="AQ89" s="44">
        <f t="shared" si="62"/>
        <v>0.60216013431430404</v>
      </c>
      <c r="AR89" s="44">
        <f t="shared" si="63"/>
        <v>2.1095130538415172</v>
      </c>
      <c r="AS89" s="66" t="s">
        <v>199</v>
      </c>
      <c r="AT89" s="8" t="str">
        <f t="shared" si="36"/>
        <v>grey area</v>
      </c>
      <c r="AU89" s="6" t="s">
        <v>92</v>
      </c>
    </row>
    <row r="90" spans="1:47" x14ac:dyDescent="0.25">
      <c r="A90" s="6" t="s">
        <v>190</v>
      </c>
      <c r="B90" s="62"/>
      <c r="C90" s="62"/>
      <c r="D90" s="61"/>
      <c r="E90" s="6" t="s">
        <v>4</v>
      </c>
      <c r="F90" s="15">
        <v>514360755111</v>
      </c>
      <c r="G90" s="15">
        <v>860626423454</v>
      </c>
      <c r="H90" s="15">
        <v>282074517432</v>
      </c>
      <c r="I90" s="15">
        <v>75854842424</v>
      </c>
      <c r="J90" s="15">
        <v>1017057818709</v>
      </c>
      <c r="K90" s="15">
        <f t="shared" si="103"/>
        <v>0</v>
      </c>
      <c r="L90" s="15">
        <v>-18516685766</v>
      </c>
      <c r="M90" s="15">
        <v>8200000000</v>
      </c>
      <c r="N90" s="16">
        <v>82</v>
      </c>
      <c r="O90" s="17">
        <f t="shared" si="104"/>
        <v>672400000000</v>
      </c>
      <c r="P90" s="15">
        <v>1404063752036</v>
      </c>
      <c r="Q90" s="15">
        <f>7731874610+7916852118</f>
        <v>15648726728</v>
      </c>
      <c r="R90" s="15">
        <v>-5462096177</v>
      </c>
      <c r="S90" s="1" t="str">
        <f t="shared" si="105"/>
        <v/>
      </c>
      <c r="T90" s="18">
        <f t="shared" si="141"/>
        <v>1.8234924579282406</v>
      </c>
      <c r="U90" s="18">
        <f t="shared" si="142"/>
        <v>-3.9724706252901171E-3</v>
      </c>
      <c r="V90" s="18">
        <f t="shared" si="143"/>
        <v>-5.3704873769450977E-3</v>
      </c>
      <c r="W90" s="18">
        <f t="shared" si="144"/>
        <v>0.26031468906462935</v>
      </c>
      <c r="X90" s="18">
        <f t="shared" si="145"/>
        <v>0.35192626542150457</v>
      </c>
      <c r="Y90" s="19">
        <f t="shared" si="31"/>
        <v>0.16893702086838702</v>
      </c>
      <c r="Z90" s="19">
        <f t="shared" si="146"/>
        <v>-1.34668061307487E-2</v>
      </c>
      <c r="AA90" s="19">
        <f t="shared" si="147"/>
        <v>1.1380998289985317E-2</v>
      </c>
      <c r="AB90" s="19">
        <f t="shared" si="148"/>
        <v>1.8785829703115609</v>
      </c>
      <c r="AC90" s="19">
        <f t="shared" si="149"/>
        <v>1.0211467960751064</v>
      </c>
      <c r="AE90" s="34">
        <v>1</v>
      </c>
      <c r="AF90" s="25">
        <f t="shared" si="113"/>
        <v>1.8785829703115609</v>
      </c>
      <c r="AH90" s="42">
        <v>1.2</v>
      </c>
      <c r="AI90" s="42">
        <v>1.4</v>
      </c>
      <c r="AJ90" s="42">
        <v>3.3</v>
      </c>
      <c r="AK90" s="42">
        <v>0.6</v>
      </c>
      <c r="AL90" s="42">
        <v>1</v>
      </c>
      <c r="AM90" s="44">
        <f t="shared" si="58"/>
        <v>0.20272442504206442</v>
      </c>
      <c r="AN90" s="44">
        <f t="shared" si="59"/>
        <v>-1.8853528583048177E-2</v>
      </c>
      <c r="AO90" s="44">
        <f t="shared" si="60"/>
        <v>3.7557294356951543E-2</v>
      </c>
      <c r="AP90" s="44">
        <f t="shared" si="61"/>
        <v>1.1271497821869365</v>
      </c>
      <c r="AQ90" s="44">
        <f t="shared" si="62"/>
        <v>1.0211467960751064</v>
      </c>
      <c r="AR90" s="44">
        <f t="shared" si="63"/>
        <v>2.3697247690780108</v>
      </c>
      <c r="AS90" s="66"/>
      <c r="AT90" s="8" t="str">
        <f t="shared" si="36"/>
        <v>grey area</v>
      </c>
      <c r="AU90" s="6" t="s">
        <v>93</v>
      </c>
    </row>
    <row r="91" spans="1:47" x14ac:dyDescent="0.25">
      <c r="A91" s="6" t="s">
        <v>191</v>
      </c>
      <c r="B91" s="62"/>
      <c r="C91" s="62"/>
      <c r="D91" s="61"/>
      <c r="E91" s="6" t="s">
        <v>5</v>
      </c>
      <c r="F91" s="15">
        <v>297658998332</v>
      </c>
      <c r="G91" s="15">
        <v>1054202758662</v>
      </c>
      <c r="H91" s="15">
        <v>382679320708</v>
      </c>
      <c r="I91" s="15">
        <v>73206033888</v>
      </c>
      <c r="J91" s="15">
        <v>895976402398</v>
      </c>
      <c r="K91" s="15">
        <f t="shared" si="103"/>
        <v>0</v>
      </c>
      <c r="L91" s="15">
        <v>-82103472427</v>
      </c>
      <c r="M91" s="15">
        <v>9242500000</v>
      </c>
      <c r="N91" s="16">
        <v>94</v>
      </c>
      <c r="O91" s="17">
        <f t="shared" si="104"/>
        <v>868795000000</v>
      </c>
      <c r="P91" s="15">
        <v>1556287984166</v>
      </c>
      <c r="Q91" s="15">
        <f>-126466776202+12254968044</f>
        <v>-114211808158</v>
      </c>
      <c r="R91" s="15">
        <v>-87798857709</v>
      </c>
      <c r="S91" s="1" t="str">
        <f t="shared" si="105"/>
        <v>X</v>
      </c>
      <c r="T91" s="18">
        <f t="shared" si="141"/>
        <v>0.77782880397429688</v>
      </c>
      <c r="U91" s="18">
        <f t="shared" si="142"/>
        <v>-6.4946624353239751E-2</v>
      </c>
      <c r="V91" s="18">
        <f t="shared" si="143"/>
        <v>-9.7992377337186867E-2</v>
      </c>
      <c r="W91" s="18">
        <f t="shared" si="144"/>
        <v>0.33722779140502263</v>
      </c>
      <c r="X91" s="18">
        <f t="shared" si="145"/>
        <v>0.50881401940482363</v>
      </c>
      <c r="Y91" s="19">
        <f t="shared" si="31"/>
        <v>-6.2891284509039747E-2</v>
      </c>
      <c r="Z91" s="19">
        <f t="shared" si="146"/>
        <v>-6.0733630493080365E-2</v>
      </c>
      <c r="AA91" s="19">
        <f t="shared" si="147"/>
        <v>-8.4484828102513523E-2</v>
      </c>
      <c r="AB91" s="19">
        <f t="shared" si="148"/>
        <v>1.9057313231084501</v>
      </c>
      <c r="AC91" s="19">
        <f t="shared" si="149"/>
        <v>1.1512182929314918</v>
      </c>
      <c r="AE91" s="34">
        <v>1</v>
      </c>
      <c r="AF91" s="25">
        <f t="shared" si="113"/>
        <v>1.9057313231084501</v>
      </c>
      <c r="AH91" s="42">
        <v>1.2</v>
      </c>
      <c r="AI91" s="42">
        <v>1.4</v>
      </c>
      <c r="AJ91" s="42">
        <v>3.3</v>
      </c>
      <c r="AK91" s="42">
        <v>0.6</v>
      </c>
      <c r="AL91" s="42">
        <v>1</v>
      </c>
      <c r="AM91" s="44">
        <f t="shared" si="58"/>
        <v>-7.546954141084769E-2</v>
      </c>
      <c r="AN91" s="44">
        <f t="shared" si="59"/>
        <v>-8.5027082690312505E-2</v>
      </c>
      <c r="AO91" s="44">
        <f t="shared" si="60"/>
        <v>-0.27879993273829462</v>
      </c>
      <c r="AP91" s="44">
        <f t="shared" si="61"/>
        <v>1.1434387938650701</v>
      </c>
      <c r="AQ91" s="44">
        <f t="shared" si="62"/>
        <v>1.1512182929314918</v>
      </c>
      <c r="AR91" s="44">
        <f t="shared" si="63"/>
        <v>1.8553605299571072</v>
      </c>
      <c r="AS91" s="66"/>
      <c r="AT91" s="8" t="str">
        <f t="shared" si="36"/>
        <v>grey area</v>
      </c>
      <c r="AU91" s="6" t="s">
        <v>94</v>
      </c>
    </row>
    <row r="92" spans="1:47" x14ac:dyDescent="0.25">
      <c r="A92" s="6" t="s">
        <v>192</v>
      </c>
      <c r="B92" s="62"/>
      <c r="C92" s="62"/>
      <c r="D92" s="61"/>
      <c r="E92" s="6" t="s">
        <v>2</v>
      </c>
      <c r="F92" s="15">
        <v>597839130021</v>
      </c>
      <c r="G92" s="15">
        <v>1160739039974</v>
      </c>
      <c r="H92" s="15">
        <v>759246184010</v>
      </c>
      <c r="I92" s="15">
        <v>81941364575</v>
      </c>
      <c r="J92" s="15">
        <v>917390621410</v>
      </c>
      <c r="K92" s="15">
        <f t="shared" si="103"/>
        <v>0</v>
      </c>
      <c r="L92" s="15">
        <v>-55296055706</v>
      </c>
      <c r="M92" s="15">
        <v>9242500000</v>
      </c>
      <c r="N92" s="16">
        <v>62</v>
      </c>
      <c r="O92" s="17">
        <f t="shared" si="104"/>
        <v>573035000000</v>
      </c>
      <c r="P92" s="15">
        <v>1852766916975</v>
      </c>
      <c r="Q92" s="15">
        <f>31308164703+24406999492</f>
        <v>55715164195</v>
      </c>
      <c r="R92" s="15">
        <v>26807416721</v>
      </c>
      <c r="S92" s="1" t="str">
        <f t="shared" si="105"/>
        <v/>
      </c>
      <c r="T92" s="18">
        <f t="shared" si="141"/>
        <v>0.78741143862387308</v>
      </c>
      <c r="U92" s="18">
        <f t="shared" si="142"/>
        <v>1.5243801599718606E-2</v>
      </c>
      <c r="V92" s="18">
        <f t="shared" si="143"/>
        <v>2.9221376472977081E-2</v>
      </c>
      <c r="W92" s="18">
        <f t="shared" si="144"/>
        <v>0.4783338966316133</v>
      </c>
      <c r="X92" s="18">
        <f t="shared" si="145"/>
        <v>0.91693497726423412</v>
      </c>
      <c r="Y92" s="19">
        <f t="shared" si="31"/>
        <v>-9.178270078802292E-2</v>
      </c>
      <c r="Z92" s="19">
        <f t="shared" si="146"/>
        <v>-3.1443615444263828E-2</v>
      </c>
      <c r="AA92" s="19">
        <f t="shared" si="147"/>
        <v>3.1681937798169309E-2</v>
      </c>
      <c r="AB92" s="19">
        <f t="shared" si="148"/>
        <v>0.68122144813475705</v>
      </c>
      <c r="AC92" s="19">
        <f t="shared" si="149"/>
        <v>1.0535596020620839</v>
      </c>
      <c r="AE92" s="34">
        <v>1</v>
      </c>
      <c r="AF92" s="25">
        <f t="shared" si="113"/>
        <v>0.68122144813475705</v>
      </c>
      <c r="AH92" s="42">
        <v>1.2</v>
      </c>
      <c r="AI92" s="42">
        <v>1.4</v>
      </c>
      <c r="AJ92" s="42">
        <v>3.3</v>
      </c>
      <c r="AK92" s="42">
        <v>0.6</v>
      </c>
      <c r="AL92" s="42">
        <v>1</v>
      </c>
      <c r="AM92" s="44">
        <f t="shared" si="58"/>
        <v>-0.11013924094562751</v>
      </c>
      <c r="AN92" s="44">
        <f t="shared" si="59"/>
        <v>-4.4021061621969358E-2</v>
      </c>
      <c r="AO92" s="44">
        <f t="shared" si="60"/>
        <v>0.10455039473395872</v>
      </c>
      <c r="AP92" s="44">
        <f t="shared" si="61"/>
        <v>0.40873286888085419</v>
      </c>
      <c r="AQ92" s="44">
        <f t="shared" si="62"/>
        <v>1.0535596020620839</v>
      </c>
      <c r="AR92" s="44">
        <f t="shared" si="63"/>
        <v>1.4126825631092998</v>
      </c>
      <c r="AS92" s="66"/>
      <c r="AT92" s="8" t="str">
        <f t="shared" si="36"/>
        <v>financial distress</v>
      </c>
      <c r="AU92" s="6" t="s">
        <v>95</v>
      </c>
    </row>
    <row r="93" spans="1:47" x14ac:dyDescent="0.25">
      <c r="A93" s="6" t="s">
        <v>193</v>
      </c>
      <c r="B93" s="62"/>
      <c r="C93" s="62"/>
      <c r="D93" s="61"/>
      <c r="E93" s="6" t="s">
        <v>1</v>
      </c>
      <c r="F93" s="15">
        <v>412410310473</v>
      </c>
      <c r="G93" s="15">
        <v>1175726161176</v>
      </c>
      <c r="H93" s="15">
        <v>676672074796</v>
      </c>
      <c r="I93" s="15">
        <v>64579561189</v>
      </c>
      <c r="J93" s="15">
        <v>846884835664</v>
      </c>
      <c r="K93" s="15">
        <f t="shared" si="103"/>
        <v>0</v>
      </c>
      <c r="L93" s="15">
        <v>-133141384511</v>
      </c>
      <c r="M93" s="15">
        <v>9242500000</v>
      </c>
      <c r="N93" s="16">
        <v>110</v>
      </c>
      <c r="O93" s="17">
        <f t="shared" si="104"/>
        <v>1016675000000</v>
      </c>
      <c r="P93" s="15">
        <v>1331774939496</v>
      </c>
      <c r="Q93" s="15">
        <f>-67718233075+27901608213</f>
        <v>-39816624862</v>
      </c>
      <c r="R93" s="15">
        <v>-77845328805</v>
      </c>
      <c r="S93" s="1" t="str">
        <f t="shared" si="105"/>
        <v/>
      </c>
      <c r="T93" s="18">
        <f t="shared" si="141"/>
        <v>0.60946849417028415</v>
      </c>
      <c r="U93" s="18">
        <f t="shared" si="142"/>
        <v>-4.901677544384541E-2</v>
      </c>
      <c r="V93" s="18">
        <f t="shared" si="143"/>
        <v>-9.1919615899091381E-2</v>
      </c>
      <c r="W93" s="18">
        <f t="shared" si="144"/>
        <v>0.46674303450467375</v>
      </c>
      <c r="X93" s="18">
        <f t="shared" si="145"/>
        <v>0.87526851912966619</v>
      </c>
      <c r="Y93" s="19">
        <f t="shared" si="31"/>
        <v>-0.16639739030022446</v>
      </c>
      <c r="Z93" s="19">
        <f t="shared" si="146"/>
        <v>-8.3834976960611027E-2</v>
      </c>
      <c r="AA93" s="19">
        <f t="shared" si="147"/>
        <v>-2.5071286739393024E-2</v>
      </c>
      <c r="AB93" s="19">
        <f t="shared" si="148"/>
        <v>1.3715652696658243</v>
      </c>
      <c r="AC93" s="19">
        <f t="shared" si="149"/>
        <v>0.83857713947793555</v>
      </c>
      <c r="AE93" s="34">
        <v>1</v>
      </c>
      <c r="AF93" s="25">
        <f t="shared" si="113"/>
        <v>1.3715652696658243</v>
      </c>
      <c r="AH93" s="42">
        <v>1.2</v>
      </c>
      <c r="AI93" s="42">
        <v>1.4</v>
      </c>
      <c r="AJ93" s="42">
        <v>3.3</v>
      </c>
      <c r="AK93" s="42">
        <v>0.6</v>
      </c>
      <c r="AL93" s="42">
        <v>1</v>
      </c>
      <c r="AM93" s="44">
        <f t="shared" si="58"/>
        <v>-0.19967686836026935</v>
      </c>
      <c r="AN93" s="44">
        <f t="shared" si="59"/>
        <v>-0.11736896774485543</v>
      </c>
      <c r="AO93" s="44">
        <f t="shared" si="60"/>
        <v>-8.2735246239996979E-2</v>
      </c>
      <c r="AP93" s="44">
        <f t="shared" si="61"/>
        <v>0.82293916179949456</v>
      </c>
      <c r="AQ93" s="44">
        <f t="shared" si="62"/>
        <v>0.83857713947793555</v>
      </c>
      <c r="AR93" s="44">
        <f t="shared" si="63"/>
        <v>1.2617352189323083</v>
      </c>
      <c r="AS93" s="66"/>
      <c r="AT93" s="8" t="str">
        <f t="shared" si="36"/>
        <v>financial distress</v>
      </c>
      <c r="AU93" s="6" t="s">
        <v>96</v>
      </c>
    </row>
    <row r="94" spans="1:47" x14ac:dyDescent="0.25">
      <c r="A94" s="6"/>
      <c r="B94" s="56"/>
      <c r="C94" s="56"/>
      <c r="D94" s="61" t="s">
        <v>215</v>
      </c>
      <c r="E94" s="6" t="s">
        <v>3</v>
      </c>
      <c r="K94" s="15">
        <f t="shared" si="103"/>
        <v>0</v>
      </c>
      <c r="N94" s="16"/>
      <c r="O94" s="17"/>
      <c r="Y94" s="19"/>
      <c r="Z94" s="19"/>
      <c r="AA94" s="19"/>
      <c r="AB94" s="19"/>
      <c r="AC94" s="19"/>
      <c r="AH94" s="42"/>
      <c r="AI94" s="42"/>
      <c r="AJ94" s="42"/>
      <c r="AK94" s="42"/>
      <c r="AL94" s="42"/>
      <c r="AS94" s="55"/>
      <c r="AU94" s="6"/>
    </row>
    <row r="95" spans="1:47" x14ac:dyDescent="0.25">
      <c r="A95" s="6"/>
      <c r="B95" s="56"/>
      <c r="C95" s="56"/>
      <c r="D95" s="61"/>
      <c r="E95" s="6" t="s">
        <v>4</v>
      </c>
      <c r="K95" s="15">
        <f t="shared" si="103"/>
        <v>0</v>
      </c>
      <c r="N95" s="16"/>
      <c r="O95" s="17"/>
      <c r="Y95" s="19"/>
      <c r="Z95" s="19"/>
      <c r="AA95" s="19"/>
      <c r="AB95" s="19"/>
      <c r="AC95" s="19"/>
      <c r="AH95" s="42"/>
      <c r="AI95" s="42"/>
      <c r="AJ95" s="42"/>
      <c r="AK95" s="42"/>
      <c r="AL95" s="42"/>
      <c r="AS95" s="55"/>
      <c r="AU95" s="6"/>
    </row>
    <row r="96" spans="1:47" x14ac:dyDescent="0.25">
      <c r="A96" s="6"/>
      <c r="B96" s="56"/>
      <c r="C96" s="56"/>
      <c r="D96" s="61"/>
      <c r="E96" s="6" t="s">
        <v>5</v>
      </c>
      <c r="K96" s="15">
        <f t="shared" si="103"/>
        <v>0</v>
      </c>
      <c r="N96" s="16"/>
      <c r="O96" s="17"/>
      <c r="Y96" s="19"/>
      <c r="Z96" s="19"/>
      <c r="AA96" s="19"/>
      <c r="AB96" s="19"/>
      <c r="AC96" s="19"/>
      <c r="AH96" s="42"/>
      <c r="AI96" s="42"/>
      <c r="AJ96" s="42"/>
      <c r="AK96" s="42"/>
      <c r="AL96" s="42"/>
      <c r="AS96" s="55"/>
      <c r="AU96" s="6"/>
    </row>
    <row r="97" spans="1:47" x14ac:dyDescent="0.25">
      <c r="A97" s="6"/>
      <c r="B97" s="56"/>
      <c r="C97" s="56"/>
      <c r="D97" s="61"/>
      <c r="E97" s="6" t="s">
        <v>2</v>
      </c>
      <c r="K97" s="15">
        <f t="shared" si="103"/>
        <v>0</v>
      </c>
      <c r="N97" s="16"/>
      <c r="O97" s="17"/>
      <c r="Y97" s="19"/>
      <c r="Z97" s="19"/>
      <c r="AA97" s="19"/>
      <c r="AB97" s="19"/>
      <c r="AC97" s="19"/>
      <c r="AH97" s="42"/>
      <c r="AI97" s="42"/>
      <c r="AJ97" s="42"/>
      <c r="AK97" s="42"/>
      <c r="AL97" s="42"/>
      <c r="AS97" s="55"/>
      <c r="AU97" s="6"/>
    </row>
    <row r="98" spans="1:47" x14ac:dyDescent="0.25">
      <c r="A98" s="6"/>
      <c r="B98" s="56"/>
      <c r="C98" s="56"/>
      <c r="D98" s="61"/>
      <c r="E98" s="6" t="s">
        <v>1</v>
      </c>
      <c r="K98" s="15">
        <f t="shared" si="103"/>
        <v>0</v>
      </c>
      <c r="N98" s="16"/>
      <c r="O98" s="17"/>
      <c r="Y98" s="19"/>
      <c r="Z98" s="19"/>
      <c r="AA98" s="19"/>
      <c r="AB98" s="19"/>
      <c r="AC98" s="19"/>
      <c r="AH98" s="42"/>
      <c r="AI98" s="42"/>
      <c r="AJ98" s="42"/>
      <c r="AK98" s="42"/>
      <c r="AL98" s="42"/>
      <c r="AS98" s="55"/>
      <c r="AU98" s="6"/>
    </row>
    <row r="99" spans="1:47" x14ac:dyDescent="0.25">
      <c r="A99" s="6"/>
      <c r="B99" s="57"/>
      <c r="C99" s="57"/>
      <c r="D99" s="61" t="s">
        <v>274</v>
      </c>
      <c r="E99" s="6" t="s">
        <v>3</v>
      </c>
      <c r="N99" s="16"/>
      <c r="O99" s="17"/>
      <c r="Y99" s="19"/>
      <c r="Z99" s="19"/>
      <c r="AA99" s="19"/>
      <c r="AB99" s="19"/>
      <c r="AC99" s="19"/>
      <c r="AH99" s="42"/>
      <c r="AI99" s="42"/>
      <c r="AJ99" s="42"/>
      <c r="AK99" s="42"/>
      <c r="AL99" s="42"/>
      <c r="AS99" s="58"/>
      <c r="AU99" s="6"/>
    </row>
    <row r="100" spans="1:47" x14ac:dyDescent="0.25">
      <c r="A100" s="6"/>
      <c r="B100" s="57"/>
      <c r="C100" s="57"/>
      <c r="D100" s="61"/>
      <c r="E100" s="6" t="s">
        <v>4</v>
      </c>
      <c r="N100" s="16"/>
      <c r="O100" s="17"/>
      <c r="Y100" s="19"/>
      <c r="Z100" s="19"/>
      <c r="AA100" s="19"/>
      <c r="AB100" s="19"/>
      <c r="AC100" s="19"/>
      <c r="AH100" s="42"/>
      <c r="AI100" s="42"/>
      <c r="AJ100" s="42"/>
      <c r="AK100" s="42"/>
      <c r="AL100" s="42"/>
      <c r="AS100" s="58"/>
      <c r="AU100" s="6"/>
    </row>
    <row r="101" spans="1:47" x14ac:dyDescent="0.25">
      <c r="A101" s="6"/>
      <c r="B101" s="57"/>
      <c r="C101" s="57"/>
      <c r="D101" s="61"/>
      <c r="E101" s="6" t="s">
        <v>5</v>
      </c>
      <c r="N101" s="16"/>
      <c r="O101" s="17"/>
      <c r="Y101" s="19"/>
      <c r="Z101" s="19"/>
      <c r="AA101" s="19"/>
      <c r="AB101" s="19"/>
      <c r="AC101" s="19"/>
      <c r="AH101" s="42"/>
      <c r="AI101" s="42"/>
      <c r="AJ101" s="42"/>
      <c r="AK101" s="42"/>
      <c r="AL101" s="42"/>
      <c r="AS101" s="58"/>
      <c r="AU101" s="6"/>
    </row>
    <row r="102" spans="1:47" x14ac:dyDescent="0.25">
      <c r="A102" s="6"/>
      <c r="B102" s="57"/>
      <c r="C102" s="57"/>
      <c r="D102" s="61"/>
      <c r="E102" s="6" t="s">
        <v>2</v>
      </c>
      <c r="N102" s="16"/>
      <c r="O102" s="17"/>
      <c r="Y102" s="19"/>
      <c r="Z102" s="19"/>
      <c r="AA102" s="19"/>
      <c r="AB102" s="19"/>
      <c r="AC102" s="19"/>
      <c r="AH102" s="42"/>
      <c r="AI102" s="42"/>
      <c r="AJ102" s="42"/>
      <c r="AK102" s="42"/>
      <c r="AL102" s="42"/>
      <c r="AS102" s="58"/>
      <c r="AU102" s="6"/>
    </row>
    <row r="103" spans="1:47" x14ac:dyDescent="0.25">
      <c r="A103" s="6"/>
      <c r="B103" s="57"/>
      <c r="C103" s="57"/>
      <c r="D103" s="61"/>
      <c r="E103" s="6" t="s">
        <v>1</v>
      </c>
      <c r="N103" s="16"/>
      <c r="O103" s="17"/>
      <c r="Y103" s="19"/>
      <c r="Z103" s="19"/>
      <c r="AA103" s="19"/>
      <c r="AB103" s="19"/>
      <c r="AC103" s="19"/>
      <c r="AH103" s="42"/>
      <c r="AI103" s="42"/>
      <c r="AJ103" s="42"/>
      <c r="AK103" s="42"/>
      <c r="AL103" s="42"/>
      <c r="AS103" s="58"/>
      <c r="AU103" s="6"/>
    </row>
    <row r="104" spans="1:47" x14ac:dyDescent="0.25">
      <c r="A104" s="6"/>
      <c r="B104" s="56"/>
      <c r="C104" s="56"/>
      <c r="D104" s="61" t="s">
        <v>221</v>
      </c>
      <c r="E104" s="6" t="s">
        <v>3</v>
      </c>
      <c r="K104" s="15">
        <f t="shared" si="103"/>
        <v>0</v>
      </c>
      <c r="N104" s="16"/>
      <c r="O104" s="17"/>
      <c r="Y104" s="19"/>
      <c r="Z104" s="19"/>
      <c r="AA104" s="19"/>
      <c r="AB104" s="19"/>
      <c r="AC104" s="19"/>
      <c r="AH104" s="42"/>
      <c r="AI104" s="42"/>
      <c r="AJ104" s="42"/>
      <c r="AK104" s="42"/>
      <c r="AL104" s="42"/>
      <c r="AS104" s="55"/>
      <c r="AU104" s="6"/>
    </row>
    <row r="105" spans="1:47" x14ac:dyDescent="0.25">
      <c r="A105" s="6"/>
      <c r="B105" s="56"/>
      <c r="C105" s="56"/>
      <c r="D105" s="61"/>
      <c r="E105" s="6" t="s">
        <v>4</v>
      </c>
      <c r="K105" s="15">
        <f t="shared" si="103"/>
        <v>0</v>
      </c>
      <c r="N105" s="16"/>
      <c r="O105" s="17"/>
      <c r="Y105" s="19"/>
      <c r="Z105" s="19"/>
      <c r="AA105" s="19"/>
      <c r="AB105" s="19"/>
      <c r="AC105" s="19"/>
      <c r="AH105" s="42"/>
      <c r="AI105" s="42"/>
      <c r="AJ105" s="42"/>
      <c r="AK105" s="42"/>
      <c r="AL105" s="42"/>
      <c r="AS105" s="55"/>
      <c r="AU105" s="6"/>
    </row>
    <row r="106" spans="1:47" x14ac:dyDescent="0.25">
      <c r="A106" s="6"/>
      <c r="B106" s="56"/>
      <c r="C106" s="56"/>
      <c r="D106" s="61"/>
      <c r="E106" s="6" t="s">
        <v>5</v>
      </c>
      <c r="K106" s="15">
        <f t="shared" si="103"/>
        <v>0</v>
      </c>
      <c r="N106" s="16"/>
      <c r="O106" s="17"/>
      <c r="Y106" s="19"/>
      <c r="Z106" s="19"/>
      <c r="AA106" s="19"/>
      <c r="AB106" s="19"/>
      <c r="AC106" s="19"/>
      <c r="AH106" s="42"/>
      <c r="AI106" s="42"/>
      <c r="AJ106" s="42"/>
      <c r="AK106" s="42"/>
      <c r="AL106" s="42"/>
      <c r="AS106" s="55"/>
      <c r="AU106" s="6"/>
    </row>
    <row r="107" spans="1:47" x14ac:dyDescent="0.25">
      <c r="A107" s="6"/>
      <c r="B107" s="56"/>
      <c r="C107" s="56"/>
      <c r="D107" s="61"/>
      <c r="E107" s="6" t="s">
        <v>2</v>
      </c>
      <c r="K107" s="15">
        <f t="shared" si="103"/>
        <v>0</v>
      </c>
      <c r="N107" s="16"/>
      <c r="O107" s="17"/>
      <c r="Y107" s="19"/>
      <c r="Z107" s="19"/>
      <c r="AA107" s="19"/>
      <c r="AB107" s="19"/>
      <c r="AC107" s="19"/>
      <c r="AH107" s="42"/>
      <c r="AI107" s="42"/>
      <c r="AJ107" s="42"/>
      <c r="AK107" s="42"/>
      <c r="AL107" s="42"/>
      <c r="AS107" s="55"/>
      <c r="AU107" s="6"/>
    </row>
    <row r="108" spans="1:47" x14ac:dyDescent="0.25">
      <c r="A108" s="6"/>
      <c r="B108" s="56"/>
      <c r="C108" s="56"/>
      <c r="D108" s="61"/>
      <c r="E108" s="6" t="s">
        <v>1</v>
      </c>
      <c r="K108" s="15">
        <f t="shared" si="103"/>
        <v>0</v>
      </c>
      <c r="N108" s="16"/>
      <c r="O108" s="17"/>
      <c r="Y108" s="19"/>
      <c r="Z108" s="19"/>
      <c r="AA108" s="19"/>
      <c r="AB108" s="19"/>
      <c r="AC108" s="19"/>
      <c r="AH108" s="42"/>
      <c r="AI108" s="42"/>
      <c r="AJ108" s="42"/>
      <c r="AK108" s="42"/>
      <c r="AL108" s="42"/>
      <c r="AS108" s="55"/>
      <c r="AU108" s="6"/>
    </row>
    <row r="109" spans="1:47" x14ac:dyDescent="0.25">
      <c r="A109" s="6" t="s">
        <v>194</v>
      </c>
      <c r="B109" s="62"/>
      <c r="C109" s="62"/>
      <c r="D109" s="61" t="s">
        <v>177</v>
      </c>
      <c r="E109" s="6" t="s">
        <v>3</v>
      </c>
      <c r="F109" s="15">
        <v>1968319</v>
      </c>
      <c r="G109" s="15">
        <v>5354954</v>
      </c>
      <c r="H109" s="15">
        <v>3117632</v>
      </c>
      <c r="I109" s="15">
        <v>4024756</v>
      </c>
      <c r="J109" s="15">
        <v>180885</v>
      </c>
      <c r="K109" s="15">
        <f t="shared" si="103"/>
        <v>0</v>
      </c>
      <c r="L109" s="15">
        <v>-5478861</v>
      </c>
      <c r="M109" s="15">
        <v>40470734746</v>
      </c>
      <c r="N109" s="16">
        <v>50</v>
      </c>
      <c r="O109" s="17">
        <f t="shared" si="104"/>
        <v>2023536737300</v>
      </c>
      <c r="P109" s="15">
        <v>8597208</v>
      </c>
      <c r="Q109" s="15">
        <f>-1725402+361064</f>
        <v>-1364338</v>
      </c>
      <c r="R109" s="15">
        <v>-1997038</v>
      </c>
      <c r="T109" s="18">
        <f t="shared" si="141"/>
        <v>0.6313506533163632</v>
      </c>
      <c r="U109" s="18">
        <f t="shared" si="142"/>
        <v>-0.27269746737558465</v>
      </c>
      <c r="V109" s="18">
        <f t="shared" si="143"/>
        <v>-11.04037371810819</v>
      </c>
      <c r="W109" s="18">
        <f t="shared" si="144"/>
        <v>0.97529997857515349</v>
      </c>
      <c r="X109" s="18">
        <f t="shared" si="145"/>
        <v>39.485794842026699</v>
      </c>
      <c r="Y109" s="19">
        <f t="shared" ref="Y89:Y112" si="150">((F109+G109)-(H109+I109))/(F109+G109)</f>
        <v>2.4700021424846515E-2</v>
      </c>
      <c r="Z109" s="19">
        <f t="shared" si="146"/>
        <v>-0.74814376031045138</v>
      </c>
      <c r="AA109" s="19">
        <f t="shared" si="147"/>
        <v>-0.18630167139747486</v>
      </c>
      <c r="AB109" s="19">
        <f t="shared" si="148"/>
        <v>283313.75126918335</v>
      </c>
      <c r="AC109" s="19">
        <f t="shared" si="149"/>
        <v>1.1739570544481954</v>
      </c>
      <c r="AE109" s="34">
        <v>1000000</v>
      </c>
      <c r="AF109" s="25">
        <f t="shared" si="113"/>
        <v>0.28331375126918334</v>
      </c>
      <c r="AH109" s="42">
        <v>1.2</v>
      </c>
      <c r="AI109" s="42">
        <v>1.4</v>
      </c>
      <c r="AJ109" s="42">
        <v>3.3</v>
      </c>
      <c r="AK109" s="42">
        <v>0.6</v>
      </c>
      <c r="AL109" s="42">
        <v>1</v>
      </c>
      <c r="AM109" s="46">
        <f t="shared" ref="AM109:AM118" si="151">AH109*Y109</f>
        <v>2.9640025709815818E-2</v>
      </c>
      <c r="AN109" s="46">
        <f t="shared" ref="AN109:AN118" si="152">AI109*Z109</f>
        <v>-1.0474012644346318</v>
      </c>
      <c r="AO109" s="46">
        <f t="shared" ref="AO109:AO118" si="153">AJ109*AA109</f>
        <v>-0.61479551561166701</v>
      </c>
      <c r="AP109" s="46">
        <f t="shared" ref="AP109:AP118" si="154">AK109*AF109</f>
        <v>0.16998825076151</v>
      </c>
      <c r="AQ109" s="46">
        <f t="shared" ref="AQ109:AQ118" si="155">AL109*AC109</f>
        <v>1.1739570544481954</v>
      </c>
      <c r="AR109" s="44">
        <f t="shared" ref="AR109:AR118" si="156">AM109+AN109+AO109+AP109+AQ109</f>
        <v>-0.28861144912677772</v>
      </c>
      <c r="AS109" s="66" t="s">
        <v>177</v>
      </c>
      <c r="AT109" s="8" t="str">
        <f t="shared" si="36"/>
        <v>financial distress</v>
      </c>
      <c r="AU109" s="6" t="s">
        <v>152</v>
      </c>
    </row>
    <row r="110" spans="1:47" x14ac:dyDescent="0.25">
      <c r="A110" s="6" t="s">
        <v>195</v>
      </c>
      <c r="B110" s="62"/>
      <c r="C110" s="62"/>
      <c r="D110" s="61"/>
      <c r="E110" s="6" t="s">
        <v>4</v>
      </c>
      <c r="F110" s="15">
        <v>2311175</v>
      </c>
      <c r="G110" s="15">
        <v>4695500</v>
      </c>
      <c r="H110" s="15">
        <v>8254627</v>
      </c>
      <c r="I110" s="15">
        <v>532504</v>
      </c>
      <c r="J110" s="15">
        <v>-1780456</v>
      </c>
      <c r="K110" s="15">
        <f t="shared" si="103"/>
        <v>0</v>
      </c>
      <c r="L110" s="15">
        <v>-8138346</v>
      </c>
      <c r="M110" s="15">
        <v>40470734746</v>
      </c>
      <c r="N110" s="16">
        <v>50</v>
      </c>
      <c r="O110" s="17">
        <f t="shared" si="104"/>
        <v>2023536737300</v>
      </c>
      <c r="P110" s="15">
        <v>6575570</v>
      </c>
      <c r="Q110" s="15">
        <f>-2512179+385315</f>
        <v>-2126864</v>
      </c>
      <c r="R110" s="15">
        <v>-2639420</v>
      </c>
      <c r="T110" s="18">
        <f t="shared" si="141"/>
        <v>0.27998539485793844</v>
      </c>
      <c r="U110" s="18">
        <f t="shared" si="142"/>
        <v>-0.37670078889059361</v>
      </c>
      <c r="V110" s="18">
        <f t="shared" si="143"/>
        <v>1.4824404534568671</v>
      </c>
      <c r="W110" s="18">
        <f t="shared" si="144"/>
        <v>1.2541085464931654</v>
      </c>
      <c r="X110" s="18">
        <f t="shared" si="145"/>
        <v>-4.9353261187021751</v>
      </c>
      <c r="Y110" s="19">
        <f t="shared" si="150"/>
        <v>-0.25410854649316544</v>
      </c>
      <c r="Z110" s="19">
        <f t="shared" si="146"/>
        <v>-1.1615132712734642</v>
      </c>
      <c r="AA110" s="19">
        <f t="shared" si="147"/>
        <v>-0.30354825933841656</v>
      </c>
      <c r="AB110" s="19">
        <f t="shared" si="148"/>
        <v>230284.12086948517</v>
      </c>
      <c r="AC110" s="19">
        <f t="shared" si="149"/>
        <v>0.93847224254014916</v>
      </c>
      <c r="AE110" s="34">
        <v>1000000</v>
      </c>
      <c r="AF110" s="25">
        <f t="shared" ref="AF110:AF118" si="157">AB110/AE110</f>
        <v>0.23028412086948516</v>
      </c>
      <c r="AH110" s="42">
        <v>1.2</v>
      </c>
      <c r="AI110" s="42">
        <v>1.4</v>
      </c>
      <c r="AJ110" s="42">
        <v>3.3</v>
      </c>
      <c r="AK110" s="42">
        <v>0.6</v>
      </c>
      <c r="AL110" s="42">
        <v>1</v>
      </c>
      <c r="AM110" s="46">
        <f t="shared" si="151"/>
        <v>-0.3049302557917985</v>
      </c>
      <c r="AN110" s="46">
        <f t="shared" si="152"/>
        <v>-1.6261185797828497</v>
      </c>
      <c r="AO110" s="46">
        <f t="shared" si="153"/>
        <v>-1.0017092558167746</v>
      </c>
      <c r="AP110" s="46">
        <f t="shared" si="154"/>
        <v>0.1381704725216911</v>
      </c>
      <c r="AQ110" s="46">
        <f t="shared" si="155"/>
        <v>0.93847224254014916</v>
      </c>
      <c r="AR110" s="44">
        <f t="shared" si="156"/>
        <v>-1.8561153763295826</v>
      </c>
      <c r="AS110" s="66"/>
      <c r="AT110" s="8" t="str">
        <f t="shared" si="36"/>
        <v>financial distress</v>
      </c>
      <c r="AU110" s="6" t="s">
        <v>153</v>
      </c>
    </row>
    <row r="111" spans="1:47" x14ac:dyDescent="0.25">
      <c r="A111" s="6" t="s">
        <v>196</v>
      </c>
      <c r="B111" s="62"/>
      <c r="C111" s="62"/>
      <c r="D111" s="61"/>
      <c r="E111" s="6" t="s">
        <v>5</v>
      </c>
      <c r="F111" s="15">
        <v>1959723</v>
      </c>
      <c r="G111" s="15">
        <v>4612717</v>
      </c>
      <c r="H111" s="15">
        <v>3192796</v>
      </c>
      <c r="I111" s="15">
        <v>2705301</v>
      </c>
      <c r="J111" s="15">
        <v>674343</v>
      </c>
      <c r="K111" s="15">
        <f t="shared" si="103"/>
        <v>0</v>
      </c>
      <c r="L111" s="15">
        <v>-6376830</v>
      </c>
      <c r="M111" s="15">
        <v>59572382787</v>
      </c>
      <c r="N111" s="16">
        <v>50</v>
      </c>
      <c r="O111" s="17">
        <f t="shared" si="104"/>
        <v>2978619139350</v>
      </c>
      <c r="P111" s="15">
        <v>7390580</v>
      </c>
      <c r="Q111" s="15">
        <f>1831870+390072</f>
        <v>2221942</v>
      </c>
      <c r="R111" s="15">
        <v>1722704</v>
      </c>
      <c r="T111" s="18">
        <f t="shared" si="141"/>
        <v>0.61379524404315211</v>
      </c>
      <c r="U111" s="18">
        <f t="shared" si="142"/>
        <v>0.26211026650680719</v>
      </c>
      <c r="V111" s="18">
        <f t="shared" si="143"/>
        <v>2.5546405909158989</v>
      </c>
      <c r="W111" s="18">
        <f t="shared" si="144"/>
        <v>0.89739837868432426</v>
      </c>
      <c r="X111" s="18">
        <f t="shared" si="145"/>
        <v>8.7464346779013056</v>
      </c>
      <c r="Y111" s="19">
        <f t="shared" si="150"/>
        <v>0.10260162131567577</v>
      </c>
      <c r="Z111" s="19">
        <f t="shared" si="146"/>
        <v>-0.97023784165393678</v>
      </c>
      <c r="AA111" s="19">
        <f t="shared" si="147"/>
        <v>0.33806957537839827</v>
      </c>
      <c r="AB111" s="19">
        <f t="shared" si="148"/>
        <v>505013.58986635861</v>
      </c>
      <c r="AC111" s="19">
        <f t="shared" si="149"/>
        <v>1.1244804060592413</v>
      </c>
      <c r="AE111" s="34">
        <v>1000000</v>
      </c>
      <c r="AF111" s="25">
        <f t="shared" si="157"/>
        <v>0.50501358986635858</v>
      </c>
      <c r="AH111" s="42">
        <v>1.2</v>
      </c>
      <c r="AI111" s="42">
        <v>1.4</v>
      </c>
      <c r="AJ111" s="42">
        <v>3.3</v>
      </c>
      <c r="AK111" s="42">
        <v>0.6</v>
      </c>
      <c r="AL111" s="42">
        <v>1</v>
      </c>
      <c r="AM111" s="46">
        <f t="shared" si="151"/>
        <v>0.12312194557881091</v>
      </c>
      <c r="AN111" s="46">
        <f t="shared" si="152"/>
        <v>-1.3583329783155114</v>
      </c>
      <c r="AO111" s="46">
        <f t="shared" si="153"/>
        <v>1.1156295987487141</v>
      </c>
      <c r="AP111" s="46">
        <f t="shared" si="154"/>
        <v>0.30300815391981512</v>
      </c>
      <c r="AQ111" s="46">
        <f t="shared" si="155"/>
        <v>1.1244804060592413</v>
      </c>
      <c r="AR111" s="44">
        <f t="shared" si="156"/>
        <v>1.30790712599107</v>
      </c>
      <c r="AS111" s="66"/>
      <c r="AT111" s="8" t="str">
        <f t="shared" si="36"/>
        <v>financial distress</v>
      </c>
      <c r="AU111" s="6" t="s">
        <v>154</v>
      </c>
    </row>
    <row r="112" spans="1:47" x14ac:dyDescent="0.25">
      <c r="A112" s="6" t="s">
        <v>197</v>
      </c>
      <c r="B112" s="62"/>
      <c r="C112" s="62"/>
      <c r="D112" s="61"/>
      <c r="E112" s="6" t="s">
        <v>2</v>
      </c>
      <c r="F112" s="15">
        <v>1574516</v>
      </c>
      <c r="G112" s="15">
        <v>4425743</v>
      </c>
      <c r="H112" s="15">
        <v>5077465</v>
      </c>
      <c r="I112" s="15">
        <v>593302</v>
      </c>
      <c r="J112" s="15">
        <v>329492</v>
      </c>
      <c r="K112" s="15">
        <f t="shared" si="103"/>
        <v>0</v>
      </c>
      <c r="L112" s="15">
        <v>-6735373</v>
      </c>
      <c r="M112" s="15">
        <v>59572382787</v>
      </c>
      <c r="N112" s="16">
        <v>50</v>
      </c>
      <c r="O112" s="17">
        <f t="shared" si="104"/>
        <v>2978619139350</v>
      </c>
      <c r="P112" s="15">
        <v>7175764</v>
      </c>
      <c r="Q112" s="15">
        <f>-348277+392474</f>
        <v>44197</v>
      </c>
      <c r="R112" s="15">
        <v>-348863</v>
      </c>
      <c r="T112" s="18">
        <f t="shared" si="141"/>
        <v>0.31009883869214261</v>
      </c>
      <c r="U112" s="18">
        <f t="shared" si="142"/>
        <v>-5.8141323566199395E-2</v>
      </c>
      <c r="V112" s="18">
        <f t="shared" si="143"/>
        <v>-1.0587905017420758</v>
      </c>
      <c r="W112" s="18">
        <f t="shared" si="144"/>
        <v>0.94508703707623287</v>
      </c>
      <c r="X112" s="18">
        <f t="shared" si="145"/>
        <v>17.21063637356901</v>
      </c>
      <c r="Y112" s="19">
        <f t="shared" si="150"/>
        <v>5.4912962923767121E-2</v>
      </c>
      <c r="Z112" s="19">
        <f t="shared" si="146"/>
        <v>-1.1225137114914538</v>
      </c>
      <c r="AA112" s="19">
        <f t="shared" si="147"/>
        <v>7.3658487075307913E-3</v>
      </c>
      <c r="AB112" s="19">
        <f t="shared" si="148"/>
        <v>525258.60070604202</v>
      </c>
      <c r="AC112" s="19">
        <f t="shared" si="149"/>
        <v>1.1959090432596327</v>
      </c>
      <c r="AE112" s="34">
        <v>1000000</v>
      </c>
      <c r="AF112" s="25">
        <f t="shared" si="157"/>
        <v>0.52525860070604202</v>
      </c>
      <c r="AH112" s="42">
        <v>1.2</v>
      </c>
      <c r="AI112" s="42">
        <v>1.4</v>
      </c>
      <c r="AJ112" s="42">
        <v>3.3</v>
      </c>
      <c r="AK112" s="42">
        <v>0.6</v>
      </c>
      <c r="AL112" s="42">
        <v>1</v>
      </c>
      <c r="AM112" s="46">
        <f t="shared" si="151"/>
        <v>6.589555550852054E-2</v>
      </c>
      <c r="AN112" s="46">
        <f t="shared" si="152"/>
        <v>-1.5715191960880353</v>
      </c>
      <c r="AO112" s="46">
        <f t="shared" si="153"/>
        <v>2.4307300734851611E-2</v>
      </c>
      <c r="AP112" s="46">
        <f t="shared" si="154"/>
        <v>0.31515516042362518</v>
      </c>
      <c r="AQ112" s="46">
        <f t="shared" si="155"/>
        <v>1.1959090432596327</v>
      </c>
      <c r="AR112" s="44">
        <f t="shared" si="156"/>
        <v>2.9747863838594624E-2</v>
      </c>
      <c r="AS112" s="66"/>
      <c r="AT112" s="8" t="str">
        <f t="shared" si="36"/>
        <v>financial distress</v>
      </c>
      <c r="AU112" s="6" t="s">
        <v>155</v>
      </c>
    </row>
    <row r="113" spans="1:47" x14ac:dyDescent="0.25">
      <c r="A113" s="6" t="s">
        <v>198</v>
      </c>
      <c r="B113" s="62"/>
      <c r="C113" s="62"/>
      <c r="D113" s="61"/>
      <c r="E113" s="6" t="s">
        <v>1</v>
      </c>
      <c r="K113" s="15">
        <f t="shared" si="103"/>
        <v>0</v>
      </c>
      <c r="N113" s="16">
        <v>50</v>
      </c>
      <c r="O113" s="17">
        <f t="shared" si="104"/>
        <v>0</v>
      </c>
      <c r="Y113" s="19"/>
      <c r="Z113" s="19"/>
      <c r="AA113" s="19"/>
      <c r="AB113" s="19"/>
      <c r="AC113" s="19"/>
      <c r="AE113" s="34">
        <v>1000000</v>
      </c>
      <c r="AH113" s="42">
        <v>1.2</v>
      </c>
      <c r="AI113" s="42">
        <v>1.4</v>
      </c>
      <c r="AJ113" s="42">
        <v>3.3</v>
      </c>
      <c r="AK113" s="42">
        <v>0.6</v>
      </c>
      <c r="AL113" s="42">
        <v>1</v>
      </c>
      <c r="AM113" s="46">
        <f t="shared" si="151"/>
        <v>0</v>
      </c>
      <c r="AN113" s="46">
        <f t="shared" si="152"/>
        <v>0</v>
      </c>
      <c r="AO113" s="46">
        <f t="shared" si="153"/>
        <v>0</v>
      </c>
      <c r="AP113" s="46">
        <f t="shared" si="154"/>
        <v>0</v>
      </c>
      <c r="AQ113" s="46">
        <f t="shared" si="155"/>
        <v>0</v>
      </c>
      <c r="AR113" s="44">
        <f t="shared" si="156"/>
        <v>0</v>
      </c>
      <c r="AS113" s="66"/>
      <c r="AT113" s="8" t="str">
        <f t="shared" si="36"/>
        <v>financial distress</v>
      </c>
      <c r="AU113" s="6" t="s">
        <v>156</v>
      </c>
    </row>
    <row r="114" spans="1:47" x14ac:dyDescent="0.25">
      <c r="A114" s="6" t="s">
        <v>200</v>
      </c>
      <c r="B114" s="62"/>
      <c r="C114" s="62"/>
      <c r="D114" s="61" t="s">
        <v>175</v>
      </c>
      <c r="E114" s="6" t="s">
        <v>3</v>
      </c>
      <c r="F114" s="15">
        <v>82772799336</v>
      </c>
      <c r="G114" s="15">
        <v>1076162771698</v>
      </c>
      <c r="H114" s="15">
        <v>170334228356</v>
      </c>
      <c r="I114" s="15">
        <v>981499675650</v>
      </c>
      <c r="J114" s="15">
        <v>7101667028</v>
      </c>
      <c r="K114" s="15">
        <f>(F114+G114)-(H114+I114+J114)</f>
        <v>0</v>
      </c>
      <c r="L114" s="15">
        <v>-400528164500</v>
      </c>
      <c r="M114" s="15">
        <v>968297000</v>
      </c>
      <c r="N114" s="16">
        <v>82</v>
      </c>
      <c r="O114" s="17">
        <f>M114*N114</f>
        <v>79400354000</v>
      </c>
      <c r="P114" s="15">
        <v>243013782107</v>
      </c>
      <c r="Q114" s="15">
        <f>-91532530235+66002748988</f>
        <v>-25529781247</v>
      </c>
      <c r="R114" s="15">
        <v>-68488774415</v>
      </c>
      <c r="S114" s="1" t="str">
        <f t="shared" ref="S114:S117" si="158">IF(Q114&gt;R114,"","X")</f>
        <v/>
      </c>
      <c r="T114" s="18">
        <f t="shared" ref="T114:T117" si="159">F114/H114</f>
        <v>0.48594343095272746</v>
      </c>
      <c r="U114" s="18">
        <f t="shared" ref="U114:U117" si="160">R114/(F114+G114)</f>
        <v>-5.9096274311344552E-2</v>
      </c>
      <c r="V114" s="18">
        <f t="shared" ref="V114:V117" si="161">R114/J114</f>
        <v>-9.6440419052268744</v>
      </c>
      <c r="W114" s="18">
        <f t="shared" ref="W114:W117" si="162">(H114+I114)/(F114+G114)</f>
        <v>0.99387225036016114</v>
      </c>
      <c r="X114" s="18">
        <f t="shared" ref="X114:X117" si="163">(H114+I114)/J114</f>
        <v>162.19204582031554</v>
      </c>
      <c r="Y114" s="19">
        <f t="shared" ref="Y114:Y117" si="164">((F114+G114)-(H114+I114))/(F114+G114)</f>
        <v>6.1277496398388278E-3</v>
      </c>
      <c r="Z114" s="19">
        <f t="shared" ref="Z114:Z117" si="165">L114/(F114+G114)</f>
        <v>-0.34560002687867247</v>
      </c>
      <c r="AA114" s="19">
        <f t="shared" ref="AA114:AA117" si="166">Q114/(F114+G114)</f>
        <v>-2.2028645841133669E-2</v>
      </c>
      <c r="AB114" s="19">
        <f t="shared" ref="AB114:AB117" si="167">(M114*N114)/(H114+I114)</f>
        <v>6.8933857324264353E-2</v>
      </c>
      <c r="AC114" s="19">
        <f t="shared" ref="AC114:AC117" si="168">P114/(F114+G114)</f>
        <v>0.20968705092914147</v>
      </c>
      <c r="AE114" s="34">
        <v>1</v>
      </c>
      <c r="AF114" s="25">
        <f t="shared" si="157"/>
        <v>6.8933857324264353E-2</v>
      </c>
      <c r="AH114" s="42">
        <v>1.2</v>
      </c>
      <c r="AI114" s="42">
        <v>1.4</v>
      </c>
      <c r="AJ114" s="42">
        <v>3.3</v>
      </c>
      <c r="AK114" s="42">
        <v>0.6</v>
      </c>
      <c r="AL114" s="42">
        <v>1</v>
      </c>
      <c r="AM114" s="46">
        <f t="shared" si="151"/>
        <v>7.3532995678065932E-3</v>
      </c>
      <c r="AN114" s="46">
        <f t="shared" si="152"/>
        <v>-0.48384003763014144</v>
      </c>
      <c r="AO114" s="46">
        <f t="shared" si="153"/>
        <v>-7.2694531275741103E-2</v>
      </c>
      <c r="AP114" s="46">
        <f t="shared" si="154"/>
        <v>4.136031439455861E-2</v>
      </c>
      <c r="AQ114" s="46">
        <f t="shared" si="155"/>
        <v>0.20968705092914147</v>
      </c>
      <c r="AR114" s="44">
        <f t="shared" si="156"/>
        <v>-0.29813390401437595</v>
      </c>
      <c r="AS114" s="66" t="s">
        <v>175</v>
      </c>
      <c r="AT114" s="8" t="str">
        <f t="shared" si="36"/>
        <v>financial distress</v>
      </c>
      <c r="AU114" s="6" t="s">
        <v>157</v>
      </c>
    </row>
    <row r="115" spans="1:47" x14ac:dyDescent="0.25">
      <c r="A115" s="6" t="s">
        <v>201</v>
      </c>
      <c r="B115" s="62"/>
      <c r="C115" s="62"/>
      <c r="D115" s="61"/>
      <c r="E115" s="6" t="s">
        <v>4</v>
      </c>
      <c r="F115" s="15">
        <v>40266954272</v>
      </c>
      <c r="G115" s="15">
        <v>1074301617625</v>
      </c>
      <c r="H115" s="15">
        <v>303431764582</v>
      </c>
      <c r="I115" s="15">
        <v>932441600117</v>
      </c>
      <c r="J115" s="15">
        <v>-121304792802</v>
      </c>
      <c r="K115" s="15">
        <f>(F115+G115)-(H115+I115+J115)</f>
        <v>0</v>
      </c>
      <c r="L115" s="15">
        <v>-528752074034</v>
      </c>
      <c r="M115" s="15">
        <v>968297000</v>
      </c>
      <c r="N115" s="16">
        <v>63</v>
      </c>
      <c r="O115" s="17">
        <f>M115*N115</f>
        <v>61002711000</v>
      </c>
      <c r="P115" s="15">
        <v>51671051196</v>
      </c>
      <c r="Q115" s="15">
        <f>-140504684121+87110947292</f>
        <v>-53393736829</v>
      </c>
      <c r="R115" s="15">
        <v>-127520042125</v>
      </c>
      <c r="S115" s="1" t="str">
        <f t="shared" si="158"/>
        <v/>
      </c>
      <c r="T115" s="18">
        <f t="shared" si="159"/>
        <v>0.13270513826220781</v>
      </c>
      <c r="U115" s="18">
        <f t="shared" si="160"/>
        <v>-0.11441202034609714</v>
      </c>
      <c r="V115" s="18">
        <f t="shared" si="161"/>
        <v>1.0512366344266781</v>
      </c>
      <c r="W115" s="18">
        <f t="shared" si="162"/>
        <v>1.1088356480351305</v>
      </c>
      <c r="X115" s="18">
        <f t="shared" si="163"/>
        <v>-10.188165992058178</v>
      </c>
      <c r="Y115" s="19">
        <f t="shared" si="164"/>
        <v>-0.10883564803513056</v>
      </c>
      <c r="Z115" s="19">
        <f t="shared" si="165"/>
        <v>-0.47440066709763934</v>
      </c>
      <c r="AA115" s="19">
        <f t="shared" si="166"/>
        <v>-4.7905295533431071E-2</v>
      </c>
      <c r="AB115" s="19">
        <f t="shared" si="167"/>
        <v>4.9360001390480135E-2</v>
      </c>
      <c r="AC115" s="19">
        <f t="shared" si="168"/>
        <v>4.635968795356904E-2</v>
      </c>
      <c r="AE115" s="34">
        <v>1</v>
      </c>
      <c r="AF115" s="25">
        <f t="shared" si="157"/>
        <v>4.9360001390480135E-2</v>
      </c>
      <c r="AH115" s="42">
        <v>1.2</v>
      </c>
      <c r="AI115" s="42">
        <v>1.4</v>
      </c>
      <c r="AJ115" s="42">
        <v>3.3</v>
      </c>
      <c r="AK115" s="42">
        <v>0.6</v>
      </c>
      <c r="AL115" s="42">
        <v>1</v>
      </c>
      <c r="AM115" s="46">
        <f t="shared" si="151"/>
        <v>-0.13060277764215666</v>
      </c>
      <c r="AN115" s="46">
        <f t="shared" si="152"/>
        <v>-0.66416093393669506</v>
      </c>
      <c r="AO115" s="46">
        <f t="shared" si="153"/>
        <v>-0.15808747526032252</v>
      </c>
      <c r="AP115" s="46">
        <f t="shared" si="154"/>
        <v>2.961600083428808E-2</v>
      </c>
      <c r="AQ115" s="46">
        <f t="shared" si="155"/>
        <v>4.635968795356904E-2</v>
      </c>
      <c r="AR115" s="44">
        <f t="shared" si="156"/>
        <v>-0.87687549805131715</v>
      </c>
      <c r="AS115" s="66"/>
      <c r="AT115" s="8" t="str">
        <f t="shared" ref="AT115:AT118" si="169">IF(AR115&lt;1.8,"financial distress",IF(AR115&gt;2.9,"safe","grey area"))</f>
        <v>financial distress</v>
      </c>
      <c r="AU115" s="6" t="s">
        <v>158</v>
      </c>
    </row>
    <row r="116" spans="1:47" x14ac:dyDescent="0.25">
      <c r="A116" s="6" t="s">
        <v>202</v>
      </c>
      <c r="B116" s="62"/>
      <c r="C116" s="62"/>
      <c r="D116" s="61"/>
      <c r="E116" s="6" t="s">
        <v>5</v>
      </c>
      <c r="F116" s="15">
        <v>20936092105</v>
      </c>
      <c r="G116" s="15">
        <v>1072197865431</v>
      </c>
      <c r="H116" s="15">
        <v>864335838685</v>
      </c>
      <c r="I116" s="15">
        <v>485770516090</v>
      </c>
      <c r="J116" s="15">
        <v>-256972397239</v>
      </c>
      <c r="K116" s="15">
        <f>(F116+G116)-(H116+I116+J116)</f>
        <v>0</v>
      </c>
      <c r="L116" s="15">
        <v>-664049298676</v>
      </c>
      <c r="M116" s="15">
        <v>968297000</v>
      </c>
      <c r="N116" s="16">
        <v>81</v>
      </c>
      <c r="O116" s="17">
        <f>M116*N116</f>
        <v>78432057000</v>
      </c>
      <c r="P116" s="15">
        <v>23910705666</v>
      </c>
      <c r="Q116" s="15">
        <f>-129617154001+76903947629+5117394</f>
        <v>-52708088978</v>
      </c>
      <c r="R116" s="15">
        <v>-138704828271</v>
      </c>
      <c r="S116" s="1" t="str">
        <f t="shared" si="158"/>
        <v/>
      </c>
      <c r="T116" s="18">
        <f t="shared" si="159"/>
        <v>2.4222172873049157E-2</v>
      </c>
      <c r="U116" s="18">
        <f t="shared" si="160"/>
        <v>-0.12688731085040147</v>
      </c>
      <c r="V116" s="18">
        <f t="shared" si="161"/>
        <v>0.53976547583044898</v>
      </c>
      <c r="W116" s="18">
        <f t="shared" si="162"/>
        <v>1.2350785971540337</v>
      </c>
      <c r="X116" s="18">
        <f t="shared" si="163"/>
        <v>-5.2538964078671793</v>
      </c>
      <c r="Y116" s="19">
        <f t="shared" si="164"/>
        <v>-0.23507859715403376</v>
      </c>
      <c r="Z116" s="19">
        <f t="shared" si="165"/>
        <v>-0.60747293970522453</v>
      </c>
      <c r="AA116" s="19">
        <f t="shared" si="166"/>
        <v>-4.8217410697594373E-2</v>
      </c>
      <c r="AB116" s="19">
        <f t="shared" si="167"/>
        <v>5.8093243337907982E-2</v>
      </c>
      <c r="AC116" s="19">
        <f t="shared" si="168"/>
        <v>2.1873536633969723E-2</v>
      </c>
      <c r="AE116" s="34">
        <v>1</v>
      </c>
      <c r="AF116" s="25">
        <f t="shared" si="157"/>
        <v>5.8093243337907982E-2</v>
      </c>
      <c r="AH116" s="42">
        <v>1.2</v>
      </c>
      <c r="AI116" s="42">
        <v>1.4</v>
      </c>
      <c r="AJ116" s="42">
        <v>3.3</v>
      </c>
      <c r="AK116" s="42">
        <v>0.6</v>
      </c>
      <c r="AL116" s="42">
        <v>1</v>
      </c>
      <c r="AM116" s="46">
        <f t="shared" si="151"/>
        <v>-0.28209431658484052</v>
      </c>
      <c r="AN116" s="46">
        <f t="shared" si="152"/>
        <v>-0.85046211558731433</v>
      </c>
      <c r="AO116" s="46">
        <f t="shared" si="153"/>
        <v>-0.15911745530206142</v>
      </c>
      <c r="AP116" s="46">
        <f t="shared" si="154"/>
        <v>3.4855946002744789E-2</v>
      </c>
      <c r="AQ116" s="46">
        <f t="shared" si="155"/>
        <v>2.1873536633969723E-2</v>
      </c>
      <c r="AR116" s="44">
        <f t="shared" si="156"/>
        <v>-1.2349444048375016</v>
      </c>
      <c r="AS116" s="66"/>
      <c r="AT116" s="8" t="str">
        <f t="shared" si="169"/>
        <v>financial distress</v>
      </c>
      <c r="AU116" s="6" t="s">
        <v>159</v>
      </c>
    </row>
    <row r="117" spans="1:47" x14ac:dyDescent="0.25">
      <c r="A117" s="6" t="s">
        <v>203</v>
      </c>
      <c r="B117" s="62"/>
      <c r="C117" s="62"/>
      <c r="D117" s="61"/>
      <c r="E117" s="6" t="s">
        <v>2</v>
      </c>
      <c r="F117" s="15">
        <v>55982018077</v>
      </c>
      <c r="G117" s="15">
        <v>1067843666935</v>
      </c>
      <c r="H117" s="15">
        <v>967643373510</v>
      </c>
      <c r="I117" s="15">
        <v>502153185056</v>
      </c>
      <c r="J117" s="15">
        <v>-345970873554</v>
      </c>
      <c r="K117" s="15">
        <f>(F117+G117)-(H117+I117+J117)</f>
        <v>0</v>
      </c>
      <c r="L117" s="15">
        <v>-753056797223</v>
      </c>
      <c r="M117" s="15">
        <v>968297000</v>
      </c>
      <c r="N117" s="16">
        <v>64</v>
      </c>
      <c r="O117" s="17">
        <f>M117*N117</f>
        <v>61971008000</v>
      </c>
      <c r="P117" s="15">
        <v>224066845068</v>
      </c>
      <c r="Q117" s="15">
        <f>-108175413240+65643871296+3567597</f>
        <v>-42527974347</v>
      </c>
      <c r="R117" s="15">
        <v>-89485479839</v>
      </c>
      <c r="S117" s="1" t="str">
        <f t="shared" si="158"/>
        <v/>
      </c>
      <c r="T117" s="18">
        <f t="shared" si="159"/>
        <v>5.7853977621871722E-2</v>
      </c>
      <c r="U117" s="18">
        <f t="shared" si="160"/>
        <v>-7.9625764949521061E-2</v>
      </c>
      <c r="V117" s="18">
        <f t="shared" si="161"/>
        <v>0.2586503277566598</v>
      </c>
      <c r="W117" s="18">
        <f t="shared" si="162"/>
        <v>1.3078510112093638</v>
      </c>
      <c r="X117" s="18">
        <f t="shared" si="163"/>
        <v>-4.2483245582712055</v>
      </c>
      <c r="Y117" s="19">
        <f t="shared" si="164"/>
        <v>-0.30785101120936365</v>
      </c>
      <c r="Z117" s="19">
        <f t="shared" si="165"/>
        <v>-0.67008327649581967</v>
      </c>
      <c r="AA117" s="19">
        <f t="shared" si="166"/>
        <v>-3.7842144839878702E-2</v>
      </c>
      <c r="AB117" s="19">
        <f t="shared" si="167"/>
        <v>4.2162983467903696E-2</v>
      </c>
      <c r="AC117" s="19">
        <f t="shared" si="168"/>
        <v>0.19937864746845277</v>
      </c>
      <c r="AE117" s="34">
        <v>1</v>
      </c>
      <c r="AF117" s="25">
        <f t="shared" si="157"/>
        <v>4.2162983467903696E-2</v>
      </c>
      <c r="AH117" s="42">
        <v>1.2</v>
      </c>
      <c r="AI117" s="42">
        <v>1.4</v>
      </c>
      <c r="AJ117" s="42">
        <v>3.3</v>
      </c>
      <c r="AK117" s="42">
        <v>0.6</v>
      </c>
      <c r="AL117" s="42">
        <v>1</v>
      </c>
      <c r="AM117" s="46">
        <f t="shared" si="151"/>
        <v>-0.36942121345123635</v>
      </c>
      <c r="AN117" s="46">
        <f t="shared" si="152"/>
        <v>-0.93811658709414747</v>
      </c>
      <c r="AO117" s="46">
        <f t="shared" si="153"/>
        <v>-0.12487907797159971</v>
      </c>
      <c r="AP117" s="46">
        <f t="shared" si="154"/>
        <v>2.5297790080742216E-2</v>
      </c>
      <c r="AQ117" s="46">
        <f t="shared" si="155"/>
        <v>0.19937864746845277</v>
      </c>
      <c r="AR117" s="44">
        <f t="shared" si="156"/>
        <v>-1.2077404409677885</v>
      </c>
      <c r="AS117" s="66"/>
      <c r="AT117" s="8" t="str">
        <f t="shared" si="169"/>
        <v>financial distress</v>
      </c>
      <c r="AU117" s="6" t="s">
        <v>160</v>
      </c>
    </row>
    <row r="118" spans="1:47" x14ac:dyDescent="0.25">
      <c r="A118" s="6" t="s">
        <v>204</v>
      </c>
      <c r="B118" s="62"/>
      <c r="C118" s="62"/>
      <c r="D118" s="61"/>
      <c r="E118" s="6" t="s">
        <v>1</v>
      </c>
      <c r="K118" s="15">
        <f>(F118+G118)-(H118+I118+J118)</f>
        <v>0</v>
      </c>
      <c r="N118" s="16">
        <v>62</v>
      </c>
      <c r="O118" s="17">
        <f>M118*N118</f>
        <v>0</v>
      </c>
      <c r="Y118" s="19"/>
      <c r="Z118" s="19"/>
      <c r="AA118" s="19"/>
      <c r="AB118" s="19"/>
      <c r="AC118" s="19"/>
      <c r="AE118" s="34">
        <v>1</v>
      </c>
      <c r="AF118" s="25">
        <f t="shared" si="157"/>
        <v>0</v>
      </c>
      <c r="AH118" s="42">
        <v>1.2</v>
      </c>
      <c r="AI118" s="42">
        <v>1.4</v>
      </c>
      <c r="AJ118" s="42">
        <v>3.3</v>
      </c>
      <c r="AK118" s="42">
        <v>0.6</v>
      </c>
      <c r="AL118" s="42">
        <v>1</v>
      </c>
      <c r="AM118" s="46">
        <f t="shared" si="151"/>
        <v>0</v>
      </c>
      <c r="AN118" s="46">
        <f t="shared" si="152"/>
        <v>0</v>
      </c>
      <c r="AO118" s="46">
        <f t="shared" si="153"/>
        <v>0</v>
      </c>
      <c r="AP118" s="46">
        <f t="shared" si="154"/>
        <v>0</v>
      </c>
      <c r="AQ118" s="46">
        <f t="shared" si="155"/>
        <v>0</v>
      </c>
      <c r="AR118" s="44">
        <f t="shared" si="156"/>
        <v>0</v>
      </c>
      <c r="AS118" s="66"/>
      <c r="AT118" s="8" t="str">
        <f t="shared" si="169"/>
        <v>financial distress</v>
      </c>
      <c r="AU118" s="6" t="s">
        <v>161</v>
      </c>
    </row>
  </sheetData>
  <mergeCells count="71">
    <mergeCell ref="AS109:AS113"/>
    <mergeCell ref="AS114:AS118"/>
    <mergeCell ref="AS34:AS38"/>
    <mergeCell ref="AS39:AS43"/>
    <mergeCell ref="AS44:AS48"/>
    <mergeCell ref="AS49:AS53"/>
    <mergeCell ref="AS54:AS58"/>
    <mergeCell ref="AS59:AS63"/>
    <mergeCell ref="AS64:AS68"/>
    <mergeCell ref="AS69:AS73"/>
    <mergeCell ref="AS74:AS78"/>
    <mergeCell ref="AS79:AS83"/>
    <mergeCell ref="AS84:AS88"/>
    <mergeCell ref="AS89:AS93"/>
    <mergeCell ref="B49:B53"/>
    <mergeCell ref="B54:B58"/>
    <mergeCell ref="B59:B63"/>
    <mergeCell ref="B34:B38"/>
    <mergeCell ref="B39:B43"/>
    <mergeCell ref="B44:B48"/>
    <mergeCell ref="D54:D58"/>
    <mergeCell ref="D59:D63"/>
    <mergeCell ref="D34:D38"/>
    <mergeCell ref="D39:D43"/>
    <mergeCell ref="D12:D16"/>
    <mergeCell ref="D44:D48"/>
    <mergeCell ref="D49:D53"/>
    <mergeCell ref="D2:D6"/>
    <mergeCell ref="D7:D11"/>
    <mergeCell ref="D17:D21"/>
    <mergeCell ref="D22:D26"/>
    <mergeCell ref="D27:D31"/>
    <mergeCell ref="B2:B6"/>
    <mergeCell ref="B12:B16"/>
    <mergeCell ref="B27:B31"/>
    <mergeCell ref="B22:B26"/>
    <mergeCell ref="B17:B21"/>
    <mergeCell ref="B7:B11"/>
    <mergeCell ref="D79:D83"/>
    <mergeCell ref="D84:D88"/>
    <mergeCell ref="D109:D113"/>
    <mergeCell ref="D74:D78"/>
    <mergeCell ref="B64:B68"/>
    <mergeCell ref="B69:B73"/>
    <mergeCell ref="D89:D93"/>
    <mergeCell ref="D64:D68"/>
    <mergeCell ref="D69:D73"/>
    <mergeCell ref="D94:D98"/>
    <mergeCell ref="D104:D108"/>
    <mergeCell ref="D99:D103"/>
    <mergeCell ref="B114:B118"/>
    <mergeCell ref="B79:B83"/>
    <mergeCell ref="B84:B88"/>
    <mergeCell ref="B109:B113"/>
    <mergeCell ref="B74:B78"/>
    <mergeCell ref="D114:D118"/>
    <mergeCell ref="B89:B93"/>
    <mergeCell ref="C34:C38"/>
    <mergeCell ref="C39:C43"/>
    <mergeCell ref="C44:C48"/>
    <mergeCell ref="C49:C53"/>
    <mergeCell ref="C54:C58"/>
    <mergeCell ref="C84:C88"/>
    <mergeCell ref="C89:C93"/>
    <mergeCell ref="C109:C113"/>
    <mergeCell ref="C74:C78"/>
    <mergeCell ref="C59:C63"/>
    <mergeCell ref="C64:C68"/>
    <mergeCell ref="C69:C73"/>
    <mergeCell ref="C114:C118"/>
    <mergeCell ref="C79:C83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1C7B3-1268-4411-A2C5-CA126F400911}">
  <dimension ref="A2:R63"/>
  <sheetViews>
    <sheetView zoomScale="115" zoomScaleNormal="115" workbookViewId="0">
      <selection activeCell="K13" sqref="K13"/>
    </sheetView>
  </sheetViews>
  <sheetFormatPr defaultRowHeight="15" x14ac:dyDescent="0.25"/>
  <cols>
    <col min="1" max="1" width="3.5703125" bestFit="1" customWidth="1"/>
    <col min="2" max="2" width="10.5703125" bestFit="1" customWidth="1"/>
    <col min="3" max="6" width="4.85546875" style="4" customWidth="1"/>
    <col min="18" max="18" width="20.28515625" style="24" bestFit="1" customWidth="1"/>
  </cols>
  <sheetData>
    <row r="2" spans="1:6" x14ac:dyDescent="0.25">
      <c r="A2" t="s">
        <v>167</v>
      </c>
      <c r="B2" t="s">
        <v>170</v>
      </c>
    </row>
    <row r="3" spans="1:6" x14ac:dyDescent="0.25">
      <c r="A3" t="s">
        <v>168</v>
      </c>
      <c r="B3" t="s">
        <v>169</v>
      </c>
    </row>
    <row r="4" spans="1:6" x14ac:dyDescent="0.25">
      <c r="A4" t="s">
        <v>171</v>
      </c>
      <c r="B4" t="s">
        <v>173</v>
      </c>
    </row>
    <row r="5" spans="1:6" x14ac:dyDescent="0.25">
      <c r="A5" t="s">
        <v>172</v>
      </c>
      <c r="B5" t="s">
        <v>174</v>
      </c>
    </row>
    <row r="7" spans="1:6" x14ac:dyDescent="0.25">
      <c r="A7" t="s">
        <v>131</v>
      </c>
      <c r="B7" t="s">
        <v>130</v>
      </c>
      <c r="C7" s="4" t="s">
        <v>167</v>
      </c>
      <c r="D7" s="4" t="s">
        <v>168</v>
      </c>
      <c r="E7" s="4" t="s">
        <v>171</v>
      </c>
      <c r="F7" s="4" t="s">
        <v>172</v>
      </c>
    </row>
    <row r="8" spans="1:6" x14ac:dyDescent="0.25">
      <c r="A8" s="3" t="s">
        <v>6</v>
      </c>
      <c r="B8" t="s">
        <v>98</v>
      </c>
      <c r="C8" s="4">
        <v>1</v>
      </c>
      <c r="D8" s="4">
        <v>0</v>
      </c>
    </row>
    <row r="9" spans="1:6" x14ac:dyDescent="0.25">
      <c r="A9" s="3" t="s">
        <v>7</v>
      </c>
      <c r="B9" t="s">
        <v>99</v>
      </c>
      <c r="C9" s="4">
        <v>1</v>
      </c>
      <c r="D9" s="4">
        <v>0</v>
      </c>
    </row>
    <row r="10" spans="1:6" x14ac:dyDescent="0.25">
      <c r="A10" s="3" t="s">
        <v>8</v>
      </c>
      <c r="B10" t="s">
        <v>100</v>
      </c>
      <c r="C10" s="4">
        <v>0</v>
      </c>
    </row>
    <row r="11" spans="1:6" x14ac:dyDescent="0.25">
      <c r="A11" s="3" t="s">
        <v>9</v>
      </c>
      <c r="B11" t="s">
        <v>101</v>
      </c>
      <c r="C11" s="4">
        <v>1</v>
      </c>
      <c r="D11" s="4">
        <v>1</v>
      </c>
      <c r="E11" s="4">
        <v>1</v>
      </c>
      <c r="F11" s="4">
        <v>0</v>
      </c>
    </row>
    <row r="12" spans="1:6" x14ac:dyDescent="0.25">
      <c r="A12" s="3" t="s">
        <v>10</v>
      </c>
      <c r="B12" t="s">
        <v>102</v>
      </c>
      <c r="C12" s="4">
        <v>1</v>
      </c>
      <c r="D12" s="4">
        <v>1</v>
      </c>
      <c r="E12" s="4">
        <v>1</v>
      </c>
      <c r="F12" s="4">
        <v>0</v>
      </c>
    </row>
    <row r="13" spans="1:6" x14ac:dyDescent="0.25">
      <c r="A13" s="3" t="s">
        <v>11</v>
      </c>
      <c r="B13" t="s">
        <v>103</v>
      </c>
      <c r="C13" s="4">
        <v>1</v>
      </c>
      <c r="D13" s="4">
        <v>1</v>
      </c>
      <c r="E13" s="4">
        <v>1</v>
      </c>
      <c r="F13" s="4">
        <v>0</v>
      </c>
    </row>
    <row r="14" spans="1:6" x14ac:dyDescent="0.25">
      <c r="A14" s="3" t="s">
        <v>12</v>
      </c>
      <c r="B14" t="s">
        <v>104</v>
      </c>
      <c r="C14" s="4">
        <v>0</v>
      </c>
    </row>
    <row r="15" spans="1:6" x14ac:dyDescent="0.25">
      <c r="A15" s="3" t="s">
        <v>13</v>
      </c>
      <c r="B15" t="s">
        <v>105</v>
      </c>
      <c r="C15" s="4">
        <v>1</v>
      </c>
      <c r="D15" s="4">
        <v>1</v>
      </c>
      <c r="E15" s="4">
        <v>1</v>
      </c>
      <c r="F15" s="4">
        <v>0</v>
      </c>
    </row>
    <row r="16" spans="1:6" x14ac:dyDescent="0.25">
      <c r="A16" s="3" t="s">
        <v>14</v>
      </c>
      <c r="B16" t="s">
        <v>106</v>
      </c>
      <c r="C16" s="4">
        <v>1</v>
      </c>
      <c r="D16" s="4">
        <v>1</v>
      </c>
      <c r="E16" s="4">
        <v>1</v>
      </c>
      <c r="F16" s="4">
        <v>0</v>
      </c>
    </row>
    <row r="17" spans="1:18" x14ac:dyDescent="0.25">
      <c r="A17" s="3" t="s">
        <v>15</v>
      </c>
      <c r="B17" t="s">
        <v>107</v>
      </c>
      <c r="C17" s="4">
        <v>1</v>
      </c>
      <c r="D17" s="4">
        <v>1</v>
      </c>
      <c r="E17" s="4">
        <v>0</v>
      </c>
      <c r="F17" s="4">
        <v>0</v>
      </c>
    </row>
    <row r="18" spans="1:18" x14ac:dyDescent="0.25">
      <c r="A18" s="3" t="s">
        <v>16</v>
      </c>
      <c r="B18" t="s">
        <v>108</v>
      </c>
    </row>
    <row r="19" spans="1:18" x14ac:dyDescent="0.25">
      <c r="A19" s="3" t="s">
        <v>17</v>
      </c>
      <c r="B19" t="s">
        <v>109</v>
      </c>
    </row>
    <row r="20" spans="1:18" x14ac:dyDescent="0.25">
      <c r="A20" s="3" t="s">
        <v>18</v>
      </c>
      <c r="B20" t="s">
        <v>110</v>
      </c>
      <c r="C20" s="4">
        <v>1</v>
      </c>
      <c r="D20" s="4">
        <v>0</v>
      </c>
    </row>
    <row r="21" spans="1:18" x14ac:dyDescent="0.25">
      <c r="A21" s="3" t="s">
        <v>19</v>
      </c>
      <c r="B21" t="s">
        <v>111</v>
      </c>
      <c r="R21" s="24">
        <v>-507582722152</v>
      </c>
    </row>
    <row r="22" spans="1:18" x14ac:dyDescent="0.25">
      <c r="A22" s="5" t="s">
        <v>20</v>
      </c>
      <c r="B22" t="s">
        <v>52</v>
      </c>
      <c r="R22" s="24">
        <v>2633142613</v>
      </c>
    </row>
    <row r="23" spans="1:18" x14ac:dyDescent="0.25">
      <c r="A23" s="3" t="s">
        <v>21</v>
      </c>
      <c r="B23" t="s">
        <v>112</v>
      </c>
    </row>
    <row r="24" spans="1:18" x14ac:dyDescent="0.25">
      <c r="A24" s="3" t="s">
        <v>22</v>
      </c>
      <c r="B24" t="s">
        <v>113</v>
      </c>
    </row>
    <row r="25" spans="1:18" x14ac:dyDescent="0.25">
      <c r="A25" s="3" t="s">
        <v>23</v>
      </c>
      <c r="B25" t="s">
        <v>114</v>
      </c>
    </row>
    <row r="26" spans="1:18" x14ac:dyDescent="0.25">
      <c r="A26" s="3" t="s">
        <v>24</v>
      </c>
      <c r="B26" t="s">
        <v>115</v>
      </c>
      <c r="R26" s="24">
        <f>R21+R22</f>
        <v>-504949579539</v>
      </c>
    </row>
    <row r="27" spans="1:18" x14ac:dyDescent="0.25">
      <c r="A27" s="3" t="s">
        <v>25</v>
      </c>
      <c r="B27" t="s">
        <v>116</v>
      </c>
    </row>
    <row r="28" spans="1:18" x14ac:dyDescent="0.25">
      <c r="A28" s="3" t="s">
        <v>26</v>
      </c>
      <c r="B28" t="s">
        <v>117</v>
      </c>
    </row>
    <row r="29" spans="1:18" x14ac:dyDescent="0.25">
      <c r="A29" s="3" t="s">
        <v>27</v>
      </c>
      <c r="B29" t="s">
        <v>118</v>
      </c>
    </row>
    <row r="30" spans="1:18" x14ac:dyDescent="0.25">
      <c r="A30" s="3" t="s">
        <v>28</v>
      </c>
      <c r="B30" t="s">
        <v>119</v>
      </c>
    </row>
    <row r="31" spans="1:18" x14ac:dyDescent="0.25">
      <c r="A31" s="3" t="s">
        <v>29</v>
      </c>
      <c r="B31" t="s">
        <v>120</v>
      </c>
    </row>
    <row r="32" spans="1:18" x14ac:dyDescent="0.25">
      <c r="A32" s="3" t="s">
        <v>30</v>
      </c>
      <c r="B32" t="s">
        <v>121</v>
      </c>
    </row>
    <row r="33" spans="1:6" x14ac:dyDescent="0.25">
      <c r="A33" s="3" t="s">
        <v>31</v>
      </c>
      <c r="B33" t="s">
        <v>122</v>
      </c>
    </row>
    <row r="34" spans="1:6" x14ac:dyDescent="0.25">
      <c r="A34" s="3" t="s">
        <v>32</v>
      </c>
      <c r="B34" t="s">
        <v>123</v>
      </c>
    </row>
    <row r="35" spans="1:6" x14ac:dyDescent="0.25">
      <c r="A35" s="3" t="s">
        <v>33</v>
      </c>
      <c r="B35" t="s">
        <v>124</v>
      </c>
    </row>
    <row r="36" spans="1:6" x14ac:dyDescent="0.25">
      <c r="A36" s="3" t="s">
        <v>34</v>
      </c>
      <c r="B36" t="s">
        <v>125</v>
      </c>
    </row>
    <row r="37" spans="1:6" x14ac:dyDescent="0.25">
      <c r="A37" s="3" t="s">
        <v>35</v>
      </c>
      <c r="B37" t="s">
        <v>126</v>
      </c>
    </row>
    <row r="38" spans="1:6" x14ac:dyDescent="0.25">
      <c r="A38" s="3" t="s">
        <v>36</v>
      </c>
      <c r="B38" t="s">
        <v>127</v>
      </c>
    </row>
    <row r="39" spans="1:6" x14ac:dyDescent="0.25">
      <c r="A39" s="3" t="s">
        <v>37</v>
      </c>
      <c r="B39" t="s">
        <v>128</v>
      </c>
    </row>
    <row r="40" spans="1:6" x14ac:dyDescent="0.25">
      <c r="A40" s="5" t="s">
        <v>38</v>
      </c>
      <c r="B40" t="s">
        <v>54</v>
      </c>
    </row>
    <row r="41" spans="1:6" x14ac:dyDescent="0.25">
      <c r="A41" s="5" t="s">
        <v>39</v>
      </c>
      <c r="B41" t="s">
        <v>55</v>
      </c>
      <c r="C41" s="4">
        <v>1</v>
      </c>
      <c r="D41" s="4">
        <v>1</v>
      </c>
      <c r="E41" s="4">
        <v>1</v>
      </c>
      <c r="F41" s="4">
        <v>1</v>
      </c>
    </row>
    <row r="42" spans="1:6" x14ac:dyDescent="0.25">
      <c r="A42" s="3" t="s">
        <v>40</v>
      </c>
      <c r="B42" t="s">
        <v>129</v>
      </c>
    </row>
    <row r="43" spans="1:6" x14ac:dyDescent="0.25">
      <c r="A43" s="3" t="s">
        <v>41</v>
      </c>
      <c r="B43" t="s">
        <v>132</v>
      </c>
    </row>
    <row r="44" spans="1:6" x14ac:dyDescent="0.25">
      <c r="A44" s="3" t="s">
        <v>42</v>
      </c>
      <c r="B44" t="s">
        <v>133</v>
      </c>
    </row>
    <row r="45" spans="1:6" x14ac:dyDescent="0.25">
      <c r="A45" s="3" t="s">
        <v>43</v>
      </c>
      <c r="B45" t="s">
        <v>134</v>
      </c>
    </row>
    <row r="46" spans="1:6" x14ac:dyDescent="0.25">
      <c r="A46" s="5" t="s">
        <v>44</v>
      </c>
      <c r="B46" t="s">
        <v>63</v>
      </c>
      <c r="C46" s="4">
        <v>1</v>
      </c>
      <c r="D46" s="4">
        <v>1</v>
      </c>
      <c r="E46" s="4">
        <v>1</v>
      </c>
      <c r="F46" s="4">
        <v>1</v>
      </c>
    </row>
    <row r="47" spans="1:6" x14ac:dyDescent="0.25">
      <c r="A47" s="3" t="s">
        <v>45</v>
      </c>
      <c r="B47" t="s">
        <v>135</v>
      </c>
    </row>
    <row r="48" spans="1:6" x14ac:dyDescent="0.25">
      <c r="A48" s="3" t="s">
        <v>74</v>
      </c>
      <c r="B48" t="s">
        <v>136</v>
      </c>
    </row>
    <row r="49" spans="1:6" x14ac:dyDescent="0.25">
      <c r="A49" s="3" t="s">
        <v>75</v>
      </c>
      <c r="B49" t="s">
        <v>137</v>
      </c>
    </row>
    <row r="50" spans="1:6" x14ac:dyDescent="0.25">
      <c r="A50" s="3" t="s">
        <v>76</v>
      </c>
      <c r="B50" t="s">
        <v>138</v>
      </c>
    </row>
    <row r="51" spans="1:6" x14ac:dyDescent="0.25">
      <c r="A51" s="3" t="s">
        <v>77</v>
      </c>
      <c r="B51" t="s">
        <v>139</v>
      </c>
    </row>
    <row r="52" spans="1:6" x14ac:dyDescent="0.25">
      <c r="A52" s="3" t="s">
        <v>78</v>
      </c>
      <c r="B52" t="s">
        <v>140</v>
      </c>
    </row>
    <row r="53" spans="1:6" x14ac:dyDescent="0.25">
      <c r="A53" s="3" t="s">
        <v>79</v>
      </c>
      <c r="B53" t="s">
        <v>141</v>
      </c>
    </row>
    <row r="54" spans="1:6" x14ac:dyDescent="0.25">
      <c r="A54" s="3" t="s">
        <v>80</v>
      </c>
      <c r="B54" t="s">
        <v>142</v>
      </c>
    </row>
    <row r="55" spans="1:6" x14ac:dyDescent="0.25">
      <c r="A55" s="5" t="s">
        <v>81</v>
      </c>
      <c r="B55" t="s">
        <v>53</v>
      </c>
      <c r="C55" s="4">
        <v>1</v>
      </c>
      <c r="D55" s="4">
        <v>1</v>
      </c>
      <c r="E55" s="4">
        <v>1</v>
      </c>
      <c r="F55" s="4">
        <v>1</v>
      </c>
    </row>
    <row r="56" spans="1:6" x14ac:dyDescent="0.25">
      <c r="A56" s="3" t="s">
        <v>82</v>
      </c>
      <c r="B56" t="s">
        <v>143</v>
      </c>
    </row>
    <row r="57" spans="1:6" x14ac:dyDescent="0.25">
      <c r="A57" s="5" t="s">
        <v>83</v>
      </c>
      <c r="B57" t="s">
        <v>46</v>
      </c>
    </row>
    <row r="58" spans="1:6" x14ac:dyDescent="0.25">
      <c r="A58" s="3" t="s">
        <v>86</v>
      </c>
      <c r="B58" t="s">
        <v>144</v>
      </c>
    </row>
    <row r="59" spans="1:6" x14ac:dyDescent="0.25">
      <c r="A59" s="3" t="s">
        <v>87</v>
      </c>
      <c r="B59" t="s">
        <v>145</v>
      </c>
    </row>
    <row r="60" spans="1:6" x14ac:dyDescent="0.25">
      <c r="A60" s="3" t="s">
        <v>88</v>
      </c>
      <c r="B60" t="s">
        <v>146</v>
      </c>
    </row>
    <row r="61" spans="1:6" x14ac:dyDescent="0.25">
      <c r="A61" s="3" t="s">
        <v>89</v>
      </c>
      <c r="B61" t="s">
        <v>147</v>
      </c>
    </row>
    <row r="62" spans="1:6" x14ac:dyDescent="0.25">
      <c r="A62" s="3" t="s">
        <v>90</v>
      </c>
      <c r="B62" t="s">
        <v>148</v>
      </c>
    </row>
    <row r="63" spans="1:6" x14ac:dyDescent="0.25">
      <c r="C63" s="4">
        <f>SUM(C8:C62)</f>
        <v>12</v>
      </c>
      <c r="D63" s="4">
        <f t="shared" ref="D63:F63" si="0">SUM(D8:D62)</f>
        <v>9</v>
      </c>
      <c r="E63" s="4">
        <f t="shared" si="0"/>
        <v>8</v>
      </c>
      <c r="F63" s="4">
        <f t="shared" si="0"/>
        <v>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4AACA-AAC4-4057-8F3E-68749F1BCDF2}">
  <dimension ref="A1:G82"/>
  <sheetViews>
    <sheetView zoomScale="145" zoomScaleNormal="145" workbookViewId="0">
      <selection activeCell="G8" sqref="G8"/>
    </sheetView>
  </sheetViews>
  <sheetFormatPr defaultRowHeight="15" x14ac:dyDescent="0.25"/>
  <cols>
    <col min="4" max="4" width="11.140625" bestFit="1" customWidth="1"/>
    <col min="5" max="5" width="14.140625" bestFit="1" customWidth="1"/>
    <col min="6" max="6" width="10.140625" bestFit="1" customWidth="1"/>
  </cols>
  <sheetData>
    <row r="1" spans="1:6" x14ac:dyDescent="0.25">
      <c r="A1" t="s">
        <v>208</v>
      </c>
      <c r="B1" t="s">
        <v>0</v>
      </c>
      <c r="C1" t="s">
        <v>278</v>
      </c>
      <c r="D1" t="s">
        <v>275</v>
      </c>
      <c r="E1" t="s">
        <v>276</v>
      </c>
      <c r="F1" t="s">
        <v>277</v>
      </c>
    </row>
    <row r="2" spans="1:6" x14ac:dyDescent="0.25">
      <c r="A2" s="3" t="s">
        <v>6</v>
      </c>
      <c r="B2" t="s">
        <v>91</v>
      </c>
      <c r="C2">
        <v>1</v>
      </c>
      <c r="D2">
        <v>1</v>
      </c>
      <c r="E2">
        <v>1</v>
      </c>
      <c r="F2" s="60">
        <v>1</v>
      </c>
    </row>
    <row r="3" spans="1:6" x14ac:dyDescent="0.25">
      <c r="A3" s="3" t="s">
        <v>7</v>
      </c>
      <c r="B3" t="s">
        <v>209</v>
      </c>
      <c r="C3">
        <v>1</v>
      </c>
      <c r="D3">
        <v>1</v>
      </c>
      <c r="E3">
        <v>1</v>
      </c>
      <c r="F3">
        <v>0</v>
      </c>
    </row>
    <row r="4" spans="1:6" x14ac:dyDescent="0.25">
      <c r="A4" s="3" t="s">
        <v>8</v>
      </c>
      <c r="B4" t="s">
        <v>210</v>
      </c>
      <c r="C4">
        <v>1</v>
      </c>
      <c r="D4">
        <v>1</v>
      </c>
      <c r="E4">
        <v>1</v>
      </c>
      <c r="F4">
        <v>0</v>
      </c>
    </row>
    <row r="5" spans="1:6" x14ac:dyDescent="0.25">
      <c r="A5" s="3" t="s">
        <v>9</v>
      </c>
      <c r="B5" t="s">
        <v>211</v>
      </c>
      <c r="C5">
        <v>1</v>
      </c>
      <c r="D5">
        <v>1</v>
      </c>
      <c r="E5">
        <v>1</v>
      </c>
      <c r="F5">
        <v>0</v>
      </c>
    </row>
    <row r="6" spans="1:6" x14ac:dyDescent="0.25">
      <c r="A6" s="3" t="s">
        <v>10</v>
      </c>
      <c r="B6" t="s">
        <v>212</v>
      </c>
      <c r="C6">
        <v>1</v>
      </c>
      <c r="D6">
        <v>1</v>
      </c>
      <c r="E6">
        <v>1</v>
      </c>
      <c r="F6">
        <v>0</v>
      </c>
    </row>
    <row r="7" spans="1:6" x14ac:dyDescent="0.25">
      <c r="A7" s="3" t="s">
        <v>11</v>
      </c>
      <c r="B7" t="s">
        <v>85</v>
      </c>
      <c r="C7">
        <v>1</v>
      </c>
      <c r="D7">
        <v>1</v>
      </c>
      <c r="E7">
        <v>1</v>
      </c>
      <c r="F7" s="60">
        <v>1</v>
      </c>
    </row>
    <row r="8" spans="1:6" x14ac:dyDescent="0.25">
      <c r="A8" s="3" t="s">
        <v>12</v>
      </c>
      <c r="B8" t="s">
        <v>73</v>
      </c>
      <c r="C8">
        <v>1</v>
      </c>
      <c r="D8">
        <v>1</v>
      </c>
      <c r="E8">
        <v>1</v>
      </c>
      <c r="F8" s="60">
        <v>1</v>
      </c>
    </row>
    <row r="9" spans="1:6" x14ac:dyDescent="0.25">
      <c r="A9" s="3" t="s">
        <v>13</v>
      </c>
      <c r="B9" t="s">
        <v>213</v>
      </c>
      <c r="C9">
        <v>1</v>
      </c>
      <c r="D9">
        <v>1</v>
      </c>
      <c r="E9">
        <v>1</v>
      </c>
      <c r="F9">
        <v>0</v>
      </c>
    </row>
    <row r="10" spans="1:6" x14ac:dyDescent="0.25">
      <c r="A10" s="3" t="s">
        <v>14</v>
      </c>
      <c r="B10" t="s">
        <v>214</v>
      </c>
      <c r="C10">
        <v>1</v>
      </c>
      <c r="D10">
        <v>1</v>
      </c>
      <c r="E10">
        <v>1</v>
      </c>
      <c r="F10">
        <v>0</v>
      </c>
    </row>
    <row r="11" spans="1:6" x14ac:dyDescent="0.25">
      <c r="A11" s="3" t="s">
        <v>15</v>
      </c>
      <c r="B11" t="s">
        <v>215</v>
      </c>
      <c r="C11">
        <v>1</v>
      </c>
      <c r="D11">
        <v>1</v>
      </c>
      <c r="E11">
        <v>1</v>
      </c>
      <c r="F11" s="60">
        <v>1</v>
      </c>
    </row>
    <row r="12" spans="1:6" x14ac:dyDescent="0.25">
      <c r="A12" s="3" t="s">
        <v>16</v>
      </c>
      <c r="B12" t="s">
        <v>216</v>
      </c>
      <c r="C12">
        <v>1</v>
      </c>
      <c r="D12">
        <v>0</v>
      </c>
      <c r="E12">
        <v>0</v>
      </c>
      <c r="F12">
        <v>0</v>
      </c>
    </row>
    <row r="13" spans="1:6" x14ac:dyDescent="0.25">
      <c r="A13" s="3" t="s">
        <v>17</v>
      </c>
      <c r="B13" t="s">
        <v>72</v>
      </c>
      <c r="C13">
        <v>1</v>
      </c>
      <c r="D13">
        <v>1</v>
      </c>
      <c r="E13">
        <v>0</v>
      </c>
      <c r="F13" s="59">
        <v>0</v>
      </c>
    </row>
    <row r="14" spans="1:6" x14ac:dyDescent="0.25">
      <c r="A14" s="3" t="s">
        <v>18</v>
      </c>
      <c r="B14" t="s">
        <v>217</v>
      </c>
      <c r="C14">
        <v>1</v>
      </c>
      <c r="D14">
        <v>1</v>
      </c>
      <c r="E14">
        <v>1</v>
      </c>
      <c r="F14">
        <v>0</v>
      </c>
    </row>
    <row r="15" spans="1:6" x14ac:dyDescent="0.25">
      <c r="A15" s="3" t="s">
        <v>19</v>
      </c>
      <c r="B15" t="s">
        <v>218</v>
      </c>
      <c r="C15">
        <v>1</v>
      </c>
      <c r="D15">
        <v>1</v>
      </c>
      <c r="E15">
        <v>1</v>
      </c>
      <c r="F15">
        <v>0</v>
      </c>
    </row>
    <row r="16" spans="1:6" x14ac:dyDescent="0.25">
      <c r="A16" s="3" t="s">
        <v>20</v>
      </c>
      <c r="B16" t="s">
        <v>219</v>
      </c>
      <c r="C16">
        <v>1</v>
      </c>
      <c r="D16">
        <v>0</v>
      </c>
      <c r="E16">
        <v>0</v>
      </c>
      <c r="F16">
        <v>0</v>
      </c>
    </row>
    <row r="17" spans="1:6" x14ac:dyDescent="0.25">
      <c r="A17" s="3" t="s">
        <v>21</v>
      </c>
      <c r="B17" t="s">
        <v>220</v>
      </c>
      <c r="C17">
        <v>1</v>
      </c>
      <c r="D17">
        <v>1</v>
      </c>
      <c r="E17">
        <v>1</v>
      </c>
      <c r="F17">
        <v>0</v>
      </c>
    </row>
    <row r="18" spans="1:6" x14ac:dyDescent="0.25">
      <c r="A18" s="3" t="s">
        <v>22</v>
      </c>
      <c r="B18" t="s">
        <v>177</v>
      </c>
      <c r="C18">
        <v>1</v>
      </c>
      <c r="D18">
        <v>1</v>
      </c>
      <c r="E18">
        <v>0</v>
      </c>
      <c r="F18" s="59">
        <v>0</v>
      </c>
    </row>
    <row r="19" spans="1:6" x14ac:dyDescent="0.25">
      <c r="A19" s="3" t="s">
        <v>23</v>
      </c>
      <c r="B19" t="s">
        <v>221</v>
      </c>
      <c r="C19">
        <v>1</v>
      </c>
      <c r="D19">
        <v>1</v>
      </c>
      <c r="E19">
        <v>1</v>
      </c>
      <c r="F19" s="60">
        <v>1</v>
      </c>
    </row>
    <row r="20" spans="1:6" x14ac:dyDescent="0.25">
      <c r="A20" s="3" t="s">
        <v>24</v>
      </c>
      <c r="B20" t="s">
        <v>222</v>
      </c>
      <c r="C20">
        <v>1</v>
      </c>
      <c r="D20">
        <v>1</v>
      </c>
      <c r="E20">
        <v>1</v>
      </c>
      <c r="F20">
        <v>0</v>
      </c>
    </row>
    <row r="21" spans="1:6" x14ac:dyDescent="0.25">
      <c r="A21" s="3" t="s">
        <v>25</v>
      </c>
      <c r="B21" t="s">
        <v>223</v>
      </c>
      <c r="C21">
        <v>1</v>
      </c>
      <c r="D21">
        <v>1</v>
      </c>
      <c r="E21">
        <v>1</v>
      </c>
      <c r="F21">
        <v>0</v>
      </c>
    </row>
    <row r="22" spans="1:6" x14ac:dyDescent="0.25">
      <c r="A22" s="3" t="s">
        <v>26</v>
      </c>
      <c r="B22" t="s">
        <v>224</v>
      </c>
      <c r="C22">
        <v>1</v>
      </c>
      <c r="D22">
        <v>0</v>
      </c>
      <c r="E22">
        <v>0</v>
      </c>
      <c r="F22">
        <v>0</v>
      </c>
    </row>
    <row r="23" spans="1:6" x14ac:dyDescent="0.25">
      <c r="A23" s="3" t="s">
        <v>27</v>
      </c>
      <c r="B23" t="s">
        <v>225</v>
      </c>
      <c r="C23">
        <v>1</v>
      </c>
      <c r="D23">
        <v>0</v>
      </c>
      <c r="E23">
        <v>0</v>
      </c>
      <c r="F23">
        <v>0</v>
      </c>
    </row>
    <row r="24" spans="1:6" x14ac:dyDescent="0.25">
      <c r="A24" s="3" t="s">
        <v>28</v>
      </c>
      <c r="B24" t="s">
        <v>175</v>
      </c>
      <c r="C24">
        <v>1</v>
      </c>
      <c r="D24">
        <v>1</v>
      </c>
      <c r="E24">
        <v>0</v>
      </c>
      <c r="F24" s="59">
        <v>0</v>
      </c>
    </row>
    <row r="25" spans="1:6" x14ac:dyDescent="0.25">
      <c r="A25" s="3" t="s">
        <v>29</v>
      </c>
      <c r="B25" t="s">
        <v>226</v>
      </c>
      <c r="C25">
        <v>1</v>
      </c>
      <c r="D25">
        <v>1</v>
      </c>
      <c r="E25">
        <v>1</v>
      </c>
      <c r="F25">
        <v>0</v>
      </c>
    </row>
    <row r="26" spans="1:6" x14ac:dyDescent="0.25">
      <c r="A26" s="3" t="s">
        <v>30</v>
      </c>
      <c r="B26" t="s">
        <v>70</v>
      </c>
      <c r="C26">
        <v>1</v>
      </c>
      <c r="D26">
        <v>1</v>
      </c>
      <c r="E26">
        <v>1</v>
      </c>
      <c r="F26" s="60">
        <v>1</v>
      </c>
    </row>
    <row r="27" spans="1:6" x14ac:dyDescent="0.25">
      <c r="A27" s="3" t="s">
        <v>31</v>
      </c>
      <c r="B27" t="s">
        <v>199</v>
      </c>
      <c r="C27">
        <v>1</v>
      </c>
      <c r="D27">
        <v>1</v>
      </c>
      <c r="E27">
        <v>1</v>
      </c>
      <c r="F27" s="60">
        <v>1</v>
      </c>
    </row>
    <row r="28" spans="1:6" x14ac:dyDescent="0.25">
      <c r="A28" s="3" t="s">
        <v>32</v>
      </c>
      <c r="B28" t="s">
        <v>227</v>
      </c>
      <c r="C28">
        <v>1</v>
      </c>
      <c r="D28">
        <v>0</v>
      </c>
      <c r="E28">
        <v>0</v>
      </c>
      <c r="F28">
        <v>0</v>
      </c>
    </row>
    <row r="29" spans="1:6" x14ac:dyDescent="0.25">
      <c r="A29" s="3" t="s">
        <v>33</v>
      </c>
      <c r="B29" t="s">
        <v>228</v>
      </c>
      <c r="C29">
        <v>1</v>
      </c>
      <c r="D29">
        <v>1</v>
      </c>
      <c r="E29">
        <v>1</v>
      </c>
      <c r="F29">
        <v>0</v>
      </c>
    </row>
    <row r="30" spans="1:6" x14ac:dyDescent="0.25">
      <c r="A30" s="3" t="s">
        <v>34</v>
      </c>
      <c r="B30" t="s">
        <v>229</v>
      </c>
      <c r="C30">
        <v>1</v>
      </c>
      <c r="D30">
        <v>1</v>
      </c>
      <c r="E30">
        <v>1</v>
      </c>
      <c r="F30">
        <v>0</v>
      </c>
    </row>
    <row r="31" spans="1:6" x14ac:dyDescent="0.25">
      <c r="A31" s="3" t="s">
        <v>35</v>
      </c>
      <c r="B31" t="s">
        <v>230</v>
      </c>
      <c r="C31">
        <v>1</v>
      </c>
      <c r="D31">
        <v>1</v>
      </c>
      <c r="E31">
        <v>1</v>
      </c>
      <c r="F31">
        <v>0</v>
      </c>
    </row>
    <row r="32" spans="1:6" x14ac:dyDescent="0.25">
      <c r="A32" s="3" t="s">
        <v>36</v>
      </c>
      <c r="B32" t="s">
        <v>176</v>
      </c>
      <c r="C32">
        <v>1</v>
      </c>
      <c r="D32">
        <v>1</v>
      </c>
      <c r="E32">
        <v>1</v>
      </c>
      <c r="F32" s="60">
        <v>1</v>
      </c>
    </row>
    <row r="33" spans="1:6" x14ac:dyDescent="0.25">
      <c r="A33" s="3" t="s">
        <v>37</v>
      </c>
      <c r="B33" t="s">
        <v>231</v>
      </c>
      <c r="C33">
        <v>1</v>
      </c>
      <c r="D33">
        <v>1</v>
      </c>
      <c r="E33">
        <v>1</v>
      </c>
      <c r="F33">
        <v>0</v>
      </c>
    </row>
    <row r="34" spans="1:6" x14ac:dyDescent="0.25">
      <c r="A34" s="3" t="s">
        <v>38</v>
      </c>
      <c r="B34" t="s">
        <v>232</v>
      </c>
      <c r="C34">
        <v>1</v>
      </c>
      <c r="D34">
        <v>1</v>
      </c>
      <c r="E34">
        <v>1</v>
      </c>
      <c r="F34">
        <v>0</v>
      </c>
    </row>
    <row r="35" spans="1:6" x14ac:dyDescent="0.25">
      <c r="A35" s="3" t="s">
        <v>39</v>
      </c>
      <c r="B35" t="s">
        <v>233</v>
      </c>
      <c r="C35">
        <v>1</v>
      </c>
      <c r="D35">
        <v>0</v>
      </c>
      <c r="E35">
        <v>0</v>
      </c>
      <c r="F35">
        <v>0</v>
      </c>
    </row>
    <row r="36" spans="1:6" x14ac:dyDescent="0.25">
      <c r="A36" s="3" t="s">
        <v>40</v>
      </c>
      <c r="B36" t="s">
        <v>234</v>
      </c>
      <c r="C36">
        <v>1</v>
      </c>
      <c r="D36">
        <v>1</v>
      </c>
      <c r="E36">
        <v>1</v>
      </c>
      <c r="F36">
        <v>0</v>
      </c>
    </row>
    <row r="37" spans="1:6" x14ac:dyDescent="0.25">
      <c r="A37" s="3" t="s">
        <v>41</v>
      </c>
      <c r="B37" t="s">
        <v>235</v>
      </c>
      <c r="C37">
        <v>1</v>
      </c>
      <c r="D37">
        <v>1</v>
      </c>
      <c r="E37">
        <v>1</v>
      </c>
      <c r="F37">
        <v>0</v>
      </c>
    </row>
    <row r="38" spans="1:6" x14ac:dyDescent="0.25">
      <c r="A38" s="3" t="s">
        <v>42</v>
      </c>
      <c r="B38" t="s">
        <v>236</v>
      </c>
      <c r="C38">
        <v>1</v>
      </c>
      <c r="D38">
        <v>1</v>
      </c>
      <c r="E38">
        <v>1</v>
      </c>
      <c r="F38">
        <v>0</v>
      </c>
    </row>
    <row r="39" spans="1:6" x14ac:dyDescent="0.25">
      <c r="A39" s="3" t="s">
        <v>43</v>
      </c>
      <c r="B39" t="s">
        <v>237</v>
      </c>
      <c r="C39">
        <v>1</v>
      </c>
      <c r="D39">
        <v>1</v>
      </c>
      <c r="E39">
        <v>1</v>
      </c>
      <c r="F39">
        <v>0</v>
      </c>
    </row>
    <row r="40" spans="1:6" x14ac:dyDescent="0.25">
      <c r="A40" s="3" t="s">
        <v>44</v>
      </c>
      <c r="B40" t="s">
        <v>238</v>
      </c>
      <c r="C40">
        <v>1</v>
      </c>
      <c r="D40">
        <v>0</v>
      </c>
      <c r="E40">
        <v>0</v>
      </c>
      <c r="F40">
        <v>0</v>
      </c>
    </row>
    <row r="41" spans="1:6" x14ac:dyDescent="0.25">
      <c r="A41" s="3" t="s">
        <v>45</v>
      </c>
      <c r="B41" t="s">
        <v>239</v>
      </c>
      <c r="C41">
        <v>1</v>
      </c>
      <c r="D41">
        <v>1</v>
      </c>
      <c r="E41">
        <v>1</v>
      </c>
      <c r="F41">
        <v>0</v>
      </c>
    </row>
    <row r="42" spans="1:6" x14ac:dyDescent="0.25">
      <c r="A42" s="3" t="s">
        <v>74</v>
      </c>
      <c r="B42" t="s">
        <v>240</v>
      </c>
      <c r="C42">
        <v>1</v>
      </c>
      <c r="D42">
        <v>0</v>
      </c>
      <c r="E42">
        <v>0</v>
      </c>
      <c r="F42">
        <v>0</v>
      </c>
    </row>
    <row r="43" spans="1:6" x14ac:dyDescent="0.25">
      <c r="A43" s="3" t="s">
        <v>75</v>
      </c>
      <c r="B43" t="s">
        <v>241</v>
      </c>
      <c r="C43">
        <v>1</v>
      </c>
      <c r="D43">
        <v>1</v>
      </c>
      <c r="E43">
        <v>1</v>
      </c>
      <c r="F43">
        <v>0</v>
      </c>
    </row>
    <row r="44" spans="1:6" x14ac:dyDescent="0.25">
      <c r="A44" s="3" t="s">
        <v>76</v>
      </c>
      <c r="B44" t="s">
        <v>149</v>
      </c>
      <c r="C44">
        <v>1</v>
      </c>
      <c r="D44">
        <v>1</v>
      </c>
      <c r="E44">
        <v>1</v>
      </c>
      <c r="F44" s="60">
        <v>1</v>
      </c>
    </row>
    <row r="45" spans="1:6" x14ac:dyDescent="0.25">
      <c r="A45" s="3" t="s">
        <v>77</v>
      </c>
      <c r="B45" t="s">
        <v>242</v>
      </c>
      <c r="C45">
        <v>1</v>
      </c>
      <c r="D45">
        <v>0</v>
      </c>
      <c r="E45">
        <v>0</v>
      </c>
      <c r="F45">
        <v>0</v>
      </c>
    </row>
    <row r="46" spans="1:6" x14ac:dyDescent="0.25">
      <c r="A46" s="3" t="s">
        <v>78</v>
      </c>
      <c r="B46" t="s">
        <v>71</v>
      </c>
      <c r="C46">
        <v>1</v>
      </c>
      <c r="D46">
        <v>1</v>
      </c>
      <c r="E46">
        <v>1</v>
      </c>
      <c r="F46" s="60">
        <v>1</v>
      </c>
    </row>
    <row r="47" spans="1:6" x14ac:dyDescent="0.25">
      <c r="A47" s="3" t="s">
        <v>79</v>
      </c>
      <c r="B47" t="s">
        <v>243</v>
      </c>
      <c r="C47">
        <v>1</v>
      </c>
      <c r="D47">
        <v>1</v>
      </c>
      <c r="E47">
        <v>1</v>
      </c>
      <c r="F47">
        <v>0</v>
      </c>
    </row>
    <row r="48" spans="1:6" x14ac:dyDescent="0.25">
      <c r="A48" s="3" t="s">
        <v>80</v>
      </c>
      <c r="B48" t="s">
        <v>150</v>
      </c>
      <c r="C48">
        <v>1</v>
      </c>
      <c r="D48">
        <v>1</v>
      </c>
      <c r="E48">
        <v>1</v>
      </c>
      <c r="F48" s="60">
        <v>1</v>
      </c>
    </row>
    <row r="49" spans="1:6" x14ac:dyDescent="0.25">
      <c r="A49" s="3" t="s">
        <v>81</v>
      </c>
      <c r="B49" t="s">
        <v>244</v>
      </c>
      <c r="C49">
        <v>1</v>
      </c>
      <c r="D49">
        <v>1</v>
      </c>
      <c r="E49">
        <v>1</v>
      </c>
      <c r="F49">
        <v>0</v>
      </c>
    </row>
    <row r="50" spans="1:6" x14ac:dyDescent="0.25">
      <c r="A50" s="3" t="s">
        <v>82</v>
      </c>
      <c r="B50" t="s">
        <v>245</v>
      </c>
      <c r="C50">
        <v>1</v>
      </c>
      <c r="D50">
        <v>0</v>
      </c>
      <c r="E50">
        <v>0</v>
      </c>
      <c r="F50">
        <v>0</v>
      </c>
    </row>
    <row r="51" spans="1:6" x14ac:dyDescent="0.25">
      <c r="A51" s="3" t="s">
        <v>83</v>
      </c>
      <c r="B51" t="s">
        <v>246</v>
      </c>
      <c r="C51">
        <v>1</v>
      </c>
      <c r="D51">
        <v>0</v>
      </c>
      <c r="E51">
        <v>0</v>
      </c>
      <c r="F51">
        <v>0</v>
      </c>
    </row>
    <row r="52" spans="1:6" x14ac:dyDescent="0.25">
      <c r="A52" s="3" t="s">
        <v>86</v>
      </c>
      <c r="B52" t="s">
        <v>247</v>
      </c>
      <c r="C52">
        <v>1</v>
      </c>
      <c r="D52">
        <v>1</v>
      </c>
      <c r="E52">
        <v>1</v>
      </c>
      <c r="F52">
        <v>0</v>
      </c>
    </row>
    <row r="53" spans="1:6" x14ac:dyDescent="0.25">
      <c r="A53" s="3" t="s">
        <v>87</v>
      </c>
      <c r="B53" t="s">
        <v>248</v>
      </c>
      <c r="C53">
        <v>1</v>
      </c>
      <c r="D53">
        <v>0</v>
      </c>
      <c r="E53">
        <v>0</v>
      </c>
      <c r="F53">
        <v>0</v>
      </c>
    </row>
    <row r="54" spans="1:6" x14ac:dyDescent="0.25">
      <c r="A54" s="3" t="s">
        <v>88</v>
      </c>
      <c r="B54" t="s">
        <v>249</v>
      </c>
      <c r="C54">
        <v>1</v>
      </c>
      <c r="D54">
        <v>1</v>
      </c>
      <c r="E54">
        <v>1</v>
      </c>
      <c r="F54">
        <v>0</v>
      </c>
    </row>
    <row r="55" spans="1:6" x14ac:dyDescent="0.25">
      <c r="A55" s="3" t="s">
        <v>89</v>
      </c>
      <c r="B55" t="s">
        <v>250</v>
      </c>
      <c r="C55">
        <v>1</v>
      </c>
      <c r="D55">
        <v>0</v>
      </c>
      <c r="E55">
        <v>0</v>
      </c>
      <c r="F55">
        <v>0</v>
      </c>
    </row>
    <row r="56" spans="1:6" x14ac:dyDescent="0.25">
      <c r="A56" s="3" t="s">
        <v>90</v>
      </c>
      <c r="B56" t="s">
        <v>251</v>
      </c>
      <c r="C56">
        <v>1</v>
      </c>
      <c r="D56">
        <v>0</v>
      </c>
      <c r="E56">
        <v>0</v>
      </c>
      <c r="F56">
        <v>0</v>
      </c>
    </row>
    <row r="57" spans="1:6" x14ac:dyDescent="0.25">
      <c r="A57" s="3" t="s">
        <v>92</v>
      </c>
      <c r="B57" t="s">
        <v>252</v>
      </c>
      <c r="C57">
        <v>1</v>
      </c>
      <c r="D57">
        <v>1</v>
      </c>
      <c r="E57">
        <v>1</v>
      </c>
      <c r="F57">
        <v>0</v>
      </c>
    </row>
    <row r="58" spans="1:6" x14ac:dyDescent="0.25">
      <c r="A58" s="3" t="s">
        <v>93</v>
      </c>
      <c r="B58" t="s">
        <v>253</v>
      </c>
      <c r="C58">
        <v>1</v>
      </c>
      <c r="D58">
        <v>0</v>
      </c>
      <c r="E58">
        <v>0</v>
      </c>
      <c r="F58">
        <v>0</v>
      </c>
    </row>
    <row r="59" spans="1:6" x14ac:dyDescent="0.25">
      <c r="A59" s="3" t="s">
        <v>94</v>
      </c>
      <c r="B59" t="s">
        <v>254</v>
      </c>
      <c r="C59">
        <v>1</v>
      </c>
      <c r="D59">
        <v>0</v>
      </c>
      <c r="E59">
        <v>0</v>
      </c>
      <c r="F59">
        <v>0</v>
      </c>
    </row>
    <row r="60" spans="1:6" x14ac:dyDescent="0.25">
      <c r="A60" s="3" t="s">
        <v>95</v>
      </c>
      <c r="B60" t="s">
        <v>255</v>
      </c>
      <c r="C60">
        <v>1</v>
      </c>
      <c r="D60">
        <v>0</v>
      </c>
      <c r="E60">
        <v>0</v>
      </c>
      <c r="F60">
        <v>0</v>
      </c>
    </row>
    <row r="61" spans="1:6" x14ac:dyDescent="0.25">
      <c r="A61" s="3" t="s">
        <v>96</v>
      </c>
      <c r="B61" t="s">
        <v>256</v>
      </c>
      <c r="C61">
        <v>1</v>
      </c>
      <c r="D61">
        <v>1</v>
      </c>
      <c r="E61">
        <v>1</v>
      </c>
      <c r="F61">
        <v>0</v>
      </c>
    </row>
    <row r="62" spans="1:6" x14ac:dyDescent="0.25">
      <c r="A62" s="3" t="s">
        <v>152</v>
      </c>
      <c r="B62" t="s">
        <v>257</v>
      </c>
      <c r="C62">
        <v>1</v>
      </c>
      <c r="D62">
        <v>1</v>
      </c>
      <c r="E62">
        <v>1</v>
      </c>
      <c r="F62">
        <v>0</v>
      </c>
    </row>
    <row r="63" spans="1:6" x14ac:dyDescent="0.25">
      <c r="A63" s="3" t="s">
        <v>153</v>
      </c>
      <c r="B63" t="s">
        <v>258</v>
      </c>
      <c r="C63">
        <v>1</v>
      </c>
      <c r="D63">
        <v>1</v>
      </c>
      <c r="E63">
        <v>1</v>
      </c>
      <c r="F63">
        <v>0</v>
      </c>
    </row>
    <row r="64" spans="1:6" x14ac:dyDescent="0.25">
      <c r="A64" s="3" t="s">
        <v>154</v>
      </c>
      <c r="B64" t="s">
        <v>259</v>
      </c>
      <c r="C64">
        <v>1</v>
      </c>
      <c r="D64">
        <v>1</v>
      </c>
      <c r="E64">
        <v>1</v>
      </c>
      <c r="F64">
        <v>0</v>
      </c>
    </row>
    <row r="65" spans="1:6" x14ac:dyDescent="0.25">
      <c r="A65" s="3" t="s">
        <v>155</v>
      </c>
      <c r="B65" t="s">
        <v>260</v>
      </c>
      <c r="C65">
        <v>1</v>
      </c>
      <c r="D65">
        <v>0</v>
      </c>
      <c r="E65">
        <v>0</v>
      </c>
      <c r="F65">
        <v>0</v>
      </c>
    </row>
    <row r="66" spans="1:6" x14ac:dyDescent="0.25">
      <c r="A66" s="3" t="s">
        <v>156</v>
      </c>
      <c r="B66" t="s">
        <v>261</v>
      </c>
      <c r="C66">
        <v>1</v>
      </c>
      <c r="D66">
        <v>1</v>
      </c>
      <c r="E66">
        <v>1</v>
      </c>
      <c r="F66">
        <v>0</v>
      </c>
    </row>
    <row r="67" spans="1:6" x14ac:dyDescent="0.25">
      <c r="A67" s="3" t="s">
        <v>157</v>
      </c>
      <c r="B67" t="s">
        <v>262</v>
      </c>
      <c r="C67">
        <v>1</v>
      </c>
      <c r="D67">
        <v>1</v>
      </c>
      <c r="E67">
        <v>1</v>
      </c>
      <c r="F67">
        <v>0</v>
      </c>
    </row>
    <row r="68" spans="1:6" x14ac:dyDescent="0.25">
      <c r="A68" s="3" t="s">
        <v>158</v>
      </c>
      <c r="B68" t="s">
        <v>178</v>
      </c>
      <c r="C68">
        <v>1</v>
      </c>
      <c r="D68">
        <v>1</v>
      </c>
      <c r="E68">
        <v>1</v>
      </c>
      <c r="F68" s="60">
        <v>1</v>
      </c>
    </row>
    <row r="69" spans="1:6" x14ac:dyDescent="0.25">
      <c r="A69" s="3" t="s">
        <v>159</v>
      </c>
      <c r="B69" t="s">
        <v>263</v>
      </c>
      <c r="C69">
        <v>1</v>
      </c>
      <c r="D69">
        <v>0</v>
      </c>
      <c r="E69">
        <v>0</v>
      </c>
      <c r="F69">
        <v>0</v>
      </c>
    </row>
    <row r="70" spans="1:6" x14ac:dyDescent="0.25">
      <c r="A70" s="3" t="s">
        <v>160</v>
      </c>
      <c r="B70" t="s">
        <v>264</v>
      </c>
      <c r="C70">
        <v>1</v>
      </c>
      <c r="D70">
        <v>1</v>
      </c>
      <c r="E70">
        <v>1</v>
      </c>
      <c r="F70">
        <v>0</v>
      </c>
    </row>
    <row r="71" spans="1:6" x14ac:dyDescent="0.25">
      <c r="A71" s="3" t="s">
        <v>161</v>
      </c>
      <c r="B71" t="s">
        <v>265</v>
      </c>
      <c r="C71">
        <v>1</v>
      </c>
      <c r="D71">
        <v>1</v>
      </c>
      <c r="E71">
        <v>1</v>
      </c>
      <c r="F71">
        <v>0</v>
      </c>
    </row>
    <row r="72" spans="1:6" x14ac:dyDescent="0.25">
      <c r="A72" s="3" t="s">
        <v>162</v>
      </c>
      <c r="B72" t="s">
        <v>266</v>
      </c>
      <c r="C72">
        <v>1</v>
      </c>
      <c r="D72">
        <v>0</v>
      </c>
      <c r="E72">
        <v>0</v>
      </c>
      <c r="F72">
        <v>0</v>
      </c>
    </row>
    <row r="73" spans="1:6" x14ac:dyDescent="0.25">
      <c r="A73" s="3" t="s">
        <v>163</v>
      </c>
      <c r="B73" t="s">
        <v>151</v>
      </c>
      <c r="C73">
        <v>1</v>
      </c>
      <c r="D73">
        <v>1</v>
      </c>
      <c r="E73">
        <v>1</v>
      </c>
      <c r="F73" s="60">
        <v>1</v>
      </c>
    </row>
    <row r="74" spans="1:6" x14ac:dyDescent="0.25">
      <c r="A74" s="3" t="s">
        <v>164</v>
      </c>
      <c r="B74" t="s">
        <v>267</v>
      </c>
      <c r="C74">
        <v>1</v>
      </c>
      <c r="D74">
        <v>1</v>
      </c>
      <c r="E74">
        <v>1</v>
      </c>
      <c r="F74">
        <v>0</v>
      </c>
    </row>
    <row r="75" spans="1:6" x14ac:dyDescent="0.25">
      <c r="A75" s="3" t="s">
        <v>165</v>
      </c>
      <c r="B75" t="s">
        <v>268</v>
      </c>
      <c r="C75">
        <v>1</v>
      </c>
      <c r="D75">
        <v>1</v>
      </c>
      <c r="E75">
        <v>1</v>
      </c>
      <c r="F75">
        <v>0</v>
      </c>
    </row>
    <row r="76" spans="1:6" x14ac:dyDescent="0.25">
      <c r="A76" s="3" t="s">
        <v>166</v>
      </c>
      <c r="B76" t="s">
        <v>269</v>
      </c>
      <c r="C76">
        <v>1</v>
      </c>
      <c r="D76">
        <v>1</v>
      </c>
      <c r="E76">
        <v>1</v>
      </c>
      <c r="F76">
        <v>0</v>
      </c>
    </row>
    <row r="77" spans="1:6" x14ac:dyDescent="0.25">
      <c r="A77" s="3" t="s">
        <v>179</v>
      </c>
      <c r="B77" t="s">
        <v>270</v>
      </c>
      <c r="C77">
        <v>1</v>
      </c>
      <c r="D77">
        <v>1</v>
      </c>
      <c r="E77">
        <v>1</v>
      </c>
      <c r="F77">
        <v>0</v>
      </c>
    </row>
    <row r="78" spans="1:6" x14ac:dyDescent="0.25">
      <c r="A78" s="3" t="s">
        <v>180</v>
      </c>
      <c r="B78" t="s">
        <v>271</v>
      </c>
      <c r="C78">
        <v>1</v>
      </c>
      <c r="D78">
        <v>1</v>
      </c>
      <c r="E78">
        <v>1</v>
      </c>
      <c r="F78">
        <v>0</v>
      </c>
    </row>
    <row r="79" spans="1:6" x14ac:dyDescent="0.25">
      <c r="A79" s="3" t="s">
        <v>181</v>
      </c>
      <c r="B79" t="s">
        <v>272</v>
      </c>
      <c r="C79">
        <v>1</v>
      </c>
      <c r="D79">
        <v>1</v>
      </c>
      <c r="E79">
        <v>1</v>
      </c>
      <c r="F79">
        <v>0</v>
      </c>
    </row>
    <row r="80" spans="1:6" x14ac:dyDescent="0.25">
      <c r="A80" s="3" t="s">
        <v>182</v>
      </c>
      <c r="B80" t="s">
        <v>273</v>
      </c>
      <c r="C80">
        <v>1</v>
      </c>
      <c r="D80">
        <v>1</v>
      </c>
      <c r="E80">
        <v>1</v>
      </c>
      <c r="F80">
        <v>0</v>
      </c>
    </row>
    <row r="81" spans="1:7" x14ac:dyDescent="0.25">
      <c r="A81" s="3" t="s">
        <v>183</v>
      </c>
      <c r="B81" t="s">
        <v>274</v>
      </c>
      <c r="C81">
        <v>1</v>
      </c>
      <c r="D81">
        <v>1</v>
      </c>
      <c r="E81">
        <v>1</v>
      </c>
      <c r="F81" s="60">
        <v>1</v>
      </c>
    </row>
    <row r="82" spans="1:7" x14ac:dyDescent="0.25">
      <c r="C82">
        <f t="shared" ref="C82:E82" si="0">SUM(C2:C81)</f>
        <v>80</v>
      </c>
      <c r="D82">
        <f t="shared" si="0"/>
        <v>60</v>
      </c>
      <c r="E82">
        <f t="shared" si="0"/>
        <v>57</v>
      </c>
      <c r="F82">
        <f>SUM(F2:F81)</f>
        <v>14</v>
      </c>
      <c r="G82">
        <f>F82*5</f>
        <v>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DJPB</dc:creator>
  <cp:lastModifiedBy>DJPB</cp:lastModifiedBy>
  <dcterms:created xsi:type="dcterms:W3CDTF">2021-06-15T05:48:48Z</dcterms:created>
  <dcterms:modified xsi:type="dcterms:W3CDTF">2021-07-02T10:11:39Z</dcterms:modified>
</cp:coreProperties>
</file>