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PB\OneDrive\Documents\kuliah\SKRIPSI_BUNDA\"/>
    </mc:Choice>
  </mc:AlternateContent>
  <xr:revisionPtr revIDLastSave="0" documentId="13_ncr:1_{D6DF3475-9193-4DCA-9F0C-5B8B6A3E4E1E}" xr6:coauthVersionLast="47" xr6:coauthVersionMax="47" xr10:uidLastSave="{00000000-0000-0000-0000-000000000000}"/>
  <bookViews>
    <workbookView xWindow="-120" yWindow="-120" windowWidth="29040" windowHeight="15720" activeTab="2" xr2:uid="{FDAD1F42-76E9-42DA-9D25-D641B142C50B}"/>
  </bookViews>
  <sheets>
    <sheet name="LK_HOD" sheetId="1" r:id="rId1"/>
    <sheet name="Sheet3" sheetId="3" r:id="rId2"/>
    <sheet name="Sheet1" sheetId="4" r:id="rId3"/>
    <sheet name="Sheet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2" i="4"/>
  <c r="A8" i="4" l="1"/>
  <c r="A14" i="4"/>
  <c r="A20" i="4"/>
  <c r="A26" i="4"/>
  <c r="A32" i="4"/>
  <c r="A38" i="4"/>
  <c r="A44" i="4"/>
  <c r="A50" i="4"/>
  <c r="A56" i="4"/>
  <c r="A62" i="4"/>
  <c r="A68" i="4"/>
  <c r="A74" i="4"/>
  <c r="A80" i="4"/>
  <c r="A86" i="4"/>
  <c r="A2" i="4"/>
  <c r="B3" i="4"/>
  <c r="C3" i="4"/>
  <c r="D3" i="4"/>
  <c r="E3" i="4"/>
  <c r="B4" i="4"/>
  <c r="C4" i="4"/>
  <c r="D4" i="4"/>
  <c r="E4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B51" i="4"/>
  <c r="C51" i="4"/>
  <c r="D51" i="4"/>
  <c r="E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C55" i="4"/>
  <c r="D55" i="4"/>
  <c r="E55" i="4"/>
  <c r="B56" i="4"/>
  <c r="C56" i="4"/>
  <c r="D56" i="4"/>
  <c r="E56" i="4"/>
  <c r="B57" i="4"/>
  <c r="C57" i="4"/>
  <c r="D57" i="4"/>
  <c r="E57" i="4"/>
  <c r="B58" i="4"/>
  <c r="C58" i="4"/>
  <c r="D58" i="4"/>
  <c r="E58" i="4"/>
  <c r="B59" i="4"/>
  <c r="C59" i="4"/>
  <c r="D59" i="4"/>
  <c r="E59" i="4"/>
  <c r="B60" i="4"/>
  <c r="C60" i="4"/>
  <c r="D60" i="4"/>
  <c r="E60" i="4"/>
  <c r="B61" i="4"/>
  <c r="C61" i="4"/>
  <c r="D61" i="4"/>
  <c r="E61" i="4"/>
  <c r="B62" i="4"/>
  <c r="C62" i="4"/>
  <c r="D62" i="4"/>
  <c r="E62" i="4"/>
  <c r="B63" i="4"/>
  <c r="C63" i="4"/>
  <c r="D63" i="4"/>
  <c r="E63" i="4"/>
  <c r="B64" i="4"/>
  <c r="C64" i="4"/>
  <c r="D64" i="4"/>
  <c r="E64" i="4"/>
  <c r="B65" i="4"/>
  <c r="C65" i="4"/>
  <c r="D65" i="4"/>
  <c r="E65" i="4"/>
  <c r="B66" i="4"/>
  <c r="C66" i="4"/>
  <c r="D66" i="4"/>
  <c r="E66" i="4"/>
  <c r="B67" i="4"/>
  <c r="C67" i="4"/>
  <c r="D67" i="4"/>
  <c r="E67" i="4"/>
  <c r="B68" i="4"/>
  <c r="C68" i="4"/>
  <c r="D68" i="4"/>
  <c r="E68" i="4"/>
  <c r="B69" i="4"/>
  <c r="C69" i="4"/>
  <c r="D69" i="4"/>
  <c r="E69" i="4"/>
  <c r="B70" i="4"/>
  <c r="C70" i="4"/>
  <c r="D70" i="4"/>
  <c r="E70" i="4"/>
  <c r="B71" i="4"/>
  <c r="C71" i="4"/>
  <c r="D71" i="4"/>
  <c r="E71" i="4"/>
  <c r="B72" i="4"/>
  <c r="C72" i="4"/>
  <c r="D72" i="4"/>
  <c r="E72" i="4"/>
  <c r="B73" i="4"/>
  <c r="C73" i="4"/>
  <c r="D73" i="4"/>
  <c r="E73" i="4"/>
  <c r="B74" i="4"/>
  <c r="C74" i="4"/>
  <c r="D74" i="4"/>
  <c r="E74" i="4"/>
  <c r="B75" i="4"/>
  <c r="C75" i="4"/>
  <c r="D75" i="4"/>
  <c r="E75" i="4"/>
  <c r="B76" i="4"/>
  <c r="C76" i="4"/>
  <c r="D76" i="4"/>
  <c r="E76" i="4"/>
  <c r="B77" i="4"/>
  <c r="C77" i="4"/>
  <c r="D77" i="4"/>
  <c r="E77" i="4"/>
  <c r="B78" i="4"/>
  <c r="C78" i="4"/>
  <c r="D78" i="4"/>
  <c r="E78" i="4"/>
  <c r="B79" i="4"/>
  <c r="C79" i="4"/>
  <c r="D79" i="4"/>
  <c r="E79" i="4"/>
  <c r="B80" i="4"/>
  <c r="C80" i="4"/>
  <c r="D80" i="4"/>
  <c r="E80" i="4"/>
  <c r="B81" i="4"/>
  <c r="C81" i="4"/>
  <c r="D81" i="4"/>
  <c r="E81" i="4"/>
  <c r="B82" i="4"/>
  <c r="C82" i="4"/>
  <c r="D82" i="4"/>
  <c r="E82" i="4"/>
  <c r="B83" i="4"/>
  <c r="C83" i="4"/>
  <c r="D83" i="4"/>
  <c r="E83" i="4"/>
  <c r="B84" i="4"/>
  <c r="C84" i="4"/>
  <c r="D84" i="4"/>
  <c r="E84" i="4"/>
  <c r="B85" i="4"/>
  <c r="C85" i="4"/>
  <c r="D85" i="4"/>
  <c r="E85" i="4"/>
  <c r="B86" i="4"/>
  <c r="C86" i="4"/>
  <c r="D86" i="4"/>
  <c r="E86" i="4"/>
  <c r="B87" i="4"/>
  <c r="C87" i="4"/>
  <c r="D87" i="4"/>
  <c r="E87" i="4"/>
  <c r="B88" i="4"/>
  <c r="C88" i="4"/>
  <c r="D88" i="4"/>
  <c r="E88" i="4"/>
  <c r="B89" i="4"/>
  <c r="C89" i="4"/>
  <c r="D89" i="4"/>
  <c r="E89" i="4"/>
  <c r="B90" i="4"/>
  <c r="C90" i="4"/>
  <c r="D90" i="4"/>
  <c r="E90" i="4"/>
  <c r="B91" i="4"/>
  <c r="C91" i="4"/>
  <c r="D91" i="4"/>
  <c r="E91" i="4"/>
  <c r="E2" i="4"/>
  <c r="D2" i="4"/>
  <c r="C2" i="4"/>
  <c r="B2" i="4"/>
  <c r="AX2" i="1"/>
  <c r="AX3" i="1"/>
  <c r="AX4" i="1"/>
  <c r="AX5" i="1"/>
  <c r="AX6" i="1"/>
  <c r="AX7" i="1"/>
  <c r="AX8" i="1"/>
  <c r="AX9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10" i="1"/>
  <c r="Q30" i="1"/>
  <c r="T6" i="3"/>
  <c r="T4" i="3"/>
  <c r="T5" i="3"/>
  <c r="T3" i="3"/>
  <c r="S6" i="3"/>
  <c r="AB5" i="1"/>
  <c r="AB6" i="1"/>
  <c r="AC5" i="1"/>
  <c r="AC6" i="1"/>
  <c r="T6" i="1"/>
  <c r="W2" i="1"/>
  <c r="W3" i="1"/>
  <c r="AB3" i="1" s="1"/>
  <c r="W4" i="1"/>
  <c r="W5" i="1"/>
  <c r="W6" i="1"/>
  <c r="W7" i="1"/>
  <c r="AC7" i="1" s="1"/>
  <c r="AE2" i="1"/>
  <c r="AE3" i="1"/>
  <c r="AE4" i="1"/>
  <c r="AE5" i="1"/>
  <c r="AE6" i="1"/>
  <c r="T25" i="1"/>
  <c r="T24" i="1"/>
  <c r="AK24" i="1" s="1"/>
  <c r="AN24" i="1" s="1"/>
  <c r="AP24" i="1" s="1"/>
  <c r="T22" i="1"/>
  <c r="W22" i="1" s="1"/>
  <c r="AC22" i="1" s="1"/>
  <c r="T23" i="1"/>
  <c r="W23" i="1" s="1"/>
  <c r="T21" i="1"/>
  <c r="T20" i="1"/>
  <c r="AK20" i="1" s="1"/>
  <c r="AN20" i="1" s="1"/>
  <c r="AP20" i="1" s="1"/>
  <c r="W20" i="1"/>
  <c r="AB20" i="1" s="1"/>
  <c r="W21" i="1"/>
  <c r="AC21" i="1" s="1"/>
  <c r="W24" i="1"/>
  <c r="AB24" i="1" s="1"/>
  <c r="W25" i="1"/>
  <c r="AB25" i="1" s="1"/>
  <c r="AC29" i="1"/>
  <c r="AB31" i="1"/>
  <c r="AC31" i="1"/>
  <c r="AD31" i="1"/>
  <c r="AE31" i="1"/>
  <c r="AF31" i="1"/>
  <c r="AG31" i="1"/>
  <c r="V34" i="1"/>
  <c r="W32" i="1"/>
  <c r="W33" i="1"/>
  <c r="W34" i="1"/>
  <c r="AB34" i="1" s="1"/>
  <c r="W35" i="1"/>
  <c r="AC35" i="1" s="1"/>
  <c r="W36" i="1"/>
  <c r="AC36" i="1" s="1"/>
  <c r="W37" i="1"/>
  <c r="T37" i="1"/>
  <c r="Q37" i="1"/>
  <c r="O43" i="1"/>
  <c r="Q43" i="1"/>
  <c r="T42" i="1"/>
  <c r="T43" i="1"/>
  <c r="T40" i="1"/>
  <c r="W40" i="1" s="1"/>
  <c r="AB40" i="1" s="1"/>
  <c r="W31" i="1"/>
  <c r="AC32" i="1"/>
  <c r="W38" i="1"/>
  <c r="AB38" i="1" s="1"/>
  <c r="W39" i="1"/>
  <c r="W41" i="1"/>
  <c r="AB41" i="1" s="1"/>
  <c r="W42" i="1"/>
  <c r="AB42" i="1" s="1"/>
  <c r="W43" i="1"/>
  <c r="AB43" i="1" s="1"/>
  <c r="W44" i="1"/>
  <c r="AB44" i="1" s="1"/>
  <c r="W45" i="1"/>
  <c r="W46" i="1"/>
  <c r="AC46" i="1" s="1"/>
  <c r="W47" i="1"/>
  <c r="W48" i="1"/>
  <c r="AB48" i="1" s="1"/>
  <c r="T49" i="1"/>
  <c r="Q49" i="1"/>
  <c r="AE53" i="1"/>
  <c r="W49" i="1"/>
  <c r="AB49" i="1" s="1"/>
  <c r="T55" i="1"/>
  <c r="V55" i="1"/>
  <c r="Q55" i="1"/>
  <c r="AN91" i="1"/>
  <c r="T53" i="1"/>
  <c r="V54" i="1"/>
  <c r="V52" i="1"/>
  <c r="V51" i="1"/>
  <c r="G37" i="1"/>
  <c r="AJ37" i="1" s="1"/>
  <c r="G38" i="1"/>
  <c r="AM38" i="1" s="1"/>
  <c r="G39" i="1"/>
  <c r="G40" i="1"/>
  <c r="G41" i="1"/>
  <c r="AI41" i="1" s="1"/>
  <c r="G42" i="1"/>
  <c r="AI42" i="1" s="1"/>
  <c r="G43" i="1"/>
  <c r="AM43" i="1" s="1"/>
  <c r="G44" i="1"/>
  <c r="AJ44" i="1" s="1"/>
  <c r="G45" i="1"/>
  <c r="AK45" i="1" s="1"/>
  <c r="G46" i="1"/>
  <c r="M46" i="1" s="1"/>
  <c r="G47" i="1"/>
  <c r="G48" i="1"/>
  <c r="G49" i="1"/>
  <c r="AJ49" i="1" s="1"/>
  <c r="G50" i="1"/>
  <c r="AJ50" i="1" s="1"/>
  <c r="G51" i="1"/>
  <c r="G52" i="1"/>
  <c r="AI52" i="1" s="1"/>
  <c r="G53" i="1"/>
  <c r="AM53" i="1" s="1"/>
  <c r="G54" i="1"/>
  <c r="AI54" i="1" s="1"/>
  <c r="G55" i="1"/>
  <c r="AI55" i="1" s="1"/>
  <c r="J37" i="1"/>
  <c r="AL37" i="1" s="1"/>
  <c r="J38" i="1"/>
  <c r="J39" i="1"/>
  <c r="J40" i="1"/>
  <c r="J41" i="1"/>
  <c r="AF41" i="1" s="1"/>
  <c r="J42" i="1"/>
  <c r="L42" i="1" s="1"/>
  <c r="M42" i="1" s="1"/>
  <c r="J43" i="1"/>
  <c r="AF43" i="1" s="1"/>
  <c r="J44" i="1"/>
  <c r="L44" i="1" s="1"/>
  <c r="J45" i="1"/>
  <c r="J46" i="1"/>
  <c r="J47" i="1"/>
  <c r="J48" i="1"/>
  <c r="J49" i="1"/>
  <c r="AF49" i="1" s="1"/>
  <c r="J50" i="1"/>
  <c r="L50" i="1" s="1"/>
  <c r="M50" i="1" s="1"/>
  <c r="J51" i="1"/>
  <c r="AF51" i="1" s="1"/>
  <c r="J52" i="1"/>
  <c r="L52" i="1" s="1"/>
  <c r="J53" i="1"/>
  <c r="J54" i="1"/>
  <c r="J55" i="1"/>
  <c r="L37" i="1"/>
  <c r="L38" i="1"/>
  <c r="L39" i="1"/>
  <c r="M39" i="1" s="1"/>
  <c r="L40" i="1"/>
  <c r="M40" i="1" s="1"/>
  <c r="L45" i="1"/>
  <c r="L46" i="1"/>
  <c r="L47" i="1"/>
  <c r="M47" i="1" s="1"/>
  <c r="L48" i="1"/>
  <c r="L51" i="1"/>
  <c r="M51" i="1" s="1"/>
  <c r="L53" i="1"/>
  <c r="M53" i="1" s="1"/>
  <c r="L54" i="1"/>
  <c r="M54" i="1" s="1"/>
  <c r="M48" i="1"/>
  <c r="AB37" i="1"/>
  <c r="AC37" i="1"/>
  <c r="AD37" i="1"/>
  <c r="AE37" i="1"/>
  <c r="AF37" i="1"/>
  <c r="AG37" i="1"/>
  <c r="AD38" i="1"/>
  <c r="AE38" i="1"/>
  <c r="AF38" i="1"/>
  <c r="AG38" i="1"/>
  <c r="AB39" i="1"/>
  <c r="AC39" i="1"/>
  <c r="AD39" i="1"/>
  <c r="AE39" i="1"/>
  <c r="AF39" i="1"/>
  <c r="AG39" i="1"/>
  <c r="AD40" i="1"/>
  <c r="AE40" i="1"/>
  <c r="AF40" i="1"/>
  <c r="AG40" i="1"/>
  <c r="AD41" i="1"/>
  <c r="AE41" i="1"/>
  <c r="AG41" i="1"/>
  <c r="AD42" i="1"/>
  <c r="AE42" i="1"/>
  <c r="AG42" i="1"/>
  <c r="AD43" i="1"/>
  <c r="AE43" i="1"/>
  <c r="AG43" i="1"/>
  <c r="AD44" i="1"/>
  <c r="AE44" i="1"/>
  <c r="AF44" i="1"/>
  <c r="AG44" i="1"/>
  <c r="AB45" i="1"/>
  <c r="AC45" i="1"/>
  <c r="AD45" i="1"/>
  <c r="AE45" i="1"/>
  <c r="AF45" i="1"/>
  <c r="AG45" i="1"/>
  <c r="AB46" i="1"/>
  <c r="AD46" i="1"/>
  <c r="AE46" i="1"/>
  <c r="AF46" i="1"/>
  <c r="AG46" i="1"/>
  <c r="AB47" i="1"/>
  <c r="AC47" i="1"/>
  <c r="AD47" i="1"/>
  <c r="AE47" i="1"/>
  <c r="AF47" i="1"/>
  <c r="AG47" i="1"/>
  <c r="AD48" i="1"/>
  <c r="AE48" i="1"/>
  <c r="AF48" i="1"/>
  <c r="AG48" i="1"/>
  <c r="AD49" i="1"/>
  <c r="AE49" i="1"/>
  <c r="AG49" i="1"/>
  <c r="AD50" i="1"/>
  <c r="AE50" i="1"/>
  <c r="AG50" i="1"/>
  <c r="AD51" i="1"/>
  <c r="AE51" i="1"/>
  <c r="AG51" i="1"/>
  <c r="AD52" i="1"/>
  <c r="AE52" i="1"/>
  <c r="AF52" i="1"/>
  <c r="AG52" i="1"/>
  <c r="AD53" i="1"/>
  <c r="AF53" i="1"/>
  <c r="AG53" i="1"/>
  <c r="AD54" i="1"/>
  <c r="AE54" i="1"/>
  <c r="AF54" i="1"/>
  <c r="AG54" i="1"/>
  <c r="AD55" i="1"/>
  <c r="AE55" i="1"/>
  <c r="AG55" i="1"/>
  <c r="AJ38" i="1"/>
  <c r="AK38" i="1"/>
  <c r="AL38" i="1"/>
  <c r="AI39" i="1"/>
  <c r="AJ39" i="1"/>
  <c r="AK39" i="1"/>
  <c r="AL39" i="1"/>
  <c r="AM39" i="1"/>
  <c r="AI40" i="1"/>
  <c r="AJ40" i="1"/>
  <c r="AL40" i="1"/>
  <c r="AM40" i="1"/>
  <c r="AK41" i="1"/>
  <c r="AL41" i="1"/>
  <c r="AM41" i="1"/>
  <c r="AJ42" i="1"/>
  <c r="AK42" i="1"/>
  <c r="AM42" i="1"/>
  <c r="AI43" i="1"/>
  <c r="AL44" i="1"/>
  <c r="AM44" i="1"/>
  <c r="AI45" i="1"/>
  <c r="AJ45" i="1"/>
  <c r="AL45" i="1"/>
  <c r="AK46" i="1"/>
  <c r="AL46" i="1"/>
  <c r="AM46" i="1"/>
  <c r="AI47" i="1"/>
  <c r="AJ47" i="1"/>
  <c r="AK47" i="1"/>
  <c r="AL47" i="1"/>
  <c r="AM47" i="1"/>
  <c r="AI48" i="1"/>
  <c r="AJ48" i="1"/>
  <c r="AK48" i="1"/>
  <c r="AL48" i="1"/>
  <c r="AM48" i="1"/>
  <c r="AI50" i="1"/>
  <c r="AK50" i="1"/>
  <c r="AM50" i="1"/>
  <c r="AI51" i="1"/>
  <c r="AJ51" i="1"/>
  <c r="AK51" i="1"/>
  <c r="AL51" i="1"/>
  <c r="AM51" i="1"/>
  <c r="AL52" i="1"/>
  <c r="AI53" i="1"/>
  <c r="AJ53" i="1"/>
  <c r="AK53" i="1"/>
  <c r="AL53" i="1"/>
  <c r="AL54" i="1"/>
  <c r="AM54" i="1"/>
  <c r="AM31" i="1"/>
  <c r="AL31" i="1"/>
  <c r="AK31" i="1"/>
  <c r="AN31" i="1" s="1"/>
  <c r="AP31" i="1" s="1"/>
  <c r="AK3" i="1"/>
  <c r="AN3" i="1" s="1"/>
  <c r="AK4" i="1"/>
  <c r="AK5" i="1"/>
  <c r="AN5" i="1" s="1"/>
  <c r="AP5" i="1" s="1"/>
  <c r="AK6" i="1"/>
  <c r="AN6" i="1" s="1"/>
  <c r="AP6" i="1" s="1"/>
  <c r="AK7" i="1"/>
  <c r="AK8" i="1"/>
  <c r="AN8" i="1" s="1"/>
  <c r="AP8" i="1" s="1"/>
  <c r="AK9" i="1"/>
  <c r="AK10" i="1"/>
  <c r="AN10" i="1" s="1"/>
  <c r="AP10" i="1" s="1"/>
  <c r="AK11" i="1"/>
  <c r="AN11" i="1" s="1"/>
  <c r="AP11" i="1" s="1"/>
  <c r="AK12" i="1"/>
  <c r="AK13" i="1"/>
  <c r="AN13" i="1" s="1"/>
  <c r="AP13" i="1" s="1"/>
  <c r="AK14" i="1"/>
  <c r="AN14" i="1" s="1"/>
  <c r="AP14" i="1" s="1"/>
  <c r="AK15" i="1"/>
  <c r="AK16" i="1"/>
  <c r="AN16" i="1" s="1"/>
  <c r="AP16" i="1" s="1"/>
  <c r="AK17" i="1"/>
  <c r="AK18" i="1"/>
  <c r="AN18" i="1" s="1"/>
  <c r="AP18" i="1" s="1"/>
  <c r="AK19" i="1"/>
  <c r="AN19" i="1" s="1"/>
  <c r="AP19" i="1" s="1"/>
  <c r="AK21" i="1"/>
  <c r="AN21" i="1" s="1"/>
  <c r="AP21" i="1" s="1"/>
  <c r="AK25" i="1"/>
  <c r="AK26" i="1"/>
  <c r="AN26" i="1" s="1"/>
  <c r="AP26" i="1" s="1"/>
  <c r="AK27" i="1"/>
  <c r="AK28" i="1"/>
  <c r="AK29" i="1"/>
  <c r="AK30" i="1"/>
  <c r="AN27" i="1"/>
  <c r="AP27" i="1" s="1"/>
  <c r="AP32" i="1"/>
  <c r="AP33" i="1"/>
  <c r="AP34" i="1"/>
  <c r="AP35" i="1"/>
  <c r="AP36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32" i="1"/>
  <c r="AN33" i="1"/>
  <c r="AN34" i="1"/>
  <c r="AN35" i="1"/>
  <c r="AN36" i="1"/>
  <c r="AN4" i="1"/>
  <c r="AP4" i="1" s="1"/>
  <c r="AN7" i="1"/>
  <c r="AP7" i="1" s="1"/>
  <c r="AN9" i="1"/>
  <c r="AP9" i="1" s="1"/>
  <c r="AN12" i="1"/>
  <c r="AP12" i="1" s="1"/>
  <c r="AN15" i="1"/>
  <c r="AP15" i="1" s="1"/>
  <c r="AN17" i="1"/>
  <c r="AP17" i="1" s="1"/>
  <c r="AN25" i="1"/>
  <c r="AP25" i="1" s="1"/>
  <c r="AN28" i="1"/>
  <c r="AP28" i="1" s="1"/>
  <c r="AI61" i="1"/>
  <c r="AJ61" i="1"/>
  <c r="AK61" i="1"/>
  <c r="AL61" i="1"/>
  <c r="AM61" i="1"/>
  <c r="AG61" i="1"/>
  <c r="AE61" i="1"/>
  <c r="AD61" i="1"/>
  <c r="AB61" i="1"/>
  <c r="T61" i="1"/>
  <c r="Q61" i="1"/>
  <c r="M61" i="1"/>
  <c r="L61" i="1"/>
  <c r="J61" i="1"/>
  <c r="AF61" i="1" s="1"/>
  <c r="G61" i="1"/>
  <c r="AC3" i="1"/>
  <c r="AC4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6" i="1"/>
  <c r="AC27" i="1"/>
  <c r="AC28" i="1"/>
  <c r="AC30" i="1"/>
  <c r="AC33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2" i="1"/>
  <c r="W61" i="1"/>
  <c r="AC61" i="1" s="1"/>
  <c r="AF79" i="1"/>
  <c r="AF87" i="1"/>
  <c r="AG62" i="1"/>
  <c r="AD67" i="1"/>
  <c r="AE67" i="1"/>
  <c r="AG67" i="1"/>
  <c r="T67" i="1"/>
  <c r="W67" i="1" s="1"/>
  <c r="AB67" i="1" s="1"/>
  <c r="Q67" i="1"/>
  <c r="AL67" i="1" s="1"/>
  <c r="J67" i="1"/>
  <c r="AF67" i="1" s="1"/>
  <c r="G67" i="1"/>
  <c r="AI67" i="1" s="1"/>
  <c r="T65" i="1"/>
  <c r="W65" i="1" s="1"/>
  <c r="AB65" i="1" s="1"/>
  <c r="T64" i="1"/>
  <c r="W64" i="1" s="1"/>
  <c r="T63" i="1"/>
  <c r="W63" i="1" s="1"/>
  <c r="AB63" i="1" s="1"/>
  <c r="T62" i="1"/>
  <c r="W62" i="1" s="1"/>
  <c r="T69" i="1"/>
  <c r="W69" i="1" s="1"/>
  <c r="AB69" i="1" s="1"/>
  <c r="T73" i="1"/>
  <c r="Q73" i="1"/>
  <c r="AL73" i="1" s="1"/>
  <c r="AJ73" i="1"/>
  <c r="J73" i="1"/>
  <c r="L73" i="1" s="1"/>
  <c r="M73" i="1" s="1"/>
  <c r="AG73" i="1"/>
  <c r="AD73" i="1"/>
  <c r="AE73" i="1"/>
  <c r="G73" i="1"/>
  <c r="AM73" i="1" s="1"/>
  <c r="W76" i="1"/>
  <c r="AB76" i="1" s="1"/>
  <c r="T79" i="1"/>
  <c r="W79" i="1" s="1"/>
  <c r="AB79" i="1" s="1"/>
  <c r="Q79" i="1"/>
  <c r="J79" i="1"/>
  <c r="G79" i="1"/>
  <c r="AM79" i="1" s="1"/>
  <c r="AG79" i="1"/>
  <c r="AE79" i="1"/>
  <c r="AD79" i="1"/>
  <c r="AJ85" i="1"/>
  <c r="AD85" i="1"/>
  <c r="AE85" i="1"/>
  <c r="AG85" i="1"/>
  <c r="T81" i="1"/>
  <c r="W81" i="1" s="1"/>
  <c r="AB81" i="1" s="1"/>
  <c r="T85" i="1"/>
  <c r="W85" i="1" s="1"/>
  <c r="AB85" i="1" s="1"/>
  <c r="Q85" i="1"/>
  <c r="AL85" i="1" s="1"/>
  <c r="L85" i="1"/>
  <c r="M85" i="1" s="1"/>
  <c r="J85" i="1"/>
  <c r="AF85" i="1" s="1"/>
  <c r="G85" i="1"/>
  <c r="AM85" i="1" s="1"/>
  <c r="T86" i="1"/>
  <c r="V86" i="1"/>
  <c r="V87" i="1"/>
  <c r="T87" i="1"/>
  <c r="T88" i="1"/>
  <c r="W88" i="1" s="1"/>
  <c r="AB88" i="1" s="1"/>
  <c r="W86" i="1"/>
  <c r="AB86" i="1" s="1"/>
  <c r="T89" i="1"/>
  <c r="W89" i="1" s="1"/>
  <c r="AB89" i="1" s="1"/>
  <c r="T90" i="1"/>
  <c r="W90" i="1" s="1"/>
  <c r="AB90" i="1" s="1"/>
  <c r="T91" i="1"/>
  <c r="W91" i="1" s="1"/>
  <c r="AB91" i="1" s="1"/>
  <c r="L91" i="1"/>
  <c r="J91" i="1"/>
  <c r="AF91" i="1" s="1"/>
  <c r="G91" i="1"/>
  <c r="T29" i="1"/>
  <c r="W29" i="1" s="1"/>
  <c r="AB29" i="1" s="1"/>
  <c r="T28" i="1"/>
  <c r="W28" i="1" s="1"/>
  <c r="T26" i="1"/>
  <c r="W26" i="1" s="1"/>
  <c r="W27" i="1"/>
  <c r="AB27" i="1" s="1"/>
  <c r="T27" i="1"/>
  <c r="T30" i="1"/>
  <c r="W30" i="1" s="1"/>
  <c r="AB30" i="1" s="1"/>
  <c r="T31" i="1"/>
  <c r="AJ31" i="1"/>
  <c r="J31" i="1"/>
  <c r="L31" i="1" s="1"/>
  <c r="G31" i="1"/>
  <c r="AI31" i="1" s="1"/>
  <c r="K3" i="3"/>
  <c r="J3" i="3"/>
  <c r="F3" i="3"/>
  <c r="G3" i="3"/>
  <c r="I3" i="3" s="1"/>
  <c r="Q31" i="1"/>
  <c r="Q25" i="1"/>
  <c r="T19" i="1"/>
  <c r="W19" i="1" s="1"/>
  <c r="W14" i="1"/>
  <c r="T14" i="1"/>
  <c r="T10" i="1"/>
  <c r="W10" i="1" s="1"/>
  <c r="W9" i="1"/>
  <c r="V9" i="1"/>
  <c r="V8" i="1"/>
  <c r="T8" i="1"/>
  <c r="W8" i="1" s="1"/>
  <c r="T9" i="1"/>
  <c r="V10" i="1"/>
  <c r="V11" i="1"/>
  <c r="T11" i="1"/>
  <c r="W11" i="1" s="1"/>
  <c r="V12" i="1"/>
  <c r="T12" i="1"/>
  <c r="W12" i="1" s="1"/>
  <c r="AB12" i="1" s="1"/>
  <c r="V13" i="1"/>
  <c r="T13" i="1"/>
  <c r="W13" i="1" s="1"/>
  <c r="AB13" i="1" s="1"/>
  <c r="T7" i="1"/>
  <c r="AG90" i="1"/>
  <c r="AE90" i="1"/>
  <c r="AD90" i="1"/>
  <c r="Q90" i="1"/>
  <c r="J90" i="1"/>
  <c r="L90" i="1" s="1"/>
  <c r="G90" i="1"/>
  <c r="AM90" i="1" s="1"/>
  <c r="N24" i="1"/>
  <c r="J25" i="1"/>
  <c r="L25" i="1" s="1"/>
  <c r="AG25" i="1"/>
  <c r="AD25" i="1"/>
  <c r="AE25" i="1"/>
  <c r="G25" i="1"/>
  <c r="AI25" i="1" s="1"/>
  <c r="AG19" i="1"/>
  <c r="AD19" i="1"/>
  <c r="AE19" i="1"/>
  <c r="J19" i="1"/>
  <c r="L19" i="1" s="1"/>
  <c r="G19" i="1"/>
  <c r="AI19" i="1" s="1"/>
  <c r="N19" i="1"/>
  <c r="Q19" i="1"/>
  <c r="AG12" i="1"/>
  <c r="AE12" i="1"/>
  <c r="AD12" i="1"/>
  <c r="Q12" i="1"/>
  <c r="N12" i="1"/>
  <c r="J12" i="1"/>
  <c r="L12" i="1" s="1"/>
  <c r="G12" i="1"/>
  <c r="AM12" i="1" s="1"/>
  <c r="AG3" i="1"/>
  <c r="AG4" i="1"/>
  <c r="AG5" i="1"/>
  <c r="AG6" i="1"/>
  <c r="AG7" i="1"/>
  <c r="AG8" i="1"/>
  <c r="AG9" i="1"/>
  <c r="AG10" i="1"/>
  <c r="AG11" i="1"/>
  <c r="AG13" i="1"/>
  <c r="AG14" i="1"/>
  <c r="AG15" i="1"/>
  <c r="AG16" i="1"/>
  <c r="AG17" i="1"/>
  <c r="AG18" i="1"/>
  <c r="AG20" i="1"/>
  <c r="AG21" i="1"/>
  <c r="AG22" i="1"/>
  <c r="AG23" i="1"/>
  <c r="AG24" i="1"/>
  <c r="AG26" i="1"/>
  <c r="AG27" i="1"/>
  <c r="AG28" i="1"/>
  <c r="AG29" i="1"/>
  <c r="AG30" i="1"/>
  <c r="AG32" i="1"/>
  <c r="AG33" i="1"/>
  <c r="AG34" i="1"/>
  <c r="AG35" i="1"/>
  <c r="AG36" i="1"/>
  <c r="AG56" i="1"/>
  <c r="AG57" i="1"/>
  <c r="AG58" i="1"/>
  <c r="AG59" i="1"/>
  <c r="AG60" i="1"/>
  <c r="AG63" i="1"/>
  <c r="AG64" i="1"/>
  <c r="AG65" i="1"/>
  <c r="AG66" i="1"/>
  <c r="AG68" i="1"/>
  <c r="AG69" i="1"/>
  <c r="AG70" i="1"/>
  <c r="AG71" i="1"/>
  <c r="AG72" i="1"/>
  <c r="AG74" i="1"/>
  <c r="AG75" i="1"/>
  <c r="AG76" i="1"/>
  <c r="AG77" i="1"/>
  <c r="AG78" i="1"/>
  <c r="AG80" i="1"/>
  <c r="AG81" i="1"/>
  <c r="AG82" i="1"/>
  <c r="AG83" i="1"/>
  <c r="AG84" i="1"/>
  <c r="AG86" i="1"/>
  <c r="AG87" i="1"/>
  <c r="AG88" i="1"/>
  <c r="AG89" i="1"/>
  <c r="AG91" i="1"/>
  <c r="AD3" i="1"/>
  <c r="AD4" i="1"/>
  <c r="AD5" i="1"/>
  <c r="AD6" i="1"/>
  <c r="AD7" i="1"/>
  <c r="AD8" i="1"/>
  <c r="AD9" i="1"/>
  <c r="AD10" i="1"/>
  <c r="AD11" i="1"/>
  <c r="AD13" i="1"/>
  <c r="AD14" i="1"/>
  <c r="AD15" i="1"/>
  <c r="AD16" i="1"/>
  <c r="AD17" i="1"/>
  <c r="AD18" i="1"/>
  <c r="AD20" i="1"/>
  <c r="AD21" i="1"/>
  <c r="AD22" i="1"/>
  <c r="AD23" i="1"/>
  <c r="AD24" i="1"/>
  <c r="AD26" i="1"/>
  <c r="AD27" i="1"/>
  <c r="AD28" i="1"/>
  <c r="AD29" i="1"/>
  <c r="AD30" i="1"/>
  <c r="AD32" i="1"/>
  <c r="AD33" i="1"/>
  <c r="AD34" i="1"/>
  <c r="AD35" i="1"/>
  <c r="AD36" i="1"/>
  <c r="AD56" i="1"/>
  <c r="AD57" i="1"/>
  <c r="AD58" i="1"/>
  <c r="AD59" i="1"/>
  <c r="AD60" i="1"/>
  <c r="AD62" i="1"/>
  <c r="AD63" i="1"/>
  <c r="AD64" i="1"/>
  <c r="AD65" i="1"/>
  <c r="AD66" i="1"/>
  <c r="AD68" i="1"/>
  <c r="AD69" i="1"/>
  <c r="AD70" i="1"/>
  <c r="AD71" i="1"/>
  <c r="AD72" i="1"/>
  <c r="AD74" i="1"/>
  <c r="AD75" i="1"/>
  <c r="AD76" i="1"/>
  <c r="AD77" i="1"/>
  <c r="AD78" i="1"/>
  <c r="AD80" i="1"/>
  <c r="AD81" i="1"/>
  <c r="AD82" i="1"/>
  <c r="AD83" i="1"/>
  <c r="AD84" i="1"/>
  <c r="AD86" i="1"/>
  <c r="AD87" i="1"/>
  <c r="AD88" i="1"/>
  <c r="AD89" i="1"/>
  <c r="AD91" i="1"/>
  <c r="AB4" i="1"/>
  <c r="AB32" i="1"/>
  <c r="AB33" i="1"/>
  <c r="AB36" i="1"/>
  <c r="AE91" i="1"/>
  <c r="AE8" i="1"/>
  <c r="AE9" i="1"/>
  <c r="AE10" i="1"/>
  <c r="AE11" i="1"/>
  <c r="AE13" i="1"/>
  <c r="AE14" i="1"/>
  <c r="AE15" i="1"/>
  <c r="AE16" i="1"/>
  <c r="AE17" i="1"/>
  <c r="AE18" i="1"/>
  <c r="AE20" i="1"/>
  <c r="AE21" i="1"/>
  <c r="AE22" i="1"/>
  <c r="AE23" i="1"/>
  <c r="AE24" i="1"/>
  <c r="AE26" i="1"/>
  <c r="AE27" i="1"/>
  <c r="AE28" i="1"/>
  <c r="AE29" i="1"/>
  <c r="AE30" i="1"/>
  <c r="AE32" i="1"/>
  <c r="AE33" i="1"/>
  <c r="AE34" i="1"/>
  <c r="AE35" i="1"/>
  <c r="AE36" i="1"/>
  <c r="AE56" i="1"/>
  <c r="AE57" i="1"/>
  <c r="AE58" i="1"/>
  <c r="AE59" i="1"/>
  <c r="AE60" i="1"/>
  <c r="AE62" i="1"/>
  <c r="AE63" i="1"/>
  <c r="AE64" i="1"/>
  <c r="AE65" i="1"/>
  <c r="AE66" i="1"/>
  <c r="AE68" i="1"/>
  <c r="AE69" i="1"/>
  <c r="AE70" i="1"/>
  <c r="AE71" i="1"/>
  <c r="AE72" i="1"/>
  <c r="AE74" i="1"/>
  <c r="AE75" i="1"/>
  <c r="AE76" i="1"/>
  <c r="AE77" i="1"/>
  <c r="AE78" i="1"/>
  <c r="AE80" i="1"/>
  <c r="AE81" i="1"/>
  <c r="AE82" i="1"/>
  <c r="AE83" i="1"/>
  <c r="AE84" i="1"/>
  <c r="AE86" i="1"/>
  <c r="AE87" i="1"/>
  <c r="AE88" i="1"/>
  <c r="AE89" i="1"/>
  <c r="AE7" i="1"/>
  <c r="Q6" i="1"/>
  <c r="N6" i="1"/>
  <c r="J6" i="1"/>
  <c r="L6" i="1" s="1"/>
  <c r="G6" i="1"/>
  <c r="AI6" i="1" s="1"/>
  <c r="T84" i="1"/>
  <c r="W84" i="1" s="1"/>
  <c r="AB84" i="1" s="1"/>
  <c r="T83" i="1"/>
  <c r="W83" i="1" s="1"/>
  <c r="AB83" i="1" s="1"/>
  <c r="T82" i="1"/>
  <c r="W82" i="1" s="1"/>
  <c r="AB82" i="1" s="1"/>
  <c r="T80" i="1"/>
  <c r="W80" i="1" s="1"/>
  <c r="AB80" i="1" s="1"/>
  <c r="T78" i="1"/>
  <c r="W78" i="1" s="1"/>
  <c r="AB78" i="1" s="1"/>
  <c r="T77" i="1"/>
  <c r="W77" i="1" s="1"/>
  <c r="AB77" i="1" s="1"/>
  <c r="T76" i="1"/>
  <c r="T75" i="1"/>
  <c r="W75" i="1" s="1"/>
  <c r="AB75" i="1" s="1"/>
  <c r="T74" i="1"/>
  <c r="W74" i="1" s="1"/>
  <c r="AB74" i="1" s="1"/>
  <c r="Q74" i="1"/>
  <c r="Q75" i="1"/>
  <c r="Q76" i="1"/>
  <c r="Q77" i="1"/>
  <c r="Q78" i="1"/>
  <c r="Q80" i="1"/>
  <c r="Q81" i="1"/>
  <c r="Q82" i="1"/>
  <c r="Q83" i="1"/>
  <c r="Q84" i="1"/>
  <c r="Q86" i="1"/>
  <c r="Q87" i="1"/>
  <c r="Q88" i="1"/>
  <c r="Q89" i="1"/>
  <c r="Q91" i="1"/>
  <c r="J74" i="1"/>
  <c r="L74" i="1" s="1"/>
  <c r="J75" i="1"/>
  <c r="L75" i="1" s="1"/>
  <c r="J76" i="1"/>
  <c r="L76" i="1" s="1"/>
  <c r="J77" i="1"/>
  <c r="L77" i="1" s="1"/>
  <c r="J78" i="1"/>
  <c r="L78" i="1" s="1"/>
  <c r="J80" i="1"/>
  <c r="L80" i="1" s="1"/>
  <c r="J81" i="1"/>
  <c r="L81" i="1" s="1"/>
  <c r="J82" i="1"/>
  <c r="AF82" i="1" s="1"/>
  <c r="J83" i="1"/>
  <c r="L83" i="1" s="1"/>
  <c r="J84" i="1"/>
  <c r="L84" i="1" s="1"/>
  <c r="J86" i="1"/>
  <c r="L86" i="1" s="1"/>
  <c r="J87" i="1"/>
  <c r="L87" i="1" s="1"/>
  <c r="J88" i="1"/>
  <c r="L88" i="1" s="1"/>
  <c r="J89" i="1"/>
  <c r="L89" i="1" s="1"/>
  <c r="G74" i="1"/>
  <c r="AM74" i="1" s="1"/>
  <c r="G75" i="1"/>
  <c r="AM75" i="1" s="1"/>
  <c r="G76" i="1"/>
  <c r="AM76" i="1" s="1"/>
  <c r="G77" i="1"/>
  <c r="AJ77" i="1" s="1"/>
  <c r="G78" i="1"/>
  <c r="AJ78" i="1" s="1"/>
  <c r="G80" i="1"/>
  <c r="AJ80" i="1" s="1"/>
  <c r="G81" i="1"/>
  <c r="AJ81" i="1" s="1"/>
  <c r="G82" i="1"/>
  <c r="AI82" i="1" s="1"/>
  <c r="G83" i="1"/>
  <c r="AI83" i="1" s="1"/>
  <c r="G84" i="1"/>
  <c r="AI84" i="1" s="1"/>
  <c r="G86" i="1"/>
  <c r="AI86" i="1" s="1"/>
  <c r="G87" i="1"/>
  <c r="AJ87" i="1" s="1"/>
  <c r="G88" i="1"/>
  <c r="AJ88" i="1" s="1"/>
  <c r="G89" i="1"/>
  <c r="AJ89" i="1" s="1"/>
  <c r="AJ91" i="1"/>
  <c r="G2" i="1"/>
  <c r="AI2" i="1" s="1"/>
  <c r="AC24" i="1" l="1"/>
  <c r="AC25" i="1"/>
  <c r="AK22" i="1"/>
  <c r="AN22" i="1" s="1"/>
  <c r="AP22" i="1" s="1"/>
  <c r="AB22" i="1"/>
  <c r="AC23" i="1"/>
  <c r="AB23" i="1"/>
  <c r="AK23" i="1"/>
  <c r="AN23" i="1" s="1"/>
  <c r="AP23" i="1" s="1"/>
  <c r="AB21" i="1"/>
  <c r="AC34" i="1"/>
  <c r="AB35" i="1"/>
  <c r="AI37" i="1"/>
  <c r="L43" i="1"/>
  <c r="M43" i="1" s="1"/>
  <c r="AL43" i="1"/>
  <c r="AK43" i="1"/>
  <c r="AJ43" i="1"/>
  <c r="AC43" i="1"/>
  <c r="AC41" i="1"/>
  <c r="AC38" i="1"/>
  <c r="AK40" i="1"/>
  <c r="AN40" i="1" s="1"/>
  <c r="AP40" i="1" s="1"/>
  <c r="AC40" i="1"/>
  <c r="AC42" i="1"/>
  <c r="AC44" i="1"/>
  <c r="AC48" i="1"/>
  <c r="AI49" i="1"/>
  <c r="AM49" i="1"/>
  <c r="AL49" i="1"/>
  <c r="AC49" i="1"/>
  <c r="W55" i="1"/>
  <c r="AC55" i="1" s="1"/>
  <c r="AB55" i="1"/>
  <c r="AL55" i="1"/>
  <c r="L55" i="1"/>
  <c r="M55" i="1" s="1"/>
  <c r="AF55" i="1"/>
  <c r="AM55" i="1"/>
  <c r="AK55" i="1"/>
  <c r="AJ55" i="1"/>
  <c r="AN45" i="1"/>
  <c r="AP45" i="1" s="1"/>
  <c r="AN53" i="1"/>
  <c r="AP53" i="1" s="1"/>
  <c r="M38" i="1"/>
  <c r="AK54" i="1"/>
  <c r="AM52" i="1"/>
  <c r="AK49" i="1"/>
  <c r="AJ46" i="1"/>
  <c r="AJ41" i="1"/>
  <c r="AI38" i="1"/>
  <c r="AN38" i="1" s="1"/>
  <c r="AP38" i="1" s="1"/>
  <c r="M37" i="1"/>
  <c r="AJ54" i="1"/>
  <c r="AI46" i="1"/>
  <c r="AN46" i="1" s="1"/>
  <c r="AP46" i="1" s="1"/>
  <c r="AK44" i="1"/>
  <c r="AM37" i="1"/>
  <c r="AM45" i="1"/>
  <c r="AJ52" i="1"/>
  <c r="AI44" i="1"/>
  <c r="AN44" i="1" s="1"/>
  <c r="AP44" i="1" s="1"/>
  <c r="AK37" i="1"/>
  <c r="M45" i="1"/>
  <c r="AN48" i="1"/>
  <c r="AP48" i="1" s="1"/>
  <c r="AK52" i="1"/>
  <c r="M52" i="1"/>
  <c r="M44" i="1"/>
  <c r="L49" i="1"/>
  <c r="M49" i="1" s="1"/>
  <c r="L41" i="1"/>
  <c r="M41" i="1" s="1"/>
  <c r="AN47" i="1"/>
  <c r="AP47" i="1" s="1"/>
  <c r="AN39" i="1"/>
  <c r="AP39" i="1" s="1"/>
  <c r="AF50" i="1"/>
  <c r="AF42" i="1"/>
  <c r="AN51" i="1"/>
  <c r="AP51" i="1" s="1"/>
  <c r="AN54" i="1"/>
  <c r="AP54" i="1" s="1"/>
  <c r="AL50" i="1"/>
  <c r="AN50" i="1" s="1"/>
  <c r="AP50" i="1" s="1"/>
  <c r="AL42" i="1"/>
  <c r="AN42" i="1" s="1"/>
  <c r="AP42" i="1" s="1"/>
  <c r="AN41" i="1"/>
  <c r="AP41" i="1" s="1"/>
  <c r="AF86" i="1"/>
  <c r="AF78" i="1"/>
  <c r="AF6" i="1"/>
  <c r="AM67" i="1"/>
  <c r="AK73" i="1"/>
  <c r="AF77" i="1"/>
  <c r="L67" i="1"/>
  <c r="M67" i="1" s="1"/>
  <c r="AF84" i="1"/>
  <c r="AF76" i="1"/>
  <c r="AF12" i="1"/>
  <c r="AK67" i="1"/>
  <c r="AF83" i="1"/>
  <c r="AF75" i="1"/>
  <c r="AF19" i="1"/>
  <c r="AJ67" i="1"/>
  <c r="AF90" i="1"/>
  <c r="AF74" i="1"/>
  <c r="AF89" i="1"/>
  <c r="AF81" i="1"/>
  <c r="AF73" i="1"/>
  <c r="AF25" i="1"/>
  <c r="M31" i="1"/>
  <c r="AK85" i="1"/>
  <c r="AF88" i="1"/>
  <c r="AF80" i="1"/>
  <c r="AI85" i="1"/>
  <c r="AI73" i="1"/>
  <c r="AB62" i="1"/>
  <c r="W73" i="1"/>
  <c r="AB73" i="1" s="1"/>
  <c r="AJ79" i="1"/>
  <c r="AB64" i="1"/>
  <c r="AK79" i="1"/>
  <c r="AL79" i="1"/>
  <c r="L79" i="1"/>
  <c r="M79" i="1" s="1"/>
  <c r="AI79" i="1"/>
  <c r="W87" i="1"/>
  <c r="AB87" i="1" s="1"/>
  <c r="AB28" i="1"/>
  <c r="AB26" i="1"/>
  <c r="H3" i="3"/>
  <c r="AB19" i="1"/>
  <c r="AB14" i="1"/>
  <c r="AB8" i="1"/>
  <c r="AB9" i="1"/>
  <c r="AB11" i="1"/>
  <c r="AB10" i="1"/>
  <c r="AM25" i="1"/>
  <c r="AB7" i="1"/>
  <c r="M90" i="1"/>
  <c r="AL25" i="1"/>
  <c r="AL19" i="1"/>
  <c r="AK90" i="1"/>
  <c r="AJ19" i="1"/>
  <c r="AJ25" i="1"/>
  <c r="AI90" i="1"/>
  <c r="AM19" i="1"/>
  <c r="AJ90" i="1"/>
  <c r="AL90" i="1"/>
  <c r="M25" i="1"/>
  <c r="M12" i="1"/>
  <c r="AJ12" i="1"/>
  <c r="M19" i="1"/>
  <c r="AL12" i="1"/>
  <c r="M87" i="1"/>
  <c r="M88" i="1"/>
  <c r="M78" i="1"/>
  <c r="M77" i="1"/>
  <c r="AI12" i="1"/>
  <c r="M76" i="1"/>
  <c r="M6" i="1"/>
  <c r="M86" i="1"/>
  <c r="M84" i="1"/>
  <c r="M74" i="1"/>
  <c r="M91" i="1"/>
  <c r="M81" i="1"/>
  <c r="M75" i="1"/>
  <c r="M83" i="1"/>
  <c r="M89" i="1"/>
  <c r="M80" i="1"/>
  <c r="AJ6" i="1"/>
  <c r="AL6" i="1"/>
  <c r="AK76" i="1"/>
  <c r="AK86" i="1"/>
  <c r="AM6" i="1"/>
  <c r="AL83" i="1"/>
  <c r="AL82" i="1"/>
  <c r="AL88" i="1"/>
  <c r="AL78" i="1"/>
  <c r="AK77" i="1"/>
  <c r="AK87" i="1"/>
  <c r="AL86" i="1"/>
  <c r="L82" i="1"/>
  <c r="M82" i="1" s="1"/>
  <c r="AI77" i="1"/>
  <c r="AL89" i="1"/>
  <c r="AL80" i="1"/>
  <c r="AI89" i="1"/>
  <c r="AL87" i="1"/>
  <c r="AL77" i="1"/>
  <c r="AK78" i="1"/>
  <c r="AK88" i="1"/>
  <c r="AL76" i="1"/>
  <c r="AL84" i="1"/>
  <c r="AL75" i="1"/>
  <c r="AI76" i="1"/>
  <c r="AK83" i="1"/>
  <c r="AM84" i="1"/>
  <c r="AL81" i="1"/>
  <c r="AK75" i="1"/>
  <c r="AK84" i="1"/>
  <c r="AI87" i="1"/>
  <c r="AK89" i="1"/>
  <c r="AI74" i="1"/>
  <c r="AI80" i="1"/>
  <c r="AK80" i="1"/>
  <c r="AJ74" i="1"/>
  <c r="AK91" i="1"/>
  <c r="AL74" i="1"/>
  <c r="AK82" i="1"/>
  <c r="AJ75" i="1"/>
  <c r="AM82" i="1"/>
  <c r="AK74" i="1"/>
  <c r="AK81" i="1"/>
  <c r="AI88" i="1"/>
  <c r="AM83" i="1"/>
  <c r="AI78" i="1"/>
  <c r="AI75" i="1"/>
  <c r="AL91" i="1"/>
  <c r="AJ76" i="1"/>
  <c r="AI91" i="1"/>
  <c r="AM91" i="1"/>
  <c r="AM87" i="1"/>
  <c r="AM81" i="1"/>
  <c r="AM78" i="1"/>
  <c r="AM77" i="1"/>
  <c r="AJ84" i="1"/>
  <c r="AJ83" i="1"/>
  <c r="AJ82" i="1"/>
  <c r="AM88" i="1"/>
  <c r="AJ86" i="1"/>
  <c r="AI81" i="1"/>
  <c r="AM89" i="1"/>
  <c r="AM86" i="1"/>
  <c r="AM80" i="1"/>
  <c r="AM2" i="1"/>
  <c r="AN37" i="1" l="1"/>
  <c r="AP37" i="1" s="1"/>
  <c r="AN43" i="1"/>
  <c r="AP43" i="1" s="1"/>
  <c r="AN49" i="1"/>
  <c r="AP49" i="1" s="1"/>
  <c r="AN55" i="1"/>
  <c r="AP55" i="1" s="1"/>
  <c r="AN52" i="1"/>
  <c r="AP52" i="1" s="1"/>
  <c r="J3" i="1"/>
  <c r="J4" i="1"/>
  <c r="J5" i="1"/>
  <c r="J7" i="1"/>
  <c r="J8" i="1"/>
  <c r="J9" i="1"/>
  <c r="J10" i="1"/>
  <c r="J11" i="1"/>
  <c r="J13" i="1"/>
  <c r="J14" i="1"/>
  <c r="J15" i="1"/>
  <c r="J16" i="1"/>
  <c r="J17" i="1"/>
  <c r="J18" i="1"/>
  <c r="J20" i="1"/>
  <c r="J21" i="1"/>
  <c r="J22" i="1"/>
  <c r="J23" i="1"/>
  <c r="J24" i="1"/>
  <c r="J26" i="1"/>
  <c r="J27" i="1"/>
  <c r="J28" i="1"/>
  <c r="J29" i="1"/>
  <c r="J30" i="1"/>
  <c r="J32" i="1"/>
  <c r="J33" i="1"/>
  <c r="J34" i="1"/>
  <c r="J35" i="1"/>
  <c r="J36" i="1"/>
  <c r="J56" i="1"/>
  <c r="J57" i="1"/>
  <c r="J58" i="1"/>
  <c r="J59" i="1"/>
  <c r="J60" i="1"/>
  <c r="J62" i="1"/>
  <c r="J63" i="1"/>
  <c r="J64" i="1"/>
  <c r="J65" i="1"/>
  <c r="J66" i="1"/>
  <c r="J68" i="1"/>
  <c r="J69" i="1"/>
  <c r="J70" i="1"/>
  <c r="J71" i="1"/>
  <c r="J72" i="1"/>
  <c r="J2" i="1"/>
  <c r="G3" i="1"/>
  <c r="G4" i="1"/>
  <c r="G5" i="1"/>
  <c r="G7" i="1"/>
  <c r="G8" i="1"/>
  <c r="G9" i="1"/>
  <c r="G10" i="1"/>
  <c r="G11" i="1"/>
  <c r="G13" i="1"/>
  <c r="G14" i="1"/>
  <c r="G15" i="1"/>
  <c r="G16" i="1"/>
  <c r="G17" i="1"/>
  <c r="G18" i="1"/>
  <c r="G20" i="1"/>
  <c r="G21" i="1"/>
  <c r="G22" i="1"/>
  <c r="G23" i="1"/>
  <c r="G24" i="1"/>
  <c r="G26" i="1"/>
  <c r="G27" i="1"/>
  <c r="G28" i="1"/>
  <c r="G29" i="1"/>
  <c r="G30" i="1"/>
  <c r="G32" i="1"/>
  <c r="G33" i="1"/>
  <c r="G34" i="1"/>
  <c r="G35" i="1"/>
  <c r="G36" i="1"/>
  <c r="G56" i="1"/>
  <c r="G57" i="1"/>
  <c r="G58" i="1"/>
  <c r="G59" i="1"/>
  <c r="G60" i="1"/>
  <c r="G62" i="1"/>
  <c r="G63" i="1"/>
  <c r="G64" i="1"/>
  <c r="G65" i="1"/>
  <c r="G66" i="1"/>
  <c r="G68" i="1"/>
  <c r="G69" i="1"/>
  <c r="G70" i="1"/>
  <c r="G71" i="1"/>
  <c r="G72" i="1"/>
  <c r="AG2" i="1"/>
  <c r="AD2" i="1"/>
  <c r="AB2" i="1"/>
  <c r="T72" i="1"/>
  <c r="W72" i="1" s="1"/>
  <c r="AB72" i="1" s="1"/>
  <c r="T71" i="1"/>
  <c r="W71" i="1" s="1"/>
  <c r="AB71" i="1" s="1"/>
  <c r="T70" i="1"/>
  <c r="T68" i="1"/>
  <c r="W68" i="1" s="1"/>
  <c r="AB68" i="1" s="1"/>
  <c r="T66" i="1"/>
  <c r="W66" i="1" s="1"/>
  <c r="AB66" i="1" s="1"/>
  <c r="T60" i="1"/>
  <c r="T59" i="1"/>
  <c r="W59" i="1" s="1"/>
  <c r="T58" i="1"/>
  <c r="W58" i="1" s="1"/>
  <c r="T57" i="1"/>
  <c r="W57" i="1" s="1"/>
  <c r="T56" i="1"/>
  <c r="W56" i="1" s="1"/>
  <c r="T54" i="1"/>
  <c r="W54" i="1" s="1"/>
  <c r="W53" i="1"/>
  <c r="T52" i="1"/>
  <c r="W52" i="1" s="1"/>
  <c r="T51" i="1"/>
  <c r="T50" i="1"/>
  <c r="W50" i="1" s="1"/>
  <c r="T48" i="1"/>
  <c r="T47" i="1"/>
  <c r="T46" i="1"/>
  <c r="T45" i="1"/>
  <c r="T44" i="1"/>
  <c r="T41" i="1"/>
  <c r="T39" i="1"/>
  <c r="T36" i="1"/>
  <c r="T35" i="1"/>
  <c r="T34" i="1"/>
  <c r="T33" i="1"/>
  <c r="T32" i="1"/>
  <c r="AK32" i="1" s="1"/>
  <c r="T18" i="1"/>
  <c r="W18" i="1" s="1"/>
  <c r="AB18" i="1" s="1"/>
  <c r="T17" i="1"/>
  <c r="W17" i="1" s="1"/>
  <c r="AB17" i="1" s="1"/>
  <c r="T16" i="1"/>
  <c r="W16" i="1" s="1"/>
  <c r="AB16" i="1" s="1"/>
  <c r="T15" i="1"/>
  <c r="W15" i="1" s="1"/>
  <c r="AB15" i="1" s="1"/>
  <c r="T5" i="1"/>
  <c r="T4" i="1"/>
  <c r="T3" i="1"/>
  <c r="T2" i="1"/>
  <c r="AK2" i="1" s="1"/>
  <c r="Q72" i="1"/>
  <c r="Q71" i="1"/>
  <c r="Q70" i="1"/>
  <c r="Q69" i="1"/>
  <c r="Q68" i="1"/>
  <c r="Q66" i="1"/>
  <c r="Q65" i="1"/>
  <c r="Q64" i="1"/>
  <c r="Q63" i="1"/>
  <c r="Q62" i="1"/>
  <c r="Q60" i="1"/>
  <c r="Q59" i="1"/>
  <c r="Q58" i="1"/>
  <c r="Q57" i="1"/>
  <c r="Q56" i="1"/>
  <c r="Q54" i="1"/>
  <c r="Q53" i="1"/>
  <c r="Q52" i="1"/>
  <c r="Q51" i="1"/>
  <c r="Q50" i="1"/>
  <c r="Q48" i="1"/>
  <c r="Q47" i="1"/>
  <c r="Q46" i="1"/>
  <c r="Q45" i="1"/>
  <c r="Q44" i="1"/>
  <c r="Q36" i="1"/>
  <c r="Q35" i="1"/>
  <c r="Q34" i="1"/>
  <c r="Q33" i="1"/>
  <c r="Q32" i="1"/>
  <c r="Q29" i="1"/>
  <c r="Q28" i="1"/>
  <c r="Q27" i="1"/>
  <c r="Q26" i="1"/>
  <c r="Q24" i="1"/>
  <c r="Q23" i="1"/>
  <c r="Q22" i="1"/>
  <c r="Q21" i="1"/>
  <c r="Q20" i="1"/>
  <c r="Q18" i="1"/>
  <c r="Q17" i="1"/>
  <c r="Q16" i="1"/>
  <c r="Q15" i="1"/>
  <c r="Q14" i="1"/>
  <c r="Q13" i="1"/>
  <c r="Q11" i="1"/>
  <c r="Q10" i="1"/>
  <c r="Q9" i="1"/>
  <c r="Q8" i="1"/>
  <c r="Q7" i="1"/>
  <c r="Q5" i="1"/>
  <c r="Q4" i="1"/>
  <c r="Q3" i="1"/>
  <c r="Q2" i="1"/>
  <c r="N2" i="1"/>
  <c r="AJ2" i="1" s="1"/>
  <c r="N65" i="1"/>
  <c r="N60" i="1"/>
  <c r="N59" i="1"/>
  <c r="N58" i="1"/>
  <c r="N57" i="1"/>
  <c r="N56" i="1"/>
  <c r="N48" i="1"/>
  <c r="N47" i="1"/>
  <c r="N46" i="1"/>
  <c r="N45" i="1"/>
  <c r="N44" i="1"/>
  <c r="O42" i="1"/>
  <c r="Q42" i="1" s="1"/>
  <c r="O41" i="1"/>
  <c r="Q41" i="1" s="1"/>
  <c r="O40" i="1"/>
  <c r="Q40" i="1" s="1"/>
  <c r="O39" i="1"/>
  <c r="Q39" i="1" s="1"/>
  <c r="O38" i="1"/>
  <c r="Q38" i="1" s="1"/>
  <c r="N29" i="1"/>
  <c r="N23" i="1"/>
  <c r="N22" i="1"/>
  <c r="N21" i="1"/>
  <c r="N20" i="1"/>
  <c r="N18" i="1"/>
  <c r="N17" i="1"/>
  <c r="N16" i="1"/>
  <c r="N15" i="1"/>
  <c r="N14" i="1"/>
  <c r="N11" i="1"/>
  <c r="N10" i="1"/>
  <c r="N9" i="1"/>
  <c r="N8" i="1"/>
  <c r="N5" i="1"/>
  <c r="N4" i="1"/>
  <c r="N3" i="1"/>
  <c r="AB53" i="1" l="1"/>
  <c r="AC53" i="1"/>
  <c r="AB54" i="1"/>
  <c r="AC54" i="1"/>
  <c r="AB52" i="1"/>
  <c r="AC52" i="1"/>
  <c r="AB50" i="1"/>
  <c r="AC50" i="1"/>
  <c r="AB58" i="1"/>
  <c r="AC58" i="1"/>
  <c r="AB57" i="1"/>
  <c r="AC57" i="1"/>
  <c r="AB56" i="1"/>
  <c r="AC56" i="1"/>
  <c r="AB59" i="1"/>
  <c r="AC59" i="1"/>
  <c r="L32" i="1"/>
  <c r="AF32" i="1"/>
  <c r="L22" i="1"/>
  <c r="AF22" i="1"/>
  <c r="L13" i="1"/>
  <c r="AF13" i="1"/>
  <c r="L3" i="1"/>
  <c r="AF3" i="1"/>
  <c r="L68" i="1"/>
  <c r="AF68" i="1"/>
  <c r="L70" i="1"/>
  <c r="AF70" i="1"/>
  <c r="L60" i="1"/>
  <c r="AF60" i="1"/>
  <c r="W51" i="1"/>
  <c r="AK60" i="1"/>
  <c r="W60" i="1"/>
  <c r="L69" i="1"/>
  <c r="M69" i="1" s="1"/>
  <c r="AF69" i="1"/>
  <c r="L59" i="1"/>
  <c r="AF59" i="1"/>
  <c r="L30" i="1"/>
  <c r="M30" i="1" s="1"/>
  <c r="AF30" i="1"/>
  <c r="L21" i="1"/>
  <c r="AF21" i="1"/>
  <c r="L11" i="1"/>
  <c r="AF11" i="1"/>
  <c r="L29" i="1"/>
  <c r="AF29" i="1"/>
  <c r="L10" i="1"/>
  <c r="AF10" i="1"/>
  <c r="L18" i="1"/>
  <c r="AF18" i="1"/>
  <c r="L65" i="1"/>
  <c r="M65" i="1" s="1"/>
  <c r="AF65" i="1"/>
  <c r="L56" i="1"/>
  <c r="AF56" i="1"/>
  <c r="L36" i="1"/>
  <c r="AF36" i="1"/>
  <c r="L27" i="1"/>
  <c r="M27" i="1" s="1"/>
  <c r="AF27" i="1"/>
  <c r="L17" i="1"/>
  <c r="AF17" i="1"/>
  <c r="L8" i="1"/>
  <c r="AF8" i="1"/>
  <c r="L58" i="1"/>
  <c r="AF58" i="1"/>
  <c r="L20" i="1"/>
  <c r="AF20" i="1"/>
  <c r="L66" i="1"/>
  <c r="AF66" i="1"/>
  <c r="L9" i="1"/>
  <c r="M9" i="1" s="1"/>
  <c r="AF9" i="1"/>
  <c r="L2" i="1"/>
  <c r="M2" i="1" s="1"/>
  <c r="AF2" i="1"/>
  <c r="L64" i="1"/>
  <c r="AF64" i="1"/>
  <c r="L35" i="1"/>
  <c r="AF35" i="1"/>
  <c r="L26" i="1"/>
  <c r="AF26" i="1"/>
  <c r="L16" i="1"/>
  <c r="AF16" i="1"/>
  <c r="L7" i="1"/>
  <c r="AF7" i="1"/>
  <c r="L57" i="1"/>
  <c r="AF57" i="1"/>
  <c r="L28" i="1"/>
  <c r="AF28" i="1"/>
  <c r="L72" i="1"/>
  <c r="AF72" i="1"/>
  <c r="L63" i="1"/>
  <c r="M63" i="1" s="1"/>
  <c r="AF63" i="1"/>
  <c r="L34" i="1"/>
  <c r="AF34" i="1"/>
  <c r="L24" i="1"/>
  <c r="M24" i="1" s="1"/>
  <c r="AF24" i="1"/>
  <c r="L15" i="1"/>
  <c r="AF15" i="1"/>
  <c r="L5" i="1"/>
  <c r="AF5" i="1"/>
  <c r="L71" i="1"/>
  <c r="AF71" i="1"/>
  <c r="L62" i="1"/>
  <c r="M62" i="1" s="1"/>
  <c r="AF62" i="1"/>
  <c r="L33" i="1"/>
  <c r="AF33" i="1"/>
  <c r="L23" i="1"/>
  <c r="AF23" i="1"/>
  <c r="L14" i="1"/>
  <c r="AF14" i="1"/>
  <c r="L4" i="1"/>
  <c r="AF4" i="1"/>
  <c r="AK70" i="1"/>
  <c r="W70" i="1"/>
  <c r="AB70" i="1" s="1"/>
  <c r="AL56" i="1"/>
  <c r="AL65" i="1"/>
  <c r="AL15" i="1"/>
  <c r="AL5" i="1"/>
  <c r="M56" i="1"/>
  <c r="M36" i="1"/>
  <c r="M17" i="1"/>
  <c r="M8" i="1"/>
  <c r="M72" i="1"/>
  <c r="M34" i="1"/>
  <c r="M15" i="1"/>
  <c r="M5" i="1"/>
  <c r="AJ58" i="1"/>
  <c r="AL24" i="1"/>
  <c r="AL34" i="1"/>
  <c r="M66" i="1"/>
  <c r="M57" i="1"/>
  <c r="M28" i="1"/>
  <c r="M18" i="1"/>
  <c r="AJ7" i="1"/>
  <c r="M13" i="1"/>
  <c r="AJ16" i="1"/>
  <c r="M59" i="1"/>
  <c r="M21" i="1"/>
  <c r="M11" i="1"/>
  <c r="M7" i="1"/>
  <c r="M64" i="1"/>
  <c r="M35" i="1"/>
  <c r="M26" i="1"/>
  <c r="M16" i="1"/>
  <c r="AL20" i="1"/>
  <c r="AL29" i="1"/>
  <c r="AN29" i="1" s="1"/>
  <c r="AP29" i="1" s="1"/>
  <c r="M71" i="1"/>
  <c r="M33" i="1"/>
  <c r="M23" i="1"/>
  <c r="M14" i="1"/>
  <c r="M4" i="1"/>
  <c r="AL10" i="1"/>
  <c r="M70" i="1"/>
  <c r="M60" i="1"/>
  <c r="M32" i="1"/>
  <c r="M22" i="1"/>
  <c r="M3" i="1"/>
  <c r="AJ11" i="1"/>
  <c r="AJ21" i="1"/>
  <c r="M68" i="1"/>
  <c r="M58" i="1"/>
  <c r="M29" i="1"/>
  <c r="M20" i="1"/>
  <c r="M10" i="1"/>
  <c r="AL60" i="1"/>
  <c r="AL70" i="1"/>
  <c r="AK36" i="1"/>
  <c r="AK56" i="1"/>
  <c r="AK65" i="1"/>
  <c r="AJ3" i="1"/>
  <c r="AJ4" i="1"/>
  <c r="AJ60" i="1"/>
  <c r="AL8" i="1"/>
  <c r="AL17" i="1"/>
  <c r="AL27" i="1"/>
  <c r="AL36" i="1"/>
  <c r="AJ22" i="1"/>
  <c r="AJ23" i="1"/>
  <c r="AJ13" i="1"/>
  <c r="AJ14" i="1"/>
  <c r="AL26" i="1"/>
  <c r="AJ59" i="1"/>
  <c r="AL16" i="1"/>
  <c r="AJ29" i="1"/>
  <c r="AL63" i="1"/>
  <c r="AL72" i="1"/>
  <c r="AK58" i="1"/>
  <c r="AK68" i="1"/>
  <c r="AL64" i="1"/>
  <c r="AL35" i="1"/>
  <c r="AL7" i="1"/>
  <c r="AJ10" i="1"/>
  <c r="AJ20" i="1"/>
  <c r="AL9" i="1"/>
  <c r="AL18" i="1"/>
  <c r="AL28" i="1"/>
  <c r="AL57" i="1"/>
  <c r="AL66" i="1"/>
  <c r="AL62" i="1"/>
  <c r="AL2" i="1"/>
  <c r="AN2" i="1" s="1"/>
  <c r="AP2" i="1" s="1"/>
  <c r="AL71" i="1"/>
  <c r="AK59" i="1"/>
  <c r="AK69" i="1"/>
  <c r="AL3" i="1"/>
  <c r="AL13" i="1"/>
  <c r="AL22" i="1"/>
  <c r="AL32" i="1"/>
  <c r="AL14" i="1"/>
  <c r="AL33" i="1"/>
  <c r="AL4" i="1"/>
  <c r="AL23" i="1"/>
  <c r="AJ5" i="1"/>
  <c r="AJ15" i="1"/>
  <c r="AJ24" i="1"/>
  <c r="AL11" i="1"/>
  <c r="AL21" i="1"/>
  <c r="AL30" i="1"/>
  <c r="AN30" i="1" s="1"/>
  <c r="AP30" i="1" s="1"/>
  <c r="AL58" i="1"/>
  <c r="AL68" i="1"/>
  <c r="AL59" i="1"/>
  <c r="AL69" i="1"/>
  <c r="AI64" i="1"/>
  <c r="AM64" i="1"/>
  <c r="AJ64" i="1"/>
  <c r="AI35" i="1"/>
  <c r="AM35" i="1"/>
  <c r="AJ35" i="1"/>
  <c r="AI26" i="1"/>
  <c r="AM26" i="1"/>
  <c r="AJ26" i="1"/>
  <c r="AI16" i="1"/>
  <c r="AM16" i="1"/>
  <c r="AI7" i="1"/>
  <c r="AM7" i="1"/>
  <c r="AM66" i="1"/>
  <c r="AJ66" i="1"/>
  <c r="AI66" i="1"/>
  <c r="AM28" i="1"/>
  <c r="AJ28" i="1"/>
  <c r="AI28" i="1"/>
  <c r="AM9" i="1"/>
  <c r="AI9" i="1"/>
  <c r="AM56" i="1"/>
  <c r="AI56" i="1"/>
  <c r="AM36" i="1"/>
  <c r="AJ36" i="1"/>
  <c r="AI36" i="1"/>
  <c r="AM17" i="1"/>
  <c r="AI17" i="1"/>
  <c r="AI63" i="1"/>
  <c r="AM63" i="1"/>
  <c r="AJ63" i="1"/>
  <c r="AM24" i="1"/>
  <c r="AI24" i="1"/>
  <c r="AI5" i="1"/>
  <c r="AM5" i="1"/>
  <c r="AJ9" i="1"/>
  <c r="AJ18" i="1"/>
  <c r="AI71" i="1"/>
  <c r="AM71" i="1"/>
  <c r="AJ71" i="1"/>
  <c r="AI62" i="1"/>
  <c r="AM62" i="1"/>
  <c r="AJ62" i="1"/>
  <c r="AI33" i="1"/>
  <c r="AM33" i="1"/>
  <c r="AJ33" i="1"/>
  <c r="AI23" i="1"/>
  <c r="AM23" i="1"/>
  <c r="AI14" i="1"/>
  <c r="AM14" i="1"/>
  <c r="AI4" i="1"/>
  <c r="AM4" i="1"/>
  <c r="AJ56" i="1"/>
  <c r="AK33" i="1"/>
  <c r="AK62" i="1"/>
  <c r="AK71" i="1"/>
  <c r="AI70" i="1"/>
  <c r="AM70" i="1"/>
  <c r="AJ70" i="1"/>
  <c r="AI60" i="1"/>
  <c r="AM60" i="1"/>
  <c r="AI32" i="1"/>
  <c r="AM32" i="1"/>
  <c r="AJ32" i="1"/>
  <c r="AI22" i="1"/>
  <c r="AM22" i="1"/>
  <c r="AI13" i="1"/>
  <c r="AM13" i="1"/>
  <c r="AI3" i="1"/>
  <c r="AM3" i="1"/>
  <c r="AK66" i="1"/>
  <c r="AM57" i="1"/>
  <c r="AI57" i="1"/>
  <c r="AM18" i="1"/>
  <c r="AI18" i="1"/>
  <c r="AK57" i="1"/>
  <c r="AM65" i="1"/>
  <c r="AI65" i="1"/>
  <c r="AM27" i="1"/>
  <c r="AJ27" i="1"/>
  <c r="AI27" i="1"/>
  <c r="AM8" i="1"/>
  <c r="AI8" i="1"/>
  <c r="AJ65" i="1"/>
  <c r="AJ8" i="1"/>
  <c r="AJ17" i="1"/>
  <c r="AM72" i="1"/>
  <c r="AJ72" i="1"/>
  <c r="AI72" i="1"/>
  <c r="AI34" i="1"/>
  <c r="AM34" i="1"/>
  <c r="AJ34" i="1"/>
  <c r="AI15" i="1"/>
  <c r="AM15" i="1"/>
  <c r="AJ57" i="1"/>
  <c r="AK34" i="1"/>
  <c r="AK63" i="1"/>
  <c r="AK72" i="1"/>
  <c r="AM69" i="1"/>
  <c r="AJ69" i="1"/>
  <c r="AI69" i="1"/>
  <c r="AM59" i="1"/>
  <c r="AI59" i="1"/>
  <c r="AM30" i="1"/>
  <c r="AJ30" i="1"/>
  <c r="AI30" i="1"/>
  <c r="AM21" i="1"/>
  <c r="AI21" i="1"/>
  <c r="AM11" i="1"/>
  <c r="AI11" i="1"/>
  <c r="AK35" i="1"/>
  <c r="AK64" i="1"/>
  <c r="AI68" i="1"/>
  <c r="AM68" i="1"/>
  <c r="AJ68" i="1"/>
  <c r="AM58" i="1"/>
  <c r="AI58" i="1"/>
  <c r="AI29" i="1"/>
  <c r="AM29" i="1"/>
  <c r="AM20" i="1"/>
  <c r="AI20" i="1"/>
  <c r="AI10" i="1"/>
  <c r="AM10" i="1"/>
  <c r="AB51" i="1" l="1"/>
  <c r="AC51" i="1"/>
  <c r="AB60" i="1"/>
  <c r="AC60" i="1"/>
  <c r="AP3" i="1"/>
</calcChain>
</file>

<file path=xl/sharedStrings.xml><?xml version="1.0" encoding="utf-8"?>
<sst xmlns="http://schemas.openxmlformats.org/spreadsheetml/2006/main" count="361" uniqueCount="176">
  <si>
    <t>FPNI</t>
  </si>
  <si>
    <t>2016</t>
  </si>
  <si>
    <t>2017</t>
  </si>
  <si>
    <t>2018</t>
  </si>
  <si>
    <t>2019</t>
  </si>
  <si>
    <t>2020</t>
  </si>
  <si>
    <t>KRAS</t>
  </si>
  <si>
    <t>BRNA</t>
  </si>
  <si>
    <t>AMFG</t>
  </si>
  <si>
    <t>ALMI</t>
  </si>
  <si>
    <t>ADMG</t>
  </si>
  <si>
    <t>KIAS</t>
  </si>
  <si>
    <t>LMSH</t>
  </si>
  <si>
    <t>SULI</t>
  </si>
  <si>
    <t>TIRT</t>
  </si>
  <si>
    <t>INCF</t>
  </si>
  <si>
    <t>GDST</t>
  </si>
  <si>
    <t>CR</t>
  </si>
  <si>
    <t>ROA</t>
  </si>
  <si>
    <t>DR</t>
  </si>
  <si>
    <t>ASET LANCAR</t>
  </si>
  <si>
    <t>ASET TETAP</t>
  </si>
  <si>
    <t>UTANG JK. PENDEK</t>
  </si>
  <si>
    <t>UTANG JK. PANJANG</t>
  </si>
  <si>
    <t>EKUITAS</t>
  </si>
  <si>
    <t>RETAINED EARNING</t>
  </si>
  <si>
    <t>NET SALES</t>
  </si>
  <si>
    <t>MARKET VALUE OF EQUITY</t>
  </si>
  <si>
    <t>JUMLAH SAHAM</t>
  </si>
  <si>
    <t>EBIT</t>
  </si>
  <si>
    <t>EAT</t>
  </si>
  <si>
    <t>HARGA SAHAM</t>
  </si>
  <si>
    <t>TOTAL ASET</t>
  </si>
  <si>
    <t>TOTAL UTANG</t>
  </si>
  <si>
    <t>1</t>
  </si>
  <si>
    <t>3</t>
  </si>
  <si>
    <t>4</t>
  </si>
  <si>
    <t>2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</si>
  <si>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</si>
  <si>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</si>
  <si>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</si>
  <si>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</si>
  <si>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</si>
  <si>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</si>
  <si>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</si>
  <si>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</si>
  <si>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</si>
  <si>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</si>
  <si>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</si>
  <si>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</si>
  <si>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</si>
  <si>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</si>
  <si>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</si>
  <si>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</si>
  <si>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</si>
  <si>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</si>
  <si>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</si>
  <si>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</si>
  <si>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</si>
  <si>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</si>
  <si>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</si>
  <si>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</si>
  <si>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</si>
  <si>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</si>
  <si>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</si>
  <si>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</si>
  <si>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</si>
  <si>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</si>
  <si>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</si>
  <si>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</si>
  <si>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</si>
  <si>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</si>
  <si>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</si>
  <si>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</si>
  <si>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</si>
  <si>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</si>
  <si>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</si>
  <si>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</si>
  <si>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</si>
  <si>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</si>
  <si>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</si>
  <si>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</si>
  <si>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</si>
  <si>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</si>
  <si>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</si>
  <si>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</si>
  <si>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</si>
  <si>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</si>
  <si>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</si>
  <si>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</si>
  <si>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</si>
  <si>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</si>
  <si>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</si>
  <si>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</si>
  <si>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NO</t>
  </si>
  <si>
    <t>KURS</t>
  </si>
  <si>
    <t>SATUAN</t>
  </si>
  <si>
    <t>WCTA</t>
  </si>
  <si>
    <t>RETA</t>
  </si>
  <si>
    <t>EBITTA</t>
  </si>
  <si>
    <t>MVEBVL</t>
  </si>
  <si>
    <t>STA</t>
  </si>
  <si>
    <t>ZSCORE</t>
  </si>
  <si>
    <t>STATUS</t>
  </si>
  <si>
    <t>TAHUN</t>
  </si>
  <si>
    <t>KODE</t>
  </si>
  <si>
    <t>X1</t>
  </si>
  <si>
    <t>X2</t>
  </si>
  <si>
    <t>X3</t>
  </si>
  <si>
    <t>X4</t>
  </si>
  <si>
    <t>X5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</si>
  <si>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</si>
  <si>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</si>
  <si>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</si>
  <si>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</si>
  <si>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</si>
  <si>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</si>
  <si>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</si>
  <si>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</si>
  <si>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</si>
  <si>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</si>
  <si>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</si>
  <si>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</si>
  <si>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</si>
  <si>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</si>
  <si>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</si>
  <si>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BAJA</t>
  </si>
  <si>
    <t>YPAS</t>
  </si>
  <si>
    <t>CTBN</t>
  </si>
  <si>
    <t>TOTAL PASIVA</t>
  </si>
  <si>
    <t>PERSEDIAAN</t>
  </si>
  <si>
    <t>2021</t>
  </si>
  <si>
    <t>QR</t>
  </si>
  <si>
    <t>76</t>
  </si>
  <si>
    <t>77</t>
  </si>
  <si>
    <t>78</t>
  </si>
  <si>
    <t>INTEREST</t>
  </si>
  <si>
    <t>TAX</t>
  </si>
  <si>
    <t>IDR</t>
  </si>
  <si>
    <t>USD</t>
  </si>
  <si>
    <t>XRS</t>
  </si>
  <si>
    <t>XRB</t>
  </si>
  <si>
    <t>INVENTORY</t>
  </si>
  <si>
    <t>XRX</t>
  </si>
  <si>
    <t>XRM</t>
  </si>
  <si>
    <t>DER</t>
  </si>
  <si>
    <t>ROE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</si>
  <si>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</si>
  <si>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</si>
  <si>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</si>
  <si>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</si>
  <si>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</si>
  <si>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</si>
  <si>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</si>
  <si>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</si>
  <si>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</si>
  <si>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</si>
  <si>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</si>
  <si>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</si>
  <si>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bobot</t>
  </si>
  <si>
    <t>capaian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</si>
  <si>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</si>
  <si>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</si>
  <si>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</si>
  <si>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</si>
  <si>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</si>
  <si>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</si>
  <si>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</si>
  <si>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</si>
  <si>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</si>
  <si>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</si>
  <si>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</si>
  <si>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</si>
  <si>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</si>
  <si>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</si>
  <si>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ZSCORE1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</si>
</sst>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#,##0_ ;\-#,##0\ "/>
    <numFmt numFmtId="165" formatCode="#,##0.000_ ;\-#,##0.000\ "/>
    <numFmt numFmtId="166" formatCode="#,##0.00_ ;\-#,##0.00\ "/>
    <numFmt numFmtId="167" formatCode="_-* #,##0.00_-;\-* #,##0.00_-;_-* &quot;-&quot;_-;_-@_-"/>
    <numFmt numFmtId="168" formatCode="_-* #,##0.0000000_-;\-* #,##0.0000000_-;_-* &quot;-&quot;_-;_-@_-"/>
    <numFmt numFmtId="169" formatCode="#,##0.0000000000_ ;\-#,##0.00000000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Fill="1"/>
    <xf numFmtId="165" fontId="0" fillId="0" borderId="0" xfId="0" applyNumberFormat="1"/>
    <xf numFmtId="0" fontId="2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0" borderId="1" xfId="0" quotePrefix="1" applyFill="1" applyBorder="1" applyAlignment="1">
      <alignment horizontal="right" vertical="top"/>
    </xf>
    <xf numFmtId="37" fontId="1" fillId="0" borderId="1" xfId="1" applyNumberFormat="1" applyFont="1" applyBorder="1" applyAlignment="1">
      <alignment horizontal="right" vertical="top"/>
    </xf>
    <xf numFmtId="37" fontId="1" fillId="0" borderId="1" xfId="1" applyNumberFormat="1" applyFont="1" applyBorder="1" applyAlignment="1">
      <alignment horizontal="right" vertical="center"/>
    </xf>
    <xf numFmtId="39" fontId="1" fillId="0" borderId="1" xfId="1" applyNumberFormat="1" applyFont="1" applyFill="1" applyBorder="1" applyAlignment="1">
      <alignment horizontal="right" vertical="top"/>
    </xf>
    <xf numFmtId="37" fontId="1" fillId="0" borderId="1" xfId="1" applyNumberFormat="1" applyFont="1" applyFill="1" applyBorder="1" applyAlignment="1">
      <alignment horizontal="right" vertical="top"/>
    </xf>
    <xf numFmtId="164" fontId="0" fillId="0" borderId="1" xfId="0" applyNumberFormat="1" applyBorder="1"/>
    <xf numFmtId="164" fontId="0" fillId="0" borderId="1" xfId="1" applyNumberFormat="1" applyFont="1" applyBorder="1" applyAlignment="1">
      <alignment horizontal="right" vertical="top"/>
    </xf>
    <xf numFmtId="165" fontId="0" fillId="3" borderId="1" xfId="0" applyNumberFormat="1" applyFill="1" applyBorder="1"/>
    <xf numFmtId="165" fontId="0" fillId="0" borderId="1" xfId="0" applyNumberFormat="1" applyBorder="1"/>
    <xf numFmtId="165" fontId="0" fillId="2" borderId="1" xfId="0" applyNumberFormat="1" applyFill="1" applyBorder="1"/>
    <xf numFmtId="165" fontId="0" fillId="0" borderId="1" xfId="0" applyNumberFormat="1" applyFill="1" applyBorder="1"/>
    <xf numFmtId="166" fontId="0" fillId="4" borderId="1" xfId="0" applyNumberFormat="1" applyFill="1" applyBorder="1" applyAlignment="1">
      <alignment horizontal="right" vertical="top"/>
    </xf>
    <xf numFmtId="164" fontId="1" fillId="0" borderId="1" xfId="1" applyNumberFormat="1" applyFont="1" applyFill="1" applyBorder="1" applyAlignment="1">
      <alignment horizontal="right" vertical="top"/>
    </xf>
    <xf numFmtId="164" fontId="1" fillId="0" borderId="1" xfId="1" applyNumberFormat="1" applyFont="1" applyBorder="1"/>
    <xf numFmtId="3" fontId="0" fillId="0" borderId="1" xfId="0" applyNumberFormat="1" applyBorder="1"/>
    <xf numFmtId="0" fontId="0" fillId="0" borderId="3" xfId="0" quotePrefix="1" applyBorder="1"/>
    <xf numFmtId="0" fontId="0" fillId="0" borderId="3" xfId="0" quotePrefix="1" applyFill="1" applyBorder="1" applyAlignment="1">
      <alignment horizontal="right" vertical="top"/>
    </xf>
    <xf numFmtId="37" fontId="1" fillId="0" borderId="3" xfId="1" applyNumberFormat="1" applyFont="1" applyBorder="1" applyAlignment="1">
      <alignment horizontal="right" vertical="top"/>
    </xf>
    <xf numFmtId="37" fontId="1" fillId="0" borderId="3" xfId="1" applyNumberFormat="1" applyFont="1" applyBorder="1" applyAlignment="1">
      <alignment horizontal="right" vertical="center"/>
    </xf>
    <xf numFmtId="39" fontId="1" fillId="0" borderId="3" xfId="1" applyNumberFormat="1" applyFont="1" applyFill="1" applyBorder="1" applyAlignment="1">
      <alignment horizontal="right" vertical="top"/>
    </xf>
    <xf numFmtId="37" fontId="1" fillId="0" borderId="3" xfId="1" applyNumberFormat="1" applyFont="1" applyFill="1" applyBorder="1" applyAlignment="1">
      <alignment horizontal="right" vertical="top"/>
    </xf>
    <xf numFmtId="164" fontId="0" fillId="0" borderId="3" xfId="0" applyNumberFormat="1" applyBorder="1"/>
    <xf numFmtId="164" fontId="0" fillId="0" borderId="3" xfId="1" applyNumberFormat="1" applyFont="1" applyBorder="1" applyAlignment="1">
      <alignment horizontal="right" vertical="top"/>
    </xf>
    <xf numFmtId="165" fontId="0" fillId="3" borderId="3" xfId="0" applyNumberFormat="1" applyFill="1" applyBorder="1"/>
    <xf numFmtId="165" fontId="0" fillId="0" borderId="3" xfId="0" applyNumberFormat="1" applyBorder="1"/>
    <xf numFmtId="165" fontId="0" fillId="2" borderId="3" xfId="0" applyNumberFormat="1" applyFill="1" applyBorder="1"/>
    <xf numFmtId="165" fontId="0" fillId="0" borderId="3" xfId="0" applyNumberFormat="1" applyFill="1" applyBorder="1"/>
    <xf numFmtId="166" fontId="0" fillId="4" borderId="3" xfId="0" applyNumberFormat="1" applyFill="1" applyBorder="1" applyAlignment="1">
      <alignment horizontal="right" vertical="top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165" fontId="2" fillId="0" borderId="2" xfId="0" applyNumberFormat="1" applyFont="1" applyFill="1" applyBorder="1" applyAlignment="1">
      <alignment horizontal="center" vertical="center" wrapText="1"/>
    </xf>
    <xf numFmtId="165" fontId="2" fillId="5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37" fontId="1" fillId="0" borderId="6" xfId="1" applyNumberFormat="1" applyFont="1" applyBorder="1" applyAlignment="1">
      <alignment horizontal="right" vertical="top"/>
    </xf>
    <xf numFmtId="37" fontId="1" fillId="0" borderId="8" xfId="1" applyNumberFormat="1" applyFont="1" applyBorder="1" applyAlignment="1">
      <alignment horizontal="right" vertical="top"/>
    </xf>
    <xf numFmtId="39" fontId="1" fillId="0" borderId="7" xfId="1" applyNumberFormat="1" applyFont="1" applyFill="1" applyBorder="1" applyAlignment="1">
      <alignment horizontal="right" vertical="top"/>
    </xf>
    <xf numFmtId="37" fontId="1" fillId="0" borderId="6" xfId="1" applyNumberFormat="1" applyFont="1" applyFill="1" applyBorder="1" applyAlignment="1">
      <alignment horizontal="right" vertical="top"/>
    </xf>
    <xf numFmtId="37" fontId="1" fillId="0" borderId="7" xfId="1" applyNumberFormat="1" applyFont="1" applyBorder="1" applyAlignment="1">
      <alignment horizontal="right" vertical="top"/>
    </xf>
    <xf numFmtId="37" fontId="1" fillId="0" borderId="4" xfId="1" applyNumberFormat="1" applyFont="1" applyBorder="1" applyAlignment="1">
      <alignment horizontal="right" vertical="top"/>
    </xf>
    <xf numFmtId="37" fontId="1" fillId="0" borderId="3" xfId="1" applyNumberFormat="1" applyFont="1" applyBorder="1" applyAlignment="1">
      <alignment horizontal="center" vertical="top"/>
    </xf>
    <xf numFmtId="0" fontId="0" fillId="0" borderId="0" xfId="0" quotePrefix="1" applyBorder="1"/>
    <xf numFmtId="0" fontId="0" fillId="0" borderId="0" xfId="0" applyFill="1" applyBorder="1" applyAlignment="1">
      <alignment horizontal="center" vertical="center"/>
    </xf>
    <xf numFmtId="0" fontId="0" fillId="0" borderId="0" xfId="0" quotePrefix="1" applyFill="1" applyBorder="1" applyAlignment="1">
      <alignment horizontal="right" vertical="top"/>
    </xf>
    <xf numFmtId="37" fontId="1" fillId="0" borderId="0" xfId="1" applyNumberFormat="1" applyFont="1" applyBorder="1" applyAlignment="1">
      <alignment horizontal="right" vertical="center"/>
    </xf>
    <xf numFmtId="37" fontId="1" fillId="0" borderId="0" xfId="1" applyNumberFormat="1" applyFont="1" applyBorder="1" applyAlignment="1">
      <alignment horizontal="right" vertical="top"/>
    </xf>
    <xf numFmtId="37" fontId="1" fillId="0" borderId="0" xfId="1" applyNumberFormat="1" applyFont="1" applyBorder="1" applyAlignment="1">
      <alignment horizontal="center" vertical="top"/>
    </xf>
    <xf numFmtId="39" fontId="1" fillId="0" borderId="0" xfId="1" applyNumberFormat="1" applyFont="1" applyFill="1" applyBorder="1" applyAlignment="1">
      <alignment horizontal="right" vertical="top"/>
    </xf>
    <xf numFmtId="37" fontId="1" fillId="0" borderId="0" xfId="1" applyNumberFormat="1" applyFont="1" applyFill="1" applyBorder="1" applyAlignment="1">
      <alignment horizontal="right" vertical="top"/>
    </xf>
    <xf numFmtId="164" fontId="0" fillId="0" borderId="0" xfId="0" applyNumberFormat="1" applyBorder="1"/>
    <xf numFmtId="164" fontId="0" fillId="0" borderId="0" xfId="1" applyNumberFormat="1" applyFont="1" applyBorder="1" applyAlignment="1">
      <alignment horizontal="right" vertical="top"/>
    </xf>
    <xf numFmtId="165" fontId="0" fillId="0" borderId="0" xfId="0" applyNumberFormat="1" applyFill="1" applyBorder="1"/>
    <xf numFmtId="166" fontId="0" fillId="0" borderId="0" xfId="0" applyNumberFormat="1" applyFill="1" applyBorder="1" applyAlignment="1">
      <alignment horizontal="right" vertical="top"/>
    </xf>
    <xf numFmtId="165" fontId="0" fillId="5" borderId="3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Fill="1" applyBorder="1" applyAlignment="1">
      <alignment horizontal="right" vertical="top"/>
    </xf>
    <xf numFmtId="0" fontId="2" fillId="0" borderId="1" xfId="0" quotePrefix="1" applyFont="1" applyFill="1" applyBorder="1" applyAlignment="1">
      <alignment horizontal="right" vertical="top"/>
    </xf>
    <xf numFmtId="3" fontId="0" fillId="0" borderId="0" xfId="0" applyNumberFormat="1"/>
    <xf numFmtId="0" fontId="0" fillId="0" borderId="0" xfId="0" quotePrefix="1"/>
    <xf numFmtId="167" fontId="0" fillId="0" borderId="0" xfId="1" applyNumberFormat="1" applyFont="1"/>
    <xf numFmtId="43" fontId="0" fillId="0" borderId="0" xfId="0" applyNumberFormat="1"/>
    <xf numFmtId="168" fontId="2" fillId="2" borderId="2" xfId="1" applyNumberFormat="1" applyFont="1" applyFill="1" applyBorder="1" applyAlignment="1">
      <alignment horizontal="center" vertical="center" wrapText="1"/>
    </xf>
    <xf numFmtId="168" fontId="2" fillId="0" borderId="0" xfId="1" applyNumberFormat="1" applyFont="1" applyFill="1" applyBorder="1"/>
    <xf numFmtId="168" fontId="0" fillId="0" borderId="0" xfId="1" applyNumberFormat="1" applyFont="1"/>
    <xf numFmtId="169" fontId="2" fillId="2" borderId="3" xfId="1" applyNumberFormat="1" applyFont="1" applyFill="1" applyBorder="1"/>
    <xf numFmtId="9" fontId="0" fillId="0" borderId="0" xfId="0" applyNumberFormat="1"/>
    <xf numFmtId="0" fontId="0" fillId="3" borderId="1" xfId="0" quotePrefix="1" applyFill="1" applyBorder="1" applyAlignment="1">
      <alignment horizontal="right" vertical="top"/>
    </xf>
    <xf numFmtId="37" fontId="1" fillId="3" borderId="1" xfId="1" applyNumberFormat="1" applyFont="1" applyFill="1" applyBorder="1" applyAlignment="1">
      <alignment horizontal="right" vertical="center"/>
    </xf>
    <xf numFmtId="164" fontId="1" fillId="3" borderId="1" xfId="1" applyNumberFormat="1" applyFont="1" applyFill="1" applyBorder="1"/>
    <xf numFmtId="37" fontId="1" fillId="3" borderId="1" xfId="1" applyNumberFormat="1" applyFont="1" applyFill="1" applyBorder="1" applyAlignment="1">
      <alignment horizontal="right" vertical="top"/>
    </xf>
    <xf numFmtId="37" fontId="1" fillId="3" borderId="3" xfId="1" applyNumberFormat="1" applyFont="1" applyFill="1" applyBorder="1" applyAlignment="1">
      <alignment horizontal="right" vertical="top"/>
    </xf>
    <xf numFmtId="37" fontId="1" fillId="3" borderId="3" xfId="1" applyNumberFormat="1" applyFont="1" applyFill="1" applyBorder="1" applyAlignment="1">
      <alignment horizontal="center" vertical="top"/>
    </xf>
    <xf numFmtId="39" fontId="1" fillId="3" borderId="1" xfId="1" applyNumberFormat="1" applyFont="1" applyFill="1" applyBorder="1" applyAlignment="1">
      <alignment horizontal="right" vertical="top"/>
    </xf>
    <xf numFmtId="0" fontId="2" fillId="3" borderId="1" xfId="0" quotePrefix="1" applyFont="1" applyFill="1" applyBorder="1" applyAlignment="1">
      <alignment horizontal="right" vertical="top"/>
    </xf>
    <xf numFmtId="3" fontId="0" fillId="3" borderId="0" xfId="0" applyNumberFormat="1" applyFill="1"/>
    <xf numFmtId="164" fontId="0" fillId="3" borderId="1" xfId="0" applyNumberFormat="1" applyFill="1" applyBorder="1"/>
    <xf numFmtId="164" fontId="0" fillId="3" borderId="1" xfId="1" applyNumberFormat="1" applyFont="1" applyFill="1" applyBorder="1" applyAlignment="1">
      <alignment horizontal="right" vertical="top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9" xfId="0" applyFill="1" applyBorder="1" applyAlignment="1"/>
    <xf numFmtId="0" fontId="5" fillId="0" borderId="10" xfId="0" applyFon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B0B7E-8B09-4F55-A2E7-006C03C64C08}">
  <dimension ref="A1:AX92"/>
  <sheetViews>
    <sheetView showGridLines="0" zoomScaleNormal="100" workbookViewId="0">
      <pane ySplit="1" topLeftCell="A2" activePane="bottomLeft" state="frozen"/>
      <selection pane="bottomLeft" activeCell="B2" sqref="B2:B7"/>
    </sheetView>
  </sheetViews>
  <sheetFormatPr defaultRowHeight="15" x14ac:dyDescent="0.25"/>
  <cols>
    <col min="1" max="1" width="3.85546875" bestFit="1" customWidth="1"/>
    <col min="2" max="2" width="6.42578125" style="1" customWidth="1"/>
    <col min="3" max="3" width="7.42578125" style="1" bestFit="1" customWidth="1"/>
    <col min="4" max="4" width="16.42578125" customWidth="1"/>
    <col min="5" max="5" width="16.85546875" bestFit="1" customWidth="1"/>
    <col min="6" max="7" width="16.42578125" bestFit="1" customWidth="1"/>
    <col min="8" max="8" width="18.140625" bestFit="1" customWidth="1"/>
    <col min="9" max="9" width="15.28515625" bestFit="1" customWidth="1"/>
    <col min="10" max="11" width="16.42578125" bestFit="1" customWidth="1"/>
    <col min="12" max="12" width="16.42578125" customWidth="1"/>
    <col min="13" max="13" width="9.140625" bestFit="1" customWidth="1"/>
    <col min="14" max="14" width="18.7109375" bestFit="1" customWidth="1"/>
    <col min="15" max="15" width="15.7109375" bestFit="1" customWidth="1"/>
    <col min="16" max="16" width="14.7109375" style="1" bestFit="1" customWidth="1"/>
    <col min="17" max="17" width="17.85546875" style="1" bestFit="1" customWidth="1"/>
    <col min="18" max="18" width="7.42578125" style="1" bestFit="1" customWidth="1"/>
    <col min="19" max="19" width="16.42578125" style="1" bestFit="1" customWidth="1"/>
    <col min="20" max="20" width="15.5703125" style="1" bestFit="1" customWidth="1"/>
    <col min="21" max="21" width="14.5703125" style="1" bestFit="1" customWidth="1"/>
    <col min="22" max="23" width="15.5703125" style="1" bestFit="1" customWidth="1"/>
    <col min="24" max="24" width="2.140625" style="1" customWidth="1"/>
    <col min="25" max="25" width="7" style="4" bestFit="1" customWidth="1"/>
    <col min="26" max="26" width="10.7109375" style="4" bestFit="1" customWidth="1"/>
    <col min="27" max="27" width="2.140625" style="4" customWidth="1"/>
    <col min="28" max="28" width="6.7109375" style="2" bestFit="1" customWidth="1"/>
    <col min="29" max="29" width="8.7109375" style="2" bestFit="1" customWidth="1"/>
    <col min="30" max="30" width="6" bestFit="1" customWidth="1"/>
    <col min="31" max="31" width="8.42578125" bestFit="1" customWidth="1"/>
    <col min="32" max="32" width="8.140625" customWidth="1"/>
    <col min="33" max="33" width="6" bestFit="1" customWidth="1"/>
    <col min="34" max="34" width="2" customWidth="1"/>
    <col min="35" max="36" width="6.7109375" bestFit="1" customWidth="1"/>
    <col min="37" max="37" width="7" bestFit="1" customWidth="1"/>
    <col min="38" max="38" width="8.42578125" bestFit="1" customWidth="1"/>
    <col min="39" max="39" width="6" customWidth="1"/>
    <col min="40" max="40" width="14.140625" style="73" bestFit="1" customWidth="1"/>
    <col min="41" max="41" width="2.140625" style="1" customWidth="1"/>
    <col min="42" max="42" width="7.7109375" style="64" bestFit="1" customWidth="1"/>
    <col min="43" max="43" width="2.140625" customWidth="1"/>
    <col min="44" max="48" width="5" bestFit="1" customWidth="1"/>
  </cols>
  <sheetData>
    <row r="1" spans="1:50" s="3" customFormat="1" ht="30" x14ac:dyDescent="0.25">
      <c r="A1" s="33" t="s">
        <v>94</v>
      </c>
      <c r="B1" s="34" t="s">
        <v>105</v>
      </c>
      <c r="C1" s="34" t="s">
        <v>104</v>
      </c>
      <c r="D1" s="33" t="s">
        <v>130</v>
      </c>
      <c r="E1" s="33" t="s">
        <v>20</v>
      </c>
      <c r="F1" s="33" t="s">
        <v>21</v>
      </c>
      <c r="G1" s="33" t="s">
        <v>32</v>
      </c>
      <c r="H1" s="33" t="s">
        <v>22</v>
      </c>
      <c r="I1" s="33" t="s">
        <v>23</v>
      </c>
      <c r="J1" s="33" t="s">
        <v>33</v>
      </c>
      <c r="K1" s="33" t="s">
        <v>24</v>
      </c>
      <c r="L1" s="33" t="s">
        <v>129</v>
      </c>
      <c r="M1" s="33" t="s">
        <v>103</v>
      </c>
      <c r="N1" s="33" t="s">
        <v>25</v>
      </c>
      <c r="O1" s="33" t="s">
        <v>28</v>
      </c>
      <c r="P1" s="34" t="s">
        <v>31</v>
      </c>
      <c r="Q1" s="34" t="s">
        <v>27</v>
      </c>
      <c r="R1" s="34" t="s">
        <v>104</v>
      </c>
      <c r="S1" s="34" t="s">
        <v>26</v>
      </c>
      <c r="T1" s="34" t="s">
        <v>29</v>
      </c>
      <c r="U1" s="34" t="s">
        <v>136</v>
      </c>
      <c r="V1" s="34" t="s">
        <v>137</v>
      </c>
      <c r="W1" s="34" t="s">
        <v>30</v>
      </c>
      <c r="X1" s="34"/>
      <c r="Y1" s="35" t="s">
        <v>95</v>
      </c>
      <c r="Z1" s="35" t="s">
        <v>96</v>
      </c>
      <c r="AA1" s="35"/>
      <c r="AB1" s="36" t="s">
        <v>18</v>
      </c>
      <c r="AC1" s="36" t="s">
        <v>146</v>
      </c>
      <c r="AD1" s="36" t="s">
        <v>17</v>
      </c>
      <c r="AE1" s="36" t="s">
        <v>132</v>
      </c>
      <c r="AF1" s="36" t="s">
        <v>145</v>
      </c>
      <c r="AG1" s="36" t="s">
        <v>19</v>
      </c>
      <c r="AH1" s="37"/>
      <c r="AI1" s="38" t="s">
        <v>97</v>
      </c>
      <c r="AJ1" s="38" t="s">
        <v>98</v>
      </c>
      <c r="AK1" s="38" t="s">
        <v>99</v>
      </c>
      <c r="AL1" s="38" t="s">
        <v>100</v>
      </c>
      <c r="AM1" s="38" t="s">
        <v>101</v>
      </c>
      <c r="AN1" s="71" t="s">
        <v>102</v>
      </c>
      <c r="AO1" s="39"/>
      <c r="AP1" s="40" t="s">
        <v>103</v>
      </c>
      <c r="AQ1" s="37"/>
      <c r="AR1" s="41" t="s">
        <v>106</v>
      </c>
      <c r="AS1" s="41" t="s">
        <v>107</v>
      </c>
      <c r="AT1" s="41" t="s">
        <v>108</v>
      </c>
      <c r="AU1" s="41" t="s">
        <v>109</v>
      </c>
      <c r="AV1" s="41" t="s">
        <v>110</v>
      </c>
    </row>
    <row r="2" spans="1:50" x14ac:dyDescent="0.25">
      <c r="A2" s="20" t="s">
        <v>34</v>
      </c>
      <c r="B2" s="90" t="s">
        <v>0</v>
      </c>
      <c r="C2" s="21" t="s">
        <v>1</v>
      </c>
      <c r="D2" s="23">
        <v>52079</v>
      </c>
      <c r="E2" s="22">
        <v>87547</v>
      </c>
      <c r="F2" s="23">
        <v>117162</v>
      </c>
      <c r="G2" s="23">
        <f>E2+F2</f>
        <v>204709</v>
      </c>
      <c r="H2" s="22">
        <v>87257</v>
      </c>
      <c r="I2" s="22">
        <v>19508</v>
      </c>
      <c r="J2" s="22">
        <f>H2+I2</f>
        <v>106765</v>
      </c>
      <c r="K2" s="22">
        <v>97944</v>
      </c>
      <c r="L2" s="22">
        <f>J2+K2</f>
        <v>204709</v>
      </c>
      <c r="M2" s="48" t="str">
        <f t="shared" ref="M2:M36" si="0">IF(G2=L2,"OK",G2-L2)</f>
        <v>OK</v>
      </c>
      <c r="N2" s="22">
        <f>(-111914)</f>
        <v>-111914</v>
      </c>
      <c r="O2" s="22">
        <v>5566414000</v>
      </c>
      <c r="P2" s="24">
        <v>129</v>
      </c>
      <c r="Q2" s="25">
        <f>O2*P2</f>
        <v>718067406000</v>
      </c>
      <c r="R2" s="65" t="s">
        <v>1</v>
      </c>
      <c r="S2" s="22">
        <v>441825</v>
      </c>
      <c r="T2" s="22">
        <f>4389+132</f>
        <v>4521</v>
      </c>
      <c r="U2" s="22">
        <v>132</v>
      </c>
      <c r="V2" s="22">
        <v>-2220</v>
      </c>
      <c r="W2" s="6">
        <f t="shared" ref="W2:W8" si="1">T2-U2+V2</f>
        <v>2169</v>
      </c>
      <c r="X2" s="22"/>
      <c r="Y2" s="26">
        <v>13369</v>
      </c>
      <c r="Z2" s="27">
        <v>1000</v>
      </c>
      <c r="AA2" s="27"/>
      <c r="AB2" s="28">
        <f t="shared" ref="AB2:AB36" si="2">W2/(E2+F2)</f>
        <v>1.0595528286494488E-2</v>
      </c>
      <c r="AC2" s="28">
        <f>W2/K2</f>
        <v>2.2145307522666014E-2</v>
      </c>
      <c r="AD2" s="28">
        <f t="shared" ref="AD2:AD36" si="3">E2/H2</f>
        <v>1.0033235155918723</v>
      </c>
      <c r="AE2" s="12">
        <f t="shared" ref="AE2:AE6" si="4">(E2-D2)/H2</f>
        <v>0.40647741728457315</v>
      </c>
      <c r="AF2" s="28">
        <f>J2/K2</f>
        <v>1.0900616678918567</v>
      </c>
      <c r="AG2" s="28">
        <f t="shared" ref="AG2:AG36" si="5">(H2+I2)/(E2+F2)</f>
        <v>0.5215452178458202</v>
      </c>
      <c r="AH2" s="29"/>
      <c r="AI2" s="30">
        <f t="shared" ref="AI2:AI36" si="6">(E2-H2)/G2</f>
        <v>1.4166450913247585E-3</v>
      </c>
      <c r="AJ2" s="30">
        <f t="shared" ref="AJ2:AJ36" si="7">N2/G2</f>
        <v>-0.54669799569144495</v>
      </c>
      <c r="AK2" s="30">
        <f>T2/G2</f>
        <v>2.2085008475445634E-2</v>
      </c>
      <c r="AL2" s="30">
        <f t="shared" ref="AL2:AL36" si="8">Q2/(J2*Y2*Z2)</f>
        <v>0.50308038697276247</v>
      </c>
      <c r="AM2" s="30">
        <f t="shared" ref="AM2:AM36" si="9">S2/G2</f>
        <v>2.1583076464640052</v>
      </c>
      <c r="AN2" s="74">
        <f t="shared" ref="AN2:AN65" si="10">(AI2*AR2)+(AJ2*AS2)+(AK2*AT2)+(AL2*AU2)+(AM2*AV2)</f>
        <v>1.7477761102935601</v>
      </c>
      <c r="AO2" s="31"/>
      <c r="AP2" s="61" t="str">
        <f>IF(AN2&lt;1.8,"FD",IF(AN2&gt;2.99,"S","GA"))</f>
        <v>FD</v>
      </c>
      <c r="AQ2" s="29"/>
      <c r="AR2" s="32">
        <v>1.2</v>
      </c>
      <c r="AS2" s="32">
        <v>1.4</v>
      </c>
      <c r="AT2" s="32">
        <v>3.3</v>
      </c>
      <c r="AU2" s="32">
        <v>0.6</v>
      </c>
      <c r="AV2" s="32">
        <v>0.99</v>
      </c>
      <c r="AX2" s="69">
        <f t="shared" ref="AX2:AX4" si="11">LN(AN2)</f>
        <v>0.55834418567388322</v>
      </c>
    </row>
    <row r="3" spans="1:50" x14ac:dyDescent="0.25">
      <c r="A3" s="20" t="s">
        <v>37</v>
      </c>
      <c r="B3" s="91"/>
      <c r="C3" s="5" t="s">
        <v>2</v>
      </c>
      <c r="D3" s="7">
        <v>50150</v>
      </c>
      <c r="E3" s="6">
        <v>87720</v>
      </c>
      <c r="F3" s="7">
        <v>104137</v>
      </c>
      <c r="G3" s="7">
        <f t="shared" ref="G3:G79" si="12">E3+F3</f>
        <v>191857</v>
      </c>
      <c r="H3" s="6">
        <v>78404</v>
      </c>
      <c r="I3" s="6">
        <v>17551</v>
      </c>
      <c r="J3" s="6">
        <f t="shared" ref="J3:J79" si="13">H3+I3</f>
        <v>95955</v>
      </c>
      <c r="K3" s="6">
        <v>95902</v>
      </c>
      <c r="L3" s="22">
        <f t="shared" ref="L3:L79" si="14">J3+K3</f>
        <v>191857</v>
      </c>
      <c r="M3" s="48" t="str">
        <f t="shared" si="0"/>
        <v>OK</v>
      </c>
      <c r="N3" s="6">
        <f>(-113956)</f>
        <v>-113956</v>
      </c>
      <c r="O3" s="6">
        <v>5566414000</v>
      </c>
      <c r="P3" s="8">
        <v>188</v>
      </c>
      <c r="Q3" s="9">
        <f t="shared" ref="Q3:Q49" si="15">O3*P3</f>
        <v>1046485832000</v>
      </c>
      <c r="R3" s="66" t="s">
        <v>2</v>
      </c>
      <c r="S3" s="6">
        <v>433346</v>
      </c>
      <c r="T3" s="6">
        <f>-2206+82</f>
        <v>-2124</v>
      </c>
      <c r="U3" s="6">
        <v>82</v>
      </c>
      <c r="V3" s="22">
        <v>460</v>
      </c>
      <c r="W3" s="6">
        <f t="shared" si="1"/>
        <v>-1746</v>
      </c>
      <c r="X3" s="6"/>
      <c r="Y3" s="10">
        <v>13480</v>
      </c>
      <c r="Z3" s="11">
        <v>1000</v>
      </c>
      <c r="AA3" s="11"/>
      <c r="AB3" s="28">
        <f t="shared" si="2"/>
        <v>-9.1005279974147417E-3</v>
      </c>
      <c r="AC3" s="28">
        <f t="shared" ref="AC3:AC66" si="16">W3/K3</f>
        <v>-1.8206085378824215E-2</v>
      </c>
      <c r="AD3" s="28">
        <f t="shared" si="3"/>
        <v>1.1188204683434519</v>
      </c>
      <c r="AE3" s="12">
        <f t="shared" si="4"/>
        <v>0.47918473547267998</v>
      </c>
      <c r="AF3" s="28">
        <f t="shared" ref="AF3:AF66" si="17">J3/K3</f>
        <v>1.0005526474943172</v>
      </c>
      <c r="AG3" s="28">
        <f t="shared" si="5"/>
        <v>0.50013812370671906</v>
      </c>
      <c r="AH3" s="13"/>
      <c r="AI3" s="14">
        <f t="shared" si="6"/>
        <v>4.8556998180936846E-2</v>
      </c>
      <c r="AJ3" s="14">
        <f t="shared" si="7"/>
        <v>-0.59396321218407455</v>
      </c>
      <c r="AK3" s="30">
        <f t="shared" ref="AK3:AK31" si="18">T3/G3</f>
        <v>-1.1070745398916901E-2</v>
      </c>
      <c r="AL3" s="14">
        <f t="shared" si="8"/>
        <v>0.80905091051737132</v>
      </c>
      <c r="AM3" s="14">
        <f t="shared" si="9"/>
        <v>2.2586926721464424</v>
      </c>
      <c r="AN3" s="74">
        <f t="shared" si="10"/>
        <v>1.911722732678395</v>
      </c>
      <c r="AO3" s="15"/>
      <c r="AP3" s="62" t="str">
        <f t="shared" ref="AP3:AP73" si="19">IF(AN3&lt;1.8,"FD",IF(AN3&gt;2.99,"S","GA"))</f>
        <v>GA</v>
      </c>
      <c r="AQ3" s="13"/>
      <c r="AR3" s="16">
        <v>1.2</v>
      </c>
      <c r="AS3" s="16">
        <v>1.4</v>
      </c>
      <c r="AT3" s="16">
        <v>3.3</v>
      </c>
      <c r="AU3" s="16">
        <v>0.6</v>
      </c>
      <c r="AV3" s="16">
        <v>0.99</v>
      </c>
      <c r="AX3" s="69">
        <f t="shared" si="11"/>
        <v>0.6480047898240785</v>
      </c>
    </row>
    <row r="4" spans="1:50" x14ac:dyDescent="0.25">
      <c r="A4" s="20" t="s">
        <v>35</v>
      </c>
      <c r="B4" s="91"/>
      <c r="C4" s="5" t="s">
        <v>3</v>
      </c>
      <c r="D4" s="7">
        <v>58943</v>
      </c>
      <c r="E4" s="6">
        <v>92279</v>
      </c>
      <c r="F4" s="6">
        <v>103547</v>
      </c>
      <c r="G4" s="7">
        <f t="shared" si="12"/>
        <v>195826</v>
      </c>
      <c r="H4" s="6">
        <v>79199</v>
      </c>
      <c r="I4" s="6">
        <v>14092</v>
      </c>
      <c r="J4" s="6">
        <f t="shared" si="13"/>
        <v>93291</v>
      </c>
      <c r="K4" s="6">
        <v>102535</v>
      </c>
      <c r="L4" s="22">
        <f t="shared" si="14"/>
        <v>195826</v>
      </c>
      <c r="M4" s="48" t="str">
        <f t="shared" si="0"/>
        <v>OK</v>
      </c>
      <c r="N4" s="6">
        <f>(-107323)</f>
        <v>-107323</v>
      </c>
      <c r="O4" s="6">
        <v>5566414000</v>
      </c>
      <c r="P4" s="8">
        <v>160</v>
      </c>
      <c r="Q4" s="9">
        <f t="shared" si="15"/>
        <v>890626240000</v>
      </c>
      <c r="R4" s="66" t="s">
        <v>3</v>
      </c>
      <c r="S4" s="6">
        <v>433868</v>
      </c>
      <c r="T4" s="6">
        <f>8562+64</f>
        <v>8626</v>
      </c>
      <c r="U4" s="6">
        <v>64</v>
      </c>
      <c r="V4" s="6">
        <v>-2437</v>
      </c>
      <c r="W4" s="6">
        <f t="shared" si="1"/>
        <v>6125</v>
      </c>
      <c r="X4" s="6"/>
      <c r="Y4" s="10">
        <v>14409</v>
      </c>
      <c r="Z4" s="11">
        <v>1000</v>
      </c>
      <c r="AA4" s="11"/>
      <c r="AB4" s="28">
        <f t="shared" si="2"/>
        <v>3.127776699723224E-2</v>
      </c>
      <c r="AC4" s="28">
        <f t="shared" si="16"/>
        <v>5.9735700004876387E-2</v>
      </c>
      <c r="AD4" s="28">
        <f t="shared" si="3"/>
        <v>1.1651536004242478</v>
      </c>
      <c r="AE4" s="12">
        <f t="shared" si="4"/>
        <v>0.42091440548491776</v>
      </c>
      <c r="AF4" s="28">
        <f t="shared" si="17"/>
        <v>0.90984541863753843</v>
      </c>
      <c r="AG4" s="28">
        <f t="shared" si="5"/>
        <v>0.47639741403082331</v>
      </c>
      <c r="AH4" s="13"/>
      <c r="AI4" s="14">
        <f t="shared" si="6"/>
        <v>6.6793990583477167E-2</v>
      </c>
      <c r="AJ4" s="14">
        <f t="shared" si="7"/>
        <v>-0.54805286325615599</v>
      </c>
      <c r="AK4" s="30">
        <f t="shared" si="18"/>
        <v>4.4049309080510246E-2</v>
      </c>
      <c r="AL4" s="14">
        <f t="shared" si="8"/>
        <v>0.66255494030891748</v>
      </c>
      <c r="AM4" s="14">
        <f t="shared" si="9"/>
        <v>2.2155791365804336</v>
      </c>
      <c r="AN4" s="74">
        <f t="shared" si="10"/>
        <v>2.0491978095072181</v>
      </c>
      <c r="AO4" s="15"/>
      <c r="AP4" s="62" t="str">
        <f t="shared" si="19"/>
        <v>GA</v>
      </c>
      <c r="AQ4" s="13"/>
      <c r="AR4" s="16">
        <v>1.2</v>
      </c>
      <c r="AS4" s="16">
        <v>1.4</v>
      </c>
      <c r="AT4" s="16">
        <v>3.3</v>
      </c>
      <c r="AU4" s="16">
        <v>0.6</v>
      </c>
      <c r="AV4" s="16">
        <v>0.99</v>
      </c>
      <c r="AX4" s="69">
        <f t="shared" si="11"/>
        <v>0.71744840413212319</v>
      </c>
    </row>
    <row r="5" spans="1:50" x14ac:dyDescent="0.25">
      <c r="A5" s="20" t="s">
        <v>36</v>
      </c>
      <c r="B5" s="91"/>
      <c r="C5" s="5" t="s">
        <v>4</v>
      </c>
      <c r="D5" s="7">
        <v>45367</v>
      </c>
      <c r="E5" s="6">
        <v>71356</v>
      </c>
      <c r="F5" s="6">
        <v>94372</v>
      </c>
      <c r="G5" s="7">
        <f t="shared" si="12"/>
        <v>165728</v>
      </c>
      <c r="H5" s="6">
        <v>54106</v>
      </c>
      <c r="I5" s="6">
        <v>12426</v>
      </c>
      <c r="J5" s="6">
        <f t="shared" si="13"/>
        <v>66532</v>
      </c>
      <c r="K5" s="6">
        <v>99196</v>
      </c>
      <c r="L5" s="22">
        <f t="shared" si="14"/>
        <v>165728</v>
      </c>
      <c r="M5" s="48" t="str">
        <f t="shared" si="0"/>
        <v>OK</v>
      </c>
      <c r="N5" s="6">
        <f>(-110662)</f>
        <v>-110662</v>
      </c>
      <c r="O5" s="6">
        <v>5566414000</v>
      </c>
      <c r="P5" s="8">
        <v>119</v>
      </c>
      <c r="Q5" s="9">
        <f t="shared" si="15"/>
        <v>662403266000</v>
      </c>
      <c r="R5" s="66" t="s">
        <v>4</v>
      </c>
      <c r="S5" s="6">
        <v>331945</v>
      </c>
      <c r="T5" s="6">
        <f>-4333+52</f>
        <v>-4281</v>
      </c>
      <c r="U5" s="6">
        <v>52</v>
      </c>
      <c r="V5" s="6">
        <v>1047</v>
      </c>
      <c r="W5" s="6">
        <f t="shared" si="1"/>
        <v>-3286</v>
      </c>
      <c r="X5" s="6"/>
      <c r="Y5" s="10">
        <v>13831</v>
      </c>
      <c r="Z5" s="11">
        <v>1000</v>
      </c>
      <c r="AA5" s="11"/>
      <c r="AB5" s="28">
        <f t="shared" si="2"/>
        <v>-1.9827669434253715E-2</v>
      </c>
      <c r="AC5" s="28">
        <f t="shared" si="16"/>
        <v>-3.3126335739344329E-2</v>
      </c>
      <c r="AD5" s="28">
        <f t="shared" si="3"/>
        <v>1.3188186153106864</v>
      </c>
      <c r="AE5" s="12">
        <f t="shared" si="4"/>
        <v>0.48033489816286551</v>
      </c>
      <c r="AF5" s="28">
        <f t="shared" si="17"/>
        <v>0.67071252873099718</v>
      </c>
      <c r="AG5" s="28">
        <f t="shared" si="5"/>
        <v>0.40145298320139022</v>
      </c>
      <c r="AH5" s="13"/>
      <c r="AI5" s="14">
        <f t="shared" si="6"/>
        <v>0.10408621355474029</v>
      </c>
      <c r="AJ5" s="14">
        <f t="shared" si="7"/>
        <v>-0.66773267039969109</v>
      </c>
      <c r="AK5" s="30">
        <f t="shared" si="18"/>
        <v>-2.5831482911759025E-2</v>
      </c>
      <c r="AL5" s="14">
        <f t="shared" si="8"/>
        <v>0.71984386046394588</v>
      </c>
      <c r="AM5" s="14">
        <f t="shared" si="9"/>
        <v>2.0029506178798995</v>
      </c>
      <c r="AN5" s="74">
        <f t="shared" si="10"/>
        <v>1.519661252076784</v>
      </c>
      <c r="AO5" s="15"/>
      <c r="AP5" s="62" t="str">
        <f t="shared" si="19"/>
        <v>FD</v>
      </c>
      <c r="AQ5" s="13"/>
      <c r="AR5" s="16">
        <v>1.2</v>
      </c>
      <c r="AS5" s="16">
        <v>1.4</v>
      </c>
      <c r="AT5" s="16">
        <v>3.3</v>
      </c>
      <c r="AU5" s="16">
        <v>0.6</v>
      </c>
      <c r="AV5" s="16">
        <v>0.99</v>
      </c>
      <c r="AX5" s="69">
        <f t="shared" ref="AX5:AX9" si="20">LN(AN5)</f>
        <v>0.41848744954529898</v>
      </c>
    </row>
    <row r="6" spans="1:50" x14ac:dyDescent="0.25">
      <c r="A6" s="20" t="s">
        <v>38</v>
      </c>
      <c r="B6" s="91"/>
      <c r="C6" s="5" t="s">
        <v>5</v>
      </c>
      <c r="D6" s="7">
        <v>44761</v>
      </c>
      <c r="E6" s="6">
        <v>71563</v>
      </c>
      <c r="F6" s="6">
        <v>77814</v>
      </c>
      <c r="G6" s="7">
        <f t="shared" ref="G6" si="21">E6+F6</f>
        <v>149377</v>
      </c>
      <c r="H6" s="6">
        <v>45164</v>
      </c>
      <c r="I6" s="6">
        <v>9051</v>
      </c>
      <c r="J6" s="6">
        <f t="shared" ref="J6" si="22">H6+I6</f>
        <v>54215</v>
      </c>
      <c r="K6" s="6">
        <v>95162</v>
      </c>
      <c r="L6" s="22">
        <f t="shared" ref="L6" si="23">J6+K6</f>
        <v>149377</v>
      </c>
      <c r="M6" s="48" t="str">
        <f t="shared" si="0"/>
        <v>OK</v>
      </c>
      <c r="N6" s="6">
        <f>(-114830)</f>
        <v>-114830</v>
      </c>
      <c r="O6" s="6">
        <v>5566414000</v>
      </c>
      <c r="P6" s="8">
        <v>362</v>
      </c>
      <c r="Q6" s="9">
        <f t="shared" ref="Q6" si="24">O6*P6</f>
        <v>2015041868000</v>
      </c>
      <c r="R6" s="66" t="s">
        <v>5</v>
      </c>
      <c r="S6" s="6">
        <v>309367</v>
      </c>
      <c r="T6" s="6">
        <f>-7825+101</f>
        <v>-7724</v>
      </c>
      <c r="U6" s="6">
        <v>101</v>
      </c>
      <c r="V6" s="56">
        <v>2880</v>
      </c>
      <c r="W6" s="6">
        <f t="shared" si="1"/>
        <v>-4945</v>
      </c>
      <c r="X6" s="6"/>
      <c r="Y6" s="10">
        <v>14034</v>
      </c>
      <c r="Z6" s="11">
        <v>1000</v>
      </c>
      <c r="AA6" s="11"/>
      <c r="AB6" s="28">
        <f t="shared" si="2"/>
        <v>-3.3104159274854897E-2</v>
      </c>
      <c r="AC6" s="28">
        <f t="shared" si="16"/>
        <v>-5.1964019251381853E-2</v>
      </c>
      <c r="AD6" s="28">
        <f t="shared" si="3"/>
        <v>1.584514214861394</v>
      </c>
      <c r="AE6" s="12">
        <f t="shared" si="4"/>
        <v>0.59343725090780264</v>
      </c>
      <c r="AF6" s="28">
        <f t="shared" si="17"/>
        <v>0.56971270044765765</v>
      </c>
      <c r="AG6" s="28">
        <f t="shared" si="5"/>
        <v>0.3629407472368571</v>
      </c>
      <c r="AH6" s="13"/>
      <c r="AI6" s="14">
        <f t="shared" si="6"/>
        <v>0.17672734088915965</v>
      </c>
      <c r="AJ6" s="14">
        <f t="shared" si="7"/>
        <v>-0.76872610910648898</v>
      </c>
      <c r="AK6" s="30">
        <f t="shared" si="18"/>
        <v>-5.1708094284930076E-2</v>
      </c>
      <c r="AL6" s="14">
        <f t="shared" si="8"/>
        <v>2.6483973211603691</v>
      </c>
      <c r="AM6" s="14">
        <f t="shared" si="9"/>
        <v>2.0710484211090061</v>
      </c>
      <c r="AN6" s="74">
        <f t="shared" si="10"/>
        <v>2.6045958747717752</v>
      </c>
      <c r="AO6" s="15"/>
      <c r="AP6" s="62" t="str">
        <f t="shared" si="19"/>
        <v>GA</v>
      </c>
      <c r="AQ6" s="13"/>
      <c r="AR6" s="16">
        <v>1.2</v>
      </c>
      <c r="AS6" s="16">
        <v>1.4</v>
      </c>
      <c r="AT6" s="16">
        <v>3.3</v>
      </c>
      <c r="AU6" s="16">
        <v>0.6</v>
      </c>
      <c r="AV6" s="16">
        <v>0.99</v>
      </c>
      <c r="AX6" s="69">
        <f t="shared" si="20"/>
        <v>0.9572775287261216</v>
      </c>
    </row>
    <row r="7" spans="1:50" x14ac:dyDescent="0.25">
      <c r="A7" s="20" t="s">
        <v>39</v>
      </c>
      <c r="B7" s="91"/>
      <c r="C7" s="5" t="s">
        <v>131</v>
      </c>
      <c r="D7" s="23">
        <v>54554</v>
      </c>
      <c r="E7" s="6">
        <v>117158</v>
      </c>
      <c r="F7" s="6">
        <v>65864</v>
      </c>
      <c r="G7" s="7">
        <f t="shared" si="12"/>
        <v>183022</v>
      </c>
      <c r="H7" s="6">
        <v>70867</v>
      </c>
      <c r="I7" s="6">
        <v>7523</v>
      </c>
      <c r="J7" s="6">
        <f t="shared" si="13"/>
        <v>78390</v>
      </c>
      <c r="K7" s="6">
        <v>104632</v>
      </c>
      <c r="L7" s="22">
        <f t="shared" si="14"/>
        <v>183022</v>
      </c>
      <c r="M7" s="48" t="str">
        <f t="shared" si="0"/>
        <v>OK</v>
      </c>
      <c r="N7" s="6">
        <v>-105373</v>
      </c>
      <c r="O7" s="6">
        <v>5566414000</v>
      </c>
      <c r="P7" s="8">
        <v>464</v>
      </c>
      <c r="Q7" s="9">
        <f t="shared" si="15"/>
        <v>2582816096000</v>
      </c>
      <c r="R7" s="66" t="s">
        <v>131</v>
      </c>
      <c r="S7" s="6">
        <v>412096</v>
      </c>
      <c r="T7" s="6">
        <f>12232+93</f>
        <v>12325</v>
      </c>
      <c r="U7" s="6">
        <v>93</v>
      </c>
      <c r="V7" s="6">
        <v>-2668</v>
      </c>
      <c r="W7" s="6">
        <f t="shared" si="1"/>
        <v>9564</v>
      </c>
      <c r="X7" s="6"/>
      <c r="Y7" s="10">
        <v>14197</v>
      </c>
      <c r="Z7" s="11">
        <v>1000</v>
      </c>
      <c r="AA7" s="11"/>
      <c r="AB7" s="28">
        <f t="shared" si="2"/>
        <v>5.2256012938335282E-2</v>
      </c>
      <c r="AC7" s="28">
        <f t="shared" si="16"/>
        <v>9.140607080051992E-2</v>
      </c>
      <c r="AD7" s="28">
        <f t="shared" si="3"/>
        <v>1.6532095333512071</v>
      </c>
      <c r="AE7" s="12">
        <f t="shared" ref="AE7:AE36" si="25">(E7-D7)/H7</f>
        <v>0.88340130102868752</v>
      </c>
      <c r="AF7" s="28">
        <f t="shared" si="17"/>
        <v>0.74919718632923005</v>
      </c>
      <c r="AG7" s="28">
        <f t="shared" si="5"/>
        <v>0.4283091650184131</v>
      </c>
      <c r="AH7" s="13"/>
      <c r="AI7" s="14">
        <f t="shared" si="6"/>
        <v>0.25292587776332898</v>
      </c>
      <c r="AJ7" s="14">
        <f t="shared" si="7"/>
        <v>-0.57573952858126343</v>
      </c>
      <c r="AK7" s="30">
        <f t="shared" si="18"/>
        <v>6.7341631060746796E-2</v>
      </c>
      <c r="AL7" s="14">
        <f t="shared" si="8"/>
        <v>2.3207921000614222</v>
      </c>
      <c r="AM7" s="14">
        <f t="shared" si="9"/>
        <v>2.2516200238222726</v>
      </c>
      <c r="AN7" s="74">
        <f t="shared" si="10"/>
        <v>3.3412821794235934</v>
      </c>
      <c r="AO7" s="15"/>
      <c r="AP7" s="62" t="str">
        <f t="shared" si="19"/>
        <v>S</v>
      </c>
      <c r="AQ7" s="13"/>
      <c r="AR7" s="16">
        <v>1.2</v>
      </c>
      <c r="AS7" s="16">
        <v>1.4</v>
      </c>
      <c r="AT7" s="16">
        <v>3.3</v>
      </c>
      <c r="AU7" s="16">
        <v>0.6</v>
      </c>
      <c r="AV7" s="16">
        <v>0.99</v>
      </c>
      <c r="AX7" s="69">
        <f t="shared" si="20"/>
        <v>1.2063546193781778</v>
      </c>
    </row>
    <row r="8" spans="1:50" x14ac:dyDescent="0.25">
      <c r="A8" s="20" t="s">
        <v>40</v>
      </c>
      <c r="B8" s="92" t="s">
        <v>6</v>
      </c>
      <c r="C8" s="5" t="s">
        <v>1</v>
      </c>
      <c r="D8" s="7">
        <v>473956</v>
      </c>
      <c r="E8" s="6">
        <v>997324</v>
      </c>
      <c r="F8" s="6">
        <v>2939389</v>
      </c>
      <c r="G8" s="7">
        <f t="shared" si="12"/>
        <v>3936713</v>
      </c>
      <c r="H8" s="6">
        <v>1224501</v>
      </c>
      <c r="I8" s="6">
        <v>872535</v>
      </c>
      <c r="J8" s="6">
        <f t="shared" si="13"/>
        <v>2097036</v>
      </c>
      <c r="K8" s="6">
        <v>1839677</v>
      </c>
      <c r="L8" s="22">
        <f t="shared" si="14"/>
        <v>3936713</v>
      </c>
      <c r="M8" s="48" t="str">
        <f t="shared" si="0"/>
        <v>OK</v>
      </c>
      <c r="N8" s="6">
        <f>-658631</f>
        <v>-658631</v>
      </c>
      <c r="O8" s="6">
        <v>19346396900</v>
      </c>
      <c r="P8" s="8">
        <v>770</v>
      </c>
      <c r="Q8" s="9">
        <f t="shared" si="15"/>
        <v>14896725613000</v>
      </c>
      <c r="R8" s="66" t="s">
        <v>1</v>
      </c>
      <c r="S8" s="6">
        <v>1344715</v>
      </c>
      <c r="T8" s="6">
        <f>4390-60617+10992-1563-17251</f>
        <v>-64049</v>
      </c>
      <c r="U8" s="6">
        <v>127651</v>
      </c>
      <c r="V8" s="6">
        <f>-3399+14375</f>
        <v>10976</v>
      </c>
      <c r="W8" s="6">
        <f t="shared" si="1"/>
        <v>-180724</v>
      </c>
      <c r="X8" s="6"/>
      <c r="Y8" s="10">
        <v>13369</v>
      </c>
      <c r="Z8" s="11">
        <v>1000</v>
      </c>
      <c r="AA8" s="11"/>
      <c r="AB8" s="28">
        <f t="shared" si="2"/>
        <v>-4.5907334367529459E-2</v>
      </c>
      <c r="AC8" s="28">
        <f t="shared" si="16"/>
        <v>-9.8236810048720508E-2</v>
      </c>
      <c r="AD8" s="28">
        <f t="shared" si="3"/>
        <v>0.81447381423126641</v>
      </c>
      <c r="AE8" s="12">
        <f t="shared" si="25"/>
        <v>0.4274132891684041</v>
      </c>
      <c r="AF8" s="28">
        <f t="shared" si="17"/>
        <v>1.1398935791445999</v>
      </c>
      <c r="AG8" s="28">
        <f t="shared" si="5"/>
        <v>0.53268704119401133</v>
      </c>
      <c r="AH8" s="13"/>
      <c r="AI8" s="14">
        <f t="shared" si="6"/>
        <v>-5.7707280159869416E-2</v>
      </c>
      <c r="AJ8" s="14">
        <f t="shared" si="7"/>
        <v>-0.16730480479526955</v>
      </c>
      <c r="AK8" s="30">
        <f t="shared" si="18"/>
        <v>-1.6269664565336614E-2</v>
      </c>
      <c r="AL8" s="14">
        <f t="shared" si="8"/>
        <v>0.53135651401497808</v>
      </c>
      <c r="AM8" s="14">
        <f t="shared" si="9"/>
        <v>0.34158319389805658</v>
      </c>
      <c r="AN8" s="74">
        <f t="shared" si="10"/>
        <v>0.29981591439723132</v>
      </c>
      <c r="AO8" s="15"/>
      <c r="AP8" s="62" t="str">
        <f t="shared" si="19"/>
        <v>FD</v>
      </c>
      <c r="AQ8" s="13"/>
      <c r="AR8" s="16">
        <v>1.2</v>
      </c>
      <c r="AS8" s="16">
        <v>1.4</v>
      </c>
      <c r="AT8" s="16">
        <v>3.3</v>
      </c>
      <c r="AU8" s="16">
        <v>0.6</v>
      </c>
      <c r="AV8" s="16">
        <v>0.99</v>
      </c>
      <c r="AX8" s="69">
        <f t="shared" si="20"/>
        <v>-1.2045866113428216</v>
      </c>
    </row>
    <row r="9" spans="1:50" x14ac:dyDescent="0.25">
      <c r="A9" s="20" t="s">
        <v>41</v>
      </c>
      <c r="B9" s="92"/>
      <c r="C9" s="5" t="s">
        <v>2</v>
      </c>
      <c r="D9" s="7">
        <v>488502</v>
      </c>
      <c r="E9" s="6">
        <v>1021697</v>
      </c>
      <c r="F9" s="6">
        <v>3092689</v>
      </c>
      <c r="G9" s="7">
        <f t="shared" si="12"/>
        <v>4114386</v>
      </c>
      <c r="H9" s="6">
        <v>1361905</v>
      </c>
      <c r="I9" s="6">
        <v>899672</v>
      </c>
      <c r="J9" s="6">
        <f t="shared" si="13"/>
        <v>2261577</v>
      </c>
      <c r="K9" s="6">
        <v>1852809</v>
      </c>
      <c r="L9" s="22">
        <f t="shared" si="14"/>
        <v>4114386</v>
      </c>
      <c r="M9" s="48" t="str">
        <f t="shared" si="0"/>
        <v>OK</v>
      </c>
      <c r="N9" s="6">
        <f>-750189</f>
        <v>-750189</v>
      </c>
      <c r="O9" s="6">
        <v>19346396900</v>
      </c>
      <c r="P9" s="8">
        <v>424</v>
      </c>
      <c r="Q9" s="9">
        <f t="shared" si="15"/>
        <v>8202872285600</v>
      </c>
      <c r="R9" s="66" t="s">
        <v>2</v>
      </c>
      <c r="S9" s="6">
        <v>1449020</v>
      </c>
      <c r="T9" s="6">
        <f>50744-41224+17509-2238-3434</f>
        <v>21357</v>
      </c>
      <c r="U9" s="6">
        <v>99288</v>
      </c>
      <c r="V9" s="6">
        <f>4411+3755</f>
        <v>8166</v>
      </c>
      <c r="W9" s="6">
        <f>T9-U9-V9</f>
        <v>-86097</v>
      </c>
      <c r="X9" s="6"/>
      <c r="Y9" s="10">
        <v>13480</v>
      </c>
      <c r="Z9" s="11">
        <v>1000</v>
      </c>
      <c r="AA9" s="11"/>
      <c r="AB9" s="28">
        <f t="shared" si="2"/>
        <v>-2.0925844099216748E-2</v>
      </c>
      <c r="AC9" s="28">
        <f t="shared" si="16"/>
        <v>-4.6468362362229461E-2</v>
      </c>
      <c r="AD9" s="28">
        <f t="shared" si="3"/>
        <v>0.750196966748782</v>
      </c>
      <c r="AE9" s="12">
        <f t="shared" si="25"/>
        <v>0.39150674973658223</v>
      </c>
      <c r="AF9" s="28">
        <f t="shared" si="17"/>
        <v>1.2206206899901717</v>
      </c>
      <c r="AG9" s="28">
        <f t="shared" si="5"/>
        <v>0.54967545582743083</v>
      </c>
      <c r="AH9" s="13"/>
      <c r="AI9" s="14">
        <f t="shared" si="6"/>
        <v>-8.2687428938364074E-2</v>
      </c>
      <c r="AJ9" s="14">
        <f t="shared" si="7"/>
        <v>-0.18233315979589665</v>
      </c>
      <c r="AK9" s="30">
        <f t="shared" si="18"/>
        <v>5.1908109739825089E-3</v>
      </c>
      <c r="AL9" s="14">
        <f t="shared" si="8"/>
        <v>0.26906962836463755</v>
      </c>
      <c r="AM9" s="14">
        <f t="shared" si="9"/>
        <v>0.3521837766315557</v>
      </c>
      <c r="AN9" s="74">
        <f t="shared" si="10"/>
        <v>0.17274205365787279</v>
      </c>
      <c r="AO9" s="15"/>
      <c r="AP9" s="62" t="str">
        <f t="shared" si="19"/>
        <v>FD</v>
      </c>
      <c r="AQ9" s="13"/>
      <c r="AR9" s="16">
        <v>1.2</v>
      </c>
      <c r="AS9" s="16">
        <v>1.4</v>
      </c>
      <c r="AT9" s="16">
        <v>3.3</v>
      </c>
      <c r="AU9" s="16">
        <v>0.6</v>
      </c>
      <c r="AV9" s="16">
        <v>0.99</v>
      </c>
      <c r="AX9" s="69">
        <f t="shared" si="20"/>
        <v>-1.7559558164784681</v>
      </c>
    </row>
    <row r="10" spans="1:50" x14ac:dyDescent="0.25">
      <c r="A10" s="20" t="s">
        <v>42</v>
      </c>
      <c r="B10" s="92"/>
      <c r="C10" s="5" t="s">
        <v>3</v>
      </c>
      <c r="D10" s="7">
        <v>514520</v>
      </c>
      <c r="E10" s="6">
        <v>989720</v>
      </c>
      <c r="F10" s="6">
        <v>3308598</v>
      </c>
      <c r="G10" s="7">
        <f t="shared" si="12"/>
        <v>4298318</v>
      </c>
      <c r="H10" s="6">
        <v>1598675</v>
      </c>
      <c r="I10" s="6">
        <v>899430</v>
      </c>
      <c r="J10" s="6">
        <f t="shared" si="13"/>
        <v>2498105</v>
      </c>
      <c r="K10" s="6">
        <v>1800213</v>
      </c>
      <c r="L10" s="22">
        <f t="shared" si="14"/>
        <v>4298318</v>
      </c>
      <c r="M10" s="48" t="str">
        <f t="shared" si="0"/>
        <v>OK</v>
      </c>
      <c r="N10" s="6">
        <f>-821407</f>
        <v>-821407</v>
      </c>
      <c r="O10" s="6">
        <v>19346396900</v>
      </c>
      <c r="P10" s="8">
        <v>402</v>
      </c>
      <c r="Q10" s="9">
        <f t="shared" si="15"/>
        <v>7777251553800</v>
      </c>
      <c r="R10" s="66" t="s">
        <v>3</v>
      </c>
      <c r="S10" s="6">
        <v>1741847</v>
      </c>
      <c r="T10" s="6">
        <f>-93110-5979-4127+27698+14785</f>
        <v>-60733</v>
      </c>
      <c r="U10" s="6">
        <v>112334</v>
      </c>
      <c r="V10" s="6">
        <f>-3178+8713</f>
        <v>5535</v>
      </c>
      <c r="W10" s="6">
        <f>T10-U10+V10</f>
        <v>-167532</v>
      </c>
      <c r="X10" s="6"/>
      <c r="Y10" s="10">
        <v>14409</v>
      </c>
      <c r="Z10" s="11">
        <v>1000</v>
      </c>
      <c r="AA10" s="11"/>
      <c r="AB10" s="28">
        <f t="shared" si="2"/>
        <v>-3.8976176262435679E-2</v>
      </c>
      <c r="AC10" s="28">
        <f t="shared" si="16"/>
        <v>-9.3062320958686551E-2</v>
      </c>
      <c r="AD10" s="28">
        <f t="shared" si="3"/>
        <v>0.61908768198664521</v>
      </c>
      <c r="AE10" s="12">
        <f t="shared" si="25"/>
        <v>0.2972461569737439</v>
      </c>
      <c r="AF10" s="28">
        <f t="shared" si="17"/>
        <v>1.3876719032692242</v>
      </c>
      <c r="AG10" s="28">
        <f t="shared" si="5"/>
        <v>0.58118198793109299</v>
      </c>
      <c r="AH10" s="13"/>
      <c r="AI10" s="14">
        <f t="shared" si="6"/>
        <v>-0.14167285901136212</v>
      </c>
      <c r="AJ10" s="14">
        <f t="shared" si="7"/>
        <v>-0.19109963478737496</v>
      </c>
      <c r="AK10" s="30">
        <f t="shared" si="18"/>
        <v>-1.4129480415362475E-2</v>
      </c>
      <c r="AL10" s="14">
        <f t="shared" si="8"/>
        <v>0.2160636042028248</v>
      </c>
      <c r="AM10" s="14">
        <f t="shared" si="9"/>
        <v>0.40523921217555331</v>
      </c>
      <c r="AN10" s="74">
        <f t="shared" si="10"/>
        <v>4.6650777688837075E-2</v>
      </c>
      <c r="AO10" s="15"/>
      <c r="AP10" s="62" t="str">
        <f t="shared" si="19"/>
        <v>FD</v>
      </c>
      <c r="AQ10" s="13"/>
      <c r="AR10" s="16">
        <v>1.2</v>
      </c>
      <c r="AS10" s="16">
        <v>1.4</v>
      </c>
      <c r="AT10" s="16">
        <v>3.3</v>
      </c>
      <c r="AU10" s="16">
        <v>0.6</v>
      </c>
      <c r="AV10" s="16">
        <v>0.99</v>
      </c>
      <c r="AX10" s="69">
        <f>LN(AN10)</f>
        <v>-3.0650656811131181</v>
      </c>
    </row>
    <row r="11" spans="1:50" x14ac:dyDescent="0.25">
      <c r="A11" s="20" t="s">
        <v>43</v>
      </c>
      <c r="B11" s="92"/>
      <c r="C11" s="5" t="s">
        <v>4</v>
      </c>
      <c r="D11" s="7">
        <v>260147</v>
      </c>
      <c r="E11" s="6">
        <v>690608</v>
      </c>
      <c r="F11" s="6">
        <v>2597429</v>
      </c>
      <c r="G11" s="7">
        <f t="shared" si="12"/>
        <v>3288037</v>
      </c>
      <c r="H11" s="6">
        <v>2494040</v>
      </c>
      <c r="I11" s="6">
        <v>446757</v>
      </c>
      <c r="J11" s="6">
        <f t="shared" si="13"/>
        <v>2940797</v>
      </c>
      <c r="K11" s="6">
        <v>347240</v>
      </c>
      <c r="L11" s="22">
        <f t="shared" si="14"/>
        <v>3288037</v>
      </c>
      <c r="M11" s="48" t="str">
        <f t="shared" si="0"/>
        <v>OK</v>
      </c>
      <c r="N11" s="6">
        <f>-2319809</f>
        <v>-2319809</v>
      </c>
      <c r="O11" s="6">
        <v>19346396900</v>
      </c>
      <c r="P11" s="8">
        <v>304</v>
      </c>
      <c r="Q11" s="9">
        <f t="shared" si="15"/>
        <v>5881304657600</v>
      </c>
      <c r="R11" s="66" t="s">
        <v>4</v>
      </c>
      <c r="S11" s="6">
        <v>1420500</v>
      </c>
      <c r="T11" s="6">
        <f>-448763-42167-32562+162562-19607</f>
        <v>-380537</v>
      </c>
      <c r="U11" s="6">
        <v>150005</v>
      </c>
      <c r="V11" s="6">
        <f>-2543+27695</f>
        <v>25152</v>
      </c>
      <c r="W11" s="6">
        <f>T11-U11+V11</f>
        <v>-505390</v>
      </c>
      <c r="X11" s="6"/>
      <c r="Y11" s="10">
        <v>13831</v>
      </c>
      <c r="Z11" s="11">
        <v>1000</v>
      </c>
      <c r="AA11" s="11"/>
      <c r="AB11" s="28">
        <f t="shared" si="2"/>
        <v>-0.15370569126807271</v>
      </c>
      <c r="AC11" s="28">
        <f t="shared" si="16"/>
        <v>-1.4554486810275313</v>
      </c>
      <c r="AD11" s="28">
        <f t="shared" si="3"/>
        <v>0.27690333755673524</v>
      </c>
      <c r="AE11" s="12">
        <f t="shared" si="25"/>
        <v>0.1725958685506247</v>
      </c>
      <c r="AF11" s="28">
        <f t="shared" si="17"/>
        <v>8.4690617440387044</v>
      </c>
      <c r="AG11" s="28">
        <f t="shared" si="5"/>
        <v>0.89439291589480285</v>
      </c>
      <c r="AH11" s="13"/>
      <c r="AI11" s="14">
        <f t="shared" si="6"/>
        <v>-0.54848287899436654</v>
      </c>
      <c r="AJ11" s="14">
        <f t="shared" si="7"/>
        <v>-0.70553007767248366</v>
      </c>
      <c r="AK11" s="30">
        <f t="shared" si="18"/>
        <v>-0.11573379496641917</v>
      </c>
      <c r="AL11" s="14">
        <f t="shared" si="8"/>
        <v>0.1445955904048758</v>
      </c>
      <c r="AM11" s="14">
        <f t="shared" si="9"/>
        <v>0.43202068589860759</v>
      </c>
      <c r="AN11" s="74">
        <f t="shared" si="10"/>
        <v>-1.513385253641353</v>
      </c>
      <c r="AO11" s="15"/>
      <c r="AP11" s="62" t="str">
        <f t="shared" si="19"/>
        <v>FD</v>
      </c>
      <c r="AQ11" s="13"/>
      <c r="AR11" s="16">
        <v>1.2</v>
      </c>
      <c r="AS11" s="16">
        <v>1.4</v>
      </c>
      <c r="AT11" s="16">
        <v>3.3</v>
      </c>
      <c r="AU11" s="16">
        <v>0.6</v>
      </c>
      <c r="AV11" s="16">
        <v>0.99</v>
      </c>
      <c r="AX11" s="69" t="e">
        <f t="shared" ref="AX11:AX74" si="26">LN(AN11)</f>
        <v>#NUM!</v>
      </c>
    </row>
    <row r="12" spans="1:50" x14ac:dyDescent="0.25">
      <c r="A12" s="20" t="s">
        <v>44</v>
      </c>
      <c r="B12" s="92"/>
      <c r="C12" s="5" t="s">
        <v>5</v>
      </c>
      <c r="D12" s="7">
        <v>216074</v>
      </c>
      <c r="E12" s="6">
        <v>835342</v>
      </c>
      <c r="F12" s="6">
        <v>2651007</v>
      </c>
      <c r="G12" s="7">
        <f t="shared" ref="G12" si="27">E12+F12</f>
        <v>3486349</v>
      </c>
      <c r="H12" s="6">
        <v>827496</v>
      </c>
      <c r="I12" s="6">
        <v>2210130</v>
      </c>
      <c r="J12" s="6">
        <f t="shared" ref="J12" si="28">H12+I12</f>
        <v>3037626</v>
      </c>
      <c r="K12" s="6">
        <v>448723</v>
      </c>
      <c r="L12" s="22">
        <f t="shared" ref="L12" si="29">J12+K12</f>
        <v>3486349</v>
      </c>
      <c r="M12" s="48" t="str">
        <f t="shared" si="0"/>
        <v>OK</v>
      </c>
      <c r="N12" s="6">
        <f>-2340062</f>
        <v>-2340062</v>
      </c>
      <c r="O12" s="6">
        <v>19346396900</v>
      </c>
      <c r="P12" s="8">
        <v>428</v>
      </c>
      <c r="Q12" s="9">
        <f t="shared" ref="Q12" si="30">O12*P12</f>
        <v>8280257873200</v>
      </c>
      <c r="R12" s="66" t="s">
        <v>5</v>
      </c>
      <c r="S12" s="6">
        <v>1353657</v>
      </c>
      <c r="T12" s="6">
        <f>166657-34688+8807+6602-863</f>
        <v>146515</v>
      </c>
      <c r="U12" s="6">
        <v>138348</v>
      </c>
      <c r="V12" s="6">
        <f>-16210+1742</f>
        <v>-14468</v>
      </c>
      <c r="W12" s="6">
        <f>T12-U12-V12</f>
        <v>22635</v>
      </c>
      <c r="X12" s="6"/>
      <c r="Y12" s="10">
        <v>14034</v>
      </c>
      <c r="Z12" s="11">
        <v>1000</v>
      </c>
      <c r="AA12" s="11"/>
      <c r="AB12" s="28">
        <f t="shared" si="2"/>
        <v>6.4924653269078916E-3</v>
      </c>
      <c r="AC12" s="28">
        <f t="shared" si="16"/>
        <v>5.0443146440008649E-2</v>
      </c>
      <c r="AD12" s="28">
        <f t="shared" si="3"/>
        <v>1.0094816168295677</v>
      </c>
      <c r="AE12" s="12">
        <f t="shared" si="25"/>
        <v>0.74836373831414293</v>
      </c>
      <c r="AF12" s="28">
        <f t="shared" si="17"/>
        <v>6.7694903091662342</v>
      </c>
      <c r="AG12" s="28">
        <f t="shared" si="5"/>
        <v>0.87129142836818685</v>
      </c>
      <c r="AH12" s="13"/>
      <c r="AI12" s="14">
        <f t="shared" si="6"/>
        <v>2.2504918469149243E-3</v>
      </c>
      <c r="AJ12" s="14">
        <f t="shared" si="7"/>
        <v>-0.67120704209475301</v>
      </c>
      <c r="AK12" s="30">
        <f t="shared" si="18"/>
        <v>4.2025339402337519E-2</v>
      </c>
      <c r="AL12" s="14">
        <f t="shared" si="8"/>
        <v>0.19423526779077338</v>
      </c>
      <c r="AM12" s="14">
        <f t="shared" si="9"/>
        <v>0.38827352052247205</v>
      </c>
      <c r="AN12" s="74">
        <f t="shared" si="10"/>
        <v>-0.29737370269693109</v>
      </c>
      <c r="AO12" s="15"/>
      <c r="AP12" s="62" t="str">
        <f t="shared" si="19"/>
        <v>FD</v>
      </c>
      <c r="AQ12" s="13"/>
      <c r="AR12" s="16">
        <v>1.2</v>
      </c>
      <c r="AS12" s="16">
        <v>1.4</v>
      </c>
      <c r="AT12" s="16">
        <v>3.3</v>
      </c>
      <c r="AU12" s="16">
        <v>0.6</v>
      </c>
      <c r="AV12" s="16">
        <v>0.99</v>
      </c>
      <c r="AX12" s="69" t="e">
        <f t="shared" si="26"/>
        <v>#NUM!</v>
      </c>
    </row>
    <row r="13" spans="1:50" x14ac:dyDescent="0.25">
      <c r="A13" s="20" t="s">
        <v>45</v>
      </c>
      <c r="B13" s="92"/>
      <c r="C13" s="5" t="s">
        <v>131</v>
      </c>
      <c r="D13" s="7">
        <v>366623</v>
      </c>
      <c r="E13" s="6">
        <v>973082</v>
      </c>
      <c r="F13" s="6">
        <v>2800594</v>
      </c>
      <c r="G13" s="7">
        <f t="shared" si="12"/>
        <v>3773676</v>
      </c>
      <c r="H13" s="6">
        <v>1486779</v>
      </c>
      <c r="I13" s="6">
        <v>1764798</v>
      </c>
      <c r="J13" s="6">
        <f t="shared" si="13"/>
        <v>3251577</v>
      </c>
      <c r="K13" s="6">
        <v>522099</v>
      </c>
      <c r="L13" s="22">
        <f t="shared" si="14"/>
        <v>3773676</v>
      </c>
      <c r="M13" s="48" t="str">
        <f t="shared" si="0"/>
        <v>OK</v>
      </c>
      <c r="N13" s="6">
        <v>2270720</v>
      </c>
      <c r="O13" s="6">
        <v>19346396900</v>
      </c>
      <c r="P13" s="8">
        <v>412</v>
      </c>
      <c r="Q13" s="9">
        <f t="shared" si="15"/>
        <v>7970715522800</v>
      </c>
      <c r="R13" s="66" t="s">
        <v>131</v>
      </c>
      <c r="S13" s="6">
        <v>2156070</v>
      </c>
      <c r="T13" s="6">
        <f>69544+118240+12501+5291-4865</f>
        <v>200711</v>
      </c>
      <c r="U13" s="6">
        <v>121414</v>
      </c>
      <c r="V13" s="6">
        <f>2443+14721</f>
        <v>17164</v>
      </c>
      <c r="W13" s="6">
        <f>T13-U13-V13</f>
        <v>62133</v>
      </c>
      <c r="X13" s="6"/>
      <c r="Y13" s="10">
        <v>14197</v>
      </c>
      <c r="Z13" s="11">
        <v>1000</v>
      </c>
      <c r="AA13" s="11"/>
      <c r="AB13" s="28">
        <f t="shared" si="2"/>
        <v>1.6464847538580418E-2</v>
      </c>
      <c r="AC13" s="28">
        <f t="shared" si="16"/>
        <v>0.1190061654973482</v>
      </c>
      <c r="AD13" s="28">
        <f t="shared" si="3"/>
        <v>0.65449000826619153</v>
      </c>
      <c r="AE13" s="12">
        <f t="shared" si="25"/>
        <v>0.40790124154295965</v>
      </c>
      <c r="AF13" s="28">
        <f t="shared" si="17"/>
        <v>6.2278935604167023</v>
      </c>
      <c r="AG13" s="28">
        <f t="shared" si="5"/>
        <v>0.86164710483888918</v>
      </c>
      <c r="AH13" s="13"/>
      <c r="AI13" s="14">
        <f t="shared" si="6"/>
        <v>-0.13612641890824756</v>
      </c>
      <c r="AJ13" s="14">
        <f t="shared" si="7"/>
        <v>0.60172627432773773</v>
      </c>
      <c r="AK13" s="30">
        <f t="shared" si="18"/>
        <v>5.318713106265615E-2</v>
      </c>
      <c r="AL13" s="14">
        <f t="shared" si="8"/>
        <v>0.17266594268911764</v>
      </c>
      <c r="AM13" s="14">
        <f t="shared" si="9"/>
        <v>0.57134475773754823</v>
      </c>
      <c r="AN13" s="74">
        <f t="shared" si="10"/>
        <v>1.5238134896493443</v>
      </c>
      <c r="AO13" s="15"/>
      <c r="AP13" s="62" t="str">
        <f t="shared" si="19"/>
        <v>FD</v>
      </c>
      <c r="AQ13" s="13"/>
      <c r="AR13" s="16">
        <v>1.2</v>
      </c>
      <c r="AS13" s="16">
        <v>1.4</v>
      </c>
      <c r="AT13" s="16">
        <v>3.3</v>
      </c>
      <c r="AU13" s="16">
        <v>0.6</v>
      </c>
      <c r="AV13" s="16">
        <v>0.99</v>
      </c>
      <c r="AX13" s="69">
        <f t="shared" si="26"/>
        <v>0.42121606765529901</v>
      </c>
    </row>
    <row r="14" spans="1:50" x14ac:dyDescent="0.25">
      <c r="A14" s="20" t="s">
        <v>46</v>
      </c>
      <c r="B14" s="87" t="s">
        <v>7</v>
      </c>
      <c r="C14" s="5" t="s">
        <v>1</v>
      </c>
      <c r="D14" s="7">
        <v>234449520</v>
      </c>
      <c r="E14" s="6">
        <v>777316455</v>
      </c>
      <c r="F14" s="6">
        <v>1311380454</v>
      </c>
      <c r="G14" s="7">
        <f t="shared" si="12"/>
        <v>2088696909</v>
      </c>
      <c r="H14" s="6">
        <v>560277480</v>
      </c>
      <c r="I14" s="6">
        <v>500066154</v>
      </c>
      <c r="J14" s="6">
        <f t="shared" si="13"/>
        <v>1060343634</v>
      </c>
      <c r="K14" s="6">
        <v>1028353275</v>
      </c>
      <c r="L14" s="22">
        <f t="shared" si="14"/>
        <v>2088696909</v>
      </c>
      <c r="M14" s="48" t="str">
        <f t="shared" si="0"/>
        <v>OK</v>
      </c>
      <c r="N14" s="6">
        <f>229537381</f>
        <v>229537381</v>
      </c>
      <c r="O14" s="6">
        <v>979110000</v>
      </c>
      <c r="P14" s="8">
        <v>1100</v>
      </c>
      <c r="Q14" s="9">
        <f t="shared" si="15"/>
        <v>1077021000000</v>
      </c>
      <c r="R14" s="66" t="s">
        <v>1</v>
      </c>
      <c r="S14" s="6">
        <v>1364849405</v>
      </c>
      <c r="T14" s="6">
        <f>20458245+91057484</f>
        <v>111515729</v>
      </c>
      <c r="U14" s="6">
        <v>91057484</v>
      </c>
      <c r="V14" s="6">
        <v>-7793268</v>
      </c>
      <c r="W14" s="6">
        <f t="shared" ref="W14:W19" si="31">T14-U14+V14</f>
        <v>12664977</v>
      </c>
      <c r="X14" s="6"/>
      <c r="Y14" s="17">
        <v>1</v>
      </c>
      <c r="Z14" s="11">
        <v>1000</v>
      </c>
      <c r="AA14" s="11"/>
      <c r="AB14" s="28">
        <f t="shared" si="2"/>
        <v>6.0635781790205154E-3</v>
      </c>
      <c r="AC14" s="28">
        <f t="shared" si="16"/>
        <v>1.2315784184185148E-2</v>
      </c>
      <c r="AD14" s="28">
        <f t="shared" si="3"/>
        <v>1.3873776525874286</v>
      </c>
      <c r="AE14" s="12">
        <f t="shared" si="25"/>
        <v>0.96892513866522001</v>
      </c>
      <c r="AF14" s="28">
        <f t="shared" si="17"/>
        <v>1.0311083358002628</v>
      </c>
      <c r="AG14" s="28">
        <f t="shared" si="5"/>
        <v>0.50765797058973861</v>
      </c>
      <c r="AH14" s="13"/>
      <c r="AI14" s="14">
        <f t="shared" si="6"/>
        <v>0.10391118695335801</v>
      </c>
      <c r="AJ14" s="14">
        <f t="shared" si="7"/>
        <v>0.1098950163668768</v>
      </c>
      <c r="AK14" s="30">
        <f t="shared" si="18"/>
        <v>5.3390096245888592E-2</v>
      </c>
      <c r="AL14" s="14">
        <f t="shared" si="8"/>
        <v>1.0157282653144122</v>
      </c>
      <c r="AM14" s="14">
        <f t="shared" si="9"/>
        <v>0.65344540853150657</v>
      </c>
      <c r="AN14" s="74">
        <f t="shared" si="10"/>
        <v>1.7110816785039282</v>
      </c>
      <c r="AO14" s="15"/>
      <c r="AP14" s="62" t="str">
        <f t="shared" si="19"/>
        <v>FD</v>
      </c>
      <c r="AQ14" s="13"/>
      <c r="AR14" s="16">
        <v>1.2</v>
      </c>
      <c r="AS14" s="16">
        <v>1.4</v>
      </c>
      <c r="AT14" s="16">
        <v>3.3</v>
      </c>
      <c r="AU14" s="16">
        <v>0.6</v>
      </c>
      <c r="AV14" s="16">
        <v>0.99</v>
      </c>
      <c r="AX14" s="69">
        <f t="shared" si="26"/>
        <v>0.53712573106109973</v>
      </c>
    </row>
    <row r="15" spans="1:50" x14ac:dyDescent="0.25">
      <c r="A15" s="20" t="s">
        <v>47</v>
      </c>
      <c r="B15" s="88"/>
      <c r="C15" s="5" t="s">
        <v>2</v>
      </c>
      <c r="D15" s="7">
        <v>236755106</v>
      </c>
      <c r="E15" s="6">
        <v>718757530</v>
      </c>
      <c r="F15" s="6">
        <v>1246119552</v>
      </c>
      <c r="G15" s="7">
        <f t="shared" si="12"/>
        <v>1964877082</v>
      </c>
      <c r="H15" s="6">
        <v>654032840</v>
      </c>
      <c r="I15" s="6">
        <v>457814805</v>
      </c>
      <c r="J15" s="6">
        <f t="shared" si="13"/>
        <v>1111847645</v>
      </c>
      <c r="K15" s="6">
        <v>853029437</v>
      </c>
      <c r="L15" s="22">
        <f t="shared" si="14"/>
        <v>1964877082</v>
      </c>
      <c r="M15" s="48" t="str">
        <f t="shared" si="0"/>
        <v>OK</v>
      </c>
      <c r="N15" s="6">
        <f>86645525</f>
        <v>86645525</v>
      </c>
      <c r="O15" s="6">
        <v>979110000</v>
      </c>
      <c r="P15" s="8">
        <v>1240</v>
      </c>
      <c r="Q15" s="9">
        <f t="shared" si="15"/>
        <v>1214096400000</v>
      </c>
      <c r="R15" s="66" t="s">
        <v>2</v>
      </c>
      <c r="S15" s="6">
        <v>1310440496</v>
      </c>
      <c r="T15" s="6">
        <f>-224189380+77812790</f>
        <v>-146376590</v>
      </c>
      <c r="U15" s="6">
        <v>77812790</v>
      </c>
      <c r="V15" s="6">
        <v>45905958</v>
      </c>
      <c r="W15" s="6">
        <f t="shared" si="31"/>
        <v>-178283422</v>
      </c>
      <c r="X15" s="6"/>
      <c r="Y15" s="17">
        <v>1</v>
      </c>
      <c r="Z15" s="11">
        <v>1000</v>
      </c>
      <c r="AA15" s="11"/>
      <c r="AB15" s="28">
        <f t="shared" si="2"/>
        <v>-9.0735152663356272E-2</v>
      </c>
      <c r="AC15" s="28">
        <f t="shared" si="16"/>
        <v>-0.20900031612859804</v>
      </c>
      <c r="AD15" s="28">
        <f t="shared" si="3"/>
        <v>1.0989624465951893</v>
      </c>
      <c r="AE15" s="12">
        <f t="shared" si="25"/>
        <v>0.73696975827696976</v>
      </c>
      <c r="AF15" s="28">
        <f t="shared" si="17"/>
        <v>1.3034106406810906</v>
      </c>
      <c r="AG15" s="28">
        <f t="shared" si="5"/>
        <v>0.56586117024087723</v>
      </c>
      <c r="AH15" s="13"/>
      <c r="AI15" s="14">
        <f t="shared" si="6"/>
        <v>3.2940834107606537E-2</v>
      </c>
      <c r="AJ15" s="14">
        <f t="shared" si="7"/>
        <v>4.4097173199152823E-2</v>
      </c>
      <c r="AK15" s="30">
        <f t="shared" si="18"/>
        <v>-7.4496563342785233E-2</v>
      </c>
      <c r="AL15" s="14">
        <f t="shared" si="8"/>
        <v>1.0919629190742226</v>
      </c>
      <c r="AM15" s="14">
        <f t="shared" si="9"/>
        <v>0.66693255675115048</v>
      </c>
      <c r="AN15" s="74">
        <f t="shared" si="10"/>
        <v>1.170867367004923</v>
      </c>
      <c r="AO15" s="15"/>
      <c r="AP15" s="62" t="str">
        <f t="shared" si="19"/>
        <v>FD</v>
      </c>
      <c r="AQ15" s="13"/>
      <c r="AR15" s="16">
        <v>1.2</v>
      </c>
      <c r="AS15" s="16">
        <v>1.4</v>
      </c>
      <c r="AT15" s="16">
        <v>3.3</v>
      </c>
      <c r="AU15" s="16">
        <v>0.6</v>
      </c>
      <c r="AV15" s="16">
        <v>0.99</v>
      </c>
      <c r="AX15" s="69">
        <f t="shared" si="26"/>
        <v>0.15774481347385169</v>
      </c>
    </row>
    <row r="16" spans="1:50" x14ac:dyDescent="0.25">
      <c r="A16" s="20" t="s">
        <v>48</v>
      </c>
      <c r="B16" s="88"/>
      <c r="C16" s="5" t="s">
        <v>3</v>
      </c>
      <c r="D16" s="7">
        <v>296478875</v>
      </c>
      <c r="E16" s="6">
        <v>811798388</v>
      </c>
      <c r="F16" s="6">
        <v>1649527795</v>
      </c>
      <c r="G16" s="7">
        <f t="shared" si="12"/>
        <v>2461326183</v>
      </c>
      <c r="H16" s="6">
        <v>825079803</v>
      </c>
      <c r="I16" s="6">
        <v>512974818</v>
      </c>
      <c r="J16" s="6">
        <f t="shared" si="13"/>
        <v>1338054621</v>
      </c>
      <c r="K16" s="6">
        <v>1123271562</v>
      </c>
      <c r="L16" s="22">
        <f t="shared" si="14"/>
        <v>2461326183</v>
      </c>
      <c r="M16" s="48" t="str">
        <f t="shared" si="0"/>
        <v>OK</v>
      </c>
      <c r="N16" s="6">
        <f>98179198</f>
        <v>98179198</v>
      </c>
      <c r="O16" s="6">
        <v>979110000</v>
      </c>
      <c r="P16" s="8">
        <v>1200</v>
      </c>
      <c r="Q16" s="9">
        <f t="shared" si="15"/>
        <v>1174932000000</v>
      </c>
      <c r="R16" s="66" t="s">
        <v>3</v>
      </c>
      <c r="S16" s="6">
        <v>1319344703</v>
      </c>
      <c r="T16" s="6">
        <f>-21224294+88859686</f>
        <v>67635392</v>
      </c>
      <c r="U16" s="6">
        <v>88859686</v>
      </c>
      <c r="V16" s="6">
        <v>-2438112</v>
      </c>
      <c r="W16" s="6">
        <f t="shared" si="31"/>
        <v>-23662406</v>
      </c>
      <c r="X16" s="6"/>
      <c r="Y16" s="17">
        <v>1</v>
      </c>
      <c r="Z16" s="11">
        <v>1000</v>
      </c>
      <c r="AA16" s="11"/>
      <c r="AB16" s="28">
        <f t="shared" si="2"/>
        <v>-9.6136815036676516E-3</v>
      </c>
      <c r="AC16" s="28">
        <f t="shared" si="16"/>
        <v>-2.1065614763600683E-2</v>
      </c>
      <c r="AD16" s="28">
        <f t="shared" si="3"/>
        <v>0.98390287224131701</v>
      </c>
      <c r="AE16" s="12">
        <f t="shared" si="25"/>
        <v>0.6245692975713284</v>
      </c>
      <c r="AF16" s="28">
        <f t="shared" si="17"/>
        <v>1.1912120508219544</v>
      </c>
      <c r="AG16" s="28">
        <f t="shared" si="5"/>
        <v>0.54363157156566111</v>
      </c>
      <c r="AH16" s="13"/>
      <c r="AI16" s="14">
        <f t="shared" si="6"/>
        <v>-5.3960401883068904E-3</v>
      </c>
      <c r="AJ16" s="14">
        <f t="shared" si="7"/>
        <v>3.9888739118816741E-2</v>
      </c>
      <c r="AK16" s="30">
        <f t="shared" si="18"/>
        <v>2.7479247759661929E-2</v>
      </c>
      <c r="AL16" s="14">
        <f t="shared" si="8"/>
        <v>0.87808971439589689</v>
      </c>
      <c r="AM16" s="14">
        <f t="shared" si="9"/>
        <v>0.53603001183366517</v>
      </c>
      <c r="AN16" s="74">
        <f t="shared" si="10"/>
        <v>1.1975740445001262</v>
      </c>
      <c r="AO16" s="15"/>
      <c r="AP16" s="62" t="str">
        <f t="shared" si="19"/>
        <v>FD</v>
      </c>
      <c r="AQ16" s="13"/>
      <c r="AR16" s="16">
        <v>1.2</v>
      </c>
      <c r="AS16" s="16">
        <v>1.4</v>
      </c>
      <c r="AT16" s="16">
        <v>3.3</v>
      </c>
      <c r="AU16" s="16">
        <v>0.6</v>
      </c>
      <c r="AV16" s="16">
        <v>0.99</v>
      </c>
      <c r="AX16" s="69">
        <f t="shared" si="26"/>
        <v>0.18029788095933386</v>
      </c>
    </row>
    <row r="17" spans="1:50" x14ac:dyDescent="0.25">
      <c r="A17" s="20" t="s">
        <v>49</v>
      </c>
      <c r="B17" s="88"/>
      <c r="C17" s="5" t="s">
        <v>4</v>
      </c>
      <c r="D17" s="7">
        <v>246229463</v>
      </c>
      <c r="E17" s="6">
        <v>665275229</v>
      </c>
      <c r="F17" s="6">
        <v>1597837689</v>
      </c>
      <c r="G17" s="7">
        <f t="shared" si="12"/>
        <v>2263112918</v>
      </c>
      <c r="H17" s="6">
        <v>840292748</v>
      </c>
      <c r="I17" s="6">
        <v>469039379</v>
      </c>
      <c r="J17" s="6">
        <f t="shared" si="13"/>
        <v>1309332127</v>
      </c>
      <c r="K17" s="6">
        <v>953780791</v>
      </c>
      <c r="L17" s="22">
        <f t="shared" si="14"/>
        <v>2263112918</v>
      </c>
      <c r="M17" s="48" t="str">
        <f t="shared" si="0"/>
        <v>OK</v>
      </c>
      <c r="N17" s="6">
        <f>-14810645</f>
        <v>-14810645</v>
      </c>
      <c r="O17" s="6">
        <v>979110000</v>
      </c>
      <c r="P17" s="8">
        <v>1030</v>
      </c>
      <c r="Q17" s="9">
        <f t="shared" si="15"/>
        <v>1008483300000</v>
      </c>
      <c r="R17" s="66" t="s">
        <v>4</v>
      </c>
      <c r="S17" s="6">
        <v>1221535436</v>
      </c>
      <c r="T17" s="6">
        <f>-159492681+95426650</f>
        <v>-64066031</v>
      </c>
      <c r="U17" s="6">
        <v>95426650</v>
      </c>
      <c r="V17" s="6">
        <v>-3591311</v>
      </c>
      <c r="W17" s="6">
        <f t="shared" si="31"/>
        <v>-163083992</v>
      </c>
      <c r="X17" s="6"/>
      <c r="Y17" s="17">
        <v>1</v>
      </c>
      <c r="Z17" s="11">
        <v>1000</v>
      </c>
      <c r="AA17" s="11"/>
      <c r="AB17" s="28">
        <f t="shared" si="2"/>
        <v>-7.2061800674145596E-2</v>
      </c>
      <c r="AC17" s="28">
        <f t="shared" si="16"/>
        <v>-0.17098686987500883</v>
      </c>
      <c r="AD17" s="28">
        <f t="shared" si="3"/>
        <v>0.79171839883592565</v>
      </c>
      <c r="AE17" s="12">
        <f t="shared" si="25"/>
        <v>0.49869020885564042</v>
      </c>
      <c r="AF17" s="28">
        <f t="shared" si="17"/>
        <v>1.3727809779301794</v>
      </c>
      <c r="AG17" s="28">
        <f t="shared" si="5"/>
        <v>0.57855360047924931</v>
      </c>
      <c r="AH17" s="13"/>
      <c r="AI17" s="14">
        <f t="shared" si="6"/>
        <v>-7.7334859258666469E-2</v>
      </c>
      <c r="AJ17" s="14">
        <f t="shared" si="7"/>
        <v>-6.5443685474999352E-3</v>
      </c>
      <c r="AK17" s="30">
        <f t="shared" si="18"/>
        <v>-2.8308808849280758E-2</v>
      </c>
      <c r="AL17" s="14">
        <f t="shared" si="8"/>
        <v>0.77022726258973095</v>
      </c>
      <c r="AM17" s="14">
        <f t="shared" si="9"/>
        <v>0.53975894277494463</v>
      </c>
      <c r="AN17" s="74">
        <f t="shared" si="10"/>
        <v>0.80111469462150753</v>
      </c>
      <c r="AO17" s="15"/>
      <c r="AP17" s="62" t="str">
        <f t="shared" si="19"/>
        <v>FD</v>
      </c>
      <c r="AQ17" s="13"/>
      <c r="AR17" s="16">
        <v>1.2</v>
      </c>
      <c r="AS17" s="16">
        <v>1.4</v>
      </c>
      <c r="AT17" s="16">
        <v>3.3</v>
      </c>
      <c r="AU17" s="16">
        <v>0.6</v>
      </c>
      <c r="AV17" s="16">
        <v>0.99</v>
      </c>
      <c r="AX17" s="69">
        <f t="shared" si="26"/>
        <v>-0.22175115287411418</v>
      </c>
    </row>
    <row r="18" spans="1:50" x14ac:dyDescent="0.25">
      <c r="A18" s="20" t="s">
        <v>50</v>
      </c>
      <c r="B18" s="88"/>
      <c r="C18" s="5" t="s">
        <v>5</v>
      </c>
      <c r="D18" s="7">
        <v>166791723</v>
      </c>
      <c r="E18" s="6">
        <v>494691709</v>
      </c>
      <c r="F18" s="6">
        <v>1471026838</v>
      </c>
      <c r="G18" s="7">
        <f t="shared" si="12"/>
        <v>1965718547</v>
      </c>
      <c r="H18" s="6">
        <v>742677853</v>
      </c>
      <c r="I18" s="6">
        <v>456317176</v>
      </c>
      <c r="J18" s="6">
        <f t="shared" si="13"/>
        <v>1198995029</v>
      </c>
      <c r="K18" s="6">
        <v>766723518</v>
      </c>
      <c r="L18" s="22">
        <f t="shared" si="14"/>
        <v>1965718547</v>
      </c>
      <c r="M18" s="48" t="str">
        <f t="shared" si="0"/>
        <v>OK</v>
      </c>
      <c r="N18" s="6">
        <f>-145333991</f>
        <v>-145333991</v>
      </c>
      <c r="O18" s="6">
        <v>979110000</v>
      </c>
      <c r="P18" s="8">
        <v>1200</v>
      </c>
      <c r="Q18" s="9">
        <f t="shared" si="15"/>
        <v>1174932000000</v>
      </c>
      <c r="R18" s="66" t="s">
        <v>5</v>
      </c>
      <c r="S18" s="6">
        <v>1123569559</v>
      </c>
      <c r="T18" s="6">
        <f>-207715034+95818580</f>
        <v>-111896454</v>
      </c>
      <c r="U18" s="6">
        <v>95818580</v>
      </c>
      <c r="V18" s="6">
        <v>20661693</v>
      </c>
      <c r="W18" s="6">
        <f t="shared" si="31"/>
        <v>-187053341</v>
      </c>
      <c r="X18" s="6"/>
      <c r="Y18" s="17">
        <v>1</v>
      </c>
      <c r="Z18" s="11">
        <v>1000</v>
      </c>
      <c r="AA18" s="11"/>
      <c r="AB18" s="28">
        <f t="shared" si="2"/>
        <v>-9.5157743353173951E-2</v>
      </c>
      <c r="AC18" s="28">
        <f t="shared" si="16"/>
        <v>-0.24396452777127414</v>
      </c>
      <c r="AD18" s="28">
        <f t="shared" si="3"/>
        <v>0.66609190916589778</v>
      </c>
      <c r="AE18" s="12">
        <f t="shared" si="25"/>
        <v>0.44151038660365172</v>
      </c>
      <c r="AF18" s="28">
        <f t="shared" si="17"/>
        <v>1.5637905983731675</v>
      </c>
      <c r="AG18" s="28">
        <f t="shared" si="5"/>
        <v>0.60995254423877598</v>
      </c>
      <c r="AH18" s="13"/>
      <c r="AI18" s="14">
        <f t="shared" si="6"/>
        <v>-0.12615546837998065</v>
      </c>
      <c r="AJ18" s="14">
        <f t="shared" si="7"/>
        <v>-7.3934282820805067E-2</v>
      </c>
      <c r="AK18" s="30">
        <f t="shared" si="18"/>
        <v>-5.6923944768579322E-2</v>
      </c>
      <c r="AL18" s="14">
        <f t="shared" si="8"/>
        <v>0.97993066825300412</v>
      </c>
      <c r="AM18" s="14">
        <f t="shared" si="9"/>
        <v>0.57158211215677157</v>
      </c>
      <c r="AN18" s="74">
        <f t="shared" si="10"/>
        <v>0.71108111624559056</v>
      </c>
      <c r="AO18" s="15"/>
      <c r="AP18" s="62" t="str">
        <f t="shared" si="19"/>
        <v>FD</v>
      </c>
      <c r="AQ18" s="13"/>
      <c r="AR18" s="16">
        <v>1.2</v>
      </c>
      <c r="AS18" s="16">
        <v>1.4</v>
      </c>
      <c r="AT18" s="16">
        <v>3.3</v>
      </c>
      <c r="AU18" s="16">
        <v>0.6</v>
      </c>
      <c r="AV18" s="16">
        <v>0.99</v>
      </c>
      <c r="AX18" s="69">
        <f t="shared" si="26"/>
        <v>-0.3409687681398445</v>
      </c>
    </row>
    <row r="19" spans="1:50" x14ac:dyDescent="0.25">
      <c r="A19" s="20" t="s">
        <v>51</v>
      </c>
      <c r="B19" s="89"/>
      <c r="C19" s="5" t="s">
        <v>131</v>
      </c>
      <c r="D19" s="7">
        <v>159032076</v>
      </c>
      <c r="E19" s="6">
        <v>405198035</v>
      </c>
      <c r="F19" s="6">
        <v>1615442222</v>
      </c>
      <c r="G19" s="7">
        <f t="shared" si="12"/>
        <v>2020640257</v>
      </c>
      <c r="H19" s="6">
        <v>653818710</v>
      </c>
      <c r="I19" s="6">
        <v>515786463</v>
      </c>
      <c r="J19" s="6">
        <f t="shared" si="13"/>
        <v>1169605173</v>
      </c>
      <c r="K19" s="6">
        <v>851035084</v>
      </c>
      <c r="L19" s="22">
        <f t="shared" si="14"/>
        <v>2020640257</v>
      </c>
      <c r="M19" s="48" t="str">
        <f t="shared" si="0"/>
        <v>OK</v>
      </c>
      <c r="N19" s="6">
        <f>-145333991</f>
        <v>-145333991</v>
      </c>
      <c r="O19" s="6">
        <v>979110000</v>
      </c>
      <c r="P19" s="8">
        <v>1190</v>
      </c>
      <c r="Q19" s="9">
        <f t="shared" ref="Q19" si="32">O19*P19</f>
        <v>1165140900000</v>
      </c>
      <c r="R19" s="66" t="s">
        <v>131</v>
      </c>
      <c r="S19" s="6">
        <v>1051423115</v>
      </c>
      <c r="T19" s="6">
        <f>-216722795+85837237</f>
        <v>-130885558</v>
      </c>
      <c r="U19" s="6">
        <v>85837237</v>
      </c>
      <c r="V19" s="6">
        <v>23449968</v>
      </c>
      <c r="W19" s="6">
        <f t="shared" si="31"/>
        <v>-193272827</v>
      </c>
      <c r="X19" s="6"/>
      <c r="Y19" s="17">
        <v>1</v>
      </c>
      <c r="Z19" s="11">
        <v>1000</v>
      </c>
      <c r="AA19" s="11"/>
      <c r="AB19" s="28">
        <f t="shared" si="2"/>
        <v>-9.5649300428641323E-2</v>
      </c>
      <c r="AC19" s="28">
        <f t="shared" si="16"/>
        <v>-0.22710324243224736</v>
      </c>
      <c r="AD19" s="28">
        <f t="shared" si="3"/>
        <v>0.61974065410272516</v>
      </c>
      <c r="AE19" s="12">
        <f t="shared" si="25"/>
        <v>0.37650491678343068</v>
      </c>
      <c r="AF19" s="28">
        <f t="shared" si="17"/>
        <v>1.3743324981417571</v>
      </c>
      <c r="AG19" s="28">
        <f t="shared" si="5"/>
        <v>0.57882899687274714</v>
      </c>
      <c r="AH19" s="13"/>
      <c r="AI19" s="14">
        <f t="shared" si="6"/>
        <v>-0.12304054328261362</v>
      </c>
      <c r="AJ19" s="14">
        <f t="shared" si="7"/>
        <v>-7.1924723115124989E-2</v>
      </c>
      <c r="AK19" s="30">
        <f t="shared" si="18"/>
        <v>-6.4774299901518784E-2</v>
      </c>
      <c r="AL19" s="14">
        <f t="shared" si="8"/>
        <v>0.99618309400209881</v>
      </c>
      <c r="AM19" s="14">
        <f t="shared" si="9"/>
        <v>0.52034156567830869</v>
      </c>
      <c r="AN19" s="74">
        <f t="shared" si="10"/>
        <v>0.65074955244746158</v>
      </c>
      <c r="AO19" s="15"/>
      <c r="AP19" s="62" t="str">
        <f t="shared" si="19"/>
        <v>FD</v>
      </c>
      <c r="AQ19" s="13"/>
      <c r="AR19" s="16">
        <v>1.2</v>
      </c>
      <c r="AS19" s="16">
        <v>1.4</v>
      </c>
      <c r="AT19" s="16">
        <v>3.3</v>
      </c>
      <c r="AU19" s="16">
        <v>0.6</v>
      </c>
      <c r="AV19" s="16">
        <v>0.99</v>
      </c>
      <c r="AX19" s="69">
        <f t="shared" si="26"/>
        <v>-0.42963042285650926</v>
      </c>
    </row>
    <row r="20" spans="1:50" x14ac:dyDescent="0.25">
      <c r="A20" s="20" t="s">
        <v>52</v>
      </c>
      <c r="B20" s="87" t="s">
        <v>8</v>
      </c>
      <c r="C20" s="5" t="s">
        <v>1</v>
      </c>
      <c r="D20" s="7">
        <v>957425</v>
      </c>
      <c r="E20" s="6">
        <v>1787723</v>
      </c>
      <c r="F20" s="6">
        <v>3717167</v>
      </c>
      <c r="G20" s="7">
        <f t="shared" si="12"/>
        <v>5504890</v>
      </c>
      <c r="H20" s="6">
        <v>885086</v>
      </c>
      <c r="I20" s="6">
        <v>1020540</v>
      </c>
      <c r="J20" s="6">
        <f t="shared" si="13"/>
        <v>1905626</v>
      </c>
      <c r="K20" s="6">
        <v>3599264</v>
      </c>
      <c r="L20" s="22">
        <f t="shared" si="14"/>
        <v>5504890</v>
      </c>
      <c r="M20" s="48" t="str">
        <f t="shared" si="0"/>
        <v>OK</v>
      </c>
      <c r="N20" s="6">
        <f>3134681</f>
        <v>3134681</v>
      </c>
      <c r="O20" s="6">
        <v>434000000</v>
      </c>
      <c r="P20" s="8">
        <v>6700</v>
      </c>
      <c r="Q20" s="9">
        <f t="shared" si="15"/>
        <v>2907800000000</v>
      </c>
      <c r="R20" s="66" t="s">
        <v>1</v>
      </c>
      <c r="S20" s="6">
        <v>3724075</v>
      </c>
      <c r="T20" s="6">
        <f>348561+12483</f>
        <v>361044</v>
      </c>
      <c r="U20" s="6">
        <v>12483</v>
      </c>
      <c r="V20" s="6">
        <v>-88117</v>
      </c>
      <c r="W20" s="6">
        <f t="shared" ref="W20:W25" si="33">T20-U20+V20</f>
        <v>260444</v>
      </c>
      <c r="X20" s="6"/>
      <c r="Y20" s="17">
        <v>1</v>
      </c>
      <c r="Z20" s="11">
        <v>1000000</v>
      </c>
      <c r="AA20" s="11"/>
      <c r="AB20" s="28">
        <f t="shared" si="2"/>
        <v>4.7311390418337151E-2</v>
      </c>
      <c r="AC20" s="28">
        <f t="shared" si="16"/>
        <v>7.2360349226953072E-2</v>
      </c>
      <c r="AD20" s="28">
        <f t="shared" si="3"/>
        <v>2.0198297114630668</v>
      </c>
      <c r="AE20" s="12">
        <f t="shared" si="25"/>
        <v>0.93809867063765551</v>
      </c>
      <c r="AF20" s="28">
        <f t="shared" si="17"/>
        <v>0.52944879842101056</v>
      </c>
      <c r="AG20" s="28">
        <f t="shared" si="5"/>
        <v>0.34616967823153594</v>
      </c>
      <c r="AH20" s="13"/>
      <c r="AI20" s="14">
        <f t="shared" si="6"/>
        <v>0.16397003391530077</v>
      </c>
      <c r="AJ20" s="14">
        <f t="shared" si="7"/>
        <v>0.56943571987814467</v>
      </c>
      <c r="AK20" s="30">
        <f t="shared" si="18"/>
        <v>6.5586051674057066E-2</v>
      </c>
      <c r="AL20" s="14">
        <f t="shared" si="8"/>
        <v>1.5259027742064812</v>
      </c>
      <c r="AM20" s="14">
        <f t="shared" si="9"/>
        <v>0.67650307272261567</v>
      </c>
      <c r="AN20" s="74">
        <f t="shared" si="10"/>
        <v>2.7956877255714301</v>
      </c>
      <c r="AO20" s="15"/>
      <c r="AP20" s="62" t="str">
        <f t="shared" si="19"/>
        <v>GA</v>
      </c>
      <c r="AQ20" s="13"/>
      <c r="AR20" s="16">
        <v>1.2</v>
      </c>
      <c r="AS20" s="16">
        <v>1.4</v>
      </c>
      <c r="AT20" s="16">
        <v>3.3</v>
      </c>
      <c r="AU20" s="16">
        <v>0.6</v>
      </c>
      <c r="AV20" s="16">
        <v>0.99</v>
      </c>
      <c r="AX20" s="69">
        <f t="shared" si="26"/>
        <v>1.0280781320009522</v>
      </c>
    </row>
    <row r="21" spans="1:50" x14ac:dyDescent="0.25">
      <c r="A21" s="20" t="s">
        <v>53</v>
      </c>
      <c r="B21" s="88"/>
      <c r="C21" s="5" t="s">
        <v>2</v>
      </c>
      <c r="D21" s="7">
        <v>1144420</v>
      </c>
      <c r="E21" s="6">
        <v>2003321</v>
      </c>
      <c r="F21" s="6">
        <v>4264495</v>
      </c>
      <c r="G21" s="7">
        <f t="shared" si="12"/>
        <v>6267816</v>
      </c>
      <c r="H21" s="6">
        <v>996903</v>
      </c>
      <c r="I21" s="6">
        <v>1722036</v>
      </c>
      <c r="J21" s="6">
        <f t="shared" si="13"/>
        <v>2718939</v>
      </c>
      <c r="K21" s="6">
        <v>3548877</v>
      </c>
      <c r="L21" s="22">
        <f t="shared" si="14"/>
        <v>6267816</v>
      </c>
      <c r="M21" s="48" t="str">
        <f t="shared" si="0"/>
        <v>OK</v>
      </c>
      <c r="N21" s="6">
        <f>3084294</f>
        <v>3084294</v>
      </c>
      <c r="O21" s="6">
        <v>434000000</v>
      </c>
      <c r="P21" s="8">
        <v>6025</v>
      </c>
      <c r="Q21" s="9">
        <f t="shared" si="15"/>
        <v>2614850000000</v>
      </c>
      <c r="R21" s="66" t="s">
        <v>2</v>
      </c>
      <c r="S21" s="6">
        <v>3885791</v>
      </c>
      <c r="T21" s="6">
        <f>63589+31757</f>
        <v>95346</v>
      </c>
      <c r="U21" s="6">
        <v>31757</v>
      </c>
      <c r="V21" s="6">
        <v>-25020</v>
      </c>
      <c r="W21" s="6">
        <f t="shared" si="33"/>
        <v>38569</v>
      </c>
      <c r="X21" s="6"/>
      <c r="Y21" s="17">
        <v>1</v>
      </c>
      <c r="Z21" s="11">
        <v>1000000</v>
      </c>
      <c r="AA21" s="11"/>
      <c r="AB21" s="28">
        <f t="shared" si="2"/>
        <v>6.1534990816577897E-3</v>
      </c>
      <c r="AC21" s="28">
        <f t="shared" si="16"/>
        <v>1.0867944986540813E-2</v>
      </c>
      <c r="AD21" s="28">
        <f t="shared" si="3"/>
        <v>2.0095445595007737</v>
      </c>
      <c r="AE21" s="12">
        <f t="shared" si="25"/>
        <v>0.86156928006034694</v>
      </c>
      <c r="AF21" s="28">
        <f t="shared" si="17"/>
        <v>0.76614066928777746</v>
      </c>
      <c r="AG21" s="28">
        <f t="shared" si="5"/>
        <v>0.43379368507307808</v>
      </c>
      <c r="AH21" s="13"/>
      <c r="AI21" s="14">
        <f t="shared" si="6"/>
        <v>0.16056916795260104</v>
      </c>
      <c r="AJ21" s="14">
        <f t="shared" si="7"/>
        <v>0.49208432410906766</v>
      </c>
      <c r="AK21" s="30">
        <f t="shared" si="18"/>
        <v>1.5211997289007845E-2</v>
      </c>
      <c r="AL21" s="14">
        <f t="shared" si="8"/>
        <v>0.96171705212952552</v>
      </c>
      <c r="AM21" s="14">
        <f t="shared" si="9"/>
        <v>0.61995932873587867</v>
      </c>
      <c r="AN21" s="74">
        <f t="shared" si="10"/>
        <v>2.122590613075777</v>
      </c>
      <c r="AO21" s="15"/>
      <c r="AP21" s="62" t="str">
        <f t="shared" si="19"/>
        <v>GA</v>
      </c>
      <c r="AQ21" s="13"/>
      <c r="AR21" s="16">
        <v>1.2</v>
      </c>
      <c r="AS21" s="16">
        <v>1.4</v>
      </c>
      <c r="AT21" s="16">
        <v>3.3</v>
      </c>
      <c r="AU21" s="16">
        <v>0.6</v>
      </c>
      <c r="AV21" s="16">
        <v>0.99</v>
      </c>
      <c r="AX21" s="69">
        <f t="shared" si="26"/>
        <v>0.75263732996502386</v>
      </c>
    </row>
    <row r="22" spans="1:50" x14ac:dyDescent="0.25">
      <c r="A22" s="20" t="s">
        <v>54</v>
      </c>
      <c r="B22" s="88"/>
      <c r="C22" s="5" t="s">
        <v>3</v>
      </c>
      <c r="D22" s="7">
        <v>1299004</v>
      </c>
      <c r="E22" s="6">
        <v>2208918</v>
      </c>
      <c r="F22" s="6">
        <v>6223714</v>
      </c>
      <c r="G22" s="7">
        <f t="shared" si="12"/>
        <v>8432632</v>
      </c>
      <c r="H22" s="6">
        <v>1738904</v>
      </c>
      <c r="I22" s="6">
        <v>3097062</v>
      </c>
      <c r="J22" s="6">
        <f t="shared" si="13"/>
        <v>4835966</v>
      </c>
      <c r="K22" s="6">
        <v>3596666</v>
      </c>
      <c r="L22" s="22">
        <f t="shared" si="14"/>
        <v>8432632</v>
      </c>
      <c r="M22" s="48" t="str">
        <f t="shared" si="0"/>
        <v>OK</v>
      </c>
      <c r="N22" s="6">
        <f>3132083</f>
        <v>3132083</v>
      </c>
      <c r="O22" s="6">
        <v>434000000</v>
      </c>
      <c r="P22" s="8">
        <v>3690</v>
      </c>
      <c r="Q22" s="9">
        <f t="shared" si="15"/>
        <v>1601460000000</v>
      </c>
      <c r="R22" s="66" t="s">
        <v>3</v>
      </c>
      <c r="S22" s="6">
        <v>4443262</v>
      </c>
      <c r="T22" s="6">
        <f>11184+167671</f>
        <v>178855</v>
      </c>
      <c r="U22" s="6">
        <v>167671</v>
      </c>
      <c r="V22" s="6">
        <v>-4588</v>
      </c>
      <c r="W22" s="6">
        <f t="shared" si="33"/>
        <v>6596</v>
      </c>
      <c r="X22" s="6"/>
      <c r="Y22" s="17">
        <v>1</v>
      </c>
      <c r="Z22" s="11">
        <v>1000000</v>
      </c>
      <c r="AA22" s="11"/>
      <c r="AB22" s="28">
        <f t="shared" si="2"/>
        <v>7.8219943666461432E-4</v>
      </c>
      <c r="AC22" s="28">
        <f t="shared" si="16"/>
        <v>1.8339206365005814E-3</v>
      </c>
      <c r="AD22" s="28">
        <f t="shared" si="3"/>
        <v>1.2702932421801318</v>
      </c>
      <c r="AE22" s="12">
        <f t="shared" si="25"/>
        <v>0.52326867958208156</v>
      </c>
      <c r="AF22" s="28">
        <f t="shared" si="17"/>
        <v>1.3445691092806504</v>
      </c>
      <c r="AG22" s="28">
        <f t="shared" si="5"/>
        <v>0.57348239553202374</v>
      </c>
      <c r="AH22" s="13"/>
      <c r="AI22" s="14">
        <f t="shared" si="6"/>
        <v>5.5737520622268347E-2</v>
      </c>
      <c r="AJ22" s="14">
        <f t="shared" si="7"/>
        <v>0.37142412950073</v>
      </c>
      <c r="AK22" s="30">
        <f t="shared" si="18"/>
        <v>2.120986662290018E-2</v>
      </c>
      <c r="AL22" s="14">
        <f t="shared" si="8"/>
        <v>0.33115617438170575</v>
      </c>
      <c r="AM22" s="14">
        <f t="shared" si="9"/>
        <v>0.52691283101171738</v>
      </c>
      <c r="AN22" s="74">
        <f t="shared" si="10"/>
        <v>1.3772087732339382</v>
      </c>
      <c r="AO22" s="15"/>
      <c r="AP22" s="62" t="str">
        <f t="shared" si="19"/>
        <v>FD</v>
      </c>
      <c r="AQ22" s="13"/>
      <c r="AR22" s="16">
        <v>1.2</v>
      </c>
      <c r="AS22" s="16">
        <v>1.4</v>
      </c>
      <c r="AT22" s="16">
        <v>3.3</v>
      </c>
      <c r="AU22" s="16">
        <v>0.6</v>
      </c>
      <c r="AV22" s="16">
        <v>0.99</v>
      </c>
      <c r="AX22" s="69">
        <f t="shared" si="26"/>
        <v>0.32005882280316839</v>
      </c>
    </row>
    <row r="23" spans="1:50" x14ac:dyDescent="0.25">
      <c r="A23" s="20" t="s">
        <v>55</v>
      </c>
      <c r="B23" s="88"/>
      <c r="C23" s="5" t="s">
        <v>4</v>
      </c>
      <c r="D23" s="7">
        <v>1410082</v>
      </c>
      <c r="E23" s="6">
        <v>2347673</v>
      </c>
      <c r="F23" s="6">
        <v>6390382</v>
      </c>
      <c r="G23" s="7">
        <f t="shared" si="12"/>
        <v>8738055</v>
      </c>
      <c r="H23" s="6">
        <v>2286103</v>
      </c>
      <c r="I23" s="6">
        <v>3042021</v>
      </c>
      <c r="J23" s="6">
        <f t="shared" si="13"/>
        <v>5328124</v>
      </c>
      <c r="K23" s="6">
        <v>3409931</v>
      </c>
      <c r="L23" s="22">
        <f t="shared" si="14"/>
        <v>8738055</v>
      </c>
      <c r="M23" s="48" t="str">
        <f t="shared" si="0"/>
        <v>OK</v>
      </c>
      <c r="N23" s="6">
        <f>2945348</f>
        <v>2945348</v>
      </c>
      <c r="O23" s="6">
        <v>434000000</v>
      </c>
      <c r="P23" s="8">
        <v>3430</v>
      </c>
      <c r="Q23" s="9">
        <f t="shared" si="15"/>
        <v>1488620000000</v>
      </c>
      <c r="R23" s="66" t="s">
        <v>4</v>
      </c>
      <c r="S23" s="6">
        <v>4289776</v>
      </c>
      <c r="T23" s="6">
        <f>-168416+153769</f>
        <v>-14647</v>
      </c>
      <c r="U23" s="6">
        <v>153769</v>
      </c>
      <c r="V23" s="6">
        <v>36193</v>
      </c>
      <c r="W23" s="6">
        <f t="shared" si="33"/>
        <v>-132223</v>
      </c>
      <c r="X23" s="6"/>
      <c r="Y23" s="17">
        <v>1</v>
      </c>
      <c r="Z23" s="11">
        <v>1000000</v>
      </c>
      <c r="AA23" s="11"/>
      <c r="AB23" s="28">
        <f t="shared" si="2"/>
        <v>-1.5131857146699122E-2</v>
      </c>
      <c r="AC23" s="28">
        <f t="shared" si="16"/>
        <v>-3.8775857927917018E-2</v>
      </c>
      <c r="AD23" s="28">
        <f t="shared" si="3"/>
        <v>1.0269322948266111</v>
      </c>
      <c r="AE23" s="12">
        <f t="shared" si="25"/>
        <v>0.41012631539348837</v>
      </c>
      <c r="AF23" s="28">
        <f t="shared" si="17"/>
        <v>1.5625313239476106</v>
      </c>
      <c r="AG23" s="28">
        <f t="shared" si="5"/>
        <v>0.60976086783614891</v>
      </c>
      <c r="AH23" s="13"/>
      <c r="AI23" s="14">
        <f t="shared" si="6"/>
        <v>7.046190485182343E-3</v>
      </c>
      <c r="AJ23" s="14">
        <f t="shared" si="7"/>
        <v>0.33707135054654613</v>
      </c>
      <c r="AK23" s="30">
        <f t="shared" si="18"/>
        <v>-1.6762311521271037E-3</v>
      </c>
      <c r="AL23" s="14">
        <f t="shared" si="8"/>
        <v>0.27938914334576298</v>
      </c>
      <c r="AM23" s="14">
        <f t="shared" si="9"/>
        <v>0.4909303042839625</v>
      </c>
      <c r="AN23" s="74">
        <f t="shared" si="10"/>
        <v>1.1284782437939445</v>
      </c>
      <c r="AO23" s="15"/>
      <c r="AP23" s="62" t="str">
        <f t="shared" si="19"/>
        <v>FD</v>
      </c>
      <c r="AQ23" s="13"/>
      <c r="AR23" s="16">
        <v>1.2</v>
      </c>
      <c r="AS23" s="16">
        <v>1.4</v>
      </c>
      <c r="AT23" s="16">
        <v>3.3</v>
      </c>
      <c r="AU23" s="16">
        <v>0.6</v>
      </c>
      <c r="AV23" s="16">
        <v>0.99</v>
      </c>
      <c r="AX23" s="69">
        <f t="shared" si="26"/>
        <v>0.1208700382184965</v>
      </c>
    </row>
    <row r="24" spans="1:50" x14ac:dyDescent="0.25">
      <c r="A24" s="20" t="s">
        <v>56</v>
      </c>
      <c r="B24" s="88"/>
      <c r="C24" s="5" t="s">
        <v>5</v>
      </c>
      <c r="D24" s="7">
        <v>1139169</v>
      </c>
      <c r="E24" s="6">
        <v>1932986</v>
      </c>
      <c r="F24" s="6">
        <v>6028671</v>
      </c>
      <c r="G24" s="7">
        <f t="shared" si="12"/>
        <v>7961657</v>
      </c>
      <c r="H24" s="6">
        <v>2404568</v>
      </c>
      <c r="I24" s="6">
        <v>2627252</v>
      </c>
      <c r="J24" s="6">
        <f t="shared" si="13"/>
        <v>5031820</v>
      </c>
      <c r="K24" s="6">
        <v>2929837</v>
      </c>
      <c r="L24" s="22">
        <f t="shared" si="14"/>
        <v>7961657</v>
      </c>
      <c r="M24" s="48" t="str">
        <f t="shared" si="0"/>
        <v>OK</v>
      </c>
      <c r="N24" s="6">
        <f>2465254</f>
        <v>2465254</v>
      </c>
      <c r="O24" s="6">
        <v>434000000</v>
      </c>
      <c r="P24" s="8">
        <v>2700</v>
      </c>
      <c r="Q24" s="9">
        <f t="shared" si="15"/>
        <v>1171800000000</v>
      </c>
      <c r="R24" s="66" t="s">
        <v>5</v>
      </c>
      <c r="S24" s="6">
        <v>3767789</v>
      </c>
      <c r="T24" s="6">
        <f>-465748+176758</f>
        <v>-288990</v>
      </c>
      <c r="U24" s="6">
        <v>176758</v>
      </c>
      <c r="V24" s="6">
        <v>34761</v>
      </c>
      <c r="W24" s="6">
        <f t="shared" si="33"/>
        <v>-430987</v>
      </c>
      <c r="X24" s="6"/>
      <c r="Y24" s="17">
        <v>1</v>
      </c>
      <c r="Z24" s="11">
        <v>1000000</v>
      </c>
      <c r="AA24" s="11"/>
      <c r="AB24" s="28">
        <f t="shared" si="2"/>
        <v>-5.4132826872596997E-2</v>
      </c>
      <c r="AC24" s="28">
        <f t="shared" si="16"/>
        <v>-0.14710272277945838</v>
      </c>
      <c r="AD24" s="28">
        <f t="shared" si="3"/>
        <v>0.80388078024826082</v>
      </c>
      <c r="AE24" s="12">
        <f t="shared" si="25"/>
        <v>0.33012873830143297</v>
      </c>
      <c r="AF24" s="28">
        <f t="shared" si="17"/>
        <v>1.7174402535021573</v>
      </c>
      <c r="AG24" s="28">
        <f t="shared" si="5"/>
        <v>0.63200662877087022</v>
      </c>
      <c r="AH24" s="13"/>
      <c r="AI24" s="14">
        <f t="shared" si="6"/>
        <v>-5.9231639845826065E-2</v>
      </c>
      <c r="AJ24" s="14">
        <f t="shared" si="7"/>
        <v>0.30964081974393021</v>
      </c>
      <c r="AK24" s="30">
        <f t="shared" si="18"/>
        <v>-3.6297720436838717E-2</v>
      </c>
      <c r="AL24" s="14">
        <f t="shared" si="8"/>
        <v>0.23287796463307511</v>
      </c>
      <c r="AM24" s="14">
        <f t="shared" si="9"/>
        <v>0.47324181385859754</v>
      </c>
      <c r="AN24" s="74">
        <f t="shared" si="10"/>
        <v>0.85087287688479996</v>
      </c>
      <c r="AO24" s="15"/>
      <c r="AP24" s="62" t="str">
        <f t="shared" si="19"/>
        <v>FD</v>
      </c>
      <c r="AQ24" s="13"/>
      <c r="AR24" s="16">
        <v>1.2</v>
      </c>
      <c r="AS24" s="16">
        <v>1.4</v>
      </c>
      <c r="AT24" s="16">
        <v>3.3</v>
      </c>
      <c r="AU24" s="16">
        <v>0.6</v>
      </c>
      <c r="AV24" s="16">
        <v>0.99</v>
      </c>
      <c r="AX24" s="69">
        <f t="shared" si="26"/>
        <v>-0.16149254243112027</v>
      </c>
    </row>
    <row r="25" spans="1:50" x14ac:dyDescent="0.25">
      <c r="A25" s="20" t="s">
        <v>57</v>
      </c>
      <c r="B25" s="89"/>
      <c r="C25" s="5" t="s">
        <v>131</v>
      </c>
      <c r="D25" s="7">
        <v>1264383</v>
      </c>
      <c r="E25" s="6">
        <v>1906967</v>
      </c>
      <c r="F25" s="6">
        <v>5496509</v>
      </c>
      <c r="G25" s="7">
        <f t="shared" si="12"/>
        <v>7403476</v>
      </c>
      <c r="H25" s="6">
        <v>1927761</v>
      </c>
      <c r="I25" s="6">
        <v>2182346</v>
      </c>
      <c r="J25" s="6">
        <f t="shared" si="13"/>
        <v>4110107</v>
      </c>
      <c r="K25" s="6">
        <v>3293369</v>
      </c>
      <c r="L25" s="22">
        <f t="shared" si="14"/>
        <v>7403476</v>
      </c>
      <c r="M25" s="48" t="str">
        <f t="shared" si="0"/>
        <v>OK</v>
      </c>
      <c r="N25" s="6">
        <v>2828786</v>
      </c>
      <c r="O25" s="6">
        <v>434000000</v>
      </c>
      <c r="P25" s="8">
        <v>4440</v>
      </c>
      <c r="Q25" s="9">
        <f t="shared" si="15"/>
        <v>1926960000000</v>
      </c>
      <c r="R25" s="66" t="s">
        <v>131</v>
      </c>
      <c r="S25" s="6">
        <v>4748139</v>
      </c>
      <c r="T25" s="6">
        <f>378799+109552</f>
        <v>488351</v>
      </c>
      <c r="U25" s="6">
        <v>109552</v>
      </c>
      <c r="V25" s="6">
        <v>-60127</v>
      </c>
      <c r="W25" s="6">
        <f t="shared" si="33"/>
        <v>318672</v>
      </c>
      <c r="X25" s="6"/>
      <c r="Y25" s="17">
        <v>1</v>
      </c>
      <c r="Z25" s="11">
        <v>1000000</v>
      </c>
      <c r="AA25" s="11"/>
      <c r="AB25" s="28">
        <f t="shared" si="2"/>
        <v>4.3043564941657134E-2</v>
      </c>
      <c r="AC25" s="28">
        <f t="shared" si="16"/>
        <v>9.6761705111088378E-2</v>
      </c>
      <c r="AD25" s="28">
        <f t="shared" si="3"/>
        <v>0.9892133931540269</v>
      </c>
      <c r="AE25" s="12">
        <f t="shared" si="25"/>
        <v>0.33333177712382395</v>
      </c>
      <c r="AF25" s="28">
        <f t="shared" si="17"/>
        <v>1.2479946826486799</v>
      </c>
      <c r="AG25" s="28">
        <f t="shared" si="5"/>
        <v>0.55515909013549847</v>
      </c>
      <c r="AH25" s="13"/>
      <c r="AI25" s="14">
        <f t="shared" si="6"/>
        <v>-2.8086806791836698E-3</v>
      </c>
      <c r="AJ25" s="14">
        <f t="shared" si="7"/>
        <v>0.38208889986271316</v>
      </c>
      <c r="AK25" s="30">
        <f t="shared" si="18"/>
        <v>6.5962393880928366E-2</v>
      </c>
      <c r="AL25" s="14">
        <f t="shared" si="8"/>
        <v>0.46883450966118401</v>
      </c>
      <c r="AM25" s="14">
        <f t="shared" si="9"/>
        <v>0.64133914934012082</v>
      </c>
      <c r="AN25" s="74">
        <f t="shared" si="10"/>
        <v>1.6654564064432715</v>
      </c>
      <c r="AO25" s="15"/>
      <c r="AP25" s="62" t="str">
        <f t="shared" si="19"/>
        <v>FD</v>
      </c>
      <c r="AQ25" s="13"/>
      <c r="AR25" s="16">
        <v>1.2</v>
      </c>
      <c r="AS25" s="16">
        <v>1.4</v>
      </c>
      <c r="AT25" s="16">
        <v>3.3</v>
      </c>
      <c r="AU25" s="16">
        <v>0.6</v>
      </c>
      <c r="AV25" s="16">
        <v>0.99</v>
      </c>
      <c r="AX25" s="69">
        <f t="shared" si="26"/>
        <v>0.51009920385288388</v>
      </c>
    </row>
    <row r="26" spans="1:50" x14ac:dyDescent="0.25">
      <c r="A26" s="20" t="s">
        <v>58</v>
      </c>
      <c r="B26" s="93" t="s">
        <v>9</v>
      </c>
      <c r="C26" s="76" t="s">
        <v>1</v>
      </c>
      <c r="D26" s="77">
        <v>840062055130</v>
      </c>
      <c r="E26" s="78">
        <v>1424711407181</v>
      </c>
      <c r="F26" s="78">
        <v>728319096350</v>
      </c>
      <c r="G26" s="77">
        <f t="shared" si="12"/>
        <v>2153030503531</v>
      </c>
      <c r="H26" s="78">
        <v>1667249369925</v>
      </c>
      <c r="I26" s="78">
        <v>82086791545</v>
      </c>
      <c r="J26" s="79">
        <f t="shared" si="13"/>
        <v>1749336161470</v>
      </c>
      <c r="K26" s="78">
        <v>403694342061</v>
      </c>
      <c r="L26" s="80">
        <f t="shared" si="14"/>
        <v>2153030503531</v>
      </c>
      <c r="M26" s="81" t="str">
        <f t="shared" si="0"/>
        <v>OK</v>
      </c>
      <c r="N26" s="79">
        <v>-146401607484</v>
      </c>
      <c r="O26" s="79">
        <v>616000000</v>
      </c>
      <c r="P26" s="82">
        <v>183</v>
      </c>
      <c r="Q26" s="79">
        <f t="shared" si="15"/>
        <v>112728000000</v>
      </c>
      <c r="R26" s="83" t="s">
        <v>1</v>
      </c>
      <c r="S26" s="79">
        <v>2461800368336</v>
      </c>
      <c r="T26" s="79">
        <f>-25472163544-28507406056+7134657719</f>
        <v>-46844911881</v>
      </c>
      <c r="U26" s="84">
        <v>44196441226</v>
      </c>
      <c r="V26" s="79">
        <v>-8890501302</v>
      </c>
      <c r="W26" s="79">
        <f>T26-U26+V26</f>
        <v>-99931854409</v>
      </c>
      <c r="X26" s="79"/>
      <c r="Y26" s="85">
        <v>1</v>
      </c>
      <c r="Z26" s="86">
        <v>1</v>
      </c>
      <c r="AA26" s="11"/>
      <c r="AB26" s="28">
        <f t="shared" si="2"/>
        <v>-4.6414509337006776E-2</v>
      </c>
      <c r="AC26" s="28">
        <f t="shared" si="16"/>
        <v>-0.24754336139271393</v>
      </c>
      <c r="AD26" s="28">
        <f t="shared" si="3"/>
        <v>0.85452808252978352</v>
      </c>
      <c r="AE26" s="12">
        <f t="shared" si="25"/>
        <v>0.35066701034488923</v>
      </c>
      <c r="AF26" s="28">
        <f t="shared" si="17"/>
        <v>4.3333185016639835</v>
      </c>
      <c r="AG26" s="28">
        <f t="shared" si="5"/>
        <v>0.81249947857267435</v>
      </c>
      <c r="AH26" s="13"/>
      <c r="AI26" s="14">
        <f t="shared" si="6"/>
        <v>-0.11264957107957103</v>
      </c>
      <c r="AJ26" s="14">
        <f t="shared" si="7"/>
        <v>-6.7997925363295741E-2</v>
      </c>
      <c r="AK26" s="30">
        <f t="shared" si="18"/>
        <v>-2.1757662886881395E-2</v>
      </c>
      <c r="AL26" s="14">
        <f t="shared" si="8"/>
        <v>6.4440444600009042E-2</v>
      </c>
      <c r="AM26" s="14">
        <f t="shared" si="9"/>
        <v>1.1434117465120039</v>
      </c>
      <c r="AN26" s="74">
        <f t="shared" si="10"/>
        <v>0.86846502747608145</v>
      </c>
      <c r="AO26" s="15"/>
      <c r="AP26" s="62" t="str">
        <f t="shared" si="19"/>
        <v>FD</v>
      </c>
      <c r="AQ26" s="13"/>
      <c r="AR26" s="16">
        <v>1.2</v>
      </c>
      <c r="AS26" s="16">
        <v>1.4</v>
      </c>
      <c r="AT26" s="16">
        <v>3.3</v>
      </c>
      <c r="AU26" s="16">
        <v>0.6</v>
      </c>
      <c r="AV26" s="16">
        <v>0.99</v>
      </c>
      <c r="AX26" s="69">
        <f t="shared" si="26"/>
        <v>-0.14102796184222041</v>
      </c>
    </row>
    <row r="27" spans="1:50" x14ac:dyDescent="0.25">
      <c r="A27" s="20" t="s">
        <v>59</v>
      </c>
      <c r="B27" s="94"/>
      <c r="C27" s="76" t="s">
        <v>2</v>
      </c>
      <c r="D27" s="77">
        <v>991753212184</v>
      </c>
      <c r="E27" s="78">
        <v>1701281476100</v>
      </c>
      <c r="F27" s="78">
        <v>675000320828</v>
      </c>
      <c r="G27" s="77">
        <f t="shared" si="12"/>
        <v>2376281796928</v>
      </c>
      <c r="H27" s="78">
        <v>1747767173359</v>
      </c>
      <c r="I27" s="78">
        <v>249644071180</v>
      </c>
      <c r="J27" s="79">
        <f t="shared" si="13"/>
        <v>1997411244539</v>
      </c>
      <c r="K27" s="78">
        <v>378870552389</v>
      </c>
      <c r="L27" s="80">
        <f t="shared" si="14"/>
        <v>2376281796928</v>
      </c>
      <c r="M27" s="81" t="str">
        <f t="shared" si="0"/>
        <v>OK</v>
      </c>
      <c r="N27" s="79">
        <v>-142917791945</v>
      </c>
      <c r="O27" s="79">
        <v>616000000</v>
      </c>
      <c r="P27" s="82">
        <v>220</v>
      </c>
      <c r="Q27" s="79">
        <f t="shared" si="15"/>
        <v>135520000000</v>
      </c>
      <c r="R27" s="83" t="s">
        <v>2</v>
      </c>
      <c r="S27" s="79">
        <v>3484905171484</v>
      </c>
      <c r="T27" s="79">
        <f>48547464403+2343668187+5705631805</f>
        <v>56596764395</v>
      </c>
      <c r="U27" s="84">
        <v>51880212801</v>
      </c>
      <c r="V27" s="79">
        <v>3729904090</v>
      </c>
      <c r="W27" s="79">
        <f>T27-U27+V27</f>
        <v>8446455684</v>
      </c>
      <c r="X27" s="79"/>
      <c r="Y27" s="85">
        <v>1</v>
      </c>
      <c r="Z27" s="86">
        <v>1</v>
      </c>
      <c r="AA27" s="11"/>
      <c r="AB27" s="28">
        <f t="shared" si="2"/>
        <v>3.5544840241251586E-3</v>
      </c>
      <c r="AC27" s="28">
        <f t="shared" si="16"/>
        <v>2.2293777203691779E-2</v>
      </c>
      <c r="AD27" s="28">
        <f t="shared" si="3"/>
        <v>0.97340280904254539</v>
      </c>
      <c r="AE27" s="12">
        <f t="shared" si="25"/>
        <v>0.40596269041509192</v>
      </c>
      <c r="AF27" s="28">
        <f t="shared" si="17"/>
        <v>5.272015024509443</v>
      </c>
      <c r="AG27" s="28">
        <f t="shared" si="5"/>
        <v>0.84056160642277578</v>
      </c>
      <c r="AH27" s="13"/>
      <c r="AI27" s="14">
        <f t="shared" si="6"/>
        <v>-1.9562367274409791E-2</v>
      </c>
      <c r="AJ27" s="14">
        <f t="shared" si="7"/>
        <v>-6.0143452737701684E-2</v>
      </c>
      <c r="AK27" s="30">
        <f t="shared" si="18"/>
        <v>2.3817362262407993E-2</v>
      </c>
      <c r="AL27" s="14">
        <f t="shared" si="8"/>
        <v>6.7847820708187637E-2</v>
      </c>
      <c r="AM27" s="14">
        <f t="shared" si="9"/>
        <v>1.4665369974172262</v>
      </c>
      <c r="AN27" s="74">
        <f t="shared" si="10"/>
        <v>1.4635019407718388</v>
      </c>
      <c r="AO27" s="15"/>
      <c r="AP27" s="62" t="str">
        <f t="shared" si="19"/>
        <v>FD</v>
      </c>
      <c r="AQ27" s="13"/>
      <c r="AR27" s="16">
        <v>1.2</v>
      </c>
      <c r="AS27" s="16">
        <v>1.4</v>
      </c>
      <c r="AT27" s="16">
        <v>3.3</v>
      </c>
      <c r="AU27" s="16">
        <v>0.6</v>
      </c>
      <c r="AV27" s="16">
        <v>0.99</v>
      </c>
      <c r="AX27" s="69">
        <f t="shared" si="26"/>
        <v>0.38083215326565723</v>
      </c>
    </row>
    <row r="28" spans="1:50" x14ac:dyDescent="0.25">
      <c r="A28" s="20" t="s">
        <v>60</v>
      </c>
      <c r="B28" s="94"/>
      <c r="C28" s="76" t="s">
        <v>3</v>
      </c>
      <c r="D28" s="77">
        <v>1382113970257</v>
      </c>
      <c r="E28" s="78">
        <v>2115994105157</v>
      </c>
      <c r="F28" s="78">
        <v>665672268860</v>
      </c>
      <c r="G28" s="77">
        <f t="shared" si="12"/>
        <v>2781666374017</v>
      </c>
      <c r="H28" s="78">
        <v>2144650311300</v>
      </c>
      <c r="I28" s="78">
        <v>309815366787</v>
      </c>
      <c r="J28" s="79">
        <f t="shared" si="13"/>
        <v>2454465678087</v>
      </c>
      <c r="K28" s="78">
        <v>327200695930</v>
      </c>
      <c r="L28" s="80">
        <f t="shared" si="14"/>
        <v>2781666374017</v>
      </c>
      <c r="M28" s="81" t="str">
        <f t="shared" si="0"/>
        <v>OK</v>
      </c>
      <c r="N28" s="79">
        <v>-130823462725</v>
      </c>
      <c r="O28" s="79">
        <v>616000000</v>
      </c>
      <c r="P28" s="82">
        <v>400</v>
      </c>
      <c r="Q28" s="79">
        <f t="shared" si="15"/>
        <v>246400000000</v>
      </c>
      <c r="R28" s="83" t="s">
        <v>3</v>
      </c>
      <c r="S28" s="79">
        <v>4422880456073</v>
      </c>
      <c r="T28" s="79">
        <f>112487563183-10276650269+3538244109</f>
        <v>105749157023</v>
      </c>
      <c r="U28" s="79">
        <v>91848277580</v>
      </c>
      <c r="V28" s="79">
        <v>-7356244381</v>
      </c>
      <c r="W28" s="79">
        <f>T28-U28+V28</f>
        <v>6544635062</v>
      </c>
      <c r="X28" s="79"/>
      <c r="Y28" s="85">
        <v>1</v>
      </c>
      <c r="Z28" s="86">
        <v>1</v>
      </c>
      <c r="AA28" s="11"/>
      <c r="AB28" s="28">
        <f t="shared" si="2"/>
        <v>2.352774985214673E-3</v>
      </c>
      <c r="AC28" s="28">
        <f t="shared" si="16"/>
        <v>2.0001898355986789E-2</v>
      </c>
      <c r="AD28" s="28">
        <f t="shared" si="3"/>
        <v>0.98663828504254858</v>
      </c>
      <c r="AE28" s="12">
        <f t="shared" si="25"/>
        <v>0.34219104673299938</v>
      </c>
      <c r="AF28" s="28">
        <f t="shared" si="17"/>
        <v>7.5014072666034259</v>
      </c>
      <c r="AG28" s="28">
        <f t="shared" si="5"/>
        <v>0.88237241569071057</v>
      </c>
      <c r="AH28" s="13"/>
      <c r="AI28" s="14">
        <f t="shared" si="6"/>
        <v>-1.0301812758953411E-2</v>
      </c>
      <c r="AJ28" s="14">
        <f t="shared" si="7"/>
        <v>-4.7030608683699925E-2</v>
      </c>
      <c r="AK28" s="30">
        <f t="shared" si="18"/>
        <v>3.801647746501239E-2</v>
      </c>
      <c r="AL28" s="14">
        <f t="shared" si="8"/>
        <v>0.10038844796234556</v>
      </c>
      <c r="AM28" s="14">
        <f t="shared" si="9"/>
        <v>1.5900111161375279</v>
      </c>
      <c r="AN28" s="74">
        <f t="shared" si="10"/>
        <v>1.6815934219201769</v>
      </c>
      <c r="AO28" s="15"/>
      <c r="AP28" s="62" t="str">
        <f t="shared" si="19"/>
        <v>FD</v>
      </c>
      <c r="AQ28" s="13"/>
      <c r="AR28" s="16">
        <v>1.2</v>
      </c>
      <c r="AS28" s="16">
        <v>1.4</v>
      </c>
      <c r="AT28" s="16">
        <v>3.3</v>
      </c>
      <c r="AU28" s="16">
        <v>0.6</v>
      </c>
      <c r="AV28" s="16">
        <v>0.99</v>
      </c>
      <c r="AX28" s="69">
        <f t="shared" si="26"/>
        <v>0.51974180933471636</v>
      </c>
    </row>
    <row r="29" spans="1:50" x14ac:dyDescent="0.25">
      <c r="A29" s="20" t="s">
        <v>61</v>
      </c>
      <c r="B29" s="94"/>
      <c r="C29" s="76" t="s">
        <v>4</v>
      </c>
      <c r="D29" s="77">
        <v>796506004780</v>
      </c>
      <c r="E29" s="78">
        <v>1160620662903</v>
      </c>
      <c r="F29" s="78">
        <v>565028961975</v>
      </c>
      <c r="G29" s="77">
        <f t="shared" si="12"/>
        <v>1725649624878</v>
      </c>
      <c r="H29" s="78">
        <v>1573757483662</v>
      </c>
      <c r="I29" s="78">
        <v>149702039069</v>
      </c>
      <c r="J29" s="79">
        <f t="shared" si="13"/>
        <v>1723459522731</v>
      </c>
      <c r="K29" s="78">
        <v>2190102147</v>
      </c>
      <c r="L29" s="80">
        <f t="shared" si="14"/>
        <v>1725649624878</v>
      </c>
      <c r="M29" s="81" t="str">
        <f t="shared" si="0"/>
        <v>OK</v>
      </c>
      <c r="N29" s="79">
        <f>-144281030930</f>
        <v>-144281030930</v>
      </c>
      <c r="O29" s="79">
        <v>616000000</v>
      </c>
      <c r="P29" s="82">
        <v>358</v>
      </c>
      <c r="Q29" s="79">
        <f t="shared" si="15"/>
        <v>220528000000</v>
      </c>
      <c r="R29" s="83" t="s">
        <v>4</v>
      </c>
      <c r="S29" s="79">
        <v>2234124975480</v>
      </c>
      <c r="T29" s="79">
        <f>-177341512202+3979071129+2855172580+0-3187909101</f>
        <v>-173695177594</v>
      </c>
      <c r="U29" s="79">
        <v>106595964030</v>
      </c>
      <c r="V29" s="79">
        <v>-18517761173</v>
      </c>
      <c r="W29" s="79">
        <f>T29-U29+V29</f>
        <v>-298808902797</v>
      </c>
      <c r="X29" s="79"/>
      <c r="Y29" s="85">
        <v>1</v>
      </c>
      <c r="Z29" s="86">
        <v>1</v>
      </c>
      <c r="AA29" s="11"/>
      <c r="AB29" s="28">
        <f t="shared" si="2"/>
        <v>-0.17315734230703131</v>
      </c>
      <c r="AC29" s="28">
        <f>W29/K29</f>
        <v>-136.43605765434648</v>
      </c>
      <c r="AD29" s="28">
        <f t="shared" si="3"/>
        <v>0.73748380862490592</v>
      </c>
      <c r="AE29" s="12">
        <f t="shared" si="25"/>
        <v>0.23136643472902579</v>
      </c>
      <c r="AF29" s="28">
        <f t="shared" si="17"/>
        <v>786.93111419108618</v>
      </c>
      <c r="AG29" s="28">
        <f t="shared" si="5"/>
        <v>0.99873085352007374</v>
      </c>
      <c r="AH29" s="13"/>
      <c r="AI29" s="14">
        <f t="shared" si="6"/>
        <v>-0.23940944604453407</v>
      </c>
      <c r="AJ29" s="14">
        <f t="shared" si="7"/>
        <v>-8.3609690431915101E-2</v>
      </c>
      <c r="AK29" s="30">
        <f t="shared" si="18"/>
        <v>-0.10065495051249462</v>
      </c>
      <c r="AL29" s="14">
        <f t="shared" si="8"/>
        <v>0.12795658795081566</v>
      </c>
      <c r="AM29" s="14">
        <f t="shared" si="9"/>
        <v>1.2946573529594387</v>
      </c>
      <c r="AN29" s="74">
        <f t="shared" si="10"/>
        <v>0.62197849365097957</v>
      </c>
      <c r="AO29" s="15"/>
      <c r="AP29" s="62" t="str">
        <f t="shared" si="19"/>
        <v>FD</v>
      </c>
      <c r="AQ29" s="13"/>
      <c r="AR29" s="16">
        <v>1.2</v>
      </c>
      <c r="AS29" s="16">
        <v>1.4</v>
      </c>
      <c r="AT29" s="16">
        <v>3.3</v>
      </c>
      <c r="AU29" s="16">
        <v>0.6</v>
      </c>
      <c r="AV29" s="16">
        <v>0.99</v>
      </c>
      <c r="AX29" s="69">
        <f t="shared" si="26"/>
        <v>-0.47484976296455261</v>
      </c>
    </row>
    <row r="30" spans="1:50" x14ac:dyDescent="0.25">
      <c r="A30" s="20" t="s">
        <v>62</v>
      </c>
      <c r="B30" s="94"/>
      <c r="C30" s="76" t="s">
        <v>5</v>
      </c>
      <c r="D30" s="77">
        <v>44876814</v>
      </c>
      <c r="E30" s="78">
        <v>65009326</v>
      </c>
      <c r="F30" s="78">
        <v>36139795</v>
      </c>
      <c r="G30" s="77">
        <f t="shared" si="12"/>
        <v>101149121</v>
      </c>
      <c r="H30" s="78">
        <v>99946499</v>
      </c>
      <c r="I30" s="78">
        <v>20285489</v>
      </c>
      <c r="J30" s="79">
        <f t="shared" si="13"/>
        <v>120231988</v>
      </c>
      <c r="K30" s="78">
        <v>-19082867</v>
      </c>
      <c r="L30" s="80">
        <f t="shared" si="14"/>
        <v>101149121</v>
      </c>
      <c r="M30" s="81" t="str">
        <f t="shared" si="0"/>
        <v>OK</v>
      </c>
      <c r="N30" s="79">
        <v>-120043058</v>
      </c>
      <c r="O30" s="79">
        <v>616000000</v>
      </c>
      <c r="P30" s="82">
        <v>248</v>
      </c>
      <c r="Q30" s="79">
        <f>O30*P30</f>
        <v>152768000000</v>
      </c>
      <c r="R30" s="83" t="s">
        <v>5</v>
      </c>
      <c r="S30" s="79">
        <v>68013921</v>
      </c>
      <c r="T30" s="79">
        <f>-9373742+121510+242309+16159-884555</f>
        <v>-9878319</v>
      </c>
      <c r="U30" s="84">
        <v>8570512</v>
      </c>
      <c r="V30" s="79">
        <v>-467795</v>
      </c>
      <c r="W30" s="79">
        <f>T30-U30+V30</f>
        <v>-18916626</v>
      </c>
      <c r="X30" s="79"/>
      <c r="Y30" s="85">
        <v>14034</v>
      </c>
      <c r="Z30" s="86">
        <v>1</v>
      </c>
      <c r="AA30" s="11"/>
      <c r="AB30" s="28">
        <f t="shared" si="2"/>
        <v>-0.18701720601210167</v>
      </c>
      <c r="AC30" s="28">
        <f t="shared" si="16"/>
        <v>0.9912884683417853</v>
      </c>
      <c r="AD30" s="28">
        <f t="shared" si="3"/>
        <v>0.65044125257453989</v>
      </c>
      <c r="AE30" s="12">
        <f t="shared" si="25"/>
        <v>0.2014328886097351</v>
      </c>
      <c r="AF30" s="28">
        <f t="shared" si="17"/>
        <v>-6.3005201472084877</v>
      </c>
      <c r="AG30" s="28">
        <f t="shared" si="5"/>
        <v>1.1886607299335799</v>
      </c>
      <c r="AH30" s="13"/>
      <c r="AI30" s="14">
        <f t="shared" si="6"/>
        <v>-0.34540263577772468</v>
      </c>
      <c r="AJ30" s="14">
        <f t="shared" si="7"/>
        <v>-1.1867928936327583</v>
      </c>
      <c r="AK30" s="30">
        <f t="shared" si="18"/>
        <v>-9.7660947542984586E-2</v>
      </c>
      <c r="AL30" s="14">
        <f t="shared" si="8"/>
        <v>9.0537999181893397E-2</v>
      </c>
      <c r="AM30" s="14">
        <f t="shared" si="9"/>
        <v>0.67241237815600985</v>
      </c>
      <c r="AN30" s="74">
        <f t="shared" si="10"/>
        <v>-1.6782632870273946</v>
      </c>
      <c r="AO30" s="15"/>
      <c r="AP30" s="62" t="str">
        <f t="shared" si="19"/>
        <v>FD</v>
      </c>
      <c r="AQ30" s="13"/>
      <c r="AR30" s="16">
        <v>1.2</v>
      </c>
      <c r="AS30" s="16">
        <v>1.4</v>
      </c>
      <c r="AT30" s="16">
        <v>3.3</v>
      </c>
      <c r="AU30" s="16">
        <v>0.6</v>
      </c>
      <c r="AV30" s="16">
        <v>0.99</v>
      </c>
      <c r="AX30" s="69" t="e">
        <f t="shared" si="26"/>
        <v>#NUM!</v>
      </c>
    </row>
    <row r="31" spans="1:50" x14ac:dyDescent="0.25">
      <c r="A31" s="20" t="s">
        <v>63</v>
      </c>
      <c r="B31" s="95"/>
      <c r="C31" s="76" t="s">
        <v>131</v>
      </c>
      <c r="D31" s="77">
        <v>30978608</v>
      </c>
      <c r="E31" s="78">
        <v>58924100</v>
      </c>
      <c r="F31" s="78">
        <v>34885724</v>
      </c>
      <c r="G31" s="77">
        <f t="shared" si="12"/>
        <v>93809824</v>
      </c>
      <c r="H31" s="78">
        <v>41756304</v>
      </c>
      <c r="I31" s="78">
        <v>15330440</v>
      </c>
      <c r="J31" s="79">
        <f t="shared" si="13"/>
        <v>57086744</v>
      </c>
      <c r="K31" s="78">
        <v>36723080</v>
      </c>
      <c r="L31" s="80">
        <f t="shared" si="14"/>
        <v>93809824</v>
      </c>
      <c r="M31" s="81" t="str">
        <f t="shared" si="0"/>
        <v>OK</v>
      </c>
      <c r="N31" s="79">
        <v>-120005729</v>
      </c>
      <c r="O31" s="79">
        <v>616000000</v>
      </c>
      <c r="P31" s="82">
        <v>300</v>
      </c>
      <c r="Q31" s="79">
        <f t="shared" si="15"/>
        <v>184800000000</v>
      </c>
      <c r="R31" s="83" t="s">
        <v>131</v>
      </c>
      <c r="S31" s="79">
        <v>102389792</v>
      </c>
      <c r="T31" s="79">
        <f>903956+185264+262028+0+1163876</f>
        <v>2515124</v>
      </c>
      <c r="U31" s="79">
        <v>6890812</v>
      </c>
      <c r="V31" s="79">
        <v>4413017</v>
      </c>
      <c r="W31" s="79">
        <f t="shared" ref="W31:W48" si="34">T31-U31+V31</f>
        <v>37329</v>
      </c>
      <c r="X31" s="79"/>
      <c r="Y31" s="85">
        <v>14197</v>
      </c>
      <c r="Z31" s="86">
        <v>1</v>
      </c>
      <c r="AA31" s="11"/>
      <c r="AB31" s="28">
        <f t="shared" si="2"/>
        <v>3.9792207690316102E-4</v>
      </c>
      <c r="AC31" s="28">
        <f t="shared" ref="AC31" si="35">W31/K31</f>
        <v>1.0164997053624043E-3</v>
      </c>
      <c r="AD31" s="28">
        <f t="shared" si="3"/>
        <v>1.4111426145379151</v>
      </c>
      <c r="AE31" s="12">
        <f t="shared" si="25"/>
        <v>0.66925204874454403</v>
      </c>
      <c r="AF31" s="28">
        <f t="shared" ref="AF31" si="36">J31/K31</f>
        <v>1.5545195010875994</v>
      </c>
      <c r="AG31" s="28">
        <f t="shared" si="5"/>
        <v>0.60853694811323811</v>
      </c>
      <c r="AH31" s="13"/>
      <c r="AI31" s="14">
        <f t="shared" si="6"/>
        <v>0.1830063768161424</v>
      </c>
      <c r="AJ31" s="14">
        <f t="shared" si="7"/>
        <v>-1.2792447942339173</v>
      </c>
      <c r="AK31" s="30">
        <f t="shared" si="18"/>
        <v>2.6810880702643682E-2</v>
      </c>
      <c r="AL31" s="14">
        <f t="shared" si="8"/>
        <v>0.22801851411439722</v>
      </c>
      <c r="AM31" s="14">
        <f t="shared" si="9"/>
        <v>1.0914612951411145</v>
      </c>
      <c r="AN31" s="74">
        <f t="shared" si="10"/>
        <v>-0.26550136277104741</v>
      </c>
      <c r="AO31" s="15"/>
      <c r="AP31" s="62" t="str">
        <f t="shared" si="19"/>
        <v>FD</v>
      </c>
      <c r="AQ31" s="13"/>
      <c r="AR31" s="16">
        <v>1.2</v>
      </c>
      <c r="AS31" s="16">
        <v>1.4</v>
      </c>
      <c r="AT31" s="16">
        <v>3.3</v>
      </c>
      <c r="AU31" s="16">
        <v>0.6</v>
      </c>
      <c r="AV31" s="16">
        <v>0.99</v>
      </c>
      <c r="AX31" s="69" t="e">
        <f t="shared" si="26"/>
        <v>#NUM!</v>
      </c>
    </row>
    <row r="32" spans="1:50" x14ac:dyDescent="0.25">
      <c r="A32" s="20" t="s">
        <v>64</v>
      </c>
      <c r="B32" s="87" t="s">
        <v>10</v>
      </c>
      <c r="C32" s="5" t="s">
        <v>1</v>
      </c>
      <c r="D32" s="7">
        <v>57819311</v>
      </c>
      <c r="E32" s="18">
        <v>132444530</v>
      </c>
      <c r="F32" s="18">
        <v>248402992</v>
      </c>
      <c r="G32" s="7">
        <f t="shared" si="12"/>
        <v>380847522</v>
      </c>
      <c r="H32" s="18">
        <v>71253970</v>
      </c>
      <c r="I32" s="18">
        <v>64135047</v>
      </c>
      <c r="J32" s="6">
        <f t="shared" si="13"/>
        <v>135389017</v>
      </c>
      <c r="K32" s="18">
        <v>245458505</v>
      </c>
      <c r="L32" s="22">
        <f t="shared" si="14"/>
        <v>380847522</v>
      </c>
      <c r="M32" s="48" t="str">
        <f t="shared" si="0"/>
        <v>OK</v>
      </c>
      <c r="N32" s="6">
        <v>-25773443</v>
      </c>
      <c r="O32" s="6">
        <v>3889179559</v>
      </c>
      <c r="P32" s="8">
        <v>126</v>
      </c>
      <c r="Q32" s="9">
        <f t="shared" si="15"/>
        <v>490036624434</v>
      </c>
      <c r="R32" s="66" t="s">
        <v>1</v>
      </c>
      <c r="S32" s="6">
        <v>279954690</v>
      </c>
      <c r="T32" s="6">
        <f>-28114407+4977003</f>
        <v>-23137404</v>
      </c>
      <c r="U32" s="6">
        <v>4977003</v>
      </c>
      <c r="V32" s="6">
        <v>7544646</v>
      </c>
      <c r="W32" s="6">
        <f t="shared" si="34"/>
        <v>-20569761</v>
      </c>
      <c r="X32" s="6"/>
      <c r="Y32" s="10">
        <v>13369</v>
      </c>
      <c r="Z32" s="11">
        <v>1</v>
      </c>
      <c r="AA32" s="11"/>
      <c r="AB32" s="28">
        <f t="shared" si="2"/>
        <v>-5.401048926872104E-2</v>
      </c>
      <c r="AC32" s="28">
        <f t="shared" si="16"/>
        <v>-8.3801378159620091E-2</v>
      </c>
      <c r="AD32" s="28">
        <f t="shared" si="3"/>
        <v>1.858767027296865</v>
      </c>
      <c r="AE32" s="12">
        <f t="shared" si="25"/>
        <v>1.0473131391836834</v>
      </c>
      <c r="AF32" s="28">
        <f t="shared" si="17"/>
        <v>0.55157598633626481</v>
      </c>
      <c r="AG32" s="28">
        <f t="shared" si="5"/>
        <v>0.35549402104288863</v>
      </c>
      <c r="AH32" s="13"/>
      <c r="AI32" s="14">
        <f t="shared" si="6"/>
        <v>0.1606694450279238</v>
      </c>
      <c r="AJ32" s="14">
        <f t="shared" si="7"/>
        <v>-6.7673915441676419E-2</v>
      </c>
      <c r="AK32" s="14">
        <f>T32/G32</f>
        <v>-6.0752407888845339E-2</v>
      </c>
      <c r="AL32" s="14">
        <f t="shared" si="8"/>
        <v>0.27073610795201042</v>
      </c>
      <c r="AM32" s="14">
        <f t="shared" si="9"/>
        <v>0.73508339644651799</v>
      </c>
      <c r="AN32" s="74">
        <f t="shared" si="10"/>
        <v>0.78775113363523097</v>
      </c>
      <c r="AO32" s="15"/>
      <c r="AP32" s="62" t="str">
        <f t="shared" si="19"/>
        <v>FD</v>
      </c>
      <c r="AQ32" s="13"/>
      <c r="AR32" s="16">
        <v>1.2</v>
      </c>
      <c r="AS32" s="16">
        <v>1.4</v>
      </c>
      <c r="AT32" s="16">
        <v>3.3</v>
      </c>
      <c r="AU32" s="16">
        <v>0.6</v>
      </c>
      <c r="AV32" s="16">
        <v>0.99</v>
      </c>
      <c r="AX32" s="69">
        <f t="shared" si="26"/>
        <v>-0.23857305926583808</v>
      </c>
    </row>
    <row r="33" spans="1:50" x14ac:dyDescent="0.25">
      <c r="A33" s="20" t="s">
        <v>65</v>
      </c>
      <c r="B33" s="88"/>
      <c r="C33" s="5" t="s">
        <v>2</v>
      </c>
      <c r="D33" s="7">
        <v>61916793</v>
      </c>
      <c r="E33" s="18">
        <v>149564786</v>
      </c>
      <c r="F33" s="18">
        <v>224545517</v>
      </c>
      <c r="G33" s="7">
        <f t="shared" si="12"/>
        <v>374110303</v>
      </c>
      <c r="H33" s="18">
        <v>69487329</v>
      </c>
      <c r="I33" s="18">
        <v>65031095</v>
      </c>
      <c r="J33" s="6">
        <f t="shared" si="13"/>
        <v>134518424</v>
      </c>
      <c r="K33" s="18">
        <v>239591879</v>
      </c>
      <c r="L33" s="22">
        <f t="shared" si="14"/>
        <v>374110303</v>
      </c>
      <c r="M33" s="48" t="str">
        <f t="shared" si="0"/>
        <v>OK</v>
      </c>
      <c r="N33" s="6">
        <v>-33911526</v>
      </c>
      <c r="O33" s="6">
        <v>3889179559</v>
      </c>
      <c r="P33" s="8">
        <v>246</v>
      </c>
      <c r="Q33" s="9">
        <f t="shared" si="15"/>
        <v>956738171514</v>
      </c>
      <c r="R33" s="66" t="s">
        <v>2</v>
      </c>
      <c r="S33" s="6">
        <v>355097424</v>
      </c>
      <c r="T33" s="6">
        <f>-11751064+4077942</f>
        <v>-7673122</v>
      </c>
      <c r="U33" s="6">
        <v>4077942</v>
      </c>
      <c r="V33" s="6">
        <v>3113199</v>
      </c>
      <c r="W33" s="6">
        <f t="shared" si="34"/>
        <v>-8637865</v>
      </c>
      <c r="X33" s="6"/>
      <c r="Y33" s="10">
        <v>13480</v>
      </c>
      <c r="Z33" s="11">
        <v>1</v>
      </c>
      <c r="AA33" s="11"/>
      <c r="AB33" s="28">
        <f t="shared" si="2"/>
        <v>-2.3089086108382319E-2</v>
      </c>
      <c r="AC33" s="28">
        <f t="shared" si="16"/>
        <v>-3.6052411442543092E-2</v>
      </c>
      <c r="AD33" s="28">
        <f t="shared" si="3"/>
        <v>2.1524037281674766</v>
      </c>
      <c r="AE33" s="12">
        <f t="shared" si="25"/>
        <v>1.2613521668101533</v>
      </c>
      <c r="AF33" s="28">
        <f t="shared" si="17"/>
        <v>0.56144817829989968</v>
      </c>
      <c r="AG33" s="28">
        <f t="shared" si="5"/>
        <v>0.3595688836187973</v>
      </c>
      <c r="AH33" s="13"/>
      <c r="AI33" s="14">
        <f t="shared" si="6"/>
        <v>0.2140477189691298</v>
      </c>
      <c r="AJ33" s="14">
        <f t="shared" si="7"/>
        <v>-9.0645795446055916E-2</v>
      </c>
      <c r="AK33" s="14">
        <f>T33/G33</f>
        <v>-2.0510319920272285E-2</v>
      </c>
      <c r="AL33" s="14">
        <f t="shared" si="8"/>
        <v>0.52762022995236102</v>
      </c>
      <c r="AM33" s="14">
        <f t="shared" si="9"/>
        <v>0.94917841383267121</v>
      </c>
      <c r="AN33" s="74">
        <f t="shared" si="10"/>
        <v>1.3185278610673401</v>
      </c>
      <c r="AO33" s="15"/>
      <c r="AP33" s="62" t="str">
        <f t="shared" si="19"/>
        <v>FD</v>
      </c>
      <c r="AQ33" s="13"/>
      <c r="AR33" s="16">
        <v>1.2</v>
      </c>
      <c r="AS33" s="16">
        <v>1.4</v>
      </c>
      <c r="AT33" s="16">
        <v>3.3</v>
      </c>
      <c r="AU33" s="16">
        <v>0.6</v>
      </c>
      <c r="AV33" s="16">
        <v>0.99</v>
      </c>
      <c r="AX33" s="69">
        <f t="shared" si="26"/>
        <v>0.27651585746951285</v>
      </c>
    </row>
    <row r="34" spans="1:50" x14ac:dyDescent="0.25">
      <c r="A34" s="20" t="s">
        <v>66</v>
      </c>
      <c r="B34" s="88"/>
      <c r="C34" s="5" t="s">
        <v>3</v>
      </c>
      <c r="D34" s="7">
        <v>56746999</v>
      </c>
      <c r="E34" s="18">
        <v>124180421</v>
      </c>
      <c r="F34" s="18">
        <v>156499433</v>
      </c>
      <c r="G34" s="7">
        <f t="shared" si="12"/>
        <v>280679854</v>
      </c>
      <c r="H34" s="18">
        <v>26463482</v>
      </c>
      <c r="I34" s="18">
        <v>10440410</v>
      </c>
      <c r="J34" s="6">
        <f t="shared" si="13"/>
        <v>36903892</v>
      </c>
      <c r="K34" s="18">
        <v>243775962</v>
      </c>
      <c r="L34" s="22">
        <f t="shared" si="14"/>
        <v>280679854</v>
      </c>
      <c r="M34" s="48" t="str">
        <f t="shared" si="0"/>
        <v>OK</v>
      </c>
      <c r="N34" s="6">
        <v>-36914645</v>
      </c>
      <c r="O34" s="6">
        <v>3889179559</v>
      </c>
      <c r="P34" s="8">
        <v>314</v>
      </c>
      <c r="Q34" s="9">
        <f t="shared" si="15"/>
        <v>1221202381526</v>
      </c>
      <c r="R34" s="66" t="s">
        <v>3</v>
      </c>
      <c r="S34" s="6">
        <v>356636089</v>
      </c>
      <c r="T34" s="6">
        <f>-1395757+949260</f>
        <v>-446497</v>
      </c>
      <c r="U34" s="6">
        <v>949260</v>
      </c>
      <c r="V34" s="6">
        <f>824307-733131</f>
        <v>91176</v>
      </c>
      <c r="W34" s="6">
        <f t="shared" si="34"/>
        <v>-1304581</v>
      </c>
      <c r="X34" s="6"/>
      <c r="Y34" s="10">
        <v>14409</v>
      </c>
      <c r="Z34" s="11">
        <v>1</v>
      </c>
      <c r="AA34" s="11"/>
      <c r="AB34" s="28">
        <f t="shared" si="2"/>
        <v>-4.6479324447703321E-3</v>
      </c>
      <c r="AC34" s="28">
        <f t="shared" si="16"/>
        <v>-5.3515571810152469E-3</v>
      </c>
      <c r="AD34" s="28">
        <f t="shared" si="3"/>
        <v>4.6925200924050738</v>
      </c>
      <c r="AE34" s="12">
        <f t="shared" si="25"/>
        <v>2.5481689068732529</v>
      </c>
      <c r="AF34" s="28">
        <f t="shared" si="17"/>
        <v>0.15138445848897933</v>
      </c>
      <c r="AG34" s="28">
        <f t="shared" si="5"/>
        <v>0.13148037336516499</v>
      </c>
      <c r="AH34" s="13"/>
      <c r="AI34" s="14">
        <f t="shared" si="6"/>
        <v>0.34814375740697084</v>
      </c>
      <c r="AJ34" s="14">
        <f t="shared" si="7"/>
        <v>-0.13151868391665902</v>
      </c>
      <c r="AK34" s="14">
        <f>T34/G34</f>
        <v>-1.5907696745488546E-3</v>
      </c>
      <c r="AL34" s="14">
        <f t="shared" si="8"/>
        <v>2.2965802758760958</v>
      </c>
      <c r="AM34" s="14">
        <f t="shared" si="9"/>
        <v>1.2706152006192792</v>
      </c>
      <c r="AN34" s="74">
        <f t="shared" si="10"/>
        <v>2.8642540256177749</v>
      </c>
      <c r="AO34" s="15"/>
      <c r="AP34" s="62" t="str">
        <f t="shared" si="19"/>
        <v>GA</v>
      </c>
      <c r="AQ34" s="13"/>
      <c r="AR34" s="16">
        <v>1.2</v>
      </c>
      <c r="AS34" s="16">
        <v>1.4</v>
      </c>
      <c r="AT34" s="16">
        <v>3.3</v>
      </c>
      <c r="AU34" s="16">
        <v>0.6</v>
      </c>
      <c r="AV34" s="16">
        <v>0.99</v>
      </c>
      <c r="AX34" s="69">
        <f t="shared" si="26"/>
        <v>1.0523079412607248</v>
      </c>
    </row>
    <row r="35" spans="1:50" x14ac:dyDescent="0.25">
      <c r="A35" s="20" t="s">
        <v>67</v>
      </c>
      <c r="B35" s="88"/>
      <c r="C35" s="5" t="s">
        <v>4</v>
      </c>
      <c r="D35" s="7">
        <v>52145310</v>
      </c>
      <c r="E35" s="18">
        <v>110385770</v>
      </c>
      <c r="F35" s="18">
        <v>144842425</v>
      </c>
      <c r="G35" s="7">
        <f t="shared" si="12"/>
        <v>255228195</v>
      </c>
      <c r="H35" s="18">
        <v>33969979</v>
      </c>
      <c r="I35" s="18">
        <v>13434848</v>
      </c>
      <c r="J35" s="6">
        <f t="shared" si="13"/>
        <v>47404827</v>
      </c>
      <c r="K35" s="18">
        <v>207823368</v>
      </c>
      <c r="L35" s="22">
        <f t="shared" si="14"/>
        <v>255228195</v>
      </c>
      <c r="M35" s="48" t="str">
        <f t="shared" si="0"/>
        <v>OK</v>
      </c>
      <c r="N35" s="6">
        <v>-66505959</v>
      </c>
      <c r="O35" s="6">
        <v>3889179559</v>
      </c>
      <c r="P35" s="8">
        <v>186</v>
      </c>
      <c r="Q35" s="9">
        <f t="shared" si="15"/>
        <v>723387397974</v>
      </c>
      <c r="R35" s="66" t="s">
        <v>4</v>
      </c>
      <c r="S35" s="6">
        <v>233390689</v>
      </c>
      <c r="T35" s="6">
        <f>-29748345+562885</f>
        <v>-29185460</v>
      </c>
      <c r="U35" s="6">
        <v>562885</v>
      </c>
      <c r="V35" s="6">
        <v>157511</v>
      </c>
      <c r="W35" s="6">
        <f t="shared" si="34"/>
        <v>-29590834</v>
      </c>
      <c r="X35" s="6"/>
      <c r="Y35" s="10">
        <v>13831</v>
      </c>
      <c r="Z35" s="11">
        <v>1</v>
      </c>
      <c r="AA35" s="11"/>
      <c r="AB35" s="28">
        <f t="shared" si="2"/>
        <v>-0.1159387347467626</v>
      </c>
      <c r="AC35" s="28">
        <f t="shared" si="16"/>
        <v>-0.14238453685343028</v>
      </c>
      <c r="AD35" s="28">
        <f t="shared" si="3"/>
        <v>3.2495095154459768</v>
      </c>
      <c r="AE35" s="12">
        <f t="shared" si="25"/>
        <v>1.7144685311698309</v>
      </c>
      <c r="AF35" s="28">
        <f t="shared" si="17"/>
        <v>0.228101524175087</v>
      </c>
      <c r="AG35" s="28">
        <f t="shared" si="5"/>
        <v>0.18573507131529884</v>
      </c>
      <c r="AH35" s="13"/>
      <c r="AI35" s="14">
        <f t="shared" si="6"/>
        <v>0.29940183920510821</v>
      </c>
      <c r="AJ35" s="14">
        <f t="shared" si="7"/>
        <v>-0.26057449883230965</v>
      </c>
      <c r="AK35" s="14">
        <f>T35/G35</f>
        <v>-0.11435045411029138</v>
      </c>
      <c r="AL35" s="14">
        <f t="shared" si="8"/>
        <v>1.1033029804919567</v>
      </c>
      <c r="AM35" s="14">
        <f t="shared" si="9"/>
        <v>0.91443928833959742</v>
      </c>
      <c r="AN35" s="74">
        <f t="shared" si="10"/>
        <v>1.1843980938683103</v>
      </c>
      <c r="AO35" s="15"/>
      <c r="AP35" s="62" t="str">
        <f t="shared" si="19"/>
        <v>FD</v>
      </c>
      <c r="AQ35" s="13"/>
      <c r="AR35" s="16">
        <v>1.2</v>
      </c>
      <c r="AS35" s="16">
        <v>1.4</v>
      </c>
      <c r="AT35" s="16">
        <v>3.3</v>
      </c>
      <c r="AU35" s="16">
        <v>0.6</v>
      </c>
      <c r="AV35" s="16">
        <v>0.99</v>
      </c>
      <c r="AX35" s="69">
        <f t="shared" si="26"/>
        <v>0.16923470787918676</v>
      </c>
    </row>
    <row r="36" spans="1:50" x14ac:dyDescent="0.25">
      <c r="A36" s="20" t="s">
        <v>68</v>
      </c>
      <c r="B36" s="88"/>
      <c r="C36" s="5" t="s">
        <v>5</v>
      </c>
      <c r="D36" s="7">
        <v>34609594</v>
      </c>
      <c r="E36" s="18">
        <v>77977126</v>
      </c>
      <c r="F36" s="18">
        <v>127787042</v>
      </c>
      <c r="G36" s="7">
        <f t="shared" si="12"/>
        <v>205764168</v>
      </c>
      <c r="H36" s="18">
        <v>22365962</v>
      </c>
      <c r="I36" s="18">
        <v>15946538</v>
      </c>
      <c r="J36" s="6">
        <f t="shared" si="13"/>
        <v>38312500</v>
      </c>
      <c r="K36" s="18">
        <v>167451668</v>
      </c>
      <c r="L36" s="22">
        <f t="shared" si="14"/>
        <v>205764168</v>
      </c>
      <c r="M36" s="48" t="str">
        <f t="shared" si="0"/>
        <v>OK</v>
      </c>
      <c r="N36" s="6">
        <v>-101066760</v>
      </c>
      <c r="O36" s="6">
        <v>3889179559</v>
      </c>
      <c r="P36" s="8">
        <v>234</v>
      </c>
      <c r="Q36" s="9">
        <f t="shared" si="15"/>
        <v>910068016806</v>
      </c>
      <c r="R36" s="66" t="s">
        <v>5</v>
      </c>
      <c r="S36" s="6">
        <v>152712749</v>
      </c>
      <c r="T36" s="6">
        <f>-34690549+317642</f>
        <v>-34372907</v>
      </c>
      <c r="U36" s="6">
        <v>317642</v>
      </c>
      <c r="V36" s="6">
        <v>-3985496</v>
      </c>
      <c r="W36" s="6">
        <f t="shared" si="34"/>
        <v>-38676045</v>
      </c>
      <c r="X36" s="6"/>
      <c r="Y36" s="10">
        <v>14034</v>
      </c>
      <c r="Z36" s="11">
        <v>1</v>
      </c>
      <c r="AA36" s="11"/>
      <c r="AB36" s="28">
        <f t="shared" si="2"/>
        <v>-0.18796297419480734</v>
      </c>
      <c r="AC36" s="28">
        <f t="shared" si="16"/>
        <v>-0.23096840695549237</v>
      </c>
      <c r="AD36" s="28">
        <f t="shared" si="3"/>
        <v>3.4864194976276899</v>
      </c>
      <c r="AE36" s="12">
        <f t="shared" si="25"/>
        <v>1.9389969454477298</v>
      </c>
      <c r="AF36" s="28">
        <f t="shared" si="17"/>
        <v>0.22879736259181366</v>
      </c>
      <c r="AG36" s="28">
        <f t="shared" si="5"/>
        <v>0.18619616997649466</v>
      </c>
      <c r="AH36" s="13"/>
      <c r="AI36" s="14">
        <f t="shared" si="6"/>
        <v>0.27026651209748043</v>
      </c>
      <c r="AJ36" s="14">
        <f t="shared" si="7"/>
        <v>-0.49117764760674948</v>
      </c>
      <c r="AK36" s="14">
        <f>T36/G36</f>
        <v>-0.16705001329483177</v>
      </c>
      <c r="AL36" s="14">
        <f t="shared" si="8"/>
        <v>1.6925904566067818</v>
      </c>
      <c r="AM36" s="14">
        <f t="shared" si="9"/>
        <v>0.74217367622529884</v>
      </c>
      <c r="AN36" s="74">
        <f t="shared" si="10"/>
        <v>0.83571227742169729</v>
      </c>
      <c r="AO36" s="15"/>
      <c r="AP36" s="62" t="str">
        <f t="shared" si="19"/>
        <v>FD</v>
      </c>
      <c r="AQ36" s="13"/>
      <c r="AR36" s="16">
        <v>1.2</v>
      </c>
      <c r="AS36" s="16">
        <v>1.4</v>
      </c>
      <c r="AT36" s="16">
        <v>3.3</v>
      </c>
      <c r="AU36" s="16">
        <v>0.6</v>
      </c>
      <c r="AV36" s="16">
        <v>0.99</v>
      </c>
      <c r="AX36" s="69">
        <f t="shared" si="26"/>
        <v>-0.17947089089958412</v>
      </c>
    </row>
    <row r="37" spans="1:50" x14ac:dyDescent="0.25">
      <c r="A37" s="20" t="s">
        <v>69</v>
      </c>
      <c r="B37" s="89"/>
      <c r="C37" s="5" t="s">
        <v>131</v>
      </c>
      <c r="D37" s="7">
        <v>35114481</v>
      </c>
      <c r="E37" s="18">
        <v>82113507</v>
      </c>
      <c r="F37" s="18">
        <v>121677598</v>
      </c>
      <c r="G37" s="7">
        <f t="shared" si="12"/>
        <v>203791105</v>
      </c>
      <c r="H37" s="18">
        <v>23754846</v>
      </c>
      <c r="I37" s="18">
        <v>8602825</v>
      </c>
      <c r="J37" s="6">
        <f t="shared" si="13"/>
        <v>32357671</v>
      </c>
      <c r="K37" s="18">
        <v>171433434</v>
      </c>
      <c r="L37" s="22">
        <f t="shared" si="14"/>
        <v>203791105</v>
      </c>
      <c r="M37" s="48" t="str">
        <f t="shared" ref="M37:M55" si="37">IF(G37=L37,"OK",G37-L37)</f>
        <v>OK</v>
      </c>
      <c r="N37" s="6">
        <v>-100310452</v>
      </c>
      <c r="O37" s="6">
        <v>3889179559</v>
      </c>
      <c r="P37" s="8">
        <v>202</v>
      </c>
      <c r="Q37" s="9">
        <f t="shared" si="15"/>
        <v>785614270918</v>
      </c>
      <c r="R37" s="66" t="s">
        <v>131</v>
      </c>
      <c r="S37" s="6">
        <v>190192551</v>
      </c>
      <c r="T37" s="6">
        <f>937268+308585</f>
        <v>1245853</v>
      </c>
      <c r="U37" s="6">
        <v>308585</v>
      </c>
      <c r="V37" s="6">
        <v>-175722</v>
      </c>
      <c r="W37" s="6">
        <f t="shared" si="34"/>
        <v>761546</v>
      </c>
      <c r="X37" s="6"/>
      <c r="Y37" s="10">
        <v>14197</v>
      </c>
      <c r="Z37" s="11">
        <v>1</v>
      </c>
      <c r="AA37" s="11"/>
      <c r="AB37" s="28">
        <f t="shared" ref="AB37:AB55" si="38">W37/(E37+F37)</f>
        <v>3.7368951898072295E-3</v>
      </c>
      <c r="AC37" s="28">
        <f t="shared" ref="AC37:AC55" si="39">W37/K37</f>
        <v>4.4422256629357377E-3</v>
      </c>
      <c r="AD37" s="28">
        <f t="shared" ref="AD37:AD55" si="40">E37/H37</f>
        <v>3.4567055075835893</v>
      </c>
      <c r="AE37" s="12">
        <f t="shared" ref="AE37:AE55" si="41">(E37-D37)/H37</f>
        <v>1.9785026600467122</v>
      </c>
      <c r="AF37" s="28">
        <f t="shared" ref="AF37:AF55" si="42">J37/K37</f>
        <v>0.18874772700405687</v>
      </c>
      <c r="AG37" s="28">
        <f t="shared" ref="AG37:AG55" si="43">(H37+I37)/(E37+F37)</f>
        <v>0.1587786228451924</v>
      </c>
      <c r="AH37" s="13"/>
      <c r="AI37" s="14">
        <f t="shared" ref="AI37:AI55" si="44">(E37-H37)/G37</f>
        <v>0.28636510410991689</v>
      </c>
      <c r="AJ37" s="14">
        <f t="shared" ref="AJ37:AJ55" si="45">N37/G37</f>
        <v>-0.49222193480917631</v>
      </c>
      <c r="AK37" s="14">
        <f t="shared" ref="AK37:AK55" si="46">T37/G37</f>
        <v>6.1133826228578526E-3</v>
      </c>
      <c r="AL37" s="14">
        <f t="shared" ref="AL37:AL55" si="47">Q37/(J37*Y37*Z37)</f>
        <v>1.7101552054079301</v>
      </c>
      <c r="AM37" s="14">
        <f t="shared" ref="AM37:AM55" si="48">S37/G37</f>
        <v>0.93327209251846399</v>
      </c>
      <c r="AN37" s="74">
        <f t="shared" ref="AN37:AN55" si="49">(AI37*AR37)+(AJ37*AS37)+(AK37*AT37)+(AL37*AU37)+(AM37*AV37)</f>
        <v>1.624734073692522</v>
      </c>
      <c r="AO37" s="15"/>
      <c r="AP37" s="62" t="str">
        <f t="shared" si="19"/>
        <v>FD</v>
      </c>
      <c r="AQ37" s="13"/>
      <c r="AR37" s="16">
        <v>1.2</v>
      </c>
      <c r="AS37" s="16">
        <v>1.4</v>
      </c>
      <c r="AT37" s="16">
        <v>3.3</v>
      </c>
      <c r="AU37" s="16">
        <v>0.6</v>
      </c>
      <c r="AV37" s="16">
        <v>0.99</v>
      </c>
      <c r="AX37" s="69">
        <f t="shared" si="26"/>
        <v>0.48534415543162829</v>
      </c>
    </row>
    <row r="38" spans="1:50" x14ac:dyDescent="0.25">
      <c r="A38" s="20" t="s">
        <v>70</v>
      </c>
      <c r="B38" s="87" t="s">
        <v>11</v>
      </c>
      <c r="C38" s="5" t="s">
        <v>1</v>
      </c>
      <c r="D38" s="7">
        <v>104654714165</v>
      </c>
      <c r="E38" s="6">
        <v>519660973376</v>
      </c>
      <c r="F38" s="6">
        <v>1340008954586</v>
      </c>
      <c r="G38" s="7">
        <f t="shared" si="12"/>
        <v>1859669927962</v>
      </c>
      <c r="H38" s="6">
        <v>165847701694</v>
      </c>
      <c r="I38" s="6">
        <v>173792154123</v>
      </c>
      <c r="J38" s="6">
        <f t="shared" si="13"/>
        <v>339639855817</v>
      </c>
      <c r="K38" s="6">
        <v>1520030072145</v>
      </c>
      <c r="L38" s="22">
        <f t="shared" si="14"/>
        <v>1859669927962</v>
      </c>
      <c r="M38" s="48" t="str">
        <f t="shared" si="37"/>
        <v>OK</v>
      </c>
      <c r="N38" s="6">
        <v>-362705242674</v>
      </c>
      <c r="O38" s="6">
        <f t="shared" ref="O38:O43" si="50">425000000+14504100000</f>
        <v>14929100000</v>
      </c>
      <c r="P38" s="8">
        <v>80</v>
      </c>
      <c r="Q38" s="9">
        <f t="shared" si="15"/>
        <v>1194328000000</v>
      </c>
      <c r="R38" s="66" t="s">
        <v>1</v>
      </c>
      <c r="S38" s="6">
        <v>863714584966</v>
      </c>
      <c r="T38" s="6">
        <v>-165927480293</v>
      </c>
      <c r="U38" s="6">
        <v>0</v>
      </c>
      <c r="V38" s="6">
        <v>-86571589827</v>
      </c>
      <c r="W38" s="6">
        <f t="shared" si="34"/>
        <v>-252499070120</v>
      </c>
      <c r="X38" s="6"/>
      <c r="Y38" s="17">
        <v>1</v>
      </c>
      <c r="Z38" s="11">
        <v>1</v>
      </c>
      <c r="AA38" s="11"/>
      <c r="AB38" s="28">
        <f t="shared" si="38"/>
        <v>-0.13577628283569229</v>
      </c>
      <c r="AC38" s="28">
        <f t="shared" si="39"/>
        <v>-0.1661145228289361</v>
      </c>
      <c r="AD38" s="28">
        <f t="shared" si="40"/>
        <v>3.1333625251847561</v>
      </c>
      <c r="AE38" s="12">
        <f t="shared" si="41"/>
        <v>2.5023334961657415</v>
      </c>
      <c r="AF38" s="28">
        <f t="shared" si="42"/>
        <v>0.22344285290205809</v>
      </c>
      <c r="AG38" s="28">
        <f t="shared" si="43"/>
        <v>0.18263448298548823</v>
      </c>
      <c r="AH38" s="13"/>
      <c r="AI38" s="14">
        <f t="shared" si="44"/>
        <v>0.19025595153315278</v>
      </c>
      <c r="AJ38" s="14">
        <f t="shared" si="45"/>
        <v>-0.19503742961068704</v>
      </c>
      <c r="AK38" s="14">
        <f t="shared" si="46"/>
        <v>-8.9224156286077508E-2</v>
      </c>
      <c r="AL38" s="14">
        <f t="shared" si="47"/>
        <v>3.5164542074340979</v>
      </c>
      <c r="AM38" s="14">
        <f t="shared" si="48"/>
        <v>0.46444509962718983</v>
      </c>
      <c r="AN38" s="74">
        <f t="shared" si="49"/>
        <v>2.2304881977321425</v>
      </c>
      <c r="AO38" s="15"/>
      <c r="AP38" s="62" t="str">
        <f t="shared" si="19"/>
        <v>GA</v>
      </c>
      <c r="AQ38" s="13"/>
      <c r="AR38" s="16">
        <v>1.2</v>
      </c>
      <c r="AS38" s="16">
        <v>1.4</v>
      </c>
      <c r="AT38" s="16">
        <v>3.3</v>
      </c>
      <c r="AU38" s="16">
        <v>0.6</v>
      </c>
      <c r="AV38" s="16">
        <v>0.99</v>
      </c>
      <c r="AX38" s="69">
        <f t="shared" si="26"/>
        <v>0.80222048426177872</v>
      </c>
    </row>
    <row r="39" spans="1:50" x14ac:dyDescent="0.25">
      <c r="A39" s="20" t="s">
        <v>71</v>
      </c>
      <c r="B39" s="88"/>
      <c r="C39" s="5" t="s">
        <v>2</v>
      </c>
      <c r="D39" s="7">
        <v>103727893040</v>
      </c>
      <c r="E39" s="6">
        <v>527456425373</v>
      </c>
      <c r="F39" s="6">
        <v>1240147080324</v>
      </c>
      <c r="G39" s="7">
        <f t="shared" si="12"/>
        <v>1767603505697</v>
      </c>
      <c r="H39" s="6">
        <v>169750005433</v>
      </c>
      <c r="I39" s="6">
        <v>171123203424</v>
      </c>
      <c r="J39" s="6">
        <f t="shared" si="13"/>
        <v>340873208857</v>
      </c>
      <c r="K39" s="6">
        <v>1426730296840</v>
      </c>
      <c r="L39" s="22">
        <f t="shared" si="14"/>
        <v>1767603505697</v>
      </c>
      <c r="M39" s="48" t="str">
        <f t="shared" si="37"/>
        <v>OK</v>
      </c>
      <c r="N39" s="6">
        <v>-450927977401</v>
      </c>
      <c r="O39" s="6">
        <f t="shared" si="50"/>
        <v>14929100000</v>
      </c>
      <c r="P39" s="8">
        <v>100</v>
      </c>
      <c r="Q39" s="9">
        <f t="shared" si="15"/>
        <v>1492910000000</v>
      </c>
      <c r="R39" s="66" t="s">
        <v>2</v>
      </c>
      <c r="S39" s="6">
        <v>810064124425</v>
      </c>
      <c r="T39" s="6">
        <f>-94710676180+0</f>
        <v>-94710676180</v>
      </c>
      <c r="U39" s="6">
        <v>0</v>
      </c>
      <c r="V39" s="6">
        <v>9409699625</v>
      </c>
      <c r="W39" s="6">
        <f t="shared" si="34"/>
        <v>-85300976555</v>
      </c>
      <c r="X39" s="6"/>
      <c r="Y39" s="17">
        <v>1</v>
      </c>
      <c r="Z39" s="11">
        <v>1</v>
      </c>
      <c r="AA39" s="11"/>
      <c r="AB39" s="28">
        <f t="shared" si="38"/>
        <v>-4.8257981091389714E-2</v>
      </c>
      <c r="AC39" s="28">
        <f t="shared" si="39"/>
        <v>-5.978773755903919E-2</v>
      </c>
      <c r="AD39" s="28">
        <f t="shared" si="40"/>
        <v>3.107254247371356</v>
      </c>
      <c r="AE39" s="12">
        <f t="shared" si="41"/>
        <v>2.4961915686079013</v>
      </c>
      <c r="AF39" s="28">
        <f t="shared" si="42"/>
        <v>0.23891916335693197</v>
      </c>
      <c r="AG39" s="28">
        <f t="shared" si="43"/>
        <v>0.19284483638913533</v>
      </c>
      <c r="AH39" s="13"/>
      <c r="AI39" s="14">
        <f t="shared" si="44"/>
        <v>0.20236801906485782</v>
      </c>
      <c r="AJ39" s="14">
        <f t="shared" si="45"/>
        <v>-0.2551069716413526</v>
      </c>
      <c r="AK39" s="14">
        <f t="shared" si="46"/>
        <v>-5.3581403224618386E-2</v>
      </c>
      <c r="AL39" s="14">
        <f t="shared" si="47"/>
        <v>4.3796636438690957</v>
      </c>
      <c r="AM39" s="14">
        <f t="shared" si="48"/>
        <v>0.45828384126539518</v>
      </c>
      <c r="AN39" s="74">
        <f t="shared" si="49"/>
        <v>2.7903724211128935</v>
      </c>
      <c r="AO39" s="15"/>
      <c r="AP39" s="62" t="str">
        <f t="shared" si="19"/>
        <v>GA</v>
      </c>
      <c r="AQ39" s="13"/>
      <c r="AR39" s="16">
        <v>1.2</v>
      </c>
      <c r="AS39" s="16">
        <v>1.4</v>
      </c>
      <c r="AT39" s="16">
        <v>3.3</v>
      </c>
      <c r="AU39" s="16">
        <v>0.6</v>
      </c>
      <c r="AV39" s="16">
        <v>0.99</v>
      </c>
      <c r="AX39" s="69">
        <f t="shared" si="26"/>
        <v>1.0261750711948963</v>
      </c>
    </row>
    <row r="40" spans="1:50" x14ac:dyDescent="0.25">
      <c r="A40" s="20" t="s">
        <v>72</v>
      </c>
      <c r="B40" s="88"/>
      <c r="C40" s="5" t="s">
        <v>3</v>
      </c>
      <c r="D40" s="7">
        <v>110533941130</v>
      </c>
      <c r="E40" s="6">
        <v>560456340708</v>
      </c>
      <c r="F40" s="6">
        <v>1143968238500</v>
      </c>
      <c r="G40" s="7">
        <f t="shared" si="12"/>
        <v>1704424579208</v>
      </c>
      <c r="H40" s="6">
        <v>192300522743</v>
      </c>
      <c r="I40" s="6">
        <v>157286823080</v>
      </c>
      <c r="J40" s="6">
        <f t="shared" si="13"/>
        <v>349587345823</v>
      </c>
      <c r="K40" s="6">
        <v>1354837233385</v>
      </c>
      <c r="L40" s="22">
        <f t="shared" si="14"/>
        <v>1704424579208</v>
      </c>
      <c r="M40" s="48" t="str">
        <f t="shared" si="37"/>
        <v>OK</v>
      </c>
      <c r="N40" s="6">
        <v>-518295367839</v>
      </c>
      <c r="O40" s="6">
        <f t="shared" si="50"/>
        <v>14929100000</v>
      </c>
      <c r="P40" s="8">
        <v>100</v>
      </c>
      <c r="Q40" s="9">
        <f t="shared" si="15"/>
        <v>1492910000000</v>
      </c>
      <c r="R40" s="66" t="s">
        <v>3</v>
      </c>
      <c r="S40" s="6">
        <v>875963168811</v>
      </c>
      <c r="T40" s="6">
        <f>-95039015931+1326804853</f>
        <v>-93712211078</v>
      </c>
      <c r="U40" s="6">
        <v>1326804853</v>
      </c>
      <c r="V40" s="6">
        <v>15832547226</v>
      </c>
      <c r="W40" s="6">
        <f t="shared" si="34"/>
        <v>-79206468705</v>
      </c>
      <c r="X40" s="6"/>
      <c r="Y40" s="17">
        <v>1</v>
      </c>
      <c r="Z40" s="11">
        <v>1</v>
      </c>
      <c r="AA40" s="11"/>
      <c r="AB40" s="28">
        <f t="shared" si="38"/>
        <v>-4.6471090402724131E-2</v>
      </c>
      <c r="AC40" s="28">
        <f t="shared" si="39"/>
        <v>-5.8461981080270578E-2</v>
      </c>
      <c r="AD40" s="28">
        <f t="shared" si="40"/>
        <v>2.9144816286174207</v>
      </c>
      <c r="AE40" s="12">
        <f t="shared" si="41"/>
        <v>2.3396837052767596</v>
      </c>
      <c r="AF40" s="28">
        <f t="shared" si="42"/>
        <v>0.2580290364102053</v>
      </c>
      <c r="AG40" s="28">
        <f t="shared" si="43"/>
        <v>0.20510578765852097</v>
      </c>
      <c r="AH40" s="13"/>
      <c r="AI40" s="14">
        <f t="shared" si="44"/>
        <v>0.21600006386675794</v>
      </c>
      <c r="AJ40" s="14">
        <f t="shared" si="45"/>
        <v>-0.30408817976553582</v>
      </c>
      <c r="AK40" s="14">
        <f t="shared" si="46"/>
        <v>-5.4981729447685819E-2</v>
      </c>
      <c r="AL40" s="14">
        <f t="shared" si="47"/>
        <v>4.270492104013047</v>
      </c>
      <c r="AM40" s="14">
        <f t="shared" si="48"/>
        <v>0.5139348373032947</v>
      </c>
      <c r="AN40" s="74">
        <f t="shared" si="49"/>
        <v>2.7231276691290862</v>
      </c>
      <c r="AO40" s="15"/>
      <c r="AP40" s="62" t="str">
        <f t="shared" si="19"/>
        <v>GA</v>
      </c>
      <c r="AQ40" s="13"/>
      <c r="AR40" s="16">
        <v>1.2</v>
      </c>
      <c r="AS40" s="16">
        <v>1.4</v>
      </c>
      <c r="AT40" s="16">
        <v>3.3</v>
      </c>
      <c r="AU40" s="16">
        <v>0.6</v>
      </c>
      <c r="AV40" s="16">
        <v>0.99</v>
      </c>
      <c r="AX40" s="69">
        <f t="shared" si="26"/>
        <v>1.0017810980604314</v>
      </c>
    </row>
    <row r="41" spans="1:50" x14ac:dyDescent="0.25">
      <c r="A41" s="20" t="s">
        <v>73</v>
      </c>
      <c r="B41" s="88"/>
      <c r="C41" s="5" t="s">
        <v>4</v>
      </c>
      <c r="D41" s="7">
        <v>76653273570</v>
      </c>
      <c r="E41" s="6">
        <v>418960114294</v>
      </c>
      <c r="F41" s="6">
        <v>812720450677</v>
      </c>
      <c r="G41" s="7">
        <f t="shared" si="12"/>
        <v>1231680564971</v>
      </c>
      <c r="H41" s="6">
        <v>275411165942</v>
      </c>
      <c r="I41" s="6">
        <v>50701838548</v>
      </c>
      <c r="J41" s="6">
        <f t="shared" si="13"/>
        <v>326113004490</v>
      </c>
      <c r="K41" s="6">
        <v>905567560481</v>
      </c>
      <c r="L41" s="22">
        <f t="shared" si="14"/>
        <v>1231680564971</v>
      </c>
      <c r="M41" s="48" t="str">
        <f t="shared" si="37"/>
        <v>OK</v>
      </c>
      <c r="N41" s="6">
        <v>-988480511049</v>
      </c>
      <c r="O41" s="6">
        <f t="shared" si="50"/>
        <v>14929100000</v>
      </c>
      <c r="P41" s="8">
        <v>64</v>
      </c>
      <c r="Q41" s="9">
        <f t="shared" si="15"/>
        <v>955462400000</v>
      </c>
      <c r="R41" s="66" t="s">
        <v>4</v>
      </c>
      <c r="S41" s="6">
        <v>735066462915</v>
      </c>
      <c r="T41" s="6">
        <f>-507582722152+2340112579</f>
        <v>-505242609573</v>
      </c>
      <c r="U41" s="6">
        <v>2340112579</v>
      </c>
      <c r="V41" s="6">
        <v>13155905248</v>
      </c>
      <c r="W41" s="6">
        <f t="shared" si="34"/>
        <v>-494426816904</v>
      </c>
      <c r="X41" s="6"/>
      <c r="Y41" s="17">
        <v>1</v>
      </c>
      <c r="Z41" s="11">
        <v>1</v>
      </c>
      <c r="AA41" s="11"/>
      <c r="AB41" s="28">
        <f t="shared" si="38"/>
        <v>-0.40142455029778057</v>
      </c>
      <c r="AC41" s="28">
        <f t="shared" si="39"/>
        <v>-0.54598556582722657</v>
      </c>
      <c r="AD41" s="28">
        <f t="shared" si="40"/>
        <v>1.5212168789925917</v>
      </c>
      <c r="AE41" s="12">
        <f t="shared" si="41"/>
        <v>1.2428938367592832</v>
      </c>
      <c r="AF41" s="28">
        <f t="shared" si="42"/>
        <v>0.36012001613306716</v>
      </c>
      <c r="AG41" s="28">
        <f t="shared" si="43"/>
        <v>0.26477076424249524</v>
      </c>
      <c r="AH41" s="13"/>
      <c r="AI41" s="14">
        <f t="shared" si="44"/>
        <v>0.11654722209193896</v>
      </c>
      <c r="AJ41" s="14">
        <f t="shared" si="45"/>
        <v>-0.80254616266700107</v>
      </c>
      <c r="AK41" s="14">
        <f t="shared" si="46"/>
        <v>-0.4102058796266676</v>
      </c>
      <c r="AL41" s="14">
        <f t="shared" si="47"/>
        <v>2.9298506555855504</v>
      </c>
      <c r="AM41" s="14">
        <f t="shared" si="48"/>
        <v>0.59679959546354233</v>
      </c>
      <c r="AN41" s="74">
        <f t="shared" si="49"/>
        <v>1.1354628868759709E-2</v>
      </c>
      <c r="AO41" s="15"/>
      <c r="AP41" s="62" t="str">
        <f t="shared" si="19"/>
        <v>FD</v>
      </c>
      <c r="AQ41" s="13"/>
      <c r="AR41" s="16">
        <v>1.2</v>
      </c>
      <c r="AS41" s="16">
        <v>1.4</v>
      </c>
      <c r="AT41" s="16">
        <v>3.3</v>
      </c>
      <c r="AU41" s="16">
        <v>0.6</v>
      </c>
      <c r="AV41" s="16">
        <v>0.99</v>
      </c>
      <c r="AX41" s="69">
        <f t="shared" si="26"/>
        <v>-4.4781297883480429</v>
      </c>
    </row>
    <row r="42" spans="1:50" x14ac:dyDescent="0.25">
      <c r="A42" s="20" t="s">
        <v>74</v>
      </c>
      <c r="B42" s="88"/>
      <c r="C42" s="5" t="s">
        <v>5</v>
      </c>
      <c r="D42" s="7">
        <v>49867008610</v>
      </c>
      <c r="E42" s="6">
        <v>213856436953</v>
      </c>
      <c r="F42" s="6">
        <v>807526272968</v>
      </c>
      <c r="G42" s="7">
        <f t="shared" si="12"/>
        <v>1021382709921</v>
      </c>
      <c r="H42" s="6">
        <v>127909759386</v>
      </c>
      <c r="I42" s="6">
        <v>41217586655</v>
      </c>
      <c r="J42" s="6">
        <f t="shared" si="13"/>
        <v>169127346041</v>
      </c>
      <c r="K42" s="6">
        <v>852255363880</v>
      </c>
      <c r="L42" s="22">
        <f t="shared" si="14"/>
        <v>1021382709921</v>
      </c>
      <c r="M42" s="48" t="str">
        <f t="shared" si="37"/>
        <v>OK</v>
      </c>
      <c r="N42" s="6">
        <v>-1044374174283</v>
      </c>
      <c r="O42" s="6">
        <f t="shared" si="50"/>
        <v>14929100000</v>
      </c>
      <c r="P42" s="8">
        <v>50</v>
      </c>
      <c r="Q42" s="9">
        <f t="shared" si="15"/>
        <v>746455000000</v>
      </c>
      <c r="R42" s="66" t="s">
        <v>5</v>
      </c>
      <c r="S42" s="6">
        <v>437171365385</v>
      </c>
      <c r="T42" s="6">
        <f>-60542991055+2750559195</f>
        <v>-57792431860</v>
      </c>
      <c r="U42" s="6">
        <v>2750559195</v>
      </c>
      <c r="V42" s="6">
        <v>8792996154</v>
      </c>
      <c r="W42" s="6">
        <f t="shared" si="34"/>
        <v>-51749994901</v>
      </c>
      <c r="X42" s="6"/>
      <c r="Y42" s="17">
        <v>1</v>
      </c>
      <c r="Z42" s="11">
        <v>1</v>
      </c>
      <c r="AA42" s="11"/>
      <c r="AB42" s="28">
        <f t="shared" si="38"/>
        <v>-5.0666605571385345E-2</v>
      </c>
      <c r="AC42" s="28">
        <f t="shared" si="39"/>
        <v>-6.0721231093696641E-2</v>
      </c>
      <c r="AD42" s="28">
        <f t="shared" si="40"/>
        <v>1.6719321338697402</v>
      </c>
      <c r="AE42" s="12">
        <f t="shared" si="41"/>
        <v>1.28207127532873</v>
      </c>
      <c r="AF42" s="28">
        <f t="shared" si="42"/>
        <v>0.19844679565409415</v>
      </c>
      <c r="AG42" s="28">
        <f t="shared" si="43"/>
        <v>0.16558665463808503</v>
      </c>
      <c r="AH42" s="13"/>
      <c r="AI42" s="14">
        <f t="shared" si="44"/>
        <v>8.4147378580206864E-2</v>
      </c>
      <c r="AJ42" s="14">
        <f t="shared" si="45"/>
        <v>-1.0225101366399461</v>
      </c>
      <c r="AK42" s="14">
        <f t="shared" si="46"/>
        <v>-5.6582543740602405E-2</v>
      </c>
      <c r="AL42" s="14">
        <f t="shared" si="47"/>
        <v>4.4135677492334313</v>
      </c>
      <c r="AM42" s="14">
        <f t="shared" si="48"/>
        <v>0.42801915593305229</v>
      </c>
      <c r="AN42" s="74">
        <f t="shared" si="49"/>
        <v>1.5546198825701163</v>
      </c>
      <c r="AO42" s="15"/>
      <c r="AP42" s="62" t="str">
        <f t="shared" si="19"/>
        <v>FD</v>
      </c>
      <c r="AQ42" s="13"/>
      <c r="AR42" s="16">
        <v>1.2</v>
      </c>
      <c r="AS42" s="16">
        <v>1.4</v>
      </c>
      <c r="AT42" s="16">
        <v>3.3</v>
      </c>
      <c r="AU42" s="16">
        <v>0.6</v>
      </c>
      <c r="AV42" s="16">
        <v>0.99</v>
      </c>
      <c r="AX42" s="69">
        <f t="shared" si="26"/>
        <v>0.44123106724082722</v>
      </c>
    </row>
    <row r="43" spans="1:50" x14ac:dyDescent="0.25">
      <c r="A43" s="20" t="s">
        <v>75</v>
      </c>
      <c r="B43" s="89"/>
      <c r="C43" s="5" t="s">
        <v>131</v>
      </c>
      <c r="D43" s="7">
        <v>54580103495</v>
      </c>
      <c r="E43" s="6">
        <v>264701143076</v>
      </c>
      <c r="F43" s="6">
        <v>735323324364</v>
      </c>
      <c r="G43" s="7">
        <f t="shared" si="12"/>
        <v>1000024467440</v>
      </c>
      <c r="H43" s="6">
        <v>108208133431</v>
      </c>
      <c r="I43" s="6">
        <v>45386948015</v>
      </c>
      <c r="J43" s="6">
        <f t="shared" si="13"/>
        <v>153595081446</v>
      </c>
      <c r="K43" s="6">
        <v>846429385994</v>
      </c>
      <c r="L43" s="22">
        <f t="shared" si="14"/>
        <v>1000024467440</v>
      </c>
      <c r="M43" s="48" t="str">
        <f t="shared" si="37"/>
        <v>OK</v>
      </c>
      <c r="N43" s="6">
        <v>-1050824344379</v>
      </c>
      <c r="O43" s="6">
        <f t="shared" si="50"/>
        <v>14929100000</v>
      </c>
      <c r="P43" s="8">
        <v>50</v>
      </c>
      <c r="Q43" s="9">
        <f t="shared" si="15"/>
        <v>746455000000</v>
      </c>
      <c r="R43" s="66" t="s">
        <v>131</v>
      </c>
      <c r="S43" s="6">
        <v>552465600178</v>
      </c>
      <c r="T43" s="6">
        <f>2572572044+277597680</f>
        <v>2850169724</v>
      </c>
      <c r="U43" s="6">
        <v>277597680</v>
      </c>
      <c r="V43" s="6">
        <v>-8127299430</v>
      </c>
      <c r="W43" s="6">
        <f t="shared" si="34"/>
        <v>-5554727386</v>
      </c>
      <c r="X43" s="6"/>
      <c r="Y43" s="17">
        <v>1</v>
      </c>
      <c r="Z43" s="11">
        <v>1</v>
      </c>
      <c r="AA43" s="11"/>
      <c r="AB43" s="28">
        <f t="shared" si="38"/>
        <v>-5.5545914793662544E-3</v>
      </c>
      <c r="AC43" s="28">
        <f t="shared" si="39"/>
        <v>-6.5625408072013409E-3</v>
      </c>
      <c r="AD43" s="28">
        <f t="shared" si="40"/>
        <v>2.4462222448813362</v>
      </c>
      <c r="AE43" s="12">
        <f t="shared" si="41"/>
        <v>1.9418229750260481</v>
      </c>
      <c r="AF43" s="28">
        <f t="shared" si="42"/>
        <v>0.18146236884914671</v>
      </c>
      <c r="AG43" s="28">
        <f t="shared" si="43"/>
        <v>0.15359132345950874</v>
      </c>
      <c r="AH43" s="13"/>
      <c r="AI43" s="14">
        <f t="shared" si="44"/>
        <v>0.15648918075535923</v>
      </c>
      <c r="AJ43" s="14">
        <f t="shared" si="45"/>
        <v>-1.0507986340264699</v>
      </c>
      <c r="AK43" s="14">
        <f t="shared" si="46"/>
        <v>2.8500999893495164E-3</v>
      </c>
      <c r="AL43" s="14">
        <f t="shared" si="47"/>
        <v>4.8598886954751475</v>
      </c>
      <c r="AM43" s="14">
        <f t="shared" si="48"/>
        <v>0.55245208308980409</v>
      </c>
      <c r="AN43" s="74">
        <f t="shared" si="49"/>
        <v>2.1889350387782214</v>
      </c>
      <c r="AO43" s="15"/>
      <c r="AP43" s="62" t="str">
        <f t="shared" si="19"/>
        <v>GA</v>
      </c>
      <c r="AQ43" s="13"/>
      <c r="AR43" s="16">
        <v>1.2</v>
      </c>
      <c r="AS43" s="16">
        <v>1.4</v>
      </c>
      <c r="AT43" s="16">
        <v>3.3</v>
      </c>
      <c r="AU43" s="16">
        <v>0.6</v>
      </c>
      <c r="AV43" s="16">
        <v>0.99</v>
      </c>
      <c r="AX43" s="69">
        <f t="shared" si="26"/>
        <v>0.78341514189125161</v>
      </c>
    </row>
    <row r="44" spans="1:50" x14ac:dyDescent="0.25">
      <c r="A44" s="20" t="s">
        <v>76</v>
      </c>
      <c r="B44" s="87" t="s">
        <v>12</v>
      </c>
      <c r="C44" s="5" t="s">
        <v>1</v>
      </c>
      <c r="D44" s="7">
        <v>42726524501</v>
      </c>
      <c r="E44" s="6">
        <v>98274709046</v>
      </c>
      <c r="F44" s="6">
        <v>64553460204</v>
      </c>
      <c r="G44" s="7">
        <f t="shared" si="12"/>
        <v>162828169250</v>
      </c>
      <c r="H44" s="6">
        <v>35476763264</v>
      </c>
      <c r="I44" s="6">
        <v>10034936864</v>
      </c>
      <c r="J44" s="6">
        <f t="shared" si="13"/>
        <v>45511700128</v>
      </c>
      <c r="K44" s="6">
        <v>117316469122</v>
      </c>
      <c r="L44" s="22">
        <f t="shared" si="14"/>
        <v>162828169250</v>
      </c>
      <c r="M44" s="48" t="str">
        <f t="shared" si="37"/>
        <v>OK</v>
      </c>
      <c r="N44" s="6">
        <f>106720131762</f>
        <v>106720131762</v>
      </c>
      <c r="O44" s="6">
        <v>96000000</v>
      </c>
      <c r="P44" s="8">
        <v>590</v>
      </c>
      <c r="Q44" s="9">
        <f t="shared" si="15"/>
        <v>56640000000</v>
      </c>
      <c r="R44" s="66" t="s">
        <v>1</v>
      </c>
      <c r="S44" s="6">
        <v>157855084036</v>
      </c>
      <c r="T44" s="6">
        <f>9424028642+253661528</f>
        <v>9677690170</v>
      </c>
      <c r="U44" s="6">
        <v>253661528</v>
      </c>
      <c r="V44" s="6">
        <v>-3171213831</v>
      </c>
      <c r="W44" s="6">
        <f t="shared" si="34"/>
        <v>6252814811</v>
      </c>
      <c r="X44" s="6"/>
      <c r="Y44" s="17">
        <v>1</v>
      </c>
      <c r="Z44" s="11">
        <v>1</v>
      </c>
      <c r="AA44" s="11"/>
      <c r="AB44" s="28">
        <f t="shared" si="38"/>
        <v>3.8401308814076711E-2</v>
      </c>
      <c r="AC44" s="28">
        <f t="shared" si="39"/>
        <v>5.3298695893221601E-2</v>
      </c>
      <c r="AD44" s="28">
        <f t="shared" si="40"/>
        <v>2.7701148584128061</v>
      </c>
      <c r="AE44" s="12">
        <f t="shared" si="41"/>
        <v>1.5657624719492786</v>
      </c>
      <c r="AF44" s="28">
        <f t="shared" si="42"/>
        <v>0.38793956610364205</v>
      </c>
      <c r="AG44" s="28">
        <f t="shared" si="43"/>
        <v>0.27950753446182347</v>
      </c>
      <c r="AH44" s="13"/>
      <c r="AI44" s="14">
        <f t="shared" si="44"/>
        <v>0.38567003529704058</v>
      </c>
      <c r="AJ44" s="14">
        <f t="shared" si="45"/>
        <v>0.65541565844264993</v>
      </c>
      <c r="AK44" s="14">
        <f t="shared" si="46"/>
        <v>5.9434987291058054E-2</v>
      </c>
      <c r="AL44" s="14">
        <f t="shared" si="47"/>
        <v>1.244515143154443</v>
      </c>
      <c r="AM44" s="14">
        <f t="shared" si="48"/>
        <v>0.96945807818815111</v>
      </c>
      <c r="AN44" s="74">
        <f t="shared" si="49"/>
        <v>3.2829940055355853</v>
      </c>
      <c r="AO44" s="15"/>
      <c r="AP44" s="62" t="str">
        <f t="shared" si="19"/>
        <v>S</v>
      </c>
      <c r="AQ44" s="13"/>
      <c r="AR44" s="16">
        <v>1.2</v>
      </c>
      <c r="AS44" s="16">
        <v>1.4</v>
      </c>
      <c r="AT44" s="16">
        <v>3.3</v>
      </c>
      <c r="AU44" s="16">
        <v>0.6</v>
      </c>
      <c r="AV44" s="16">
        <v>0.99</v>
      </c>
      <c r="AX44" s="69">
        <f t="shared" si="26"/>
        <v>1.1887558126072146</v>
      </c>
    </row>
    <row r="45" spans="1:50" x14ac:dyDescent="0.25">
      <c r="A45" s="20" t="s">
        <v>77</v>
      </c>
      <c r="B45" s="88"/>
      <c r="C45" s="5" t="s">
        <v>2</v>
      </c>
      <c r="D45" s="7">
        <v>35272492728</v>
      </c>
      <c r="E45" s="6">
        <v>89570023525</v>
      </c>
      <c r="F45" s="6">
        <v>71593403315</v>
      </c>
      <c r="G45" s="7">
        <f t="shared" si="12"/>
        <v>161163426840</v>
      </c>
      <c r="H45" s="6">
        <v>20918453456</v>
      </c>
      <c r="I45" s="6">
        <v>10622970307</v>
      </c>
      <c r="J45" s="6">
        <f t="shared" si="13"/>
        <v>31541423763</v>
      </c>
      <c r="K45" s="6">
        <v>129622003077</v>
      </c>
      <c r="L45" s="22">
        <f t="shared" si="14"/>
        <v>161163426840</v>
      </c>
      <c r="M45" s="48" t="str">
        <f t="shared" si="37"/>
        <v>OK</v>
      </c>
      <c r="N45" s="6">
        <f>118925665717</f>
        <v>118925665717</v>
      </c>
      <c r="O45" s="6">
        <v>96000000</v>
      </c>
      <c r="P45" s="8">
        <v>640</v>
      </c>
      <c r="Q45" s="9">
        <f t="shared" si="15"/>
        <v>61440000000</v>
      </c>
      <c r="R45" s="66" t="s">
        <v>2</v>
      </c>
      <c r="S45" s="6">
        <v>224371164551</v>
      </c>
      <c r="T45" s="6">
        <f>17488236349+668898671</f>
        <v>18157135020</v>
      </c>
      <c r="U45" s="6">
        <v>668898671</v>
      </c>
      <c r="V45" s="6">
        <v>-4521122499</v>
      </c>
      <c r="W45" s="6">
        <f t="shared" si="34"/>
        <v>12967113850</v>
      </c>
      <c r="X45" s="6"/>
      <c r="Y45" s="17">
        <v>1</v>
      </c>
      <c r="Z45" s="11">
        <v>1</v>
      </c>
      <c r="AA45" s="11"/>
      <c r="AB45" s="28">
        <f t="shared" si="38"/>
        <v>8.0459407597937876E-2</v>
      </c>
      <c r="AC45" s="28">
        <f t="shared" si="39"/>
        <v>0.10003790669935166</v>
      </c>
      <c r="AD45" s="28">
        <f t="shared" si="40"/>
        <v>4.281866425422038</v>
      </c>
      <c r="AE45" s="12">
        <f t="shared" si="41"/>
        <v>2.5956761531730703</v>
      </c>
      <c r="AF45" s="28">
        <f t="shared" si="42"/>
        <v>0.24333387090356329</v>
      </c>
      <c r="AG45" s="28">
        <f t="shared" si="43"/>
        <v>0.19571080350825332</v>
      </c>
      <c r="AH45" s="13"/>
      <c r="AI45" s="14">
        <f t="shared" si="44"/>
        <v>0.42597487168820242</v>
      </c>
      <c r="AJ45" s="14">
        <f t="shared" si="45"/>
        <v>0.73791968841086475</v>
      </c>
      <c r="AK45" s="14">
        <f t="shared" si="46"/>
        <v>0.11266287504562719</v>
      </c>
      <c r="AL45" s="14">
        <f t="shared" si="47"/>
        <v>1.9479146046689508</v>
      </c>
      <c r="AM45" s="14">
        <f t="shared" si="48"/>
        <v>1.3921965358415433</v>
      </c>
      <c r="AN45" s="74">
        <f t="shared" si="49"/>
        <v>4.4630682307361216</v>
      </c>
      <c r="AO45" s="15"/>
      <c r="AP45" s="62" t="str">
        <f t="shared" si="19"/>
        <v>S</v>
      </c>
      <c r="AQ45" s="13"/>
      <c r="AR45" s="16">
        <v>1.2</v>
      </c>
      <c r="AS45" s="16">
        <v>1.4</v>
      </c>
      <c r="AT45" s="16">
        <v>3.3</v>
      </c>
      <c r="AU45" s="16">
        <v>0.6</v>
      </c>
      <c r="AV45" s="16">
        <v>0.99</v>
      </c>
      <c r="AX45" s="69">
        <f t="shared" si="26"/>
        <v>1.4958364736181318</v>
      </c>
    </row>
    <row r="46" spans="1:50" x14ac:dyDescent="0.25">
      <c r="A46" s="20" t="s">
        <v>78</v>
      </c>
      <c r="B46" s="88"/>
      <c r="C46" s="5" t="s">
        <v>3</v>
      </c>
      <c r="D46" s="7">
        <v>31710786600</v>
      </c>
      <c r="E46" s="6">
        <v>91588263964</v>
      </c>
      <c r="F46" s="6">
        <v>68439016189</v>
      </c>
      <c r="G46" s="7">
        <f t="shared" si="12"/>
        <v>160027280153</v>
      </c>
      <c r="H46" s="6">
        <v>17303304955</v>
      </c>
      <c r="I46" s="6">
        <v>10031766908</v>
      </c>
      <c r="J46" s="6">
        <f t="shared" si="13"/>
        <v>27335071863</v>
      </c>
      <c r="K46" s="6">
        <v>132692208290</v>
      </c>
      <c r="L46" s="22">
        <f t="shared" si="14"/>
        <v>160027280153</v>
      </c>
      <c r="M46" s="48" t="str">
        <f t="shared" si="37"/>
        <v>OK</v>
      </c>
      <c r="N46" s="6">
        <f>121895870930</f>
        <v>121895870930</v>
      </c>
      <c r="O46" s="6">
        <v>96000000</v>
      </c>
      <c r="P46" s="8">
        <v>580</v>
      </c>
      <c r="Q46" s="9">
        <f t="shared" si="15"/>
        <v>55680000000</v>
      </c>
      <c r="R46" s="66" t="s">
        <v>3</v>
      </c>
      <c r="S46" s="6">
        <v>240029648845</v>
      </c>
      <c r="T46" s="6">
        <f>5024560665+737998770</f>
        <v>5762559435</v>
      </c>
      <c r="U46" s="6">
        <v>737998770</v>
      </c>
      <c r="V46" s="6">
        <v>-2137833275</v>
      </c>
      <c r="W46" s="6">
        <f t="shared" si="34"/>
        <v>2886727390</v>
      </c>
      <c r="X46" s="6"/>
      <c r="Y46" s="17">
        <v>1</v>
      </c>
      <c r="Z46" s="11">
        <v>1</v>
      </c>
      <c r="AA46" s="11"/>
      <c r="AB46" s="28">
        <f t="shared" si="38"/>
        <v>1.8038970525775591E-2</v>
      </c>
      <c r="AC46" s="28">
        <f t="shared" si="39"/>
        <v>2.175506329422924E-2</v>
      </c>
      <c r="AD46" s="28">
        <f t="shared" si="40"/>
        <v>5.2931081202226897</v>
      </c>
      <c r="AE46" s="12">
        <f t="shared" si="41"/>
        <v>3.4604647794002887</v>
      </c>
      <c r="AF46" s="28">
        <f t="shared" si="42"/>
        <v>0.20600359444813035</v>
      </c>
      <c r="AG46" s="28">
        <f t="shared" si="43"/>
        <v>0.17081507501011886</v>
      </c>
      <c r="AH46" s="13"/>
      <c r="AI46" s="14">
        <f t="shared" si="44"/>
        <v>0.46420184694745242</v>
      </c>
      <c r="AJ46" s="14">
        <f t="shared" si="45"/>
        <v>0.76171931944014137</v>
      </c>
      <c r="AK46" s="14">
        <f t="shared" si="46"/>
        <v>3.6009856753739064E-2</v>
      </c>
      <c r="AL46" s="14">
        <f t="shared" si="47"/>
        <v>2.0369436114549568</v>
      </c>
      <c r="AM46" s="14">
        <f t="shared" si="48"/>
        <v>1.4999295658559639</v>
      </c>
      <c r="AN46" s="74">
        <f t="shared" si="49"/>
        <v>4.4493782279108576</v>
      </c>
      <c r="AO46" s="15"/>
      <c r="AP46" s="62" t="str">
        <f t="shared" si="19"/>
        <v>S</v>
      </c>
      <c r="AQ46" s="13"/>
      <c r="AR46" s="16">
        <v>1.2</v>
      </c>
      <c r="AS46" s="16">
        <v>1.4</v>
      </c>
      <c r="AT46" s="16">
        <v>3.3</v>
      </c>
      <c r="AU46" s="16">
        <v>0.6</v>
      </c>
      <c r="AV46" s="16">
        <v>0.99</v>
      </c>
      <c r="AX46" s="69">
        <f t="shared" si="26"/>
        <v>1.4927643623508564</v>
      </c>
    </row>
    <row r="47" spans="1:50" x14ac:dyDescent="0.25">
      <c r="A47" s="20" t="s">
        <v>79</v>
      </c>
      <c r="B47" s="88"/>
      <c r="C47" s="5" t="s">
        <v>4</v>
      </c>
      <c r="D47" s="7">
        <v>30934265463</v>
      </c>
      <c r="E47" s="6">
        <v>79841884794</v>
      </c>
      <c r="F47" s="6">
        <v>67248756659</v>
      </c>
      <c r="G47" s="7">
        <f t="shared" si="12"/>
        <v>147090641453</v>
      </c>
      <c r="H47" s="6">
        <v>21455055711</v>
      </c>
      <c r="I47" s="6">
        <v>12000121855</v>
      </c>
      <c r="J47" s="6">
        <f t="shared" si="13"/>
        <v>33455177566</v>
      </c>
      <c r="K47" s="6">
        <v>113635463887</v>
      </c>
      <c r="L47" s="22">
        <f t="shared" si="14"/>
        <v>147090641453</v>
      </c>
      <c r="M47" s="48" t="str">
        <f t="shared" si="37"/>
        <v>OK</v>
      </c>
      <c r="N47" s="6">
        <f>102739126527</f>
        <v>102739126527</v>
      </c>
      <c r="O47" s="6">
        <v>96000000</v>
      </c>
      <c r="P47" s="8">
        <v>476</v>
      </c>
      <c r="Q47" s="9">
        <f t="shared" si="15"/>
        <v>45696000000</v>
      </c>
      <c r="R47" s="66" t="s">
        <v>4</v>
      </c>
      <c r="S47" s="6">
        <v>177788235456</v>
      </c>
      <c r="T47" s="6">
        <f>-18595167688+197972540</f>
        <v>-18397195148</v>
      </c>
      <c r="U47" s="6">
        <v>197972540</v>
      </c>
      <c r="V47" s="6">
        <v>349600333</v>
      </c>
      <c r="W47" s="6">
        <f t="shared" si="34"/>
        <v>-18245567355</v>
      </c>
      <c r="X47" s="6"/>
      <c r="Y47" s="17">
        <v>1</v>
      </c>
      <c r="Z47" s="11">
        <v>1</v>
      </c>
      <c r="AA47" s="11"/>
      <c r="AB47" s="28">
        <f t="shared" si="38"/>
        <v>-0.12404301983297844</v>
      </c>
      <c r="AC47" s="28">
        <f t="shared" si="39"/>
        <v>-0.16056226402299492</v>
      </c>
      <c r="AD47" s="28">
        <f t="shared" si="40"/>
        <v>3.7213552772582683</v>
      </c>
      <c r="AE47" s="12">
        <f t="shared" si="41"/>
        <v>2.2795382118688732</v>
      </c>
      <c r="AF47" s="28">
        <f t="shared" si="42"/>
        <v>0.29440789364197162</v>
      </c>
      <c r="AG47" s="28">
        <f t="shared" si="43"/>
        <v>0.22744599680524177</v>
      </c>
      <c r="AH47" s="13"/>
      <c r="AI47" s="14">
        <f t="shared" si="44"/>
        <v>0.3969445540942616</v>
      </c>
      <c r="AJ47" s="14">
        <f t="shared" si="45"/>
        <v>0.69847493703281127</v>
      </c>
      <c r="AK47" s="14">
        <f t="shared" si="46"/>
        <v>-0.12507386578960886</v>
      </c>
      <c r="AL47" s="14">
        <f t="shared" si="47"/>
        <v>1.3658872355363065</v>
      </c>
      <c r="AM47" s="14">
        <f t="shared" si="48"/>
        <v>1.2086984848237869</v>
      </c>
      <c r="AN47" s="74">
        <f t="shared" si="49"/>
        <v>3.0575984609506737</v>
      </c>
      <c r="AO47" s="15"/>
      <c r="AP47" s="62" t="str">
        <f t="shared" si="19"/>
        <v>S</v>
      </c>
      <c r="AQ47" s="13"/>
      <c r="AR47" s="16">
        <v>1.2</v>
      </c>
      <c r="AS47" s="16">
        <v>1.4</v>
      </c>
      <c r="AT47" s="16">
        <v>3.3</v>
      </c>
      <c r="AU47" s="16">
        <v>0.6</v>
      </c>
      <c r="AV47" s="16">
        <v>0.99</v>
      </c>
      <c r="AX47" s="69">
        <f t="shared" si="26"/>
        <v>1.1176297911516628</v>
      </c>
    </row>
    <row r="48" spans="1:50" x14ac:dyDescent="0.25">
      <c r="A48" s="20" t="s">
        <v>80</v>
      </c>
      <c r="B48" s="88"/>
      <c r="C48" s="5" t="s">
        <v>5</v>
      </c>
      <c r="D48" s="7">
        <v>37405812986</v>
      </c>
      <c r="E48" s="6">
        <v>79949514002</v>
      </c>
      <c r="F48" s="6">
        <v>63536675957</v>
      </c>
      <c r="G48" s="7">
        <f t="shared" si="12"/>
        <v>143486189959</v>
      </c>
      <c r="H48" s="6">
        <v>23270556685</v>
      </c>
      <c r="I48" s="6">
        <v>11864188605</v>
      </c>
      <c r="J48" s="6">
        <f t="shared" si="13"/>
        <v>35134745290</v>
      </c>
      <c r="K48" s="6">
        <v>108351444669</v>
      </c>
      <c r="L48" s="22">
        <f t="shared" si="14"/>
        <v>143486189959</v>
      </c>
      <c r="M48" s="48" t="str">
        <f t="shared" si="37"/>
        <v>OK</v>
      </c>
      <c r="N48" s="6">
        <f>97455107309</f>
        <v>97455107309</v>
      </c>
      <c r="O48" s="6">
        <v>96000000</v>
      </c>
      <c r="P48" s="8">
        <v>420</v>
      </c>
      <c r="Q48" s="9">
        <f t="shared" si="15"/>
        <v>40320000000</v>
      </c>
      <c r="R48" s="66" t="s">
        <v>5</v>
      </c>
      <c r="S48" s="6">
        <v>124814032661</v>
      </c>
      <c r="T48" s="6">
        <f>-7494245384+355555923</f>
        <v>-7138689461</v>
      </c>
      <c r="U48" s="6">
        <v>355555923</v>
      </c>
      <c r="V48" s="6">
        <v>-574243308</v>
      </c>
      <c r="W48" s="6">
        <f t="shared" si="34"/>
        <v>-8068488692</v>
      </c>
      <c r="X48" s="6"/>
      <c r="Y48" s="17">
        <v>1</v>
      </c>
      <c r="Z48" s="11">
        <v>1</v>
      </c>
      <c r="AA48" s="11"/>
      <c r="AB48" s="28">
        <f t="shared" si="38"/>
        <v>-5.6231813628234914E-2</v>
      </c>
      <c r="AC48" s="28">
        <f t="shared" si="39"/>
        <v>-7.44659078302852E-2</v>
      </c>
      <c r="AD48" s="28">
        <f t="shared" si="40"/>
        <v>3.43565111416242</v>
      </c>
      <c r="AE48" s="12">
        <f t="shared" si="41"/>
        <v>1.828220166448502</v>
      </c>
      <c r="AF48" s="28">
        <f t="shared" si="42"/>
        <v>0.32426651437211768</v>
      </c>
      <c r="AG48" s="28">
        <f t="shared" si="43"/>
        <v>0.24486499571867831</v>
      </c>
      <c r="AH48" s="13"/>
      <c r="AI48" s="14">
        <f t="shared" si="44"/>
        <v>0.39501332729787825</v>
      </c>
      <c r="AJ48" s="14">
        <f t="shared" si="45"/>
        <v>0.67919503149987459</v>
      </c>
      <c r="AK48" s="14">
        <f t="shared" si="46"/>
        <v>-4.9751752855378084E-2</v>
      </c>
      <c r="AL48" s="14">
        <f t="shared" si="47"/>
        <v>1.1475819638708415</v>
      </c>
      <c r="AM48" s="14">
        <f t="shared" si="48"/>
        <v>0.86986791339755121</v>
      </c>
      <c r="AN48" s="74">
        <f t="shared" si="49"/>
        <v>2.8104266650206116</v>
      </c>
      <c r="AO48" s="15"/>
      <c r="AP48" s="62" t="str">
        <f t="shared" si="19"/>
        <v>GA</v>
      </c>
      <c r="AQ48" s="13"/>
      <c r="AR48" s="16">
        <v>1.2</v>
      </c>
      <c r="AS48" s="16">
        <v>1.4</v>
      </c>
      <c r="AT48" s="16">
        <v>3.3</v>
      </c>
      <c r="AU48" s="16">
        <v>0.6</v>
      </c>
      <c r="AV48" s="16">
        <v>0.99</v>
      </c>
      <c r="AX48" s="69">
        <f t="shared" si="26"/>
        <v>1.0333363099050459</v>
      </c>
    </row>
    <row r="49" spans="1:50" x14ac:dyDescent="0.25">
      <c r="A49" s="20" t="s">
        <v>81</v>
      </c>
      <c r="B49" s="89"/>
      <c r="C49" s="5" t="s">
        <v>131</v>
      </c>
      <c r="D49" s="7">
        <v>38761194127</v>
      </c>
      <c r="E49" s="6">
        <v>85694063426</v>
      </c>
      <c r="F49" s="6">
        <v>59765586463</v>
      </c>
      <c r="G49" s="7">
        <f t="shared" si="12"/>
        <v>145459649889</v>
      </c>
      <c r="H49" s="6">
        <v>19024382841</v>
      </c>
      <c r="I49" s="6">
        <v>10868968048</v>
      </c>
      <c r="J49" s="6">
        <f t="shared" si="13"/>
        <v>29893350889</v>
      </c>
      <c r="K49" s="6">
        <v>115566299000</v>
      </c>
      <c r="L49" s="22">
        <f t="shared" si="14"/>
        <v>145459649889</v>
      </c>
      <c r="M49" s="48" t="str">
        <f t="shared" si="37"/>
        <v>OK</v>
      </c>
      <c r="N49" s="6">
        <v>104669961640</v>
      </c>
      <c r="O49" s="6">
        <v>96000000</v>
      </c>
      <c r="P49" s="8">
        <v>750</v>
      </c>
      <c r="Q49" s="9">
        <f t="shared" si="15"/>
        <v>72000000000</v>
      </c>
      <c r="R49" s="66" t="s">
        <v>131</v>
      </c>
      <c r="S49" s="6">
        <v>168551904708</v>
      </c>
      <c r="T49" s="6">
        <f>5956601009+723599105</f>
        <v>6680200114</v>
      </c>
      <c r="U49" s="6">
        <v>723599105</v>
      </c>
      <c r="V49" s="6">
        <v>557689099</v>
      </c>
      <c r="W49" s="6">
        <f t="shared" ref="W49:W91" si="51">T49-U49+V49</f>
        <v>6514290108</v>
      </c>
      <c r="X49" s="6"/>
      <c r="Y49" s="17">
        <v>1</v>
      </c>
      <c r="Z49" s="11">
        <v>1</v>
      </c>
      <c r="AA49" s="11"/>
      <c r="AB49" s="28">
        <f t="shared" si="38"/>
        <v>4.4784172882108841E-2</v>
      </c>
      <c r="AC49" s="28">
        <f t="shared" si="39"/>
        <v>5.6368423704561139E-2</v>
      </c>
      <c r="AD49" s="28">
        <f t="shared" si="40"/>
        <v>4.504433291855241</v>
      </c>
      <c r="AE49" s="12">
        <f t="shared" si="41"/>
        <v>2.4669851154305835</v>
      </c>
      <c r="AF49" s="28">
        <f t="shared" si="42"/>
        <v>0.25866841066702329</v>
      </c>
      <c r="AG49" s="28">
        <f t="shared" si="43"/>
        <v>0.20550957541704221</v>
      </c>
      <c r="AH49" s="13"/>
      <c r="AI49" s="14">
        <f t="shared" si="44"/>
        <v>0.45833796957352446</v>
      </c>
      <c r="AJ49" s="14">
        <f t="shared" si="45"/>
        <v>0.71958073403774492</v>
      </c>
      <c r="AK49" s="14">
        <f t="shared" si="46"/>
        <v>4.5924764146604569E-2</v>
      </c>
      <c r="AL49" s="14">
        <f t="shared" si="47"/>
        <v>2.4085623678439538</v>
      </c>
      <c r="AM49" s="14">
        <f t="shared" si="48"/>
        <v>1.1587536807397905</v>
      </c>
      <c r="AN49" s="74">
        <f t="shared" si="49"/>
        <v>4.3012738774636325</v>
      </c>
      <c r="AO49" s="15"/>
      <c r="AP49" s="62" t="str">
        <f t="shared" si="19"/>
        <v>S</v>
      </c>
      <c r="AQ49" s="13"/>
      <c r="AR49" s="16">
        <v>1.2</v>
      </c>
      <c r="AS49" s="16">
        <v>1.4</v>
      </c>
      <c r="AT49" s="16">
        <v>3.3</v>
      </c>
      <c r="AU49" s="16">
        <v>0.6</v>
      </c>
      <c r="AV49" s="16">
        <v>0.99</v>
      </c>
      <c r="AX49" s="69">
        <f t="shared" si="26"/>
        <v>1.4589112293989184</v>
      </c>
    </row>
    <row r="50" spans="1:50" x14ac:dyDescent="0.25">
      <c r="A50" s="20" t="s">
        <v>82</v>
      </c>
      <c r="B50" s="87" t="s">
        <v>13</v>
      </c>
      <c r="C50" s="5" t="s">
        <v>1</v>
      </c>
      <c r="D50" s="7">
        <v>23558136</v>
      </c>
      <c r="E50" s="6">
        <v>34467170</v>
      </c>
      <c r="F50" s="6">
        <v>57104676</v>
      </c>
      <c r="G50" s="7">
        <f t="shared" si="12"/>
        <v>91571846</v>
      </c>
      <c r="H50" s="6">
        <v>39040191</v>
      </c>
      <c r="I50" s="6">
        <v>67973936</v>
      </c>
      <c r="J50" s="6">
        <f t="shared" si="13"/>
        <v>107014127</v>
      </c>
      <c r="K50" s="6">
        <v>-15442281</v>
      </c>
      <c r="L50" s="22">
        <f t="shared" si="14"/>
        <v>91571846</v>
      </c>
      <c r="M50" s="48" t="str">
        <f t="shared" si="37"/>
        <v>OK</v>
      </c>
      <c r="N50" s="6">
        <v>-214369785</v>
      </c>
      <c r="O50" s="6">
        <v>3111401022</v>
      </c>
      <c r="P50" s="8">
        <v>190</v>
      </c>
      <c r="Q50" s="9">
        <f t="shared" ref="Q50:Q55" si="52">O50*P50</f>
        <v>591166194180</v>
      </c>
      <c r="R50" s="66" t="s">
        <v>1</v>
      </c>
      <c r="S50" s="6">
        <v>73717004</v>
      </c>
      <c r="T50" s="6">
        <f>597956+6151720</f>
        <v>6749676</v>
      </c>
      <c r="U50" s="6">
        <v>6151720</v>
      </c>
      <c r="V50" s="6">
        <v>-4252</v>
      </c>
      <c r="W50" s="6">
        <f t="shared" si="51"/>
        <v>593704</v>
      </c>
      <c r="X50" s="6"/>
      <c r="Y50" s="10">
        <v>13369</v>
      </c>
      <c r="Z50" s="11">
        <v>1</v>
      </c>
      <c r="AA50" s="11"/>
      <c r="AB50" s="28">
        <f t="shared" si="38"/>
        <v>6.4834774653336133E-3</v>
      </c>
      <c r="AC50" s="28">
        <f t="shared" si="39"/>
        <v>-3.8446651760837662E-2</v>
      </c>
      <c r="AD50" s="28">
        <f t="shared" si="40"/>
        <v>0.8828637646777906</v>
      </c>
      <c r="AE50" s="12">
        <f t="shared" si="41"/>
        <v>0.27943085626809561</v>
      </c>
      <c r="AF50" s="28">
        <f t="shared" si="42"/>
        <v>-6.9299429922302282</v>
      </c>
      <c r="AG50" s="28">
        <f t="shared" si="43"/>
        <v>1.1686356852519932</v>
      </c>
      <c r="AH50" s="13"/>
      <c r="AI50" s="14">
        <f t="shared" si="44"/>
        <v>-4.9939159247701523E-2</v>
      </c>
      <c r="AJ50" s="14">
        <f t="shared" si="45"/>
        <v>-2.3410010212090735</v>
      </c>
      <c r="AK50" s="14">
        <f t="shared" si="46"/>
        <v>7.3709074293424201E-2</v>
      </c>
      <c r="AL50" s="14">
        <f t="shared" si="47"/>
        <v>0.41320879309373881</v>
      </c>
      <c r="AM50" s="14">
        <f t="shared" si="48"/>
        <v>0.80501821487796588</v>
      </c>
      <c r="AN50" s="74">
        <f t="shared" si="49"/>
        <v>-2.0491951670362152</v>
      </c>
      <c r="AO50" s="15"/>
      <c r="AP50" s="62" t="str">
        <f t="shared" si="19"/>
        <v>FD</v>
      </c>
      <c r="AQ50" s="13"/>
      <c r="AR50" s="16">
        <v>1.2</v>
      </c>
      <c r="AS50" s="16">
        <v>1.4</v>
      </c>
      <c r="AT50" s="16">
        <v>3.3</v>
      </c>
      <c r="AU50" s="16">
        <v>0.6</v>
      </c>
      <c r="AV50" s="16">
        <v>0.99</v>
      </c>
      <c r="AX50" s="69" t="e">
        <f t="shared" si="26"/>
        <v>#NUM!</v>
      </c>
    </row>
    <row r="51" spans="1:50" x14ac:dyDescent="0.25">
      <c r="A51" s="20" t="s">
        <v>83</v>
      </c>
      <c r="B51" s="88"/>
      <c r="C51" s="5" t="s">
        <v>2</v>
      </c>
      <c r="D51" s="7">
        <v>19752248</v>
      </c>
      <c r="E51" s="19">
        <v>28633520</v>
      </c>
      <c r="F51" s="19">
        <v>53894077</v>
      </c>
      <c r="G51" s="7">
        <f t="shared" si="12"/>
        <v>82527597</v>
      </c>
      <c r="H51" s="6">
        <v>29974970</v>
      </c>
      <c r="I51" s="6">
        <v>51684826</v>
      </c>
      <c r="J51" s="6">
        <f t="shared" si="13"/>
        <v>81659796</v>
      </c>
      <c r="K51" s="6">
        <v>867801</v>
      </c>
      <c r="L51" s="22">
        <f t="shared" si="14"/>
        <v>82527597</v>
      </c>
      <c r="M51" s="48" t="str">
        <f t="shared" si="37"/>
        <v>OK</v>
      </c>
      <c r="N51" s="6">
        <v>-213390834</v>
      </c>
      <c r="O51" s="6">
        <v>3986916802</v>
      </c>
      <c r="P51" s="8">
        <v>190</v>
      </c>
      <c r="Q51" s="9">
        <f t="shared" si="52"/>
        <v>757514192380</v>
      </c>
      <c r="R51" s="66" t="s">
        <v>2</v>
      </c>
      <c r="S51" s="6">
        <v>65920016</v>
      </c>
      <c r="T51" s="6">
        <f>546092+3794316</f>
        <v>4340408</v>
      </c>
      <c r="U51" s="6">
        <v>3794316</v>
      </c>
      <c r="V51" s="6">
        <f>-11710+811784</f>
        <v>800074</v>
      </c>
      <c r="W51" s="6">
        <f t="shared" si="51"/>
        <v>1346166</v>
      </c>
      <c r="X51" s="6"/>
      <c r="Y51" s="10">
        <v>13480</v>
      </c>
      <c r="Z51" s="11">
        <v>1</v>
      </c>
      <c r="AA51" s="11"/>
      <c r="AB51" s="28">
        <f t="shared" si="38"/>
        <v>1.6311707222009628E-2</v>
      </c>
      <c r="AC51" s="28">
        <f t="shared" si="39"/>
        <v>1.5512381294789934</v>
      </c>
      <c r="AD51" s="28">
        <f t="shared" si="40"/>
        <v>0.9552476616323553</v>
      </c>
      <c r="AE51" s="12">
        <f t="shared" si="41"/>
        <v>0.29628960429318196</v>
      </c>
      <c r="AF51" s="28">
        <f t="shared" si="42"/>
        <v>94.099679534824233</v>
      </c>
      <c r="AG51" s="28">
        <f t="shared" si="43"/>
        <v>0.98948471745760391</v>
      </c>
      <c r="AH51" s="13"/>
      <c r="AI51" s="14">
        <f t="shared" si="44"/>
        <v>-1.6254562701007762E-2</v>
      </c>
      <c r="AJ51" s="14">
        <f t="shared" si="45"/>
        <v>-2.5856906266154822</v>
      </c>
      <c r="AK51" s="14">
        <f t="shared" si="46"/>
        <v>5.2593413085806923E-2</v>
      </c>
      <c r="AL51" s="14">
        <f t="shared" si="47"/>
        <v>0.6881650165399037</v>
      </c>
      <c r="AM51" s="14">
        <f t="shared" si="48"/>
        <v>0.79876330338323065</v>
      </c>
      <c r="AN51" s="74">
        <f t="shared" si="49"/>
        <v>-2.2622394090463809</v>
      </c>
      <c r="AO51" s="15"/>
      <c r="AP51" s="62" t="str">
        <f t="shared" si="19"/>
        <v>FD</v>
      </c>
      <c r="AQ51" s="13"/>
      <c r="AR51" s="16">
        <v>1.2</v>
      </c>
      <c r="AS51" s="16">
        <v>1.4</v>
      </c>
      <c r="AT51" s="16">
        <v>3.3</v>
      </c>
      <c r="AU51" s="16">
        <v>0.6</v>
      </c>
      <c r="AV51" s="16">
        <v>0.99</v>
      </c>
      <c r="AX51" s="69" t="e">
        <f t="shared" si="26"/>
        <v>#NUM!</v>
      </c>
    </row>
    <row r="52" spans="1:50" x14ac:dyDescent="0.25">
      <c r="A52" s="20" t="s">
        <v>84</v>
      </c>
      <c r="B52" s="88"/>
      <c r="C52" s="5" t="s">
        <v>3</v>
      </c>
      <c r="D52" s="7">
        <v>21258272</v>
      </c>
      <c r="E52" s="19">
        <v>41046100</v>
      </c>
      <c r="F52" s="6">
        <v>60144018</v>
      </c>
      <c r="G52" s="7">
        <f t="shared" si="12"/>
        <v>101190118</v>
      </c>
      <c r="H52" s="6">
        <v>90200114</v>
      </c>
      <c r="I52" s="6">
        <v>6004287</v>
      </c>
      <c r="J52" s="6">
        <f t="shared" si="13"/>
        <v>96204401</v>
      </c>
      <c r="K52" s="6">
        <v>4985717</v>
      </c>
      <c r="L52" s="22">
        <f t="shared" si="14"/>
        <v>101190118</v>
      </c>
      <c r="M52" s="48" t="str">
        <f t="shared" si="37"/>
        <v>OK</v>
      </c>
      <c r="N52" s="6">
        <v>-210029559</v>
      </c>
      <c r="O52" s="6">
        <v>3986916802</v>
      </c>
      <c r="P52" s="8">
        <v>101</v>
      </c>
      <c r="Q52" s="9">
        <f t="shared" si="52"/>
        <v>402678597002</v>
      </c>
      <c r="R52" s="66" t="s">
        <v>3</v>
      </c>
      <c r="S52" s="6">
        <v>93849379</v>
      </c>
      <c r="T52" s="6">
        <f>1310006+8154031</f>
        <v>9464037</v>
      </c>
      <c r="U52" s="6">
        <v>8154031</v>
      </c>
      <c r="V52" s="6">
        <f>-2105+1959495</f>
        <v>1957390</v>
      </c>
      <c r="W52" s="6">
        <f t="shared" si="51"/>
        <v>3267396</v>
      </c>
      <c r="X52" s="6"/>
      <c r="Y52" s="10">
        <v>14409</v>
      </c>
      <c r="Z52" s="11">
        <v>1</v>
      </c>
      <c r="AA52" s="11"/>
      <c r="AB52" s="28">
        <f t="shared" si="38"/>
        <v>3.2289674768439344E-2</v>
      </c>
      <c r="AC52" s="28">
        <f t="shared" si="39"/>
        <v>0.65535127645632518</v>
      </c>
      <c r="AD52" s="28">
        <f t="shared" si="40"/>
        <v>0.45505596589379033</v>
      </c>
      <c r="AE52" s="12">
        <f t="shared" si="41"/>
        <v>0.21937697329296058</v>
      </c>
      <c r="AF52" s="28">
        <f t="shared" si="42"/>
        <v>19.296001156904815</v>
      </c>
      <c r="AG52" s="28">
        <f t="shared" si="43"/>
        <v>0.95072921053417492</v>
      </c>
      <c r="AH52" s="13"/>
      <c r="AI52" s="14">
        <f t="shared" si="44"/>
        <v>-0.48575903429621459</v>
      </c>
      <c r="AJ52" s="14">
        <f t="shared" si="45"/>
        <v>-2.0755935772305354</v>
      </c>
      <c r="AK52" s="14">
        <f t="shared" si="46"/>
        <v>9.3527284946935227E-2</v>
      </c>
      <c r="AL52" s="14">
        <f t="shared" si="47"/>
        <v>0.29048904951181892</v>
      </c>
      <c r="AM52" s="14">
        <f t="shared" si="48"/>
        <v>0.92745596956414267</v>
      </c>
      <c r="AN52" s="74">
        <f t="shared" si="49"/>
        <v>-2.0876269693777276</v>
      </c>
      <c r="AO52" s="15"/>
      <c r="AP52" s="62" t="str">
        <f t="shared" si="19"/>
        <v>FD</v>
      </c>
      <c r="AQ52" s="13"/>
      <c r="AR52" s="16">
        <v>1.2</v>
      </c>
      <c r="AS52" s="16">
        <v>1.4</v>
      </c>
      <c r="AT52" s="16">
        <v>3.3</v>
      </c>
      <c r="AU52" s="16">
        <v>0.6</v>
      </c>
      <c r="AV52" s="16">
        <v>0.99</v>
      </c>
      <c r="AX52" s="69" t="e">
        <f t="shared" si="26"/>
        <v>#NUM!</v>
      </c>
    </row>
    <row r="53" spans="1:50" x14ac:dyDescent="0.25">
      <c r="A53" s="20" t="s">
        <v>85</v>
      </c>
      <c r="B53" s="88"/>
      <c r="C53" s="5" t="s">
        <v>4</v>
      </c>
      <c r="D53" s="7">
        <v>22209819</v>
      </c>
      <c r="E53" s="6">
        <v>32879799</v>
      </c>
      <c r="F53" s="6">
        <v>72160166</v>
      </c>
      <c r="G53" s="7">
        <f t="shared" si="12"/>
        <v>105039965</v>
      </c>
      <c r="H53" s="6">
        <v>95539486</v>
      </c>
      <c r="I53" s="6">
        <v>4936330</v>
      </c>
      <c r="J53" s="6">
        <f t="shared" si="13"/>
        <v>100475816</v>
      </c>
      <c r="K53" s="6">
        <v>4564149</v>
      </c>
      <c r="L53" s="22">
        <f t="shared" si="14"/>
        <v>105039965</v>
      </c>
      <c r="M53" s="48" t="str">
        <f t="shared" si="37"/>
        <v>OK</v>
      </c>
      <c r="N53" s="6">
        <v>-217971788</v>
      </c>
      <c r="O53" s="6">
        <v>3986916802</v>
      </c>
      <c r="P53" s="8">
        <v>50</v>
      </c>
      <c r="Q53" s="9">
        <f t="shared" si="52"/>
        <v>199345840100</v>
      </c>
      <c r="R53" s="66" t="s">
        <v>4</v>
      </c>
      <c r="S53" s="6">
        <v>65923702</v>
      </c>
      <c r="T53" s="6">
        <f>-9421277+4990351</f>
        <v>-4430926</v>
      </c>
      <c r="U53" s="6">
        <v>4990351</v>
      </c>
      <c r="V53" s="6">
        <v>166151</v>
      </c>
      <c r="W53" s="6">
        <f t="shared" si="51"/>
        <v>-9255126</v>
      </c>
      <c r="X53" s="6"/>
      <c r="Y53" s="10">
        <v>13831</v>
      </c>
      <c r="Z53" s="11">
        <v>1</v>
      </c>
      <c r="AA53" s="11"/>
      <c r="AB53" s="28">
        <f t="shared" si="38"/>
        <v>-8.8110520600420988E-2</v>
      </c>
      <c r="AC53" s="28">
        <f t="shared" si="39"/>
        <v>-2.0277878745851639</v>
      </c>
      <c r="AD53" s="28">
        <f t="shared" si="40"/>
        <v>0.3441487951902944</v>
      </c>
      <c r="AE53" s="12">
        <f>(E53-D53)/H53</f>
        <v>0.11168136282416256</v>
      </c>
      <c r="AF53" s="28">
        <f t="shared" si="42"/>
        <v>22.014140204449941</v>
      </c>
      <c r="AG53" s="28">
        <f t="shared" si="43"/>
        <v>0.95654845277223766</v>
      </c>
      <c r="AH53" s="13"/>
      <c r="AI53" s="14">
        <f t="shared" si="44"/>
        <v>-0.59653187241637029</v>
      </c>
      <c r="AJ53" s="14">
        <f t="shared" si="45"/>
        <v>-2.0751319557275174</v>
      </c>
      <c r="AK53" s="14">
        <f t="shared" si="46"/>
        <v>-4.2183239493653678E-2</v>
      </c>
      <c r="AL53" s="14">
        <f t="shared" si="47"/>
        <v>0.14344719292291536</v>
      </c>
      <c r="AM53" s="14">
        <f t="shared" si="48"/>
        <v>0.62760590219160872</v>
      </c>
      <c r="AN53" s="74">
        <f t="shared" si="49"/>
        <v>-3.0528295163237837</v>
      </c>
      <c r="AO53" s="15"/>
      <c r="AP53" s="62" t="str">
        <f t="shared" si="19"/>
        <v>FD</v>
      </c>
      <c r="AQ53" s="13"/>
      <c r="AR53" s="16">
        <v>1.2</v>
      </c>
      <c r="AS53" s="16">
        <v>1.4</v>
      </c>
      <c r="AT53" s="16">
        <v>3.3</v>
      </c>
      <c r="AU53" s="16">
        <v>0.6</v>
      </c>
      <c r="AV53" s="16">
        <v>0.99</v>
      </c>
      <c r="AX53" s="69" t="e">
        <f t="shared" si="26"/>
        <v>#NUM!</v>
      </c>
    </row>
    <row r="54" spans="1:50" x14ac:dyDescent="0.25">
      <c r="A54" s="20" t="s">
        <v>86</v>
      </c>
      <c r="B54" s="88"/>
      <c r="C54" s="5" t="s">
        <v>5</v>
      </c>
      <c r="D54" s="7">
        <v>9563594</v>
      </c>
      <c r="E54" s="6">
        <v>16880576</v>
      </c>
      <c r="F54" s="6">
        <v>68218746</v>
      </c>
      <c r="G54" s="7">
        <f t="shared" si="12"/>
        <v>85099322</v>
      </c>
      <c r="H54" s="6">
        <v>98991041</v>
      </c>
      <c r="I54" s="6">
        <v>4200043</v>
      </c>
      <c r="J54" s="6">
        <f t="shared" si="13"/>
        <v>103191084</v>
      </c>
      <c r="K54" s="6">
        <v>-18091762</v>
      </c>
      <c r="L54" s="22">
        <f t="shared" si="14"/>
        <v>85099322</v>
      </c>
      <c r="M54" s="48" t="str">
        <f t="shared" si="37"/>
        <v>OK</v>
      </c>
      <c r="N54" s="6">
        <v>-239028316</v>
      </c>
      <c r="O54" s="6">
        <v>3986916802</v>
      </c>
      <c r="P54" s="8">
        <v>50</v>
      </c>
      <c r="Q54" s="9">
        <f t="shared" si="52"/>
        <v>199345840100</v>
      </c>
      <c r="R54" s="66" t="s">
        <v>5</v>
      </c>
      <c r="S54" s="6">
        <v>52524459</v>
      </c>
      <c r="T54" s="6">
        <f>-21250115+4531126</f>
        <v>-16718989</v>
      </c>
      <c r="U54" s="6">
        <v>4531126</v>
      </c>
      <c r="V54" s="6">
        <f>-42391+236777</f>
        <v>194386</v>
      </c>
      <c r="W54" s="6">
        <f t="shared" si="51"/>
        <v>-21055729</v>
      </c>
      <c r="X54" s="6"/>
      <c r="Y54" s="10">
        <v>14034</v>
      </c>
      <c r="Z54" s="11">
        <v>1</v>
      </c>
      <c r="AA54" s="11"/>
      <c r="AB54" s="28">
        <f t="shared" si="38"/>
        <v>-0.24742534376478345</v>
      </c>
      <c r="AC54" s="28">
        <f t="shared" si="39"/>
        <v>1.1638296479911685</v>
      </c>
      <c r="AD54" s="28">
        <f t="shared" si="40"/>
        <v>0.17052630045581599</v>
      </c>
      <c r="AE54" s="12">
        <f t="shared" si="41"/>
        <v>7.3915598079224154E-2</v>
      </c>
      <c r="AF54" s="28">
        <f t="shared" si="42"/>
        <v>-5.7037608608824284</v>
      </c>
      <c r="AG54" s="28">
        <f t="shared" si="43"/>
        <v>1.2125958418329115</v>
      </c>
      <c r="AH54" s="13"/>
      <c r="AI54" s="14">
        <f t="shared" si="44"/>
        <v>-0.96487801630193948</v>
      </c>
      <c r="AJ54" s="14">
        <f t="shared" si="45"/>
        <v>-2.8088157506119731</v>
      </c>
      <c r="AK54" s="14">
        <f t="shared" si="46"/>
        <v>-0.19646442071536127</v>
      </c>
      <c r="AL54" s="14">
        <f t="shared" si="47"/>
        <v>0.13765231844305009</v>
      </c>
      <c r="AM54" s="14">
        <f t="shared" si="48"/>
        <v>0.61721360130225245</v>
      </c>
      <c r="AN54" s="74">
        <f t="shared" si="49"/>
        <v>-5.0448954024247223</v>
      </c>
      <c r="AO54" s="15"/>
      <c r="AP54" s="62" t="str">
        <f t="shared" si="19"/>
        <v>FD</v>
      </c>
      <c r="AQ54" s="13"/>
      <c r="AR54" s="16">
        <v>1.2</v>
      </c>
      <c r="AS54" s="16">
        <v>1.4</v>
      </c>
      <c r="AT54" s="16">
        <v>3.3</v>
      </c>
      <c r="AU54" s="16">
        <v>0.6</v>
      </c>
      <c r="AV54" s="16">
        <v>0.99</v>
      </c>
      <c r="AX54" s="69" t="e">
        <f t="shared" si="26"/>
        <v>#NUM!</v>
      </c>
    </row>
    <row r="55" spans="1:50" x14ac:dyDescent="0.25">
      <c r="A55" s="20" t="s">
        <v>87</v>
      </c>
      <c r="B55" s="89"/>
      <c r="C55" s="5" t="s">
        <v>131</v>
      </c>
      <c r="D55" s="7">
        <v>10682167</v>
      </c>
      <c r="E55" s="6">
        <v>26325637</v>
      </c>
      <c r="F55" s="6">
        <v>63382385</v>
      </c>
      <c r="G55" s="7">
        <f t="shared" si="12"/>
        <v>89708022</v>
      </c>
      <c r="H55" s="6">
        <v>100694422</v>
      </c>
      <c r="I55" s="6">
        <v>3538973</v>
      </c>
      <c r="J55" s="6">
        <f t="shared" si="13"/>
        <v>104233395</v>
      </c>
      <c r="K55" s="6">
        <v>-14525373</v>
      </c>
      <c r="L55" s="22">
        <f t="shared" si="14"/>
        <v>89708022</v>
      </c>
      <c r="M55" s="48" t="str">
        <f t="shared" si="37"/>
        <v>OK</v>
      </c>
      <c r="N55" s="6">
        <v>235588815</v>
      </c>
      <c r="O55" s="6">
        <v>3986916802</v>
      </c>
      <c r="P55" s="8">
        <v>50</v>
      </c>
      <c r="Q55" s="9">
        <f t="shared" si="52"/>
        <v>199345840100</v>
      </c>
      <c r="R55" s="66" t="s">
        <v>131</v>
      </c>
      <c r="S55" s="6">
        <v>71396229</v>
      </c>
      <c r="T55" s="6">
        <f>3646901+3625627</f>
        <v>7272528</v>
      </c>
      <c r="U55" s="6">
        <v>3625627</v>
      </c>
      <c r="V55" s="6">
        <f>-27803-1125-182230</f>
        <v>-211158</v>
      </c>
      <c r="W55" s="6">
        <f t="shared" si="51"/>
        <v>3435743</v>
      </c>
      <c r="X55" s="6"/>
      <c r="Y55" s="10">
        <v>14197</v>
      </c>
      <c r="Z55" s="11">
        <v>1</v>
      </c>
      <c r="AA55" s="11"/>
      <c r="AB55" s="28">
        <f t="shared" si="38"/>
        <v>3.8299172397313584E-2</v>
      </c>
      <c r="AC55" s="28">
        <f t="shared" si="39"/>
        <v>-0.23653389141882966</v>
      </c>
      <c r="AD55" s="28">
        <f t="shared" si="40"/>
        <v>0.26144086710185399</v>
      </c>
      <c r="AE55" s="12">
        <f t="shared" si="41"/>
        <v>0.15535587462828873</v>
      </c>
      <c r="AF55" s="28">
        <f t="shared" si="42"/>
        <v>-7.1759530719107865</v>
      </c>
      <c r="AG55" s="28">
        <f t="shared" si="43"/>
        <v>1.161918328775547</v>
      </c>
      <c r="AH55" s="13"/>
      <c r="AI55" s="14">
        <f t="shared" si="44"/>
        <v>-0.82900930532165784</v>
      </c>
      <c r="AJ55" s="14">
        <f t="shared" si="45"/>
        <v>2.6261733315221241</v>
      </c>
      <c r="AK55" s="14">
        <f t="shared" si="46"/>
        <v>8.1068870295679912E-2</v>
      </c>
      <c r="AL55" s="14">
        <f t="shared" si="47"/>
        <v>0.13471120208522613</v>
      </c>
      <c r="AM55" s="14">
        <f t="shared" si="48"/>
        <v>0.79587340583654831</v>
      </c>
      <c r="AN55" s="74">
        <f t="shared" si="49"/>
        <v>3.8181001627500466</v>
      </c>
      <c r="AO55" s="15"/>
      <c r="AP55" s="62" t="str">
        <f t="shared" si="19"/>
        <v>S</v>
      </c>
      <c r="AQ55" s="13"/>
      <c r="AR55" s="16">
        <v>1.2</v>
      </c>
      <c r="AS55" s="16">
        <v>1.4</v>
      </c>
      <c r="AT55" s="16">
        <v>3.3</v>
      </c>
      <c r="AU55" s="16">
        <v>0.6</v>
      </c>
      <c r="AV55" s="16">
        <v>0.99</v>
      </c>
      <c r="AX55" s="69">
        <f t="shared" si="26"/>
        <v>1.3397529593098987</v>
      </c>
    </row>
    <row r="56" spans="1:50" x14ac:dyDescent="0.25">
      <c r="A56" s="20" t="s">
        <v>88</v>
      </c>
      <c r="B56" s="87" t="s">
        <v>14</v>
      </c>
      <c r="C56" s="5" t="s">
        <v>1</v>
      </c>
      <c r="D56" s="7">
        <v>376801257461</v>
      </c>
      <c r="E56" s="6">
        <v>558602090736</v>
      </c>
      <c r="F56" s="6">
        <v>257395387059</v>
      </c>
      <c r="G56" s="7">
        <f t="shared" si="12"/>
        <v>815997477795</v>
      </c>
      <c r="H56" s="6">
        <v>496551611099</v>
      </c>
      <c r="I56" s="6">
        <v>192637764711</v>
      </c>
      <c r="J56" s="6">
        <f t="shared" si="13"/>
        <v>689189375810</v>
      </c>
      <c r="K56" s="6">
        <v>126808101985</v>
      </c>
      <c r="L56" s="22">
        <f t="shared" si="14"/>
        <v>815997477795</v>
      </c>
      <c r="M56" s="48" t="str">
        <f t="shared" ref="M56:M91" si="53">IF(G56=L56,"OK",G56-L56)</f>
        <v>OK</v>
      </c>
      <c r="N56" s="6">
        <f>-101878947247</f>
        <v>-101878947247</v>
      </c>
      <c r="O56" s="6">
        <v>1011774750</v>
      </c>
      <c r="P56" s="8">
        <v>125</v>
      </c>
      <c r="Q56" s="9">
        <f t="shared" ref="Q56:Q91" si="54">O56*P56</f>
        <v>126471843750</v>
      </c>
      <c r="R56" s="66" t="s">
        <v>1</v>
      </c>
      <c r="S56" s="6">
        <v>843528979435</v>
      </c>
      <c r="T56" s="6">
        <f>37132935023+21614391334</f>
        <v>58747326357</v>
      </c>
      <c r="U56" s="6">
        <v>21614391334</v>
      </c>
      <c r="V56" s="6">
        <v>-8144430266</v>
      </c>
      <c r="W56" s="6">
        <f t="shared" si="51"/>
        <v>28988504757</v>
      </c>
      <c r="X56" s="6"/>
      <c r="Y56" s="17">
        <v>1</v>
      </c>
      <c r="Z56" s="11">
        <v>1</v>
      </c>
      <c r="AA56" s="11"/>
      <c r="AB56" s="28">
        <f t="shared" ref="AB56:AB91" si="55">W56/(E56+F56)</f>
        <v>3.5525238184967375E-2</v>
      </c>
      <c r="AC56" s="28">
        <f t="shared" si="16"/>
        <v>0.22860136145266979</v>
      </c>
      <c r="AD56" s="28">
        <f t="shared" ref="AD56:AD91" si="56">E56/H56</f>
        <v>1.1249627999386929</v>
      </c>
      <c r="AE56" s="12">
        <f t="shared" ref="AE56:AE91" si="57">(E56-D56)/H56</f>
        <v>0.36612676147123296</v>
      </c>
      <c r="AF56" s="28">
        <f t="shared" si="17"/>
        <v>5.4349001761064404</v>
      </c>
      <c r="AG56" s="28">
        <f t="shared" ref="AG56:AG91" si="58">(H56+I56)/(E56+F56)</f>
        <v>0.84459743389444941</v>
      </c>
      <c r="AH56" s="13"/>
      <c r="AI56" s="14">
        <f t="shared" ref="AI56:AI91" si="59">(E56-H56)/G56</f>
        <v>7.6042489499690225E-2</v>
      </c>
      <c r="AJ56" s="14">
        <f t="shared" ref="AJ56:AJ91" si="60">N56/G56</f>
        <v>-0.12485203694783314</v>
      </c>
      <c r="AK56" s="14">
        <f t="shared" ref="AK56:AK91" si="61">T56/G56</f>
        <v>7.1994495026808006E-2</v>
      </c>
      <c r="AL56" s="14">
        <f t="shared" ref="AL56:AL91" si="62">Q56/(J56*Y56*Z56)</f>
        <v>0.18350811575027318</v>
      </c>
      <c r="AM56" s="14">
        <f t="shared" ref="AM56:AM91" si="63">S56/G56</f>
        <v>1.0337396896304092</v>
      </c>
      <c r="AN56" s="74">
        <f t="shared" si="10"/>
        <v>1.2875471314453972</v>
      </c>
      <c r="AO56" s="15"/>
      <c r="AP56" s="62" t="str">
        <f t="shared" si="19"/>
        <v>FD</v>
      </c>
      <c r="AQ56" s="13"/>
      <c r="AR56" s="16">
        <v>1.2</v>
      </c>
      <c r="AS56" s="16">
        <v>1.4</v>
      </c>
      <c r="AT56" s="16">
        <v>3.3</v>
      </c>
      <c r="AU56" s="16">
        <v>0.6</v>
      </c>
      <c r="AV56" s="16">
        <v>0.99</v>
      </c>
      <c r="AX56" s="69">
        <f t="shared" si="26"/>
        <v>0.25273895983361755</v>
      </c>
    </row>
    <row r="57" spans="1:50" x14ac:dyDescent="0.25">
      <c r="A57" s="20" t="s">
        <v>89</v>
      </c>
      <c r="B57" s="88"/>
      <c r="C57" s="5" t="s">
        <v>2</v>
      </c>
      <c r="D57" s="7">
        <v>387677204036</v>
      </c>
      <c r="E57" s="6">
        <v>589913892673</v>
      </c>
      <c r="F57" s="6">
        <v>269385163782</v>
      </c>
      <c r="G57" s="7">
        <f t="shared" si="12"/>
        <v>859299056455</v>
      </c>
      <c r="H57" s="6">
        <v>513715444072</v>
      </c>
      <c r="I57" s="6">
        <v>221761267659</v>
      </c>
      <c r="J57" s="6">
        <f t="shared" si="13"/>
        <v>735476711731</v>
      </c>
      <c r="K57" s="6">
        <v>123822344724</v>
      </c>
      <c r="L57" s="22">
        <f t="shared" si="14"/>
        <v>859299056455</v>
      </c>
      <c r="M57" s="48" t="str">
        <f t="shared" si="53"/>
        <v>OK</v>
      </c>
      <c r="N57" s="6">
        <f>-100877561305</f>
        <v>-100877561305</v>
      </c>
      <c r="O57" s="6">
        <v>1011774750</v>
      </c>
      <c r="P57" s="8">
        <v>89</v>
      </c>
      <c r="Q57" s="9">
        <f t="shared" si="54"/>
        <v>90047952750</v>
      </c>
      <c r="R57" s="66" t="s">
        <v>2</v>
      </c>
      <c r="S57" s="6">
        <v>795611411050</v>
      </c>
      <c r="T57" s="6">
        <f>2334588272+22447715481</f>
        <v>24782303753</v>
      </c>
      <c r="U57" s="6">
        <v>22447715481</v>
      </c>
      <c r="V57" s="6">
        <v>-1333202330</v>
      </c>
      <c r="W57" s="6">
        <f t="shared" si="51"/>
        <v>1001385942</v>
      </c>
      <c r="X57" s="6"/>
      <c r="Y57" s="17">
        <v>1</v>
      </c>
      <c r="Z57" s="11">
        <v>1</v>
      </c>
      <c r="AA57" s="11"/>
      <c r="AB57" s="28">
        <f t="shared" si="55"/>
        <v>1.1653520790901053E-3</v>
      </c>
      <c r="AC57" s="28">
        <f t="shared" si="16"/>
        <v>8.0872797573983048E-3</v>
      </c>
      <c r="AD57" s="28">
        <f t="shared" si="56"/>
        <v>1.1483281249966089</v>
      </c>
      <c r="AE57" s="12">
        <f t="shared" si="57"/>
        <v>0.39367453513555539</v>
      </c>
      <c r="AF57" s="28">
        <f t="shared" si="17"/>
        <v>5.939773740921944</v>
      </c>
      <c r="AG57" s="28">
        <f t="shared" si="58"/>
        <v>0.85590308310726704</v>
      </c>
      <c r="AH57" s="13"/>
      <c r="AI57" s="14">
        <f t="shared" si="59"/>
        <v>8.8675121924785189E-2</v>
      </c>
      <c r="AJ57" s="14">
        <f t="shared" si="60"/>
        <v>-0.11739517289960248</v>
      </c>
      <c r="AK57" s="14">
        <f t="shared" si="61"/>
        <v>2.8840138444045652E-2</v>
      </c>
      <c r="AL57" s="14">
        <f t="shared" si="62"/>
        <v>0.12243481175367925</v>
      </c>
      <c r="AM57" s="14">
        <f t="shared" si="63"/>
        <v>0.92588419022855617</v>
      </c>
      <c r="AN57" s="74">
        <f t="shared" si="10"/>
        <v>1.0273155964941276</v>
      </c>
      <c r="AO57" s="15"/>
      <c r="AP57" s="62" t="str">
        <f t="shared" si="19"/>
        <v>FD</v>
      </c>
      <c r="AQ57" s="13"/>
      <c r="AR57" s="16">
        <v>1.2</v>
      </c>
      <c r="AS57" s="16">
        <v>1.4</v>
      </c>
      <c r="AT57" s="16">
        <v>3.3</v>
      </c>
      <c r="AU57" s="16">
        <v>0.6</v>
      </c>
      <c r="AV57" s="16">
        <v>0.99</v>
      </c>
      <c r="AX57" s="69">
        <f t="shared" si="26"/>
        <v>2.6949183149684409E-2</v>
      </c>
    </row>
    <row r="58" spans="1:50" x14ac:dyDescent="0.25">
      <c r="A58" s="20" t="s">
        <v>90</v>
      </c>
      <c r="B58" s="88"/>
      <c r="C58" s="5" t="s">
        <v>3</v>
      </c>
      <c r="D58" s="7">
        <v>449465102247</v>
      </c>
      <c r="E58" s="6">
        <v>648335408999</v>
      </c>
      <c r="F58" s="6">
        <v>275031024800</v>
      </c>
      <c r="G58" s="7">
        <f t="shared" si="12"/>
        <v>923366433799</v>
      </c>
      <c r="H58" s="6">
        <v>599302543303</v>
      </c>
      <c r="I58" s="6">
        <v>236578471371</v>
      </c>
      <c r="J58" s="6">
        <f t="shared" si="13"/>
        <v>835881014674</v>
      </c>
      <c r="K58" s="6">
        <v>87485419125</v>
      </c>
      <c r="L58" s="22">
        <f t="shared" si="14"/>
        <v>923366433799</v>
      </c>
      <c r="M58" s="48" t="str">
        <f t="shared" si="53"/>
        <v>OK</v>
      </c>
      <c r="N58" s="6">
        <f>-137354735820</f>
        <v>-137354735820</v>
      </c>
      <c r="O58" s="6">
        <v>1011774750</v>
      </c>
      <c r="P58" s="8">
        <v>62</v>
      </c>
      <c r="Q58" s="9">
        <f t="shared" si="54"/>
        <v>62730034500</v>
      </c>
      <c r="R58" s="66" t="s">
        <v>3</v>
      </c>
      <c r="S58" s="6">
        <v>1042813378742</v>
      </c>
      <c r="T58" s="6">
        <f>-37845576140+24407130120</f>
        <v>-13438446020</v>
      </c>
      <c r="U58" s="6">
        <v>24407130120</v>
      </c>
      <c r="V58" s="6">
        <v>1368401625</v>
      </c>
      <c r="W58" s="6">
        <f t="shared" si="51"/>
        <v>-36477174515</v>
      </c>
      <c r="X58" s="6"/>
      <c r="Y58" s="17">
        <v>1</v>
      </c>
      <c r="Z58" s="11">
        <v>1</v>
      </c>
      <c r="AA58" s="11"/>
      <c r="AB58" s="28">
        <f t="shared" si="55"/>
        <v>-3.9504548984872906E-2</v>
      </c>
      <c r="AC58" s="28">
        <f t="shared" si="16"/>
        <v>-0.41695147465523447</v>
      </c>
      <c r="AD58" s="28">
        <f t="shared" si="56"/>
        <v>1.0818165486596469</v>
      </c>
      <c r="AE58" s="12">
        <f t="shared" si="57"/>
        <v>0.33183624694122749</v>
      </c>
      <c r="AF58" s="28">
        <f t="shared" si="17"/>
        <v>9.5545180332243156</v>
      </c>
      <c r="AG58" s="28">
        <f t="shared" si="58"/>
        <v>0.90525384514459839</v>
      </c>
      <c r="AH58" s="13"/>
      <c r="AI58" s="14">
        <f t="shared" si="59"/>
        <v>5.3102283017008131E-2</v>
      </c>
      <c r="AJ58" s="14">
        <f t="shared" si="60"/>
        <v>-0.14875430900696962</v>
      </c>
      <c r="AK58" s="14">
        <f t="shared" si="61"/>
        <v>-1.4553751932166622E-2</v>
      </c>
      <c r="AL58" s="14">
        <f t="shared" si="62"/>
        <v>7.5046607589795769E-2</v>
      </c>
      <c r="AM58" s="14">
        <f t="shared" si="63"/>
        <v>1.1293602848996365</v>
      </c>
      <c r="AN58" s="74">
        <f t="shared" si="10"/>
        <v>0.97053397223902005</v>
      </c>
      <c r="AO58" s="15"/>
      <c r="AP58" s="62" t="str">
        <f t="shared" si="19"/>
        <v>FD</v>
      </c>
      <c r="AQ58" s="13"/>
      <c r="AR58" s="16">
        <v>1.2</v>
      </c>
      <c r="AS58" s="16">
        <v>1.4</v>
      </c>
      <c r="AT58" s="16">
        <v>3.3</v>
      </c>
      <c r="AU58" s="16">
        <v>0.6</v>
      </c>
      <c r="AV58" s="16">
        <v>0.99</v>
      </c>
      <c r="AX58" s="69">
        <f t="shared" si="26"/>
        <v>-2.9908872102658097E-2</v>
      </c>
    </row>
    <row r="59" spans="1:50" x14ac:dyDescent="0.25">
      <c r="A59" s="20" t="s">
        <v>91</v>
      </c>
      <c r="B59" s="88"/>
      <c r="C59" s="5" t="s">
        <v>4</v>
      </c>
      <c r="D59" s="7">
        <v>499376574006</v>
      </c>
      <c r="E59" s="6">
        <v>616143811548</v>
      </c>
      <c r="F59" s="6">
        <v>279539206533</v>
      </c>
      <c r="G59" s="7">
        <f t="shared" si="12"/>
        <v>895683018081</v>
      </c>
      <c r="H59" s="6">
        <v>606083831925</v>
      </c>
      <c r="I59" s="6">
        <v>253652960420</v>
      </c>
      <c r="J59" s="6">
        <f t="shared" si="13"/>
        <v>859736792345</v>
      </c>
      <c r="K59" s="6">
        <v>35946225736</v>
      </c>
      <c r="L59" s="22">
        <f t="shared" si="14"/>
        <v>895683018081</v>
      </c>
      <c r="M59" s="48" t="str">
        <f t="shared" si="53"/>
        <v>OK</v>
      </c>
      <c r="N59" s="6">
        <f>-189097633875</f>
        <v>-189097633875</v>
      </c>
      <c r="O59" s="6">
        <v>1011774750</v>
      </c>
      <c r="P59" s="8">
        <v>53</v>
      </c>
      <c r="Q59" s="9">
        <f t="shared" si="54"/>
        <v>53624061750</v>
      </c>
      <c r="R59" s="66" t="s">
        <v>4</v>
      </c>
      <c r="S59" s="6">
        <v>645859484361</v>
      </c>
      <c r="T59" s="6">
        <f>-52794021588+24963659217</f>
        <v>-27830362371</v>
      </c>
      <c r="U59" s="6">
        <v>24963659217</v>
      </c>
      <c r="V59" s="6">
        <v>1051123533</v>
      </c>
      <c r="W59" s="6">
        <f t="shared" si="51"/>
        <v>-51742898055</v>
      </c>
      <c r="X59" s="6"/>
      <c r="Y59" s="17">
        <v>1</v>
      </c>
      <c r="Z59" s="11">
        <v>1</v>
      </c>
      <c r="AA59" s="11"/>
      <c r="AB59" s="28">
        <f t="shared" si="55"/>
        <v>-5.7769207421012748E-2</v>
      </c>
      <c r="AC59" s="28">
        <f t="shared" si="16"/>
        <v>-1.4394528770562884</v>
      </c>
      <c r="AD59" s="28">
        <f t="shared" si="56"/>
        <v>1.0165983302855122</v>
      </c>
      <c r="AE59" s="12">
        <f t="shared" si="57"/>
        <v>0.19265855875272614</v>
      </c>
      <c r="AF59" s="28">
        <f t="shared" si="17"/>
        <v>23.917303548338236</v>
      </c>
      <c r="AG59" s="28">
        <f t="shared" si="58"/>
        <v>0.95986724654776334</v>
      </c>
      <c r="AH59" s="13"/>
      <c r="AI59" s="14">
        <f t="shared" si="59"/>
        <v>1.1231629292864675E-2</v>
      </c>
      <c r="AJ59" s="14">
        <f t="shared" si="60"/>
        <v>-0.21112115565185272</v>
      </c>
      <c r="AK59" s="14">
        <f t="shared" si="61"/>
        <v>-3.1071664650544034E-2</v>
      </c>
      <c r="AL59" s="14">
        <f t="shared" si="62"/>
        <v>6.2372649661457592E-2</v>
      </c>
      <c r="AM59" s="14">
        <f t="shared" si="63"/>
        <v>0.72108041720468619</v>
      </c>
      <c r="AN59" s="74">
        <f t="shared" si="10"/>
        <v>0.36666504672156236</v>
      </c>
      <c r="AO59" s="15"/>
      <c r="AP59" s="62" t="str">
        <f t="shared" si="19"/>
        <v>FD</v>
      </c>
      <c r="AQ59" s="13"/>
      <c r="AR59" s="16">
        <v>1.2</v>
      </c>
      <c r="AS59" s="16">
        <v>1.4</v>
      </c>
      <c r="AT59" s="16">
        <v>3.3</v>
      </c>
      <c r="AU59" s="16">
        <v>0.6</v>
      </c>
      <c r="AV59" s="16">
        <v>0.99</v>
      </c>
      <c r="AX59" s="69">
        <f t="shared" si="26"/>
        <v>-1.0033065269056469</v>
      </c>
    </row>
    <row r="60" spans="1:50" x14ac:dyDescent="0.25">
      <c r="A60" s="20" t="s">
        <v>92</v>
      </c>
      <c r="B60" s="88"/>
      <c r="C60" s="5" t="s">
        <v>5</v>
      </c>
      <c r="D60" s="7">
        <v>113929103339</v>
      </c>
      <c r="E60" s="6">
        <v>143392688609</v>
      </c>
      <c r="F60" s="6">
        <v>251332855114</v>
      </c>
      <c r="G60" s="7">
        <f t="shared" si="12"/>
        <v>394725543723</v>
      </c>
      <c r="H60" s="6">
        <v>423487395154</v>
      </c>
      <c r="I60" s="6">
        <v>361560947733</v>
      </c>
      <c r="J60" s="6">
        <f t="shared" si="13"/>
        <v>785048342887</v>
      </c>
      <c r="K60" s="6">
        <v>-390322799164</v>
      </c>
      <c r="L60" s="22">
        <f t="shared" si="14"/>
        <v>394725543723</v>
      </c>
      <c r="M60" s="48" t="str">
        <f t="shared" si="53"/>
        <v>OK</v>
      </c>
      <c r="N60" s="6">
        <f>-603496073290</f>
        <v>-603496073290</v>
      </c>
      <c r="O60" s="6">
        <v>1011774750</v>
      </c>
      <c r="P60" s="8">
        <v>51</v>
      </c>
      <c r="Q60" s="9">
        <f t="shared" si="54"/>
        <v>51600512250</v>
      </c>
      <c r="R60" s="66" t="s">
        <v>5</v>
      </c>
      <c r="S60" s="6">
        <v>168879831491</v>
      </c>
      <c r="T60" s="6">
        <f>-400263966463+22225067585</f>
        <v>-378038898878</v>
      </c>
      <c r="U60" s="6">
        <v>22225067585</v>
      </c>
      <c r="V60" s="6">
        <v>-14134472952</v>
      </c>
      <c r="W60" s="6">
        <f t="shared" si="51"/>
        <v>-414398439415</v>
      </c>
      <c r="X60" s="6"/>
      <c r="Y60" s="17">
        <v>1</v>
      </c>
      <c r="Z60" s="11">
        <v>1</v>
      </c>
      <c r="AA60" s="11"/>
      <c r="AB60" s="28">
        <f t="shared" si="55"/>
        <v>-1.0498394289521975</v>
      </c>
      <c r="AC60" s="28">
        <f t="shared" si="16"/>
        <v>1.0616813578468016</v>
      </c>
      <c r="AD60" s="28">
        <f t="shared" si="56"/>
        <v>0.33859966140634634</v>
      </c>
      <c r="AE60" s="12">
        <f t="shared" si="57"/>
        <v>6.9573700674811473E-2</v>
      </c>
      <c r="AF60" s="28">
        <f t="shared" si="17"/>
        <v>-2.0112797524726456</v>
      </c>
      <c r="AG60" s="28">
        <f t="shared" si="58"/>
        <v>1.9888460611961569</v>
      </c>
      <c r="AH60" s="13"/>
      <c r="AI60" s="14">
        <f t="shared" si="59"/>
        <v>-0.70959356697107345</v>
      </c>
      <c r="AJ60" s="14">
        <f t="shared" si="60"/>
        <v>-1.5289004800599006</v>
      </c>
      <c r="AK60" s="14">
        <f t="shared" si="61"/>
        <v>-0.95772595640096225</v>
      </c>
      <c r="AL60" s="14">
        <f t="shared" si="62"/>
        <v>6.5729088810301955E-2</v>
      </c>
      <c r="AM60" s="14">
        <f t="shared" si="63"/>
        <v>0.42784115235651432</v>
      </c>
      <c r="AN60" s="74">
        <f t="shared" si="10"/>
        <v>-5.6894684144531933</v>
      </c>
      <c r="AO60" s="15"/>
      <c r="AP60" s="62" t="str">
        <f t="shared" si="19"/>
        <v>FD</v>
      </c>
      <c r="AQ60" s="13"/>
      <c r="AR60" s="16">
        <v>1.2</v>
      </c>
      <c r="AS60" s="16">
        <v>1.4</v>
      </c>
      <c r="AT60" s="16">
        <v>3.3</v>
      </c>
      <c r="AU60" s="16">
        <v>0.6</v>
      </c>
      <c r="AV60" s="16">
        <v>0.99</v>
      </c>
      <c r="AX60" s="69" t="e">
        <f t="shared" si="26"/>
        <v>#NUM!</v>
      </c>
    </row>
    <row r="61" spans="1:50" x14ac:dyDescent="0.25">
      <c r="A61" s="20" t="s">
        <v>93</v>
      </c>
      <c r="B61" s="89"/>
      <c r="C61" s="5" t="s">
        <v>131</v>
      </c>
      <c r="D61" s="7">
        <v>33980201899</v>
      </c>
      <c r="E61" s="6">
        <v>53418838375</v>
      </c>
      <c r="F61" s="6">
        <v>229250125769</v>
      </c>
      <c r="G61" s="7">
        <f t="shared" si="12"/>
        <v>282668964144</v>
      </c>
      <c r="H61" s="6">
        <v>198517209180</v>
      </c>
      <c r="I61" s="6">
        <v>598903469907</v>
      </c>
      <c r="J61" s="6">
        <f t="shared" si="13"/>
        <v>797420679087</v>
      </c>
      <c r="K61" s="6">
        <v>-514751714943</v>
      </c>
      <c r="L61" s="22">
        <f t="shared" si="14"/>
        <v>282668964144</v>
      </c>
      <c r="M61" s="48" t="str">
        <f t="shared" si="53"/>
        <v>OK</v>
      </c>
      <c r="N61" s="6">
        <v>-730013929491</v>
      </c>
      <c r="O61" s="6">
        <v>1011774750</v>
      </c>
      <c r="P61" s="8">
        <v>112</v>
      </c>
      <c r="Q61" s="9">
        <f t="shared" si="54"/>
        <v>113318772000</v>
      </c>
      <c r="R61" s="66" t="s">
        <v>131</v>
      </c>
      <c r="S61" s="6">
        <v>15676233957</v>
      </c>
      <c r="T61" s="6">
        <f>-125616466260+20007916971</f>
        <v>-105608549289</v>
      </c>
      <c r="U61" s="6">
        <v>20007916971</v>
      </c>
      <c r="V61" s="6">
        <v>-901389941</v>
      </c>
      <c r="W61" s="6">
        <f t="shared" si="51"/>
        <v>-126517856201</v>
      </c>
      <c r="X61" s="6"/>
      <c r="Y61" s="17">
        <v>1</v>
      </c>
      <c r="Z61" s="11">
        <v>1</v>
      </c>
      <c r="AA61" s="11"/>
      <c r="AB61" s="28">
        <f t="shared" si="55"/>
        <v>-0.44758311753160152</v>
      </c>
      <c r="AC61" s="28">
        <f t="shared" si="16"/>
        <v>0.2457842344731376</v>
      </c>
      <c r="AD61" s="28">
        <f t="shared" si="56"/>
        <v>0.26908920690379012</v>
      </c>
      <c r="AE61" s="12">
        <f t="shared" si="57"/>
        <v>9.7919150467073876E-2</v>
      </c>
      <c r="AF61" s="28">
        <f t="shared" si="17"/>
        <v>-1.5491365175447755</v>
      </c>
      <c r="AG61" s="28">
        <f t="shared" si="58"/>
        <v>2.821040794138157</v>
      </c>
      <c r="AH61" s="13"/>
      <c r="AI61" s="14">
        <f t="shared" si="59"/>
        <v>-0.51331553587567735</v>
      </c>
      <c r="AJ61" s="14">
        <f t="shared" si="60"/>
        <v>-2.5825754578387641</v>
      </c>
      <c r="AK61" s="14">
        <f t="shared" si="61"/>
        <v>-0.37361211411663808</v>
      </c>
      <c r="AL61" s="14">
        <f t="shared" si="62"/>
        <v>0.14210663827998962</v>
      </c>
      <c r="AM61" s="14">
        <f t="shared" si="63"/>
        <v>5.5457924093194957E-2</v>
      </c>
      <c r="AN61" s="74">
        <f t="shared" si="10"/>
        <v>-5.3243369327897323</v>
      </c>
      <c r="AO61" s="15"/>
      <c r="AP61" s="62" t="str">
        <f t="shared" si="19"/>
        <v>FD</v>
      </c>
      <c r="AQ61" s="13"/>
      <c r="AR61" s="16">
        <v>1.2</v>
      </c>
      <c r="AS61" s="16">
        <v>1.4</v>
      </c>
      <c r="AT61" s="16">
        <v>3.3</v>
      </c>
      <c r="AU61" s="16">
        <v>0.6</v>
      </c>
      <c r="AV61" s="16">
        <v>0.99</v>
      </c>
      <c r="AX61" s="69" t="e">
        <f t="shared" si="26"/>
        <v>#NUM!</v>
      </c>
    </row>
    <row r="62" spans="1:50" x14ac:dyDescent="0.25">
      <c r="A62" s="20" t="s">
        <v>111</v>
      </c>
      <c r="B62" s="87" t="s">
        <v>15</v>
      </c>
      <c r="C62" s="5" t="s">
        <v>1</v>
      </c>
      <c r="D62" s="7">
        <v>184170407735</v>
      </c>
      <c r="E62" s="6">
        <v>326152847307</v>
      </c>
      <c r="F62" s="6">
        <v>112568336396</v>
      </c>
      <c r="G62" s="7">
        <f t="shared" si="12"/>
        <v>438721183703</v>
      </c>
      <c r="H62" s="6">
        <v>285084248364</v>
      </c>
      <c r="I62" s="6">
        <v>13134638814</v>
      </c>
      <c r="J62" s="6">
        <f t="shared" si="13"/>
        <v>298218887178</v>
      </c>
      <c r="K62" s="6">
        <v>140502296525</v>
      </c>
      <c r="L62" s="22">
        <f t="shared" si="14"/>
        <v>438721183703</v>
      </c>
      <c r="M62" s="48" t="str">
        <f t="shared" si="53"/>
        <v>OK</v>
      </c>
      <c r="N62" s="6">
        <v>-51720095051</v>
      </c>
      <c r="O62" s="6">
        <v>1438370465</v>
      </c>
      <c r="P62" s="8">
        <v>488</v>
      </c>
      <c r="Q62" s="9">
        <f t="shared" si="54"/>
        <v>701924786920</v>
      </c>
      <c r="R62" s="66" t="s">
        <v>1</v>
      </c>
      <c r="S62" s="6">
        <v>446830466068</v>
      </c>
      <c r="T62" s="6">
        <f>6605337030+26223516654</f>
        <v>32828853684</v>
      </c>
      <c r="U62" s="6">
        <v>26223516654</v>
      </c>
      <c r="V62" s="6">
        <v>-692211265</v>
      </c>
      <c r="W62" s="6">
        <f t="shared" si="51"/>
        <v>5913125765</v>
      </c>
      <c r="X62" s="6"/>
      <c r="Y62" s="17">
        <v>1</v>
      </c>
      <c r="Z62" s="11">
        <v>1</v>
      </c>
      <c r="AA62" s="11"/>
      <c r="AB62" s="28">
        <f t="shared" si="55"/>
        <v>1.3478094937405607E-2</v>
      </c>
      <c r="AC62" s="28">
        <f t="shared" si="16"/>
        <v>4.2085616472097021E-2</v>
      </c>
      <c r="AD62" s="28">
        <f t="shared" si="56"/>
        <v>1.1440577624989052</v>
      </c>
      <c r="AE62" s="12">
        <f t="shared" si="57"/>
        <v>0.49803677469656132</v>
      </c>
      <c r="AF62" s="28">
        <f t="shared" si="17"/>
        <v>2.1225196637617736</v>
      </c>
      <c r="AG62" s="28">
        <f t="shared" si="58"/>
        <v>0.67974581181811478</v>
      </c>
      <c r="AH62" s="13"/>
      <c r="AI62" s="14">
        <f t="shared" si="59"/>
        <v>9.360979243437241E-2</v>
      </c>
      <c r="AJ62" s="14">
        <f t="shared" si="60"/>
        <v>-0.11788830120866201</v>
      </c>
      <c r="AK62" s="14">
        <f t="shared" si="61"/>
        <v>7.4828512739936598E-2</v>
      </c>
      <c r="AL62" s="14">
        <f t="shared" si="62"/>
        <v>2.3537234464329457</v>
      </c>
      <c r="AM62" s="14">
        <f t="shared" si="63"/>
        <v>1.0184839088383062</v>
      </c>
      <c r="AN62" s="74">
        <f t="shared" si="10"/>
        <v>2.6147553588806014</v>
      </c>
      <c r="AO62" s="15"/>
      <c r="AP62" s="62" t="str">
        <f t="shared" si="19"/>
        <v>GA</v>
      </c>
      <c r="AQ62" s="13"/>
      <c r="AR62" s="16">
        <v>1.2</v>
      </c>
      <c r="AS62" s="16">
        <v>1.4</v>
      </c>
      <c r="AT62" s="16">
        <v>3.3</v>
      </c>
      <c r="AU62" s="16">
        <v>0.6</v>
      </c>
      <c r="AV62" s="16">
        <v>0.99</v>
      </c>
      <c r="AX62" s="69">
        <f t="shared" si="26"/>
        <v>0.96117054013120029</v>
      </c>
    </row>
    <row r="63" spans="1:50" x14ac:dyDescent="0.25">
      <c r="A63" s="20" t="s">
        <v>112</v>
      </c>
      <c r="B63" s="88"/>
      <c r="C63" s="5" t="s">
        <v>2</v>
      </c>
      <c r="D63" s="7">
        <v>152437746927</v>
      </c>
      <c r="E63" s="6">
        <v>350317114180</v>
      </c>
      <c r="F63" s="6">
        <v>229650730117</v>
      </c>
      <c r="G63" s="7">
        <f t="shared" si="12"/>
        <v>579967844297</v>
      </c>
      <c r="H63" s="6">
        <v>419107925736</v>
      </c>
      <c r="I63" s="6">
        <v>18247628370</v>
      </c>
      <c r="J63" s="6">
        <f t="shared" si="13"/>
        <v>437355554106</v>
      </c>
      <c r="K63" s="6">
        <v>142612290191</v>
      </c>
      <c r="L63" s="22">
        <f t="shared" si="14"/>
        <v>579967844297</v>
      </c>
      <c r="M63" s="48" t="str">
        <f t="shared" si="53"/>
        <v>OK</v>
      </c>
      <c r="N63" s="6">
        <v>-47973758904</v>
      </c>
      <c r="O63" s="6">
        <v>1438370465</v>
      </c>
      <c r="P63" s="8">
        <v>192</v>
      </c>
      <c r="Q63" s="9">
        <f t="shared" si="54"/>
        <v>276167129280</v>
      </c>
      <c r="R63" s="66" t="s">
        <v>2</v>
      </c>
      <c r="S63" s="6">
        <v>563864071410</v>
      </c>
      <c r="T63" s="6">
        <f>5345868131+25989879193</f>
        <v>31335747324</v>
      </c>
      <c r="U63" s="6">
        <v>25989879193</v>
      </c>
      <c r="V63" s="6">
        <v>-1541898673</v>
      </c>
      <c r="W63" s="6">
        <f t="shared" si="51"/>
        <v>3803969458</v>
      </c>
      <c r="X63" s="6"/>
      <c r="Y63" s="17">
        <v>1</v>
      </c>
      <c r="Z63" s="11">
        <v>1</v>
      </c>
      <c r="AA63" s="11"/>
      <c r="AB63" s="28">
        <f t="shared" si="55"/>
        <v>6.558931663894106E-3</v>
      </c>
      <c r="AC63" s="28">
        <f t="shared" si="16"/>
        <v>2.6673503755569459E-2</v>
      </c>
      <c r="AD63" s="28">
        <f t="shared" si="56"/>
        <v>0.83586373024276339</v>
      </c>
      <c r="AE63" s="12">
        <f t="shared" si="57"/>
        <v>0.47214417838913897</v>
      </c>
      <c r="AF63" s="28">
        <f t="shared" si="17"/>
        <v>3.0667451838845845</v>
      </c>
      <c r="AG63" s="28">
        <f t="shared" si="58"/>
        <v>0.75410310831307292</v>
      </c>
      <c r="AH63" s="13"/>
      <c r="AI63" s="14">
        <f t="shared" si="59"/>
        <v>-0.11861142343052455</v>
      </c>
      <c r="AJ63" s="14">
        <f t="shared" si="60"/>
        <v>-8.2717963376315679E-2</v>
      </c>
      <c r="AK63" s="14">
        <f t="shared" si="61"/>
        <v>5.4030146036774147E-2</v>
      </c>
      <c r="AL63" s="14">
        <f t="shared" si="62"/>
        <v>0.63144763268072401</v>
      </c>
      <c r="AM63" s="14">
        <f t="shared" si="63"/>
        <v>0.97223333492476649</v>
      </c>
      <c r="AN63" s="74">
        <f t="shared" si="10"/>
        <v>1.2615402062618366</v>
      </c>
      <c r="AO63" s="15"/>
      <c r="AP63" s="62" t="str">
        <f t="shared" si="19"/>
        <v>FD</v>
      </c>
      <c r="AQ63" s="13"/>
      <c r="AR63" s="16">
        <v>1.2</v>
      </c>
      <c r="AS63" s="16">
        <v>1.4</v>
      </c>
      <c r="AT63" s="16">
        <v>3.3</v>
      </c>
      <c r="AU63" s="16">
        <v>0.6</v>
      </c>
      <c r="AV63" s="16">
        <v>0.99</v>
      </c>
      <c r="AX63" s="69">
        <f t="shared" si="26"/>
        <v>0.23233336038009109</v>
      </c>
    </row>
    <row r="64" spans="1:50" x14ac:dyDescent="0.25">
      <c r="A64" s="20" t="s">
        <v>113</v>
      </c>
      <c r="B64" s="88"/>
      <c r="C64" s="5" t="s">
        <v>3</v>
      </c>
      <c r="D64" s="7">
        <v>46798660135</v>
      </c>
      <c r="E64" s="6">
        <v>376627797262</v>
      </c>
      <c r="F64" s="6">
        <v>158048880207</v>
      </c>
      <c r="G64" s="7">
        <f t="shared" si="12"/>
        <v>534676677469</v>
      </c>
      <c r="H64" s="6">
        <v>369060636786</v>
      </c>
      <c r="I64" s="6">
        <v>15921447789</v>
      </c>
      <c r="J64" s="6">
        <f t="shared" si="13"/>
        <v>384982084575</v>
      </c>
      <c r="K64" s="6">
        <v>149694592894</v>
      </c>
      <c r="L64" s="22">
        <f t="shared" si="14"/>
        <v>534676677469</v>
      </c>
      <c r="M64" s="48" t="str">
        <f t="shared" si="53"/>
        <v>OK</v>
      </c>
      <c r="N64" s="6">
        <v>-43524486366</v>
      </c>
      <c r="O64" s="6">
        <v>1438370465</v>
      </c>
      <c r="P64" s="8">
        <v>276</v>
      </c>
      <c r="Q64" s="9">
        <f t="shared" si="54"/>
        <v>396990248340</v>
      </c>
      <c r="R64" s="66" t="s">
        <v>3</v>
      </c>
      <c r="S64" s="6">
        <v>735093525919</v>
      </c>
      <c r="T64" s="6">
        <f>6508601488+33009721133</f>
        <v>39518322621</v>
      </c>
      <c r="U64" s="6">
        <v>33009721133</v>
      </c>
      <c r="V64" s="6">
        <v>-2038431234</v>
      </c>
      <c r="W64" s="6">
        <f t="shared" si="51"/>
        <v>4470170254</v>
      </c>
      <c r="X64" s="6"/>
      <c r="Y64" s="17">
        <v>1</v>
      </c>
      <c r="Z64" s="11">
        <v>1</v>
      </c>
      <c r="AA64" s="11"/>
      <c r="AB64" s="28">
        <f t="shared" si="55"/>
        <v>8.3605110197819982E-3</v>
      </c>
      <c r="AC64" s="28">
        <f t="shared" si="16"/>
        <v>2.9861935341681748E-2</v>
      </c>
      <c r="AD64" s="28">
        <f t="shared" si="56"/>
        <v>1.0205038406206073</v>
      </c>
      <c r="AE64" s="12">
        <f t="shared" si="57"/>
        <v>0.89369904089297825</v>
      </c>
      <c r="AF64" s="28">
        <f t="shared" si="17"/>
        <v>2.5717835035471794</v>
      </c>
      <c r="AG64" s="28">
        <f t="shared" si="58"/>
        <v>0.72002782391293074</v>
      </c>
      <c r="AH64" s="13"/>
      <c r="AI64" s="14">
        <f t="shared" si="59"/>
        <v>1.4152778295512499E-2</v>
      </c>
      <c r="AJ64" s="14">
        <f t="shared" si="60"/>
        <v>-8.1403375535345851E-2</v>
      </c>
      <c r="AK64" s="14">
        <f t="shared" si="61"/>
        <v>7.3910690864744569E-2</v>
      </c>
      <c r="AL64" s="14">
        <f t="shared" si="62"/>
        <v>1.0311914872045445</v>
      </c>
      <c r="AM64" s="14">
        <f t="shared" si="63"/>
        <v>1.374837461395761</v>
      </c>
      <c r="AN64" s="74">
        <f t="shared" si="10"/>
        <v>2.1267278671633179</v>
      </c>
      <c r="AO64" s="15"/>
      <c r="AP64" s="62" t="str">
        <f t="shared" si="19"/>
        <v>GA</v>
      </c>
      <c r="AQ64" s="13"/>
      <c r="AR64" s="16">
        <v>1.2</v>
      </c>
      <c r="AS64" s="16">
        <v>1.4</v>
      </c>
      <c r="AT64" s="16">
        <v>3.3</v>
      </c>
      <c r="AU64" s="16">
        <v>0.6</v>
      </c>
      <c r="AV64" s="16">
        <v>0.99</v>
      </c>
      <c r="AX64" s="69">
        <f t="shared" si="26"/>
        <v>0.75458458593752198</v>
      </c>
    </row>
    <row r="65" spans="1:50" x14ac:dyDescent="0.25">
      <c r="A65" s="20" t="s">
        <v>114</v>
      </c>
      <c r="B65" s="88"/>
      <c r="C65" s="5" t="s">
        <v>4</v>
      </c>
      <c r="D65" s="7">
        <v>40832321528</v>
      </c>
      <c r="E65" s="6">
        <v>270007416065</v>
      </c>
      <c r="F65" s="6">
        <v>197720460989</v>
      </c>
      <c r="G65" s="7">
        <f t="shared" si="12"/>
        <v>467727877054</v>
      </c>
      <c r="H65" s="6">
        <v>303085785310</v>
      </c>
      <c r="I65" s="6">
        <v>16578891025</v>
      </c>
      <c r="J65" s="6">
        <f t="shared" si="13"/>
        <v>319664676335</v>
      </c>
      <c r="K65" s="6">
        <v>148063200719</v>
      </c>
      <c r="L65" s="22">
        <f t="shared" si="14"/>
        <v>467727877054</v>
      </c>
      <c r="M65" s="48" t="str">
        <f t="shared" si="53"/>
        <v>OK</v>
      </c>
      <c r="N65" s="6">
        <f>-45619948969</f>
        <v>-45619948969</v>
      </c>
      <c r="O65" s="6">
        <v>1438370465</v>
      </c>
      <c r="P65" s="8">
        <v>50</v>
      </c>
      <c r="Q65" s="9">
        <f t="shared" si="54"/>
        <v>71918523250</v>
      </c>
      <c r="R65" s="66" t="s">
        <v>4</v>
      </c>
      <c r="S65" s="6">
        <v>535719525407</v>
      </c>
      <c r="T65" s="6">
        <f>-3572157075+31938394315</f>
        <v>28366237240</v>
      </c>
      <c r="U65" s="6">
        <v>31938394315</v>
      </c>
      <c r="V65" s="6">
        <v>-651617032</v>
      </c>
      <c r="W65" s="6">
        <f t="shared" si="51"/>
        <v>-4223774107</v>
      </c>
      <c r="X65" s="6"/>
      <c r="Y65" s="17">
        <v>1</v>
      </c>
      <c r="Z65" s="11">
        <v>1</v>
      </c>
      <c r="AA65" s="11"/>
      <c r="AB65" s="28">
        <f t="shared" si="55"/>
        <v>-9.0304091635580609E-3</v>
      </c>
      <c r="AC65" s="28">
        <f t="shared" si="16"/>
        <v>-2.8526832369482811E-2</v>
      </c>
      <c r="AD65" s="28">
        <f t="shared" si="56"/>
        <v>0.89086136385061077</v>
      </c>
      <c r="AE65" s="12">
        <f t="shared" si="57"/>
        <v>0.75613936926338132</v>
      </c>
      <c r="AF65" s="28">
        <f t="shared" si="17"/>
        <v>2.1589745107676812</v>
      </c>
      <c r="AG65" s="28">
        <f t="shared" si="58"/>
        <v>0.68344157365265223</v>
      </c>
      <c r="AH65" s="13"/>
      <c r="AI65" s="14">
        <f t="shared" si="59"/>
        <v>-7.0721397778009801E-2</v>
      </c>
      <c r="AJ65" s="14">
        <f t="shared" si="60"/>
        <v>-9.753523620687056E-2</v>
      </c>
      <c r="AK65" s="14">
        <f t="shared" si="61"/>
        <v>6.0646881726754698E-2</v>
      </c>
      <c r="AL65" s="14">
        <f t="shared" si="62"/>
        <v>0.22498113984490209</v>
      </c>
      <c r="AM65" s="14">
        <f t="shared" si="63"/>
        <v>1.1453658242079727</v>
      </c>
      <c r="AN65" s="74">
        <f t="shared" si="10"/>
        <v>1.2476205515478942</v>
      </c>
      <c r="AO65" s="15"/>
      <c r="AP65" s="62" t="str">
        <f t="shared" si="19"/>
        <v>FD</v>
      </c>
      <c r="AQ65" s="13"/>
      <c r="AR65" s="16">
        <v>1.2</v>
      </c>
      <c r="AS65" s="16">
        <v>1.4</v>
      </c>
      <c r="AT65" s="16">
        <v>3.3</v>
      </c>
      <c r="AU65" s="16">
        <v>0.6</v>
      </c>
      <c r="AV65" s="16">
        <v>0.99</v>
      </c>
      <c r="AX65" s="69">
        <f t="shared" si="26"/>
        <v>0.22123817848205346</v>
      </c>
    </row>
    <row r="66" spans="1:50" x14ac:dyDescent="0.25">
      <c r="A66" s="20" t="s">
        <v>115</v>
      </c>
      <c r="B66" s="88"/>
      <c r="C66" s="5" t="s">
        <v>5</v>
      </c>
      <c r="D66" s="7">
        <v>53212779779</v>
      </c>
      <c r="E66" s="6">
        <v>350679816815</v>
      </c>
      <c r="F66" s="6">
        <v>135396705962</v>
      </c>
      <c r="G66" s="7">
        <f t="shared" si="12"/>
        <v>486076522777</v>
      </c>
      <c r="H66" s="6">
        <v>177077322265</v>
      </c>
      <c r="I66" s="6">
        <v>167472141173</v>
      </c>
      <c r="J66" s="6">
        <f t="shared" si="13"/>
        <v>344549463438</v>
      </c>
      <c r="K66" s="6">
        <v>141527059339</v>
      </c>
      <c r="L66" s="22">
        <f t="shared" si="14"/>
        <v>486076522777</v>
      </c>
      <c r="M66" s="48" t="str">
        <f t="shared" si="53"/>
        <v>OK</v>
      </c>
      <c r="N66" s="6">
        <v>-52358668654</v>
      </c>
      <c r="O66" s="6">
        <v>1438370465</v>
      </c>
      <c r="P66" s="8">
        <v>76</v>
      </c>
      <c r="Q66" s="9">
        <f t="shared" si="54"/>
        <v>109316155340</v>
      </c>
      <c r="R66" s="66" t="s">
        <v>5</v>
      </c>
      <c r="S66" s="6">
        <v>288636107329</v>
      </c>
      <c r="T66" s="6">
        <f>-8735044491+30902873249</f>
        <v>22167828758</v>
      </c>
      <c r="U66" s="6">
        <v>30902873249</v>
      </c>
      <c r="V66" s="6">
        <v>1929901023</v>
      </c>
      <c r="W66" s="6">
        <f t="shared" si="51"/>
        <v>-6805143468</v>
      </c>
      <c r="X66" s="6"/>
      <c r="Y66" s="17">
        <v>1</v>
      </c>
      <c r="Z66" s="11">
        <v>1</v>
      </c>
      <c r="AA66" s="11"/>
      <c r="AB66" s="28">
        <f t="shared" si="55"/>
        <v>-1.4000148431612347E-2</v>
      </c>
      <c r="AC66" s="28">
        <f t="shared" si="16"/>
        <v>-4.8083691555405164E-2</v>
      </c>
      <c r="AD66" s="28">
        <f t="shared" si="56"/>
        <v>1.9803767773842895</v>
      </c>
      <c r="AE66" s="12">
        <f t="shared" si="57"/>
        <v>1.679870879179177</v>
      </c>
      <c r="AF66" s="28">
        <f t="shared" si="17"/>
        <v>2.4345129832218171</v>
      </c>
      <c r="AG66" s="28">
        <f t="shared" si="58"/>
        <v>0.70883790368964361</v>
      </c>
      <c r="AH66" s="13"/>
      <c r="AI66" s="14">
        <f t="shared" si="59"/>
        <v>0.3571505440299666</v>
      </c>
      <c r="AJ66" s="14">
        <f t="shared" si="60"/>
        <v>-0.10771692562905548</v>
      </c>
      <c r="AK66" s="14">
        <f t="shared" si="61"/>
        <v>4.5605635572261646E-2</v>
      </c>
      <c r="AL66" s="14">
        <f t="shared" si="62"/>
        <v>0.31727274873458311</v>
      </c>
      <c r="AM66" s="14">
        <f t="shared" si="63"/>
        <v>0.59380795780877316</v>
      </c>
      <c r="AN66" s="74">
        <f t="shared" ref="AN66:AN90" si="64">(AI66*AR66)+(AJ66*AS66)+(AK66*AT66)+(AL66*AU66)+(AM66*AV66)</f>
        <v>1.2065090818151809</v>
      </c>
      <c r="AO66" s="15"/>
      <c r="AP66" s="62" t="str">
        <f t="shared" si="19"/>
        <v>FD</v>
      </c>
      <c r="AQ66" s="13"/>
      <c r="AR66" s="16">
        <v>1.2</v>
      </c>
      <c r="AS66" s="16">
        <v>1.4</v>
      </c>
      <c r="AT66" s="16">
        <v>3.3</v>
      </c>
      <c r="AU66" s="16">
        <v>0.6</v>
      </c>
      <c r="AV66" s="16">
        <v>0.99</v>
      </c>
      <c r="AX66" s="69">
        <f t="shared" si="26"/>
        <v>0.18773113346048756</v>
      </c>
    </row>
    <row r="67" spans="1:50" x14ac:dyDescent="0.25">
      <c r="A67" s="20" t="s">
        <v>116</v>
      </c>
      <c r="B67" s="89"/>
      <c r="C67" s="5" t="s">
        <v>131</v>
      </c>
      <c r="D67" s="7">
        <v>68055925419</v>
      </c>
      <c r="E67" s="6">
        <v>408518769442</v>
      </c>
      <c r="F67" s="6">
        <v>131535475384</v>
      </c>
      <c r="G67" s="7">
        <f t="shared" si="12"/>
        <v>540054244826</v>
      </c>
      <c r="H67" s="6">
        <v>251602860008</v>
      </c>
      <c r="I67" s="6">
        <v>143801780853</v>
      </c>
      <c r="J67" s="6">
        <f t="shared" si="13"/>
        <v>395404640861</v>
      </c>
      <c r="K67" s="6">
        <v>144649603965</v>
      </c>
      <c r="L67" s="22">
        <f t="shared" si="14"/>
        <v>540054244826</v>
      </c>
      <c r="M67" s="48" t="str">
        <f t="shared" si="53"/>
        <v>OK</v>
      </c>
      <c r="N67" s="6">
        <v>-51625551351</v>
      </c>
      <c r="O67" s="6">
        <v>1438370465</v>
      </c>
      <c r="P67" s="8">
        <v>276</v>
      </c>
      <c r="Q67" s="9">
        <f t="shared" si="54"/>
        <v>396990248340</v>
      </c>
      <c r="R67" s="66" t="s">
        <v>131</v>
      </c>
      <c r="S67" s="6">
        <v>363604570740</v>
      </c>
      <c r="T67" s="6">
        <f>1096259711+36086268441</f>
        <v>37182528152</v>
      </c>
      <c r="U67" s="6">
        <v>36086268441</v>
      </c>
      <c r="V67" s="6">
        <v>-353320095</v>
      </c>
      <c r="W67" s="6">
        <f t="shared" si="51"/>
        <v>742939616</v>
      </c>
      <c r="X67" s="6"/>
      <c r="Y67" s="17">
        <v>1</v>
      </c>
      <c r="Z67" s="11">
        <v>1</v>
      </c>
      <c r="AA67" s="11"/>
      <c r="AB67" s="28">
        <f t="shared" si="55"/>
        <v>1.3756759124064798E-3</v>
      </c>
      <c r="AC67" s="28">
        <f t="shared" ref="AC67:AC91" si="65">W67/K67</f>
        <v>5.1361330804594848E-3</v>
      </c>
      <c r="AD67" s="28">
        <f t="shared" si="56"/>
        <v>1.6236650466890983</v>
      </c>
      <c r="AE67" s="12">
        <f t="shared" si="57"/>
        <v>1.3531755720589767</v>
      </c>
      <c r="AF67" s="28">
        <f t="shared" ref="AF67:AF91" si="66">J67/K67</f>
        <v>2.7335342097215398</v>
      </c>
      <c r="AG67" s="28">
        <f t="shared" si="58"/>
        <v>0.73215726873583853</v>
      </c>
      <c r="AH67" s="13"/>
      <c r="AI67" s="14">
        <f t="shared" si="59"/>
        <v>0.29055583015472219</v>
      </c>
      <c r="AJ67" s="14">
        <f t="shared" si="60"/>
        <v>-9.5593270204983261E-2</v>
      </c>
      <c r="AK67" s="14">
        <f t="shared" si="61"/>
        <v>6.8849617437929472E-2</v>
      </c>
      <c r="AL67" s="14">
        <f t="shared" si="62"/>
        <v>1.0040100881859841</v>
      </c>
      <c r="AM67" s="14">
        <f t="shared" si="63"/>
        <v>0.67327416500012827</v>
      </c>
      <c r="AN67" s="74">
        <f t="shared" si="64"/>
        <v>1.7109876317055748</v>
      </c>
      <c r="AO67" s="15"/>
      <c r="AP67" s="62" t="str">
        <f t="shared" si="19"/>
        <v>FD</v>
      </c>
      <c r="AQ67" s="13"/>
      <c r="AR67" s="16">
        <v>1.2</v>
      </c>
      <c r="AS67" s="16">
        <v>1.4</v>
      </c>
      <c r="AT67" s="16">
        <v>3.3</v>
      </c>
      <c r="AU67" s="16">
        <v>0.6</v>
      </c>
      <c r="AV67" s="16">
        <v>0.99</v>
      </c>
      <c r="AX67" s="69">
        <f t="shared" si="26"/>
        <v>0.53707076619051886</v>
      </c>
    </row>
    <row r="68" spans="1:50" x14ac:dyDescent="0.25">
      <c r="A68" s="20" t="s">
        <v>117</v>
      </c>
      <c r="B68" s="87" t="s">
        <v>16</v>
      </c>
      <c r="C68" s="5" t="s">
        <v>1</v>
      </c>
      <c r="D68" s="7">
        <v>157354192666</v>
      </c>
      <c r="E68" s="6">
        <v>467637658247</v>
      </c>
      <c r="F68" s="6">
        <v>789972211663</v>
      </c>
      <c r="G68" s="7">
        <f t="shared" si="12"/>
        <v>1257609869910</v>
      </c>
      <c r="H68" s="6">
        <v>377013051111</v>
      </c>
      <c r="I68" s="6">
        <v>48473858679</v>
      </c>
      <c r="J68" s="6">
        <f t="shared" si="13"/>
        <v>425486909790</v>
      </c>
      <c r="K68" s="6">
        <v>832122960120</v>
      </c>
      <c r="L68" s="22">
        <f t="shared" si="14"/>
        <v>1257609869910</v>
      </c>
      <c r="M68" s="48" t="str">
        <f t="shared" si="53"/>
        <v>OK</v>
      </c>
      <c r="N68" s="6">
        <v>-28801383080</v>
      </c>
      <c r="O68" s="6">
        <v>8200000000</v>
      </c>
      <c r="P68" s="8">
        <v>113</v>
      </c>
      <c r="Q68" s="9">
        <f t="shared" si="54"/>
        <v>926600000000</v>
      </c>
      <c r="R68" s="66" t="s">
        <v>1</v>
      </c>
      <c r="S68" s="6">
        <v>757282528180</v>
      </c>
      <c r="T68" s="6">
        <f>45514137913+10239099310</f>
        <v>55753237223</v>
      </c>
      <c r="U68" s="6">
        <v>10239099310</v>
      </c>
      <c r="V68" s="6">
        <v>-13809580895</v>
      </c>
      <c r="W68" s="6">
        <f t="shared" si="51"/>
        <v>31704557018</v>
      </c>
      <c r="X68" s="6"/>
      <c r="Y68" s="17">
        <v>1</v>
      </c>
      <c r="Z68" s="11">
        <v>1</v>
      </c>
      <c r="AA68" s="11"/>
      <c r="AB68" s="28">
        <f t="shared" si="55"/>
        <v>2.5210168730839332E-2</v>
      </c>
      <c r="AC68" s="28">
        <f t="shared" si="65"/>
        <v>3.8100807858285637E-2</v>
      </c>
      <c r="AD68" s="28">
        <f t="shared" si="56"/>
        <v>1.240375251914869</v>
      </c>
      <c r="AE68" s="12">
        <f t="shared" si="57"/>
        <v>0.82300457415636386</v>
      </c>
      <c r="AF68" s="28">
        <f t="shared" si="66"/>
        <v>0.51132696750566864</v>
      </c>
      <c r="AG68" s="28">
        <f t="shared" si="58"/>
        <v>0.33832981115236449</v>
      </c>
      <c r="AH68" s="13"/>
      <c r="AI68" s="14">
        <f t="shared" si="59"/>
        <v>7.2060985926013357E-2</v>
      </c>
      <c r="AJ68" s="14">
        <f t="shared" si="60"/>
        <v>-2.2901683398891544E-2</v>
      </c>
      <c r="AK68" s="14">
        <f t="shared" si="61"/>
        <v>4.4332696933262729E-2</v>
      </c>
      <c r="AL68" s="14">
        <f t="shared" si="62"/>
        <v>2.1777403221577969</v>
      </c>
      <c r="AM68" s="14">
        <f t="shared" si="63"/>
        <v>0.60216013431430404</v>
      </c>
      <c r="AN68" s="74">
        <f t="shared" si="64"/>
        <v>2.1034914524983739</v>
      </c>
      <c r="AO68" s="15"/>
      <c r="AP68" s="62" t="str">
        <f t="shared" si="19"/>
        <v>GA</v>
      </c>
      <c r="AQ68" s="13"/>
      <c r="AR68" s="16">
        <v>1.2</v>
      </c>
      <c r="AS68" s="16">
        <v>1.4</v>
      </c>
      <c r="AT68" s="16">
        <v>3.3</v>
      </c>
      <c r="AU68" s="16">
        <v>0.6</v>
      </c>
      <c r="AV68" s="16">
        <v>0.99</v>
      </c>
      <c r="AX68" s="69">
        <f t="shared" si="26"/>
        <v>0.74359856057375706</v>
      </c>
    </row>
    <row r="69" spans="1:50" x14ac:dyDescent="0.25">
      <c r="A69" s="20" t="s">
        <v>118</v>
      </c>
      <c r="B69" s="88"/>
      <c r="C69" s="5" t="s">
        <v>2</v>
      </c>
      <c r="D69" s="7">
        <v>206082467891</v>
      </c>
      <c r="E69" s="6">
        <v>514360755111</v>
      </c>
      <c r="F69" s="6">
        <v>860626423454</v>
      </c>
      <c r="G69" s="7">
        <f t="shared" si="12"/>
        <v>1374987178565</v>
      </c>
      <c r="H69" s="6">
        <v>282074517432</v>
      </c>
      <c r="I69" s="6">
        <v>75854842424</v>
      </c>
      <c r="J69" s="6">
        <f t="shared" si="13"/>
        <v>357929359856</v>
      </c>
      <c r="K69" s="6">
        <v>1017057818709</v>
      </c>
      <c r="L69" s="22">
        <f t="shared" si="14"/>
        <v>1374987178565</v>
      </c>
      <c r="M69" s="48" t="str">
        <f t="shared" si="53"/>
        <v>OK</v>
      </c>
      <c r="N69" s="6">
        <v>-18516685766</v>
      </c>
      <c r="O69" s="6">
        <v>8200000000</v>
      </c>
      <c r="P69" s="8">
        <v>82</v>
      </c>
      <c r="Q69" s="9">
        <f t="shared" si="54"/>
        <v>672400000000</v>
      </c>
      <c r="R69" s="66" t="s">
        <v>2</v>
      </c>
      <c r="S69" s="6">
        <v>1404063752036</v>
      </c>
      <c r="T69" s="6">
        <f>21905675755+12605186192</f>
        <v>34510861947</v>
      </c>
      <c r="U69" s="6">
        <v>12605186192</v>
      </c>
      <c r="V69" s="6">
        <v>-11620978441</v>
      </c>
      <c r="W69" s="6">
        <f t="shared" si="51"/>
        <v>10284697314</v>
      </c>
      <c r="X69" s="6"/>
      <c r="Y69" s="17">
        <v>1</v>
      </c>
      <c r="Z69" s="11">
        <v>1</v>
      </c>
      <c r="AA69" s="11"/>
      <c r="AB69" s="28">
        <f t="shared" si="55"/>
        <v>7.4798496119313522E-3</v>
      </c>
      <c r="AC69" s="28">
        <f t="shared" si="65"/>
        <v>1.0112205151772843E-2</v>
      </c>
      <c r="AD69" s="28">
        <f t="shared" si="56"/>
        <v>1.8234924579282406</v>
      </c>
      <c r="AE69" s="12">
        <f t="shared" si="57"/>
        <v>1.0928966218804823</v>
      </c>
      <c r="AF69" s="28">
        <f t="shared" si="66"/>
        <v>0.35192626542150457</v>
      </c>
      <c r="AG69" s="28">
        <f t="shared" si="58"/>
        <v>0.26031468906462935</v>
      </c>
      <c r="AH69" s="13"/>
      <c r="AI69" s="14">
        <f t="shared" si="59"/>
        <v>0.16893702086838702</v>
      </c>
      <c r="AJ69" s="14">
        <f t="shared" si="60"/>
        <v>-1.34668061307487E-2</v>
      </c>
      <c r="AK69" s="14">
        <f t="shared" si="61"/>
        <v>2.5099042729269029E-2</v>
      </c>
      <c r="AL69" s="14">
        <f t="shared" si="62"/>
        <v>1.8785829703115609</v>
      </c>
      <c r="AM69" s="14">
        <f t="shared" si="63"/>
        <v>1.0211467960751064</v>
      </c>
      <c r="AN69" s="74">
        <f t="shared" si="64"/>
        <v>2.4047828477668958</v>
      </c>
      <c r="AO69" s="15"/>
      <c r="AP69" s="62" t="str">
        <f t="shared" si="19"/>
        <v>GA</v>
      </c>
      <c r="AQ69" s="13"/>
      <c r="AR69" s="16">
        <v>1.2</v>
      </c>
      <c r="AS69" s="16">
        <v>1.4</v>
      </c>
      <c r="AT69" s="16">
        <v>3.3</v>
      </c>
      <c r="AU69" s="16">
        <v>0.6</v>
      </c>
      <c r="AV69" s="16">
        <v>0.99</v>
      </c>
      <c r="AX69" s="69">
        <f t="shared" si="26"/>
        <v>0.87745960749234075</v>
      </c>
    </row>
    <row r="70" spans="1:50" x14ac:dyDescent="0.25">
      <c r="A70" s="20" t="s">
        <v>119</v>
      </c>
      <c r="B70" s="88"/>
      <c r="C70" s="5" t="s">
        <v>3</v>
      </c>
      <c r="D70" s="7">
        <v>128778641537</v>
      </c>
      <c r="E70" s="6">
        <v>297658998332</v>
      </c>
      <c r="F70" s="6">
        <v>1054202758662</v>
      </c>
      <c r="G70" s="7">
        <f t="shared" si="12"/>
        <v>1351861756994</v>
      </c>
      <c r="H70" s="6">
        <v>382679320708</v>
      </c>
      <c r="I70" s="6">
        <v>73206033888</v>
      </c>
      <c r="J70" s="6">
        <f t="shared" si="13"/>
        <v>455885354596</v>
      </c>
      <c r="K70" s="6">
        <v>895976402398</v>
      </c>
      <c r="L70" s="22">
        <f t="shared" si="14"/>
        <v>1351861756994</v>
      </c>
      <c r="M70" s="48" t="str">
        <f t="shared" si="53"/>
        <v>OK</v>
      </c>
      <c r="N70" s="6">
        <v>-82103472427</v>
      </c>
      <c r="O70" s="6">
        <v>9242500000</v>
      </c>
      <c r="P70" s="8">
        <v>94</v>
      </c>
      <c r="Q70" s="9">
        <f t="shared" si="54"/>
        <v>868795000000</v>
      </c>
      <c r="R70" s="66" t="s">
        <v>3</v>
      </c>
      <c r="S70" s="6">
        <v>1556287984166</v>
      </c>
      <c r="T70" s="6">
        <f>-126466776202+12254968044</f>
        <v>-114211808158</v>
      </c>
      <c r="U70" s="6">
        <v>12254968044</v>
      </c>
      <c r="V70" s="6">
        <v>38667918493</v>
      </c>
      <c r="W70" s="6">
        <f t="shared" si="51"/>
        <v>-87798857709</v>
      </c>
      <c r="X70" s="6"/>
      <c r="Y70" s="17">
        <v>1</v>
      </c>
      <c r="Z70" s="11">
        <v>1</v>
      </c>
      <c r="AA70" s="11"/>
      <c r="AB70" s="28">
        <f t="shared" si="55"/>
        <v>-6.4946624353239751E-2</v>
      </c>
      <c r="AC70" s="28">
        <f t="shared" si="65"/>
        <v>-9.7992377337186867E-2</v>
      </c>
      <c r="AD70" s="28">
        <f t="shared" si="56"/>
        <v>0.77782880397429688</v>
      </c>
      <c r="AE70" s="12">
        <f t="shared" si="57"/>
        <v>0.44131038092822011</v>
      </c>
      <c r="AF70" s="28">
        <f t="shared" si="66"/>
        <v>0.50881401940482363</v>
      </c>
      <c r="AG70" s="28">
        <f t="shared" si="58"/>
        <v>0.33722779140502263</v>
      </c>
      <c r="AH70" s="13"/>
      <c r="AI70" s="14">
        <f t="shared" si="59"/>
        <v>-6.2891284509039747E-2</v>
      </c>
      <c r="AJ70" s="14">
        <f t="shared" si="60"/>
        <v>-6.0733630493080365E-2</v>
      </c>
      <c r="AK70" s="14">
        <f t="shared" si="61"/>
        <v>-8.4484828102513523E-2</v>
      </c>
      <c r="AL70" s="14">
        <f t="shared" si="62"/>
        <v>1.9057313231084501</v>
      </c>
      <c r="AM70" s="14">
        <f t="shared" si="63"/>
        <v>1.1512182929314918</v>
      </c>
      <c r="AN70" s="74">
        <f t="shared" si="64"/>
        <v>1.8438483470277922</v>
      </c>
      <c r="AO70" s="15"/>
      <c r="AP70" s="62" t="str">
        <f t="shared" si="19"/>
        <v>GA</v>
      </c>
      <c r="AQ70" s="13"/>
      <c r="AR70" s="16">
        <v>1.2</v>
      </c>
      <c r="AS70" s="16">
        <v>1.4</v>
      </c>
      <c r="AT70" s="16">
        <v>3.3</v>
      </c>
      <c r="AU70" s="16">
        <v>0.6</v>
      </c>
      <c r="AV70" s="16">
        <v>0.99</v>
      </c>
      <c r="AX70" s="69">
        <f t="shared" si="26"/>
        <v>0.61185488044426151</v>
      </c>
    </row>
    <row r="71" spans="1:50" x14ac:dyDescent="0.25">
      <c r="A71" s="20" t="s">
        <v>120</v>
      </c>
      <c r="B71" s="88"/>
      <c r="C71" s="5" t="s">
        <v>4</v>
      </c>
      <c r="D71" s="7">
        <v>370488011177</v>
      </c>
      <c r="E71" s="6">
        <v>597839130021</v>
      </c>
      <c r="F71" s="6">
        <v>1160739039974</v>
      </c>
      <c r="G71" s="7">
        <f t="shared" si="12"/>
        <v>1758578169995</v>
      </c>
      <c r="H71" s="6">
        <v>759246184010</v>
      </c>
      <c r="I71" s="6">
        <v>81941364575</v>
      </c>
      <c r="J71" s="6">
        <f t="shared" si="13"/>
        <v>841187548585</v>
      </c>
      <c r="K71" s="6">
        <v>917390621410</v>
      </c>
      <c r="L71" s="22">
        <f t="shared" si="14"/>
        <v>1758578169995</v>
      </c>
      <c r="M71" s="48" t="str">
        <f t="shared" si="53"/>
        <v>OK</v>
      </c>
      <c r="N71" s="6">
        <v>-55296055706</v>
      </c>
      <c r="O71" s="6">
        <v>9242500000</v>
      </c>
      <c r="P71" s="8">
        <v>62</v>
      </c>
      <c r="Q71" s="9">
        <f t="shared" si="54"/>
        <v>573035000000</v>
      </c>
      <c r="R71" s="66" t="s">
        <v>4</v>
      </c>
      <c r="S71" s="6">
        <v>1852766916975</v>
      </c>
      <c r="T71" s="6">
        <f>31308164703+24406999492</f>
        <v>55715164195</v>
      </c>
      <c r="U71" s="6">
        <v>24406999492</v>
      </c>
      <c r="V71" s="6">
        <v>-4500747982</v>
      </c>
      <c r="W71" s="6">
        <f t="shared" si="51"/>
        <v>26807416721</v>
      </c>
      <c r="X71" s="6"/>
      <c r="Y71" s="17">
        <v>1</v>
      </c>
      <c r="Z71" s="11">
        <v>1</v>
      </c>
      <c r="AA71" s="11"/>
      <c r="AB71" s="28">
        <f t="shared" si="55"/>
        <v>1.5243801599718606E-2</v>
      </c>
      <c r="AC71" s="28">
        <f t="shared" si="65"/>
        <v>2.9221376472977081E-2</v>
      </c>
      <c r="AD71" s="28">
        <f t="shared" si="56"/>
        <v>0.78741143862387308</v>
      </c>
      <c r="AE71" s="12">
        <f t="shared" si="57"/>
        <v>0.29944321569485238</v>
      </c>
      <c r="AF71" s="28">
        <f t="shared" si="66"/>
        <v>0.91693497726423412</v>
      </c>
      <c r="AG71" s="28">
        <f t="shared" si="58"/>
        <v>0.4783338966316133</v>
      </c>
      <c r="AH71" s="13"/>
      <c r="AI71" s="14">
        <f t="shared" si="59"/>
        <v>-9.178270078802292E-2</v>
      </c>
      <c r="AJ71" s="14">
        <f t="shared" si="60"/>
        <v>-3.1443615444263828E-2</v>
      </c>
      <c r="AK71" s="14">
        <f t="shared" si="61"/>
        <v>3.1681937798169309E-2</v>
      </c>
      <c r="AL71" s="14">
        <f t="shared" si="62"/>
        <v>0.68122144813475705</v>
      </c>
      <c r="AM71" s="14">
        <f t="shared" si="63"/>
        <v>1.0535596020620839</v>
      </c>
      <c r="AN71" s="74">
        <f t="shared" si="64"/>
        <v>1.402146967088679</v>
      </c>
      <c r="AO71" s="15"/>
      <c r="AP71" s="62" t="str">
        <f t="shared" si="19"/>
        <v>FD</v>
      </c>
      <c r="AQ71" s="13"/>
      <c r="AR71" s="16">
        <v>1.2</v>
      </c>
      <c r="AS71" s="16">
        <v>1.4</v>
      </c>
      <c r="AT71" s="16">
        <v>3.3</v>
      </c>
      <c r="AU71" s="16">
        <v>0.6</v>
      </c>
      <c r="AV71" s="16">
        <v>0.99</v>
      </c>
      <c r="AX71" s="69">
        <f t="shared" si="26"/>
        <v>0.33800460985788833</v>
      </c>
    </row>
    <row r="72" spans="1:50" x14ac:dyDescent="0.25">
      <c r="A72" s="20" t="s">
        <v>121</v>
      </c>
      <c r="B72" s="88"/>
      <c r="C72" s="5" t="s">
        <v>5</v>
      </c>
      <c r="D72" s="7">
        <v>273964320018</v>
      </c>
      <c r="E72" s="6">
        <v>412410310473</v>
      </c>
      <c r="F72" s="6">
        <v>1175726161176</v>
      </c>
      <c r="G72" s="7">
        <f t="shared" si="12"/>
        <v>1588136471649</v>
      </c>
      <c r="H72" s="6">
        <v>676672074796</v>
      </c>
      <c r="I72" s="6">
        <v>64579561189</v>
      </c>
      <c r="J72" s="6">
        <f t="shared" si="13"/>
        <v>741251635985</v>
      </c>
      <c r="K72" s="6">
        <v>846884835664</v>
      </c>
      <c r="L72" s="22">
        <f t="shared" si="14"/>
        <v>1588136471649</v>
      </c>
      <c r="M72" s="48" t="str">
        <f t="shared" si="53"/>
        <v>OK</v>
      </c>
      <c r="N72" s="6">
        <v>-133141384511</v>
      </c>
      <c r="O72" s="6">
        <v>9242500000</v>
      </c>
      <c r="P72" s="8">
        <v>110</v>
      </c>
      <c r="Q72" s="9">
        <f t="shared" si="54"/>
        <v>1016675000000</v>
      </c>
      <c r="R72" s="66" t="s">
        <v>5</v>
      </c>
      <c r="S72" s="47">
        <v>1331774939496</v>
      </c>
      <c r="T72" s="47">
        <f>-67718233075+27901608213</f>
        <v>-39816624862</v>
      </c>
      <c r="U72" s="47">
        <v>27901608213</v>
      </c>
      <c r="V72" s="47">
        <v>-10127095730</v>
      </c>
      <c r="W72" s="6">
        <f t="shared" si="51"/>
        <v>-77845328805</v>
      </c>
      <c r="X72" s="6"/>
      <c r="Y72" s="17">
        <v>1</v>
      </c>
      <c r="Z72" s="11">
        <v>1</v>
      </c>
      <c r="AA72" s="11"/>
      <c r="AB72" s="28">
        <f t="shared" si="55"/>
        <v>-4.901677544384541E-2</v>
      </c>
      <c r="AC72" s="28">
        <f t="shared" si="65"/>
        <v>-9.1919615899091381E-2</v>
      </c>
      <c r="AD72" s="28">
        <f t="shared" si="56"/>
        <v>0.60946849417028415</v>
      </c>
      <c r="AE72" s="12">
        <f t="shared" si="57"/>
        <v>0.20459835068077556</v>
      </c>
      <c r="AF72" s="28">
        <f t="shared" si="66"/>
        <v>0.87526851912966619</v>
      </c>
      <c r="AG72" s="28">
        <f t="shared" si="58"/>
        <v>0.46674303450467375</v>
      </c>
      <c r="AH72" s="13"/>
      <c r="AI72" s="14">
        <f t="shared" si="59"/>
        <v>-0.16639739030022446</v>
      </c>
      <c r="AJ72" s="14">
        <f t="shared" si="60"/>
        <v>-8.3834976960611027E-2</v>
      </c>
      <c r="AK72" s="14">
        <f t="shared" si="61"/>
        <v>-2.5071286739393024E-2</v>
      </c>
      <c r="AL72" s="14">
        <f t="shared" si="62"/>
        <v>1.3715652696658243</v>
      </c>
      <c r="AM72" s="14">
        <f t="shared" si="63"/>
        <v>0.83857713947793555</v>
      </c>
      <c r="AN72" s="74">
        <f t="shared" si="64"/>
        <v>1.2533494475375289</v>
      </c>
      <c r="AO72" s="15"/>
      <c r="AP72" s="62" t="str">
        <f t="shared" si="19"/>
        <v>FD</v>
      </c>
      <c r="AQ72" s="13"/>
      <c r="AR72" s="16">
        <v>1.2</v>
      </c>
      <c r="AS72" s="16">
        <v>1.4</v>
      </c>
      <c r="AT72" s="16">
        <v>3.3</v>
      </c>
      <c r="AU72" s="16">
        <v>0.6</v>
      </c>
      <c r="AV72" s="16">
        <v>0.99</v>
      </c>
      <c r="AX72" s="69">
        <f t="shared" si="26"/>
        <v>0.22581952572885752</v>
      </c>
    </row>
    <row r="73" spans="1:50" x14ac:dyDescent="0.25">
      <c r="A73" s="20" t="s">
        <v>122</v>
      </c>
      <c r="B73" s="89"/>
      <c r="C73" s="5" t="s">
        <v>131</v>
      </c>
      <c r="D73" s="7">
        <v>167411441784</v>
      </c>
      <c r="E73" s="42">
        <v>353310177226</v>
      </c>
      <c r="F73" s="43">
        <v>1230668839196</v>
      </c>
      <c r="G73" s="7">
        <f t="shared" si="12"/>
        <v>1583979016422</v>
      </c>
      <c r="H73" s="43">
        <v>727757214191</v>
      </c>
      <c r="I73" s="43">
        <v>68124488866</v>
      </c>
      <c r="J73" s="6">
        <f t="shared" si="13"/>
        <v>795881703057</v>
      </c>
      <c r="K73" s="43">
        <v>788097313365</v>
      </c>
      <c r="L73" s="22">
        <f t="shared" si="14"/>
        <v>1583979016422</v>
      </c>
      <c r="M73" s="48" t="str">
        <f t="shared" si="53"/>
        <v>OK</v>
      </c>
      <c r="N73" s="43">
        <v>-63711545268</v>
      </c>
      <c r="O73" s="6">
        <v>9242500000</v>
      </c>
      <c r="P73" s="44">
        <v>100</v>
      </c>
      <c r="Q73" s="45">
        <f t="shared" si="54"/>
        <v>924250000000</v>
      </c>
      <c r="R73" s="66" t="s">
        <v>131</v>
      </c>
      <c r="S73" s="47">
        <v>1672251184142</v>
      </c>
      <c r="T73" s="47">
        <f>-76933015238+38675417101</f>
        <v>-38257598137</v>
      </c>
      <c r="U73" s="47">
        <v>38675417101</v>
      </c>
      <c r="V73" s="47">
        <v>13221469970</v>
      </c>
      <c r="W73" s="6">
        <f t="shared" si="51"/>
        <v>-63711545268</v>
      </c>
      <c r="X73" s="46"/>
      <c r="Y73" s="17">
        <v>1</v>
      </c>
      <c r="Z73" s="11">
        <v>1</v>
      </c>
      <c r="AA73" s="11"/>
      <c r="AB73" s="28">
        <f t="shared" si="55"/>
        <v>-4.0222467979352396E-2</v>
      </c>
      <c r="AC73" s="28">
        <f t="shared" si="65"/>
        <v>-8.0842231267057474E-2</v>
      </c>
      <c r="AD73" s="28">
        <f t="shared" si="56"/>
        <v>0.48547808298781586</v>
      </c>
      <c r="AE73" s="12">
        <f t="shared" si="57"/>
        <v>0.25544059449640971</v>
      </c>
      <c r="AF73" s="28">
        <f t="shared" si="66"/>
        <v>1.009877447315183</v>
      </c>
      <c r="AG73" s="28">
        <f t="shared" si="58"/>
        <v>0.50245722626729739</v>
      </c>
      <c r="AH73" s="13"/>
      <c r="AI73" s="14">
        <f t="shared" si="59"/>
        <v>-0.23639646301049275</v>
      </c>
      <c r="AJ73" s="14">
        <f t="shared" si="60"/>
        <v>-4.0222467979352396E-2</v>
      </c>
      <c r="AK73" s="14">
        <f t="shared" si="61"/>
        <v>-2.4152844034145651E-2</v>
      </c>
      <c r="AL73" s="14">
        <f t="shared" si="62"/>
        <v>1.1612906747949279</v>
      </c>
      <c r="AM73" s="14">
        <f t="shared" si="63"/>
        <v>1.055728116853085</v>
      </c>
      <c r="AN73" s="74">
        <f t="shared" si="64"/>
        <v>1.3222536444651456</v>
      </c>
      <c r="AO73" s="15"/>
      <c r="AP73" s="62" t="str">
        <f t="shared" si="19"/>
        <v>FD</v>
      </c>
      <c r="AQ73" s="13"/>
      <c r="AR73" s="16">
        <v>1.2</v>
      </c>
      <c r="AS73" s="16">
        <v>1.4</v>
      </c>
      <c r="AT73" s="16">
        <v>3.3</v>
      </c>
      <c r="AU73" s="16">
        <v>0.6</v>
      </c>
      <c r="AV73" s="16">
        <v>0.99</v>
      </c>
      <c r="AX73" s="69">
        <f t="shared" si="26"/>
        <v>0.27933758722042651</v>
      </c>
    </row>
    <row r="74" spans="1:50" x14ac:dyDescent="0.25">
      <c r="A74" s="20" t="s">
        <v>123</v>
      </c>
      <c r="B74" s="87" t="s">
        <v>126</v>
      </c>
      <c r="C74" s="5" t="s">
        <v>1</v>
      </c>
      <c r="D74" s="7">
        <v>452203967651</v>
      </c>
      <c r="E74" s="42">
        <v>749830324140</v>
      </c>
      <c r="F74" s="43">
        <v>232796632284</v>
      </c>
      <c r="G74" s="7">
        <f t="shared" si="12"/>
        <v>982626956424</v>
      </c>
      <c r="H74" s="43">
        <v>775814969312</v>
      </c>
      <c r="I74" s="43">
        <v>10309286638</v>
      </c>
      <c r="J74" s="6">
        <f t="shared" si="13"/>
        <v>786124255950</v>
      </c>
      <c r="K74" s="43">
        <v>196502700474</v>
      </c>
      <c r="L74" s="22">
        <f t="shared" si="14"/>
        <v>982626956424</v>
      </c>
      <c r="M74" s="48" t="str">
        <f t="shared" si="53"/>
        <v>OK</v>
      </c>
      <c r="N74" s="43">
        <v>-40375453187</v>
      </c>
      <c r="O74" s="43">
        <v>1800000000</v>
      </c>
      <c r="P74" s="44">
        <v>330</v>
      </c>
      <c r="Q74" s="45">
        <f t="shared" si="54"/>
        <v>594000000000</v>
      </c>
      <c r="R74" s="66" t="s">
        <v>1</v>
      </c>
      <c r="S74" s="6">
        <v>978840639564</v>
      </c>
      <c r="T74" s="6">
        <f>53592758567+26043566443</f>
        <v>79636325010</v>
      </c>
      <c r="U74" s="6">
        <v>26043566443</v>
      </c>
      <c r="V74" s="6">
        <v>-19199403477</v>
      </c>
      <c r="W74" s="6">
        <f t="shared" si="51"/>
        <v>34393355090</v>
      </c>
      <c r="X74" s="46"/>
      <c r="Y74" s="17">
        <v>1</v>
      </c>
      <c r="Z74" s="11">
        <v>1</v>
      </c>
      <c r="AA74" s="11"/>
      <c r="AB74" s="28">
        <f t="shared" si="55"/>
        <v>3.5001436572801886E-2</v>
      </c>
      <c r="AC74" s="28">
        <f t="shared" si="65"/>
        <v>0.17502739151694616</v>
      </c>
      <c r="AD74" s="28">
        <f t="shared" si="56"/>
        <v>0.96650664630118777</v>
      </c>
      <c r="AE74" s="12">
        <f t="shared" si="57"/>
        <v>0.38363059268234778</v>
      </c>
      <c r="AF74" s="28">
        <f t="shared" si="66"/>
        <v>4.0005773663859392</v>
      </c>
      <c r="AG74" s="28">
        <f t="shared" si="58"/>
        <v>0.80002309198892996</v>
      </c>
      <c r="AH74" s="13"/>
      <c r="AI74" s="14">
        <f t="shared" si="59"/>
        <v>-2.6444058960649681E-2</v>
      </c>
      <c r="AJ74" s="14">
        <f t="shared" si="60"/>
        <v>-4.1089299375558892E-2</v>
      </c>
      <c r="AK74" s="14">
        <f t="shared" si="61"/>
        <v>8.1044311362894472E-2</v>
      </c>
      <c r="AL74" s="14">
        <f t="shared" si="62"/>
        <v>0.75560573981040002</v>
      </c>
      <c r="AM74" s="14">
        <f t="shared" si="63"/>
        <v>0.99614674029116879</v>
      </c>
      <c r="AN74" s="74">
        <f t="shared" si="64"/>
        <v>1.6177370543934868</v>
      </c>
      <c r="AO74" s="15"/>
      <c r="AP74" s="62" t="str">
        <f t="shared" ref="AP74:AP91" si="67">IF(AN74&lt;1.8,"FD",IF(AN74&gt;2.99,"S","GA"))</f>
        <v>FD</v>
      </c>
      <c r="AQ74" s="13"/>
      <c r="AR74" s="16">
        <v>1.2</v>
      </c>
      <c r="AS74" s="16">
        <v>1.4</v>
      </c>
      <c r="AT74" s="16">
        <v>3.3</v>
      </c>
      <c r="AU74" s="16">
        <v>0.6</v>
      </c>
      <c r="AV74" s="16">
        <v>0.99</v>
      </c>
      <c r="AX74" s="69">
        <f t="shared" si="26"/>
        <v>0.48102829269388137</v>
      </c>
    </row>
    <row r="75" spans="1:50" x14ac:dyDescent="0.25">
      <c r="A75" s="20" t="s">
        <v>124</v>
      </c>
      <c r="B75" s="88"/>
      <c r="C75" s="5" t="s">
        <v>2</v>
      </c>
      <c r="D75" s="7">
        <v>481054955518</v>
      </c>
      <c r="E75" s="42">
        <v>727240100955</v>
      </c>
      <c r="F75" s="43">
        <v>219208835509</v>
      </c>
      <c r="G75" s="7">
        <f t="shared" si="12"/>
        <v>946448936464</v>
      </c>
      <c r="H75" s="43">
        <v>760156840021</v>
      </c>
      <c r="I75" s="43">
        <v>14275886170</v>
      </c>
      <c r="J75" s="6">
        <f t="shared" si="13"/>
        <v>774432726191</v>
      </c>
      <c r="K75" s="43">
        <v>172016210273</v>
      </c>
      <c r="L75" s="22">
        <f t="shared" si="14"/>
        <v>946448936464</v>
      </c>
      <c r="M75" s="48" t="str">
        <f t="shared" si="53"/>
        <v>OK</v>
      </c>
      <c r="N75" s="43">
        <v>-66142721394</v>
      </c>
      <c r="O75" s="43">
        <v>1800000000</v>
      </c>
      <c r="P75" s="44">
        <v>160</v>
      </c>
      <c r="Q75" s="45">
        <f t="shared" si="54"/>
        <v>288000000000</v>
      </c>
      <c r="R75" s="66" t="s">
        <v>2</v>
      </c>
      <c r="S75" s="6">
        <v>1218317826843</v>
      </c>
      <c r="T75" s="6">
        <f>-28628554806+26782998764</f>
        <v>-1845556042</v>
      </c>
      <c r="U75" s="6">
        <v>26782998764</v>
      </c>
      <c r="V75" s="6">
        <v>5643793055</v>
      </c>
      <c r="W75" s="6">
        <f t="shared" si="51"/>
        <v>-22984761751</v>
      </c>
      <c r="X75" s="46"/>
      <c r="Y75" s="17">
        <v>1</v>
      </c>
      <c r="Z75" s="11">
        <v>1</v>
      </c>
      <c r="AA75" s="11"/>
      <c r="AB75" s="28">
        <f t="shared" si="55"/>
        <v>-2.4285263436263863E-2</v>
      </c>
      <c r="AC75" s="28">
        <f t="shared" si="65"/>
        <v>-0.13361974266565813</v>
      </c>
      <c r="AD75" s="28">
        <f t="shared" si="56"/>
        <v>0.9566974375115922</v>
      </c>
      <c r="AE75" s="12">
        <f t="shared" si="57"/>
        <v>0.32386098825368581</v>
      </c>
      <c r="AF75" s="28">
        <f t="shared" si="66"/>
        <v>4.5020915468485736</v>
      </c>
      <c r="AG75" s="28">
        <f t="shared" si="58"/>
        <v>0.81825093394297144</v>
      </c>
      <c r="AH75" s="13"/>
      <c r="AI75" s="14">
        <f t="shared" si="59"/>
        <v>-3.4779202340254362E-2</v>
      </c>
      <c r="AJ75" s="14">
        <f t="shared" si="60"/>
        <v>-6.9885145247364194E-2</v>
      </c>
      <c r="AK75" s="14">
        <f t="shared" si="61"/>
        <v>-1.9499795191224236E-3</v>
      </c>
      <c r="AL75" s="14">
        <f t="shared" si="62"/>
        <v>0.37188511055893825</v>
      </c>
      <c r="AM75" s="14">
        <f t="shared" si="63"/>
        <v>1.2872515144818286</v>
      </c>
      <c r="AN75" s="74">
        <f t="shared" si="64"/>
        <v>1.3515008871046541</v>
      </c>
      <c r="AO75" s="15"/>
      <c r="AP75" s="62" t="str">
        <f t="shared" si="67"/>
        <v>FD</v>
      </c>
      <c r="AQ75" s="13"/>
      <c r="AR75" s="16">
        <v>1.2</v>
      </c>
      <c r="AS75" s="16">
        <v>1.4</v>
      </c>
      <c r="AT75" s="16">
        <v>3.3</v>
      </c>
      <c r="AU75" s="16">
        <v>0.6</v>
      </c>
      <c r="AV75" s="16">
        <v>0.99</v>
      </c>
      <c r="AX75" s="69">
        <f t="shared" ref="AX75:AX91" si="68">LN(AN75)</f>
        <v>0.30121574311939148</v>
      </c>
    </row>
    <row r="76" spans="1:50" x14ac:dyDescent="0.25">
      <c r="A76" s="20" t="s">
        <v>125</v>
      </c>
      <c r="B76" s="88"/>
      <c r="C76" s="5" t="s">
        <v>3</v>
      </c>
      <c r="D76" s="7">
        <v>402222464367</v>
      </c>
      <c r="E76" s="42">
        <v>692169207950</v>
      </c>
      <c r="F76" s="43">
        <v>209012588320</v>
      </c>
      <c r="G76" s="7">
        <f t="shared" si="12"/>
        <v>901181796270</v>
      </c>
      <c r="H76" s="43">
        <v>811365493384</v>
      </c>
      <c r="I76" s="43">
        <v>13294954273</v>
      </c>
      <c r="J76" s="6">
        <f t="shared" si="13"/>
        <v>824660447657</v>
      </c>
      <c r="K76" s="43">
        <v>76521348613</v>
      </c>
      <c r="L76" s="22">
        <f t="shared" si="14"/>
        <v>901181796270</v>
      </c>
      <c r="M76" s="48" t="str">
        <f t="shared" si="53"/>
        <v>OK</v>
      </c>
      <c r="N76" s="43">
        <v>-161637583054</v>
      </c>
      <c r="O76" s="43">
        <v>1800000000</v>
      </c>
      <c r="P76" s="44">
        <v>113</v>
      </c>
      <c r="Q76" s="45">
        <f t="shared" si="54"/>
        <v>203400000000</v>
      </c>
      <c r="R76" s="66" t="s">
        <v>3</v>
      </c>
      <c r="S76" s="6">
        <v>1279809883694</v>
      </c>
      <c r="T76" s="6">
        <f>-90434239905+30499688935</f>
        <v>-59934550970</v>
      </c>
      <c r="U76" s="6">
        <v>30499688935</v>
      </c>
      <c r="V76" s="6">
        <v>-6261541668</v>
      </c>
      <c r="W76" s="6">
        <f t="shared" si="51"/>
        <v>-96695781573</v>
      </c>
      <c r="X76" s="46"/>
      <c r="Y76" s="17">
        <v>1</v>
      </c>
      <c r="Z76" s="11">
        <v>1</v>
      </c>
      <c r="AA76" s="11"/>
      <c r="AB76" s="28">
        <f t="shared" si="55"/>
        <v>-0.10729886241957479</v>
      </c>
      <c r="AC76" s="28">
        <f t="shared" si="65"/>
        <v>-1.2636445034709258</v>
      </c>
      <c r="AD76" s="28">
        <f t="shared" si="56"/>
        <v>0.85309174914887931</v>
      </c>
      <c r="AE76" s="12">
        <f t="shared" si="57"/>
        <v>0.35735651312173206</v>
      </c>
      <c r="AF76" s="28">
        <f t="shared" si="66"/>
        <v>10.776867666403108</v>
      </c>
      <c r="AG76" s="28">
        <f t="shared" si="58"/>
        <v>0.91508777814895659</v>
      </c>
      <c r="AH76" s="13"/>
      <c r="AI76" s="14">
        <f t="shared" si="59"/>
        <v>-0.13226663690650939</v>
      </c>
      <c r="AJ76" s="14">
        <f t="shared" si="60"/>
        <v>-0.17936179328412924</v>
      </c>
      <c r="AK76" s="14">
        <f t="shared" si="61"/>
        <v>-6.6506615222444207E-2</v>
      </c>
      <c r="AL76" s="14">
        <f t="shared" si="62"/>
        <v>0.24664696915911738</v>
      </c>
      <c r="AM76" s="14">
        <f t="shared" si="63"/>
        <v>1.42014617804215</v>
      </c>
      <c r="AN76" s="74">
        <f t="shared" si="64"/>
        <v>0.92463459263754078</v>
      </c>
      <c r="AO76" s="15"/>
      <c r="AP76" s="62" t="str">
        <f t="shared" si="67"/>
        <v>FD</v>
      </c>
      <c r="AQ76" s="13"/>
      <c r="AR76" s="16">
        <v>1.2</v>
      </c>
      <c r="AS76" s="16">
        <v>1.4</v>
      </c>
      <c r="AT76" s="16">
        <v>3.3</v>
      </c>
      <c r="AU76" s="16">
        <v>0.6</v>
      </c>
      <c r="AV76" s="16">
        <v>0.99</v>
      </c>
      <c r="AX76" s="69">
        <f t="shared" si="68"/>
        <v>-7.8356654503029366E-2</v>
      </c>
    </row>
    <row r="77" spans="1:50" x14ac:dyDescent="0.25">
      <c r="A77" s="20" t="s">
        <v>133</v>
      </c>
      <c r="B77" s="88"/>
      <c r="C77" s="5" t="s">
        <v>4</v>
      </c>
      <c r="D77" s="7">
        <v>378782534249</v>
      </c>
      <c r="E77" s="42">
        <v>636445607431</v>
      </c>
      <c r="F77" s="43">
        <v>200425166570</v>
      </c>
      <c r="G77" s="7">
        <f t="shared" si="12"/>
        <v>836870774001</v>
      </c>
      <c r="H77" s="43">
        <v>748332823419</v>
      </c>
      <c r="I77" s="43">
        <v>14350756866</v>
      </c>
      <c r="J77" s="6">
        <f t="shared" si="13"/>
        <v>762683580285</v>
      </c>
      <c r="K77" s="43">
        <v>74187193716</v>
      </c>
      <c r="L77" s="22">
        <f t="shared" si="14"/>
        <v>836870774001</v>
      </c>
      <c r="M77" s="48" t="str">
        <f t="shared" si="53"/>
        <v>OK</v>
      </c>
      <c r="N77" s="43">
        <v>-163971737951</v>
      </c>
      <c r="O77" s="43">
        <v>1800000000</v>
      </c>
      <c r="P77" s="44">
        <v>62</v>
      </c>
      <c r="Q77" s="45">
        <f t="shared" si="54"/>
        <v>111600000000</v>
      </c>
      <c r="R77" s="66" t="s">
        <v>4</v>
      </c>
      <c r="S77" s="6">
        <v>1072625592333</v>
      </c>
      <c r="T77" s="6">
        <f>5026701131+26797517030</f>
        <v>31824218161</v>
      </c>
      <c r="U77" s="6">
        <v>26797517030</v>
      </c>
      <c r="V77" s="6">
        <v>-3913717383</v>
      </c>
      <c r="W77" s="6">
        <f t="shared" si="51"/>
        <v>1112983748</v>
      </c>
      <c r="X77" s="46"/>
      <c r="Y77" s="17">
        <v>1</v>
      </c>
      <c r="Z77" s="11">
        <v>1</v>
      </c>
      <c r="AA77" s="11"/>
      <c r="AB77" s="28">
        <f t="shared" si="55"/>
        <v>1.3299350181377825E-3</v>
      </c>
      <c r="AC77" s="28">
        <f t="shared" si="65"/>
        <v>1.5002370250863959E-2</v>
      </c>
      <c r="AD77" s="28">
        <f t="shared" si="56"/>
        <v>0.85048468744587846</v>
      </c>
      <c r="AE77" s="12">
        <f t="shared" si="57"/>
        <v>0.34431614532793459</v>
      </c>
      <c r="AF77" s="28">
        <f t="shared" si="66"/>
        <v>10.280528782429352</v>
      </c>
      <c r="AG77" s="28">
        <f t="shared" si="58"/>
        <v>0.91135167337566581</v>
      </c>
      <c r="AH77" s="13"/>
      <c r="AI77" s="14">
        <f t="shared" si="59"/>
        <v>-0.1336971244115478</v>
      </c>
      <c r="AJ77" s="14">
        <f t="shared" si="60"/>
        <v>-0.19593435814118187</v>
      </c>
      <c r="AK77" s="14">
        <f t="shared" si="61"/>
        <v>3.8027637180889258E-2</v>
      </c>
      <c r="AL77" s="14">
        <f t="shared" si="62"/>
        <v>0.14632542627743114</v>
      </c>
      <c r="AM77" s="14">
        <f t="shared" si="63"/>
        <v>1.2817099433463048</v>
      </c>
      <c r="AN77" s="74">
        <f t="shared" si="64"/>
        <v>1.0474346516847231</v>
      </c>
      <c r="AO77" s="15"/>
      <c r="AP77" s="62" t="str">
        <f t="shared" si="67"/>
        <v>FD</v>
      </c>
      <c r="AQ77" s="13"/>
      <c r="AR77" s="16">
        <v>1.2</v>
      </c>
      <c r="AS77" s="16">
        <v>1.4</v>
      </c>
      <c r="AT77" s="16">
        <v>3.3</v>
      </c>
      <c r="AU77" s="16">
        <v>0.6</v>
      </c>
      <c r="AV77" s="16">
        <v>0.99</v>
      </c>
      <c r="AX77" s="69">
        <f t="shared" si="68"/>
        <v>4.6343985841611667E-2</v>
      </c>
    </row>
    <row r="78" spans="1:50" x14ac:dyDescent="0.25">
      <c r="A78" s="20" t="s">
        <v>134</v>
      </c>
      <c r="B78" s="88"/>
      <c r="C78" s="5" t="s">
        <v>5</v>
      </c>
      <c r="D78" s="7">
        <v>299112438900</v>
      </c>
      <c r="E78" s="42">
        <v>562587933413</v>
      </c>
      <c r="F78" s="43">
        <v>197837546221</v>
      </c>
      <c r="G78" s="7">
        <f t="shared" si="12"/>
        <v>760425479634</v>
      </c>
      <c r="H78" s="43">
        <v>619717175037</v>
      </c>
      <c r="I78" s="43">
        <v>12869216111</v>
      </c>
      <c r="J78" s="6">
        <f t="shared" si="13"/>
        <v>632586391148</v>
      </c>
      <c r="K78" s="43">
        <v>127839088486</v>
      </c>
      <c r="L78" s="22">
        <f t="shared" si="14"/>
        <v>760425479634</v>
      </c>
      <c r="M78" s="48" t="str">
        <f t="shared" si="53"/>
        <v>OK</v>
      </c>
      <c r="N78" s="43">
        <v>-110319843181</v>
      </c>
      <c r="O78" s="43">
        <v>1800000000</v>
      </c>
      <c r="P78" s="44">
        <v>116</v>
      </c>
      <c r="Q78" s="45">
        <f t="shared" si="54"/>
        <v>208800000000</v>
      </c>
      <c r="R78" s="66" t="s">
        <v>5</v>
      </c>
      <c r="S78" s="6">
        <v>1204954780957</v>
      </c>
      <c r="T78" s="6">
        <f>48827525559+22838297166</f>
        <v>71665822725</v>
      </c>
      <c r="U78" s="6">
        <v>22838297166</v>
      </c>
      <c r="V78" s="6">
        <v>6290994668</v>
      </c>
      <c r="W78" s="6">
        <f t="shared" si="51"/>
        <v>55118520227</v>
      </c>
      <c r="X78" s="46"/>
      <c r="Y78" s="17">
        <v>1</v>
      </c>
      <c r="Z78" s="11">
        <v>1</v>
      </c>
      <c r="AA78" s="11"/>
      <c r="AB78" s="28">
        <f t="shared" si="55"/>
        <v>7.2483789277456967E-2</v>
      </c>
      <c r="AC78" s="28">
        <f t="shared" si="65"/>
        <v>0.43115545393642396</v>
      </c>
      <c r="AD78" s="28">
        <f t="shared" si="56"/>
        <v>0.90781400947845425</v>
      </c>
      <c r="AE78" s="12">
        <f t="shared" si="57"/>
        <v>0.42515441741189325</v>
      </c>
      <c r="AF78" s="28">
        <f t="shared" si="66"/>
        <v>4.9483017959509015</v>
      </c>
      <c r="AG78" s="28">
        <f t="shared" si="58"/>
        <v>0.83188479093634504</v>
      </c>
      <c r="AH78" s="13"/>
      <c r="AI78" s="14">
        <f t="shared" si="59"/>
        <v>-7.5127994989721864E-2</v>
      </c>
      <c r="AJ78" s="14">
        <f t="shared" si="60"/>
        <v>-0.14507646855034104</v>
      </c>
      <c r="AK78" s="14">
        <f t="shared" si="61"/>
        <v>9.4244373241535048E-2</v>
      </c>
      <c r="AL78" s="14">
        <f t="shared" si="62"/>
        <v>0.33007349339443681</v>
      </c>
      <c r="AM78" s="14">
        <f t="shared" si="63"/>
        <v>1.5845797033746898</v>
      </c>
      <c r="AN78" s="74">
        <f t="shared" si="64"/>
        <v>1.7845237841165269</v>
      </c>
      <c r="AO78" s="15"/>
      <c r="AP78" s="62" t="str">
        <f t="shared" si="67"/>
        <v>FD</v>
      </c>
      <c r="AQ78" s="13"/>
      <c r="AR78" s="16">
        <v>1.2</v>
      </c>
      <c r="AS78" s="16">
        <v>1.4</v>
      </c>
      <c r="AT78" s="16">
        <v>3.3</v>
      </c>
      <c r="AU78" s="16">
        <v>0.6</v>
      </c>
      <c r="AV78" s="16">
        <v>0.99</v>
      </c>
      <c r="AX78" s="69">
        <f t="shared" si="68"/>
        <v>0.5791515920276683</v>
      </c>
    </row>
    <row r="79" spans="1:50" x14ac:dyDescent="0.25">
      <c r="A79" s="20" t="s">
        <v>135</v>
      </c>
      <c r="B79" s="89"/>
      <c r="C79" s="5" t="s">
        <v>131</v>
      </c>
      <c r="D79" s="7">
        <v>325438867548</v>
      </c>
      <c r="E79" s="42">
        <v>543722430669</v>
      </c>
      <c r="F79" s="43">
        <v>182450586856</v>
      </c>
      <c r="G79" s="7">
        <f t="shared" si="12"/>
        <v>726173017525</v>
      </c>
      <c r="H79" s="43">
        <v>211939279423</v>
      </c>
      <c r="I79" s="43">
        <v>300149386453</v>
      </c>
      <c r="J79" s="6">
        <f t="shared" si="13"/>
        <v>512088665876</v>
      </c>
      <c r="K79" s="43">
        <v>214084351649</v>
      </c>
      <c r="L79" s="22">
        <f t="shared" si="14"/>
        <v>726173017525</v>
      </c>
      <c r="M79" s="48" t="str">
        <f t="shared" si="53"/>
        <v>OK</v>
      </c>
      <c r="N79" s="43">
        <v>-24074580018</v>
      </c>
      <c r="O79" s="43">
        <v>1800000000</v>
      </c>
      <c r="P79" s="44">
        <v>334</v>
      </c>
      <c r="Q79" s="45">
        <f t="shared" si="54"/>
        <v>601200000000</v>
      </c>
      <c r="R79" s="66" t="s">
        <v>131</v>
      </c>
      <c r="S79" s="6">
        <v>1374486754604</v>
      </c>
      <c r="T79" s="6">
        <f>130605249884+15783194069</f>
        <v>146388443953</v>
      </c>
      <c r="U79" s="6">
        <v>15783194069</v>
      </c>
      <c r="V79" s="6">
        <v>-42078171113</v>
      </c>
      <c r="W79" s="6">
        <f t="shared" si="51"/>
        <v>88527078771</v>
      </c>
      <c r="X79" s="46"/>
      <c r="Y79" s="17">
        <v>1</v>
      </c>
      <c r="Z79" s="11">
        <v>1</v>
      </c>
      <c r="AA79" s="11"/>
      <c r="AB79" s="28">
        <f t="shared" si="55"/>
        <v>0.12190907212818916</v>
      </c>
      <c r="AC79" s="28">
        <f t="shared" si="65"/>
        <v>0.4135149444091259</v>
      </c>
      <c r="AD79" s="28">
        <f t="shared" si="56"/>
        <v>2.5654632409304794</v>
      </c>
      <c r="AE79" s="12">
        <f t="shared" si="57"/>
        <v>1.0299344402570028</v>
      </c>
      <c r="AF79" s="28">
        <f t="shared" si="66"/>
        <v>2.3919948465714587</v>
      </c>
      <c r="AG79" s="28">
        <f t="shared" si="58"/>
        <v>0.70518823134098385</v>
      </c>
      <c r="AH79" s="13"/>
      <c r="AI79" s="14">
        <f t="shared" si="59"/>
        <v>0.45689270082880445</v>
      </c>
      <c r="AJ79" s="14">
        <f t="shared" si="60"/>
        <v>-3.3152677718669414E-2</v>
      </c>
      <c r="AK79" s="14">
        <f t="shared" si="61"/>
        <v>0.20158893324339233</v>
      </c>
      <c r="AL79" s="14">
        <f t="shared" si="62"/>
        <v>1.1740154392434414</v>
      </c>
      <c r="AM79" s="14">
        <f t="shared" si="63"/>
        <v>1.8927813639904081</v>
      </c>
      <c r="AN79" s="74">
        <f t="shared" si="64"/>
        <v>3.7453637857881916</v>
      </c>
      <c r="AO79" s="15"/>
      <c r="AP79" s="62" t="str">
        <f t="shared" si="67"/>
        <v>S</v>
      </c>
      <c r="AQ79" s="13"/>
      <c r="AR79" s="16">
        <v>1.2</v>
      </c>
      <c r="AS79" s="16">
        <v>1.4</v>
      </c>
      <c r="AT79" s="16">
        <v>3.3</v>
      </c>
      <c r="AU79" s="16">
        <v>0.6</v>
      </c>
      <c r="AV79" s="16">
        <v>0.99</v>
      </c>
      <c r="AX79" s="69">
        <f t="shared" si="68"/>
        <v>1.3205187513137571</v>
      </c>
    </row>
    <row r="80" spans="1:50" x14ac:dyDescent="0.25">
      <c r="A80" s="20" t="s">
        <v>147</v>
      </c>
      <c r="B80" s="87" t="s">
        <v>127</v>
      </c>
      <c r="C80" s="5" t="s">
        <v>1</v>
      </c>
      <c r="D80" s="7">
        <v>61770345901</v>
      </c>
      <c r="E80" s="42">
        <v>118108607817</v>
      </c>
      <c r="F80" s="43">
        <v>162149057175</v>
      </c>
      <c r="G80" s="7">
        <f t="shared" ref="G80:G89" si="69">E80+F80</f>
        <v>280257664992</v>
      </c>
      <c r="H80" s="43">
        <v>121306029590</v>
      </c>
      <c r="I80" s="43">
        <v>16950195991</v>
      </c>
      <c r="J80" s="6">
        <f t="shared" ref="J80:J89" si="70">H80+I80</f>
        <v>138256225581</v>
      </c>
      <c r="K80" s="43">
        <v>142001439411</v>
      </c>
      <c r="L80" s="22">
        <f t="shared" ref="L80:L89" si="71">J80+K80</f>
        <v>280257664992</v>
      </c>
      <c r="M80" s="48" t="str">
        <f t="shared" si="53"/>
        <v>OK</v>
      </c>
      <c r="N80" s="43">
        <v>33147408874</v>
      </c>
      <c r="O80" s="43">
        <v>668000089</v>
      </c>
      <c r="P80" s="44">
        <v>840</v>
      </c>
      <c r="Q80" s="45">
        <f t="shared" si="54"/>
        <v>561120074760</v>
      </c>
      <c r="R80" s="66" t="s">
        <v>1</v>
      </c>
      <c r="S80" s="6">
        <v>278331887681</v>
      </c>
      <c r="T80" s="6">
        <f>-11208138846+10895664318</f>
        <v>-312474528</v>
      </c>
      <c r="U80" s="6">
        <v>10895664318</v>
      </c>
      <c r="V80" s="6">
        <v>275712343</v>
      </c>
      <c r="W80" s="6">
        <f t="shared" si="51"/>
        <v>-10932426503</v>
      </c>
      <c r="X80" s="46"/>
      <c r="Y80" s="17">
        <v>1</v>
      </c>
      <c r="Z80" s="11">
        <v>1</v>
      </c>
      <c r="AA80" s="11"/>
      <c r="AB80" s="28">
        <f t="shared" si="55"/>
        <v>-3.9008483508602941E-2</v>
      </c>
      <c r="AC80" s="28">
        <f t="shared" si="65"/>
        <v>-7.6988138629763281E-2</v>
      </c>
      <c r="AD80" s="28">
        <f t="shared" si="56"/>
        <v>0.97364169131734912</v>
      </c>
      <c r="AE80" s="12">
        <f t="shared" si="57"/>
        <v>0.46443084574127641</v>
      </c>
      <c r="AF80" s="28">
        <f t="shared" si="66"/>
        <v>0.97362552206840602</v>
      </c>
      <c r="AG80" s="28">
        <f t="shared" si="58"/>
        <v>0.49331826690608638</v>
      </c>
      <c r="AH80" s="13"/>
      <c r="AI80" s="14">
        <f t="shared" si="59"/>
        <v>-1.1408864671341891E-2</v>
      </c>
      <c r="AJ80" s="14">
        <f t="shared" si="60"/>
        <v>0.11827476288631106</v>
      </c>
      <c r="AK80" s="14">
        <f t="shared" si="61"/>
        <v>-1.1149544402609636E-3</v>
      </c>
      <c r="AL80" s="14">
        <f t="shared" si="62"/>
        <v>4.058551955993166</v>
      </c>
      <c r="AM80" s="14">
        <f t="shared" si="63"/>
        <v>0.9931285472208049</v>
      </c>
      <c r="AN80" s="74">
        <f t="shared" si="64"/>
        <v>3.5665431161268604</v>
      </c>
      <c r="AO80" s="15"/>
      <c r="AP80" s="62" t="str">
        <f t="shared" si="67"/>
        <v>S</v>
      </c>
      <c r="AQ80" s="13"/>
      <c r="AR80" s="16">
        <v>1.2</v>
      </c>
      <c r="AS80" s="16">
        <v>1.4</v>
      </c>
      <c r="AT80" s="16">
        <v>3.3</v>
      </c>
      <c r="AU80" s="16">
        <v>0.6</v>
      </c>
      <c r="AV80" s="16">
        <v>0.99</v>
      </c>
      <c r="AX80" s="69">
        <f t="shared" si="68"/>
        <v>1.2715968118614969</v>
      </c>
    </row>
    <row r="81" spans="1:50" x14ac:dyDescent="0.25">
      <c r="A81" s="20" t="s">
        <v>148</v>
      </c>
      <c r="B81" s="88"/>
      <c r="C81" s="5" t="s">
        <v>2</v>
      </c>
      <c r="D81" s="7">
        <v>58144354721</v>
      </c>
      <c r="E81" s="42">
        <v>148857935337</v>
      </c>
      <c r="F81" s="43">
        <v>154684929196</v>
      </c>
      <c r="G81" s="7">
        <f t="shared" si="69"/>
        <v>303542864533</v>
      </c>
      <c r="H81" s="43">
        <v>166371675360</v>
      </c>
      <c r="I81" s="43">
        <v>10078148508</v>
      </c>
      <c r="J81" s="6">
        <f t="shared" si="70"/>
        <v>176449823868</v>
      </c>
      <c r="K81" s="43">
        <v>127093040665</v>
      </c>
      <c r="L81" s="22">
        <f t="shared" si="71"/>
        <v>303542864533</v>
      </c>
      <c r="M81" s="48" t="str">
        <f t="shared" si="53"/>
        <v>OK</v>
      </c>
      <c r="N81" s="43">
        <v>18239010128</v>
      </c>
      <c r="O81" s="43">
        <v>668000089</v>
      </c>
      <c r="P81" s="44">
        <v>965</v>
      </c>
      <c r="Q81" s="45">
        <f t="shared" si="54"/>
        <v>644620085885</v>
      </c>
      <c r="R81" s="66" t="s">
        <v>2</v>
      </c>
      <c r="S81" s="6">
        <v>302591131450</v>
      </c>
      <c r="T81" s="6">
        <f>-14897231307+12098084356</f>
        <v>-2799146951</v>
      </c>
      <c r="U81" s="6">
        <v>12098084356</v>
      </c>
      <c r="V81" s="6">
        <v>397202887</v>
      </c>
      <c r="W81" s="6">
        <f t="shared" si="51"/>
        <v>-14500028420</v>
      </c>
      <c r="X81" s="46"/>
      <c r="Y81" s="17">
        <v>1</v>
      </c>
      <c r="Z81" s="11">
        <v>1</v>
      </c>
      <c r="AA81" s="11"/>
      <c r="AB81" s="28">
        <f t="shared" si="55"/>
        <v>-4.7769294271859296E-2</v>
      </c>
      <c r="AC81" s="28">
        <f t="shared" si="65"/>
        <v>-0.11408986946987999</v>
      </c>
      <c r="AD81" s="28">
        <f t="shared" si="56"/>
        <v>0.89473123964699375</v>
      </c>
      <c r="AE81" s="12">
        <f t="shared" si="57"/>
        <v>0.54524654163463371</v>
      </c>
      <c r="AF81" s="28">
        <f t="shared" si="66"/>
        <v>1.3883515804228634</v>
      </c>
      <c r="AG81" s="28">
        <f t="shared" si="58"/>
        <v>0.58130117517164392</v>
      </c>
      <c r="AH81" s="13"/>
      <c r="AI81" s="14">
        <f t="shared" si="59"/>
        <v>-5.769774904755165E-2</v>
      </c>
      <c r="AJ81" s="14">
        <f t="shared" si="60"/>
        <v>6.0087098921138123E-2</v>
      </c>
      <c r="AK81" s="14">
        <f t="shared" si="61"/>
        <v>-9.221587057585693E-3</v>
      </c>
      <c r="AL81" s="14">
        <f t="shared" si="62"/>
        <v>3.653277015267709</v>
      </c>
      <c r="AM81" s="14">
        <f t="shared" si="63"/>
        <v>0.99686458423437418</v>
      </c>
      <c r="AN81" s="74">
        <f t="shared" si="64"/>
        <v>3.1633155498951542</v>
      </c>
      <c r="AO81" s="15"/>
      <c r="AP81" s="62" t="str">
        <f t="shared" si="67"/>
        <v>S</v>
      </c>
      <c r="AQ81" s="13"/>
      <c r="AR81" s="16">
        <v>1.2</v>
      </c>
      <c r="AS81" s="16">
        <v>1.4</v>
      </c>
      <c r="AT81" s="16">
        <v>3.3</v>
      </c>
      <c r="AU81" s="16">
        <v>0.6</v>
      </c>
      <c r="AV81" s="16">
        <v>0.99</v>
      </c>
      <c r="AX81" s="69">
        <f t="shared" si="68"/>
        <v>1.1516207021977205</v>
      </c>
    </row>
    <row r="82" spans="1:50" x14ac:dyDescent="0.25">
      <c r="A82" s="20" t="s">
        <v>149</v>
      </c>
      <c r="B82" s="88"/>
      <c r="C82" s="5" t="s">
        <v>3</v>
      </c>
      <c r="D82" s="7">
        <v>73497324134</v>
      </c>
      <c r="E82" s="42">
        <v>189670901662</v>
      </c>
      <c r="F82" s="43">
        <v>141284367814</v>
      </c>
      <c r="G82" s="7">
        <f t="shared" si="69"/>
        <v>330955269476</v>
      </c>
      <c r="H82" s="43">
        <v>184166194553</v>
      </c>
      <c r="I82" s="43">
        <v>28638378456</v>
      </c>
      <c r="J82" s="6">
        <f t="shared" si="70"/>
        <v>212804573009</v>
      </c>
      <c r="K82" s="43">
        <v>118150696467</v>
      </c>
      <c r="L82" s="22">
        <f t="shared" si="71"/>
        <v>330955269476</v>
      </c>
      <c r="M82" s="48" t="str">
        <f t="shared" si="53"/>
        <v>OK</v>
      </c>
      <c r="N82" s="43">
        <v>9296665930</v>
      </c>
      <c r="O82" s="43">
        <v>668000089</v>
      </c>
      <c r="P82" s="44">
        <v>640</v>
      </c>
      <c r="Q82" s="45">
        <f t="shared" si="54"/>
        <v>427520056960</v>
      </c>
      <c r="R82" s="66" t="s">
        <v>3</v>
      </c>
      <c r="S82" s="6">
        <v>412833362528</v>
      </c>
      <c r="T82" s="6">
        <f>-9303410092+13740744144</f>
        <v>4437334052</v>
      </c>
      <c r="U82" s="6">
        <v>13740744144</v>
      </c>
      <c r="V82" s="6">
        <v>262083977</v>
      </c>
      <c r="W82" s="6">
        <f t="shared" si="51"/>
        <v>-9041326115</v>
      </c>
      <c r="X82" s="46"/>
      <c r="Y82" s="17">
        <v>1</v>
      </c>
      <c r="Z82" s="11">
        <v>1</v>
      </c>
      <c r="AA82" s="11"/>
      <c r="AB82" s="28">
        <f t="shared" si="55"/>
        <v>-2.7318876443076706E-2</v>
      </c>
      <c r="AC82" s="28">
        <f t="shared" si="65"/>
        <v>-7.6523680226677979E-2</v>
      </c>
      <c r="AD82" s="28">
        <f t="shared" si="56"/>
        <v>1.0298898889796837</v>
      </c>
      <c r="AE82" s="12">
        <f t="shared" si="57"/>
        <v>0.6308083728936863</v>
      </c>
      <c r="AF82" s="28">
        <f t="shared" si="66"/>
        <v>1.8011283841093331</v>
      </c>
      <c r="AG82" s="28">
        <f t="shared" si="58"/>
        <v>0.64300101142348487</v>
      </c>
      <c r="AH82" s="13"/>
      <c r="AI82" s="14">
        <f t="shared" si="59"/>
        <v>1.6632782785769139E-2</v>
      </c>
      <c r="AJ82" s="14">
        <f t="shared" si="60"/>
        <v>2.8090400085544399E-2</v>
      </c>
      <c r="AK82" s="14">
        <f t="shared" si="61"/>
        <v>1.3407654934836394E-2</v>
      </c>
      <c r="AL82" s="14">
        <f t="shared" si="62"/>
        <v>2.0089796516821994</v>
      </c>
      <c r="AM82" s="14">
        <f t="shared" si="63"/>
        <v>1.2473992729640995</v>
      </c>
      <c r="AN82" s="74">
        <f t="shared" si="64"/>
        <v>2.5438442319914234</v>
      </c>
      <c r="AO82" s="15"/>
      <c r="AP82" s="62" t="str">
        <f t="shared" si="67"/>
        <v>GA</v>
      </c>
      <c r="AQ82" s="13"/>
      <c r="AR82" s="16">
        <v>1.2</v>
      </c>
      <c r="AS82" s="16">
        <v>1.4</v>
      </c>
      <c r="AT82" s="16">
        <v>3.3</v>
      </c>
      <c r="AU82" s="16">
        <v>0.6</v>
      </c>
      <c r="AV82" s="16">
        <v>0.99</v>
      </c>
      <c r="AX82" s="69">
        <f t="shared" si="68"/>
        <v>0.93367641404014978</v>
      </c>
    </row>
    <row r="83" spans="1:50" x14ac:dyDescent="0.25">
      <c r="A83" s="20" t="s">
        <v>150</v>
      </c>
      <c r="B83" s="88"/>
      <c r="C83" s="5" t="s">
        <v>4</v>
      </c>
      <c r="D83" s="7">
        <v>50761676844</v>
      </c>
      <c r="E83" s="42">
        <v>146737666960</v>
      </c>
      <c r="F83" s="43">
        <v>131498867811</v>
      </c>
      <c r="G83" s="7">
        <f t="shared" si="69"/>
        <v>278236534771</v>
      </c>
      <c r="H83" s="43">
        <v>94274141595</v>
      </c>
      <c r="I83" s="43">
        <v>62613265286</v>
      </c>
      <c r="J83" s="6">
        <f t="shared" si="70"/>
        <v>156887406881</v>
      </c>
      <c r="K83" s="43">
        <v>121349127890</v>
      </c>
      <c r="L83" s="22">
        <f t="shared" si="71"/>
        <v>278236534771</v>
      </c>
      <c r="M83" s="48" t="str">
        <f t="shared" si="53"/>
        <v>OK</v>
      </c>
      <c r="N83" s="43">
        <v>12495097353</v>
      </c>
      <c r="O83" s="43">
        <v>668000089</v>
      </c>
      <c r="P83" s="44">
        <v>550</v>
      </c>
      <c r="Q83" s="45">
        <f t="shared" si="54"/>
        <v>367400048950</v>
      </c>
      <c r="R83" s="66" t="s">
        <v>4</v>
      </c>
      <c r="S83" s="6">
        <v>388118905159</v>
      </c>
      <c r="T83" s="6">
        <f>2899537143+11877990766</f>
        <v>14777527909</v>
      </c>
      <c r="U83" s="6">
        <v>11877990766</v>
      </c>
      <c r="V83" s="6">
        <v>589200595</v>
      </c>
      <c r="W83" s="6">
        <f t="shared" si="51"/>
        <v>3488737738</v>
      </c>
      <c r="X83" s="46"/>
      <c r="Y83" s="17">
        <v>1</v>
      </c>
      <c r="Z83" s="11">
        <v>1</v>
      </c>
      <c r="AA83" s="11"/>
      <c r="AB83" s="28">
        <f t="shared" si="55"/>
        <v>1.2538747799139223E-2</v>
      </c>
      <c r="AC83" s="28">
        <f t="shared" si="65"/>
        <v>2.8749590529916744E-2</v>
      </c>
      <c r="AD83" s="28">
        <f t="shared" si="56"/>
        <v>1.5564996347607423</v>
      </c>
      <c r="AE83" s="12">
        <f t="shared" si="57"/>
        <v>1.0180521242856935</v>
      </c>
      <c r="AF83" s="28">
        <f t="shared" si="66"/>
        <v>1.2928597807741526</v>
      </c>
      <c r="AG83" s="28">
        <f t="shared" si="58"/>
        <v>0.5638634301211547</v>
      </c>
      <c r="AH83" s="13"/>
      <c r="AI83" s="14">
        <f t="shared" si="59"/>
        <v>0.18855728421208098</v>
      </c>
      <c r="AJ83" s="14">
        <f t="shared" si="60"/>
        <v>4.4908183475200245E-2</v>
      </c>
      <c r="AK83" s="14">
        <f t="shared" si="61"/>
        <v>5.3111385681835446E-2</v>
      </c>
      <c r="AL83" s="14">
        <f t="shared" si="62"/>
        <v>2.3418071357930916</v>
      </c>
      <c r="AM83" s="14">
        <f t="shared" si="63"/>
        <v>1.3949243059630456</v>
      </c>
      <c r="AN83" s="74">
        <f t="shared" si="64"/>
        <v>3.2504671150491045</v>
      </c>
      <c r="AO83" s="15"/>
      <c r="AP83" s="62" t="str">
        <f t="shared" si="67"/>
        <v>S</v>
      </c>
      <c r="AQ83" s="13"/>
      <c r="AR83" s="16">
        <v>1.2</v>
      </c>
      <c r="AS83" s="16">
        <v>1.4</v>
      </c>
      <c r="AT83" s="16">
        <v>3.3</v>
      </c>
      <c r="AU83" s="16">
        <v>0.6</v>
      </c>
      <c r="AV83" s="16">
        <v>0.99</v>
      </c>
      <c r="AX83" s="69">
        <f t="shared" si="68"/>
        <v>1.1787987137212255</v>
      </c>
    </row>
    <row r="84" spans="1:50" x14ac:dyDescent="0.25">
      <c r="A84" s="20" t="s">
        <v>151</v>
      </c>
      <c r="B84" s="88"/>
      <c r="C84" s="5" t="s">
        <v>5</v>
      </c>
      <c r="D84" s="7">
        <v>60130750613</v>
      </c>
      <c r="E84" s="42">
        <v>159992983032</v>
      </c>
      <c r="F84" s="43">
        <v>115789189678</v>
      </c>
      <c r="G84" s="7">
        <f t="shared" si="69"/>
        <v>275782172710</v>
      </c>
      <c r="H84" s="43">
        <v>91457880845</v>
      </c>
      <c r="I84" s="43">
        <v>53027867445</v>
      </c>
      <c r="J84" s="6">
        <f t="shared" si="70"/>
        <v>144485748290</v>
      </c>
      <c r="K84" s="43">
        <v>131296424420</v>
      </c>
      <c r="L84" s="22">
        <f t="shared" si="71"/>
        <v>275782172710</v>
      </c>
      <c r="M84" s="48" t="str">
        <f t="shared" si="53"/>
        <v>OK</v>
      </c>
      <c r="N84" s="43">
        <v>22442393883</v>
      </c>
      <c r="O84" s="43">
        <v>668000089</v>
      </c>
      <c r="P84" s="44">
        <v>430</v>
      </c>
      <c r="Q84" s="45">
        <f t="shared" si="54"/>
        <v>287240038270</v>
      </c>
      <c r="R84" s="66" t="s">
        <v>5</v>
      </c>
      <c r="S84" s="6">
        <v>303203668856</v>
      </c>
      <c r="T84" s="6">
        <f>10102793190+7611925724</f>
        <v>17714718914</v>
      </c>
      <c r="U84" s="6">
        <v>7611925724</v>
      </c>
      <c r="V84" s="6">
        <v>-1767934788</v>
      </c>
      <c r="W84" s="6">
        <f t="shared" si="51"/>
        <v>8334858402</v>
      </c>
      <c r="X84" s="46"/>
      <c r="Y84" s="17">
        <v>1</v>
      </c>
      <c r="Z84" s="11">
        <v>1</v>
      </c>
      <c r="AA84" s="11"/>
      <c r="AB84" s="28">
        <f t="shared" si="55"/>
        <v>3.0222614899638775E-2</v>
      </c>
      <c r="AC84" s="28">
        <f t="shared" si="65"/>
        <v>6.348122912576723E-2</v>
      </c>
      <c r="AD84" s="28">
        <f t="shared" si="56"/>
        <v>1.7493624557423453</v>
      </c>
      <c r="AE84" s="12">
        <f t="shared" si="57"/>
        <v>1.0918931369976026</v>
      </c>
      <c r="AF84" s="28">
        <f t="shared" si="66"/>
        <v>1.1004545548613653</v>
      </c>
      <c r="AG84" s="28">
        <f t="shared" si="58"/>
        <v>0.52391257516828194</v>
      </c>
      <c r="AH84" s="13"/>
      <c r="AI84" s="14">
        <f t="shared" si="59"/>
        <v>0.24851172036804714</v>
      </c>
      <c r="AJ84" s="14">
        <f t="shared" si="60"/>
        <v>8.1377246623549532E-2</v>
      </c>
      <c r="AK84" s="14">
        <f t="shared" si="61"/>
        <v>6.4234459899726704E-2</v>
      </c>
      <c r="AL84" s="14">
        <f t="shared" si="62"/>
        <v>1.9880164076354108</v>
      </c>
      <c r="AM84" s="14">
        <f t="shared" si="63"/>
        <v>1.0994317213347768</v>
      </c>
      <c r="AN84" s="74">
        <f t="shared" si="64"/>
        <v>2.9053631760863996</v>
      </c>
      <c r="AO84" s="15"/>
      <c r="AP84" s="62" t="str">
        <f t="shared" si="67"/>
        <v>GA</v>
      </c>
      <c r="AQ84" s="13"/>
      <c r="AR84" s="16">
        <v>1.2</v>
      </c>
      <c r="AS84" s="16">
        <v>1.4</v>
      </c>
      <c r="AT84" s="16">
        <v>3.3</v>
      </c>
      <c r="AU84" s="16">
        <v>0.6</v>
      </c>
      <c r="AV84" s="16">
        <v>0.99</v>
      </c>
      <c r="AX84" s="69">
        <f t="shared" si="68"/>
        <v>1.0665584000755071</v>
      </c>
    </row>
    <row r="85" spans="1:50" x14ac:dyDescent="0.25">
      <c r="A85" s="20" t="s">
        <v>152</v>
      </c>
      <c r="B85" s="89"/>
      <c r="C85" s="5" t="s">
        <v>131</v>
      </c>
      <c r="D85" s="7">
        <v>61624826883</v>
      </c>
      <c r="E85" s="42">
        <v>147297098469</v>
      </c>
      <c r="F85" s="43">
        <v>110865431062</v>
      </c>
      <c r="G85" s="7">
        <f t="shared" si="69"/>
        <v>258162529531</v>
      </c>
      <c r="H85" s="43">
        <v>83711236334</v>
      </c>
      <c r="I85" s="43">
        <v>52438185599</v>
      </c>
      <c r="J85" s="6">
        <f t="shared" si="70"/>
        <v>136149421933</v>
      </c>
      <c r="K85" s="43">
        <v>122013107598</v>
      </c>
      <c r="L85" s="22">
        <f t="shared" si="71"/>
        <v>258162529531</v>
      </c>
      <c r="M85" s="48" t="str">
        <f t="shared" si="53"/>
        <v>OK</v>
      </c>
      <c r="N85" s="43">
        <v>13159077061</v>
      </c>
      <c r="O85" s="43">
        <v>668000089</v>
      </c>
      <c r="P85" s="44">
        <v>800</v>
      </c>
      <c r="Q85" s="45">
        <f t="shared" si="54"/>
        <v>534400071200</v>
      </c>
      <c r="R85" s="66" t="s">
        <v>131</v>
      </c>
      <c r="S85" s="6">
        <v>339039023365</v>
      </c>
      <c r="T85" s="6">
        <f>-9740156859+6067262265</f>
        <v>-3672894594</v>
      </c>
      <c r="U85" s="6">
        <v>6067262265</v>
      </c>
      <c r="V85" s="6">
        <v>255486360</v>
      </c>
      <c r="W85" s="6">
        <f t="shared" si="51"/>
        <v>-9484670499</v>
      </c>
      <c r="X85" s="46"/>
      <c r="Y85" s="17">
        <v>1</v>
      </c>
      <c r="Z85" s="11">
        <v>1</v>
      </c>
      <c r="AA85" s="11"/>
      <c r="AB85" s="28">
        <f t="shared" si="55"/>
        <v>-3.6739144585508435E-2</v>
      </c>
      <c r="AC85" s="28">
        <f t="shared" si="65"/>
        <v>-7.7734849031543471E-2</v>
      </c>
      <c r="AD85" s="28">
        <f t="shared" si="56"/>
        <v>1.7595857488151097</v>
      </c>
      <c r="AE85" s="12">
        <f t="shared" si="57"/>
        <v>1.0234261890981475</v>
      </c>
      <c r="AF85" s="28">
        <f t="shared" si="66"/>
        <v>1.115858981164346</v>
      </c>
      <c r="AG85" s="28">
        <f t="shared" si="58"/>
        <v>0.52737871053688778</v>
      </c>
      <c r="AH85" s="13"/>
      <c r="AI85" s="14">
        <f t="shared" si="59"/>
        <v>0.24630166992287952</v>
      </c>
      <c r="AJ85" s="14">
        <f t="shared" si="60"/>
        <v>5.0972064322835305E-2</v>
      </c>
      <c r="AK85" s="14">
        <f t="shared" si="61"/>
        <v>-1.4227063085694476E-2</v>
      </c>
      <c r="AL85" s="14">
        <f t="shared" si="62"/>
        <v>3.9250998176325838</v>
      </c>
      <c r="AM85" s="14">
        <f t="shared" si="63"/>
        <v>1.3132774302332997</v>
      </c>
      <c r="AN85" s="74">
        <f t="shared" si="64"/>
        <v>3.9751781322871498</v>
      </c>
      <c r="AO85" s="15"/>
      <c r="AP85" s="62" t="str">
        <f t="shared" si="67"/>
        <v>S</v>
      </c>
      <c r="AQ85" s="13"/>
      <c r="AR85" s="16">
        <v>1.2</v>
      </c>
      <c r="AS85" s="16">
        <v>1.4</v>
      </c>
      <c r="AT85" s="16">
        <v>3.3</v>
      </c>
      <c r="AU85" s="16">
        <v>0.6</v>
      </c>
      <c r="AV85" s="16">
        <v>0.99</v>
      </c>
      <c r="AX85" s="69">
        <f t="shared" si="68"/>
        <v>1.3800695602562159</v>
      </c>
    </row>
    <row r="86" spans="1:50" x14ac:dyDescent="0.25">
      <c r="A86" s="20" t="s">
        <v>153</v>
      </c>
      <c r="B86" s="87" t="s">
        <v>128</v>
      </c>
      <c r="C86" s="5" t="s">
        <v>1</v>
      </c>
      <c r="D86" s="7">
        <v>31094278</v>
      </c>
      <c r="E86" s="42">
        <v>75443527</v>
      </c>
      <c r="F86" s="43">
        <v>85037117</v>
      </c>
      <c r="G86" s="7">
        <f t="shared" si="69"/>
        <v>160480644</v>
      </c>
      <c r="H86" s="43">
        <v>29107676</v>
      </c>
      <c r="I86" s="43">
        <v>12895349</v>
      </c>
      <c r="J86" s="6">
        <f t="shared" si="70"/>
        <v>42003025</v>
      </c>
      <c r="K86" s="43">
        <v>118477619</v>
      </c>
      <c r="L86" s="22">
        <f t="shared" si="71"/>
        <v>160480644</v>
      </c>
      <c r="M86" s="48" t="str">
        <f t="shared" si="53"/>
        <v>OK</v>
      </c>
      <c r="N86" s="43">
        <v>66970535</v>
      </c>
      <c r="O86" s="43">
        <v>800371500</v>
      </c>
      <c r="P86" s="44">
        <v>5200</v>
      </c>
      <c r="Q86" s="45">
        <f t="shared" si="54"/>
        <v>4161931800000</v>
      </c>
      <c r="R86" s="66" t="s">
        <v>1</v>
      </c>
      <c r="S86" s="6">
        <v>98485071</v>
      </c>
      <c r="T86" s="6">
        <f>423597-636453+134093</f>
        <v>-78763</v>
      </c>
      <c r="U86" s="6">
        <v>721054</v>
      </c>
      <c r="V86" s="6">
        <f>-191561+57857</f>
        <v>-133704</v>
      </c>
      <c r="W86" s="6">
        <f t="shared" si="51"/>
        <v>-933521</v>
      </c>
      <c r="X86" s="46"/>
      <c r="Y86" s="10">
        <v>13369</v>
      </c>
      <c r="Z86" s="11">
        <v>1</v>
      </c>
      <c r="AA86" s="11"/>
      <c r="AB86" s="28">
        <f t="shared" si="55"/>
        <v>-5.8170317412235707E-3</v>
      </c>
      <c r="AC86" s="28">
        <f t="shared" si="65"/>
        <v>-7.8793025035386634E-3</v>
      </c>
      <c r="AD86" s="28">
        <f t="shared" si="56"/>
        <v>2.5918773796987433</v>
      </c>
      <c r="AE86" s="12">
        <f t="shared" si="57"/>
        <v>1.523627272751009</v>
      </c>
      <c r="AF86" s="28">
        <f t="shared" si="66"/>
        <v>0.35452286562240926</v>
      </c>
      <c r="AG86" s="28">
        <f t="shared" si="58"/>
        <v>0.26173265481162949</v>
      </c>
      <c r="AH86" s="13"/>
      <c r="AI86" s="14">
        <f t="shared" si="59"/>
        <v>0.28873171147044996</v>
      </c>
      <c r="AJ86" s="14">
        <f t="shared" si="60"/>
        <v>0.41731222738612639</v>
      </c>
      <c r="AK86" s="14">
        <f t="shared" si="61"/>
        <v>-4.9079439137843933E-4</v>
      </c>
      <c r="AL86" s="14">
        <f t="shared" si="62"/>
        <v>7.4116596379772632</v>
      </c>
      <c r="AM86" s="14">
        <f t="shared" si="63"/>
        <v>0.61368815917762642</v>
      </c>
      <c r="AN86" s="74">
        <f t="shared" si="64"/>
        <v>5.9836426109857763</v>
      </c>
      <c r="AO86" s="15"/>
      <c r="AP86" s="62" t="str">
        <f t="shared" si="67"/>
        <v>S</v>
      </c>
      <c r="AQ86" s="13"/>
      <c r="AR86" s="16">
        <v>1.2</v>
      </c>
      <c r="AS86" s="16">
        <v>1.4</v>
      </c>
      <c r="AT86" s="16">
        <v>3.3</v>
      </c>
      <c r="AU86" s="16">
        <v>0.6</v>
      </c>
      <c r="AV86" s="16">
        <v>0.99</v>
      </c>
      <c r="AX86" s="69">
        <f t="shared" si="68"/>
        <v>1.7890295147886506</v>
      </c>
    </row>
    <row r="87" spans="1:50" x14ac:dyDescent="0.25">
      <c r="A87" s="20" t="s">
        <v>154</v>
      </c>
      <c r="B87" s="88"/>
      <c r="C87" s="5" t="s">
        <v>2</v>
      </c>
      <c r="D87" s="7">
        <v>28420892</v>
      </c>
      <c r="E87" s="42">
        <v>82859435</v>
      </c>
      <c r="F87" s="43">
        <v>66591517</v>
      </c>
      <c r="G87" s="7">
        <f t="shared" si="69"/>
        <v>149450952</v>
      </c>
      <c r="H87" s="43">
        <v>33583628</v>
      </c>
      <c r="I87" s="43">
        <v>10567585</v>
      </c>
      <c r="J87" s="6">
        <f t="shared" si="70"/>
        <v>44151213</v>
      </c>
      <c r="K87" s="43">
        <v>105299739</v>
      </c>
      <c r="L87" s="22">
        <f t="shared" si="71"/>
        <v>149450952</v>
      </c>
      <c r="M87" s="48" t="str">
        <f t="shared" si="53"/>
        <v>OK</v>
      </c>
      <c r="N87" s="43">
        <v>53705993</v>
      </c>
      <c r="O87" s="43">
        <v>800371500</v>
      </c>
      <c r="P87" s="44">
        <v>4850</v>
      </c>
      <c r="Q87" s="45">
        <f t="shared" si="54"/>
        <v>3881801775000</v>
      </c>
      <c r="R87" s="66" t="s">
        <v>2</v>
      </c>
      <c r="S87" s="6">
        <v>49681160</v>
      </c>
      <c r="T87" s="6">
        <f>-14793195-681260+249630</f>
        <v>-15224825</v>
      </c>
      <c r="U87" s="6">
        <v>365561</v>
      </c>
      <c r="V87" s="6">
        <f>-163551+3639374</f>
        <v>3475823</v>
      </c>
      <c r="W87" s="6">
        <f t="shared" si="51"/>
        <v>-12114563</v>
      </c>
      <c r="X87" s="46"/>
      <c r="Y87" s="10">
        <v>13480</v>
      </c>
      <c r="Z87" s="11">
        <v>1</v>
      </c>
      <c r="AA87" s="11"/>
      <c r="AB87" s="28">
        <f t="shared" si="55"/>
        <v>-8.1060460558324179E-2</v>
      </c>
      <c r="AC87" s="28">
        <f t="shared" si="65"/>
        <v>-0.11504836683403365</v>
      </c>
      <c r="AD87" s="28">
        <f t="shared" si="56"/>
        <v>2.4672568133496475</v>
      </c>
      <c r="AE87" s="12">
        <f t="shared" si="57"/>
        <v>1.6209845761750339</v>
      </c>
      <c r="AF87" s="28">
        <f t="shared" si="66"/>
        <v>0.4192908113475951</v>
      </c>
      <c r="AG87" s="28">
        <f t="shared" si="58"/>
        <v>0.29542276184363148</v>
      </c>
      <c r="AH87" s="13"/>
      <c r="AI87" s="14">
        <f t="shared" si="59"/>
        <v>0.32971223227805202</v>
      </c>
      <c r="AJ87" s="14">
        <f t="shared" si="60"/>
        <v>0.35935530875708305</v>
      </c>
      <c r="AK87" s="14">
        <f t="shared" si="61"/>
        <v>-0.10187171641435915</v>
      </c>
      <c r="AL87" s="14">
        <f t="shared" si="62"/>
        <v>6.5223007740920496</v>
      </c>
      <c r="AM87" s="14">
        <f t="shared" si="63"/>
        <v>0.3324245134283253</v>
      </c>
      <c r="AN87" s="74">
        <f t="shared" si="64"/>
        <v>4.8050561795754643</v>
      </c>
      <c r="AO87" s="15"/>
      <c r="AP87" s="62" t="str">
        <f t="shared" si="67"/>
        <v>S</v>
      </c>
      <c r="AQ87" s="13"/>
      <c r="AR87" s="16">
        <v>1.2</v>
      </c>
      <c r="AS87" s="16">
        <v>1.4</v>
      </c>
      <c r="AT87" s="16">
        <v>3.3</v>
      </c>
      <c r="AU87" s="16">
        <v>0.6</v>
      </c>
      <c r="AV87" s="16">
        <v>0.99</v>
      </c>
      <c r="AX87" s="69">
        <f t="shared" si="68"/>
        <v>1.5696687342530662</v>
      </c>
    </row>
    <row r="88" spans="1:50" x14ac:dyDescent="0.25">
      <c r="A88" s="20" t="s">
        <v>155</v>
      </c>
      <c r="B88" s="88"/>
      <c r="C88" s="5" t="s">
        <v>3</v>
      </c>
      <c r="D88" s="7">
        <v>52416026</v>
      </c>
      <c r="E88" s="42">
        <v>90203603</v>
      </c>
      <c r="F88" s="43">
        <v>65449714</v>
      </c>
      <c r="G88" s="7">
        <f t="shared" si="69"/>
        <v>155653317</v>
      </c>
      <c r="H88" s="43">
        <v>49362169</v>
      </c>
      <c r="I88" s="43">
        <v>7554895</v>
      </c>
      <c r="J88" s="6">
        <f t="shared" si="70"/>
        <v>56917064</v>
      </c>
      <c r="K88" s="43">
        <v>98736253</v>
      </c>
      <c r="L88" s="22">
        <f t="shared" si="71"/>
        <v>155653317</v>
      </c>
      <c r="M88" s="48" t="str">
        <f t="shared" si="53"/>
        <v>OK</v>
      </c>
      <c r="N88" s="43">
        <v>48451469</v>
      </c>
      <c r="O88" s="43">
        <v>800371500</v>
      </c>
      <c r="P88" s="44">
        <v>4300</v>
      </c>
      <c r="Q88" s="45">
        <f t="shared" si="54"/>
        <v>3441597450000</v>
      </c>
      <c r="R88" s="66" t="s">
        <v>3</v>
      </c>
      <c r="S88" s="6">
        <v>85593299</v>
      </c>
      <c r="T88" s="6">
        <f>-7269324+162309+288554-103422</f>
        <v>-6921883</v>
      </c>
      <c r="U88" s="6">
        <v>531489</v>
      </c>
      <c r="V88" s="6">
        <v>1658618</v>
      </c>
      <c r="W88" s="6">
        <f t="shared" si="51"/>
        <v>-5794754</v>
      </c>
      <c r="X88" s="46"/>
      <c r="Y88" s="10">
        <v>14409</v>
      </c>
      <c r="Z88" s="11">
        <v>1</v>
      </c>
      <c r="AA88" s="11"/>
      <c r="AB88" s="28">
        <f t="shared" si="55"/>
        <v>-3.7228593079066861E-2</v>
      </c>
      <c r="AC88" s="28">
        <f t="shared" si="65"/>
        <v>-5.8689223298761396E-2</v>
      </c>
      <c r="AD88" s="28">
        <f t="shared" si="56"/>
        <v>1.8273832942794714</v>
      </c>
      <c r="AE88" s="12">
        <f t="shared" si="57"/>
        <v>0.76551694881965171</v>
      </c>
      <c r="AF88" s="28">
        <f t="shared" si="66"/>
        <v>0.57645558009984443</v>
      </c>
      <c r="AG88" s="28">
        <f t="shared" si="58"/>
        <v>0.36566560287308236</v>
      </c>
      <c r="AH88" s="13"/>
      <c r="AI88" s="14">
        <f t="shared" si="59"/>
        <v>0.26238717418402335</v>
      </c>
      <c r="AJ88" s="14">
        <f t="shared" si="60"/>
        <v>0.31127810144900414</v>
      </c>
      <c r="AK88" s="14">
        <f t="shared" si="61"/>
        <v>-4.4469871464416014E-2</v>
      </c>
      <c r="AL88" s="14">
        <f t="shared" si="62"/>
        <v>4.1964663062791931</v>
      </c>
      <c r="AM88" s="14">
        <f t="shared" si="63"/>
        <v>0.54989704459687161</v>
      </c>
      <c r="AN88" s="74">
        <f t="shared" si="64"/>
        <v>3.6661812331352799</v>
      </c>
      <c r="AO88" s="15"/>
      <c r="AP88" s="62" t="str">
        <f t="shared" si="67"/>
        <v>S</v>
      </c>
      <c r="AQ88" s="13"/>
      <c r="AR88" s="16">
        <v>1.2</v>
      </c>
      <c r="AS88" s="16">
        <v>1.4</v>
      </c>
      <c r="AT88" s="16">
        <v>3.3</v>
      </c>
      <c r="AU88" s="16">
        <v>0.6</v>
      </c>
      <c r="AV88" s="16">
        <v>0.99</v>
      </c>
      <c r="AX88" s="69">
        <f t="shared" si="68"/>
        <v>1.2991505844026983</v>
      </c>
    </row>
    <row r="89" spans="1:50" x14ac:dyDescent="0.25">
      <c r="A89" s="20" t="s">
        <v>156</v>
      </c>
      <c r="B89" s="88"/>
      <c r="C89" s="5" t="s">
        <v>4</v>
      </c>
      <c r="D89" s="7">
        <v>64719676</v>
      </c>
      <c r="E89" s="42">
        <v>108804252</v>
      </c>
      <c r="F89" s="43">
        <v>63517624</v>
      </c>
      <c r="G89" s="7">
        <f t="shared" si="69"/>
        <v>172321876</v>
      </c>
      <c r="H89" s="43">
        <v>61320550</v>
      </c>
      <c r="I89" s="43">
        <v>9551203</v>
      </c>
      <c r="J89" s="6">
        <f t="shared" si="70"/>
        <v>70871753</v>
      </c>
      <c r="K89" s="43">
        <v>101450123</v>
      </c>
      <c r="L89" s="22">
        <f t="shared" si="71"/>
        <v>172321876</v>
      </c>
      <c r="M89" s="48" t="str">
        <f t="shared" si="53"/>
        <v>OK</v>
      </c>
      <c r="N89" s="43">
        <v>49207907</v>
      </c>
      <c r="O89" s="43">
        <v>800371500</v>
      </c>
      <c r="P89" s="44">
        <v>3150</v>
      </c>
      <c r="Q89" s="45">
        <f t="shared" si="54"/>
        <v>2521170225000</v>
      </c>
      <c r="R89" s="66" t="s">
        <v>4</v>
      </c>
      <c r="S89" s="6">
        <v>143559113</v>
      </c>
      <c r="T89" s="6">
        <f>3878055+179761+90453-173575</f>
        <v>3974694</v>
      </c>
      <c r="U89" s="6">
        <v>562641</v>
      </c>
      <c r="V89" s="6">
        <v>-1766812</v>
      </c>
      <c r="W89" s="6">
        <f t="shared" si="51"/>
        <v>1645241</v>
      </c>
      <c r="X89" s="46"/>
      <c r="Y89" s="10">
        <v>13831</v>
      </c>
      <c r="Z89" s="11">
        <v>1</v>
      </c>
      <c r="AA89" s="11"/>
      <c r="AB89" s="28">
        <f t="shared" si="55"/>
        <v>9.5474877490307735E-3</v>
      </c>
      <c r="AC89" s="28">
        <f t="shared" si="65"/>
        <v>1.6217240071754273E-2</v>
      </c>
      <c r="AD89" s="28">
        <f t="shared" si="56"/>
        <v>1.7743521869911474</v>
      </c>
      <c r="AE89" s="12">
        <f t="shared" si="57"/>
        <v>0.71892010101018333</v>
      </c>
      <c r="AF89" s="28">
        <f t="shared" si="66"/>
        <v>0.69858715696185014</v>
      </c>
      <c r="AG89" s="28">
        <f t="shared" si="58"/>
        <v>0.41127542622620938</v>
      </c>
      <c r="AH89" s="13"/>
      <c r="AI89" s="14">
        <f t="shared" si="59"/>
        <v>0.27555237386111092</v>
      </c>
      <c r="AJ89" s="14">
        <f t="shared" si="60"/>
        <v>0.28555809710428176</v>
      </c>
      <c r="AK89" s="14">
        <f t="shared" si="61"/>
        <v>2.3065521872568287E-2</v>
      </c>
      <c r="AL89" s="14">
        <f t="shared" si="62"/>
        <v>2.5720263470638125</v>
      </c>
      <c r="AM89" s="14">
        <f t="shared" si="63"/>
        <v>0.83308699006967635</v>
      </c>
      <c r="AN89" s="74">
        <f t="shared" si="64"/>
        <v>3.1745323351660697</v>
      </c>
      <c r="AO89" s="15"/>
      <c r="AP89" s="62" t="str">
        <f t="shared" si="67"/>
        <v>S</v>
      </c>
      <c r="AQ89" s="13"/>
      <c r="AR89" s="16">
        <v>1.2</v>
      </c>
      <c r="AS89" s="16">
        <v>1.4</v>
      </c>
      <c r="AT89" s="16">
        <v>3.3</v>
      </c>
      <c r="AU89" s="16">
        <v>0.6</v>
      </c>
      <c r="AV89" s="16">
        <v>0.99</v>
      </c>
      <c r="AX89" s="69">
        <f t="shared" si="68"/>
        <v>1.1551603254848455</v>
      </c>
    </row>
    <row r="90" spans="1:50" x14ac:dyDescent="0.25">
      <c r="A90" s="20" t="s">
        <v>157</v>
      </c>
      <c r="B90" s="88"/>
      <c r="C90" s="5" t="s">
        <v>5</v>
      </c>
      <c r="D90" s="7">
        <v>36693475</v>
      </c>
      <c r="E90" s="42">
        <v>76157309</v>
      </c>
      <c r="F90" s="43">
        <v>54287389</v>
      </c>
      <c r="G90" s="7">
        <f t="shared" ref="G90:G91" si="72">E90+F90</f>
        <v>130444698</v>
      </c>
      <c r="H90" s="43">
        <v>22765298</v>
      </c>
      <c r="I90" s="43">
        <v>8333860</v>
      </c>
      <c r="J90" s="6">
        <f t="shared" ref="J90:J91" si="73">H90+I90</f>
        <v>31099158</v>
      </c>
      <c r="K90" s="43">
        <v>99345540</v>
      </c>
      <c r="L90" s="22">
        <f t="shared" ref="L90:L91" si="74">J90+K90</f>
        <v>130444698</v>
      </c>
      <c r="M90" s="48" t="str">
        <f t="shared" si="53"/>
        <v>OK</v>
      </c>
      <c r="N90" s="43">
        <v>46686454</v>
      </c>
      <c r="O90" s="43">
        <v>800371500</v>
      </c>
      <c r="P90" s="44">
        <v>3220</v>
      </c>
      <c r="Q90" s="45">
        <f t="shared" ref="Q90" si="75">O90*P90</f>
        <v>2577196230000</v>
      </c>
      <c r="R90" s="66" t="s">
        <v>5</v>
      </c>
      <c r="S90" s="6">
        <v>126194837</v>
      </c>
      <c r="T90" s="6">
        <f>1853192+407976+41565-168403</f>
        <v>2134330</v>
      </c>
      <c r="U90" s="6">
        <v>505744</v>
      </c>
      <c r="V90" s="6">
        <v>-4685823</v>
      </c>
      <c r="W90" s="6">
        <f t="shared" si="51"/>
        <v>-3057237</v>
      </c>
      <c r="X90" s="46"/>
      <c r="Y90" s="10">
        <v>14034</v>
      </c>
      <c r="Z90" s="11">
        <v>1</v>
      </c>
      <c r="AA90" s="11"/>
      <c r="AB90" s="28">
        <f t="shared" si="55"/>
        <v>-2.3437035363445741E-2</v>
      </c>
      <c r="AC90" s="28">
        <f t="shared" si="65"/>
        <v>-3.077377202841718E-2</v>
      </c>
      <c r="AD90" s="28">
        <f t="shared" si="56"/>
        <v>3.3453244934461215</v>
      </c>
      <c r="AE90" s="12">
        <f t="shared" si="57"/>
        <v>1.7335083423902469</v>
      </c>
      <c r="AF90" s="28">
        <f t="shared" si="66"/>
        <v>0.31304030357074913</v>
      </c>
      <c r="AG90" s="28">
        <f t="shared" si="58"/>
        <v>0.23840875464328953</v>
      </c>
      <c r="AH90" s="13"/>
      <c r="AI90" s="14">
        <f t="shared" si="59"/>
        <v>0.40930763625210737</v>
      </c>
      <c r="AJ90" s="14">
        <f t="shared" si="60"/>
        <v>0.35790227365162824</v>
      </c>
      <c r="AK90" s="14">
        <f t="shared" si="61"/>
        <v>1.6361952863733872E-2</v>
      </c>
      <c r="AL90" s="14">
        <f t="shared" si="62"/>
        <v>5.9049657693599631</v>
      </c>
      <c r="AM90" s="14">
        <f t="shared" si="63"/>
        <v>0.96742020898388681</v>
      </c>
      <c r="AN90" s="74">
        <f t="shared" si="64"/>
        <v>5.5469522595751561</v>
      </c>
      <c r="AO90" s="15"/>
      <c r="AP90" s="62" t="str">
        <f t="shared" si="67"/>
        <v>S</v>
      </c>
      <c r="AQ90" s="13"/>
      <c r="AR90" s="16">
        <v>1.2</v>
      </c>
      <c r="AS90" s="16">
        <v>1.4</v>
      </c>
      <c r="AT90" s="16">
        <v>3.3</v>
      </c>
      <c r="AU90" s="16">
        <v>0.6</v>
      </c>
      <c r="AV90" s="16">
        <v>0.99</v>
      </c>
      <c r="AX90" s="69">
        <f t="shared" si="68"/>
        <v>1.7132486345055322</v>
      </c>
    </row>
    <row r="91" spans="1:50" x14ac:dyDescent="0.25">
      <c r="A91" s="20" t="s">
        <v>158</v>
      </c>
      <c r="B91" s="89"/>
      <c r="C91" s="5" t="s">
        <v>131</v>
      </c>
      <c r="D91" s="7">
        <v>57060989</v>
      </c>
      <c r="E91" s="42">
        <v>85141198</v>
      </c>
      <c r="F91" s="43">
        <v>51678609</v>
      </c>
      <c r="G91" s="7">
        <f t="shared" si="72"/>
        <v>136819807</v>
      </c>
      <c r="H91" s="43">
        <v>39174285</v>
      </c>
      <c r="I91" s="43">
        <v>8129978</v>
      </c>
      <c r="J91" s="6">
        <f t="shared" si="73"/>
        <v>47304263</v>
      </c>
      <c r="K91" s="43">
        <v>89515544</v>
      </c>
      <c r="L91" s="22">
        <f t="shared" si="74"/>
        <v>136819807</v>
      </c>
      <c r="M91" s="48" t="str">
        <f t="shared" si="53"/>
        <v>OK</v>
      </c>
      <c r="N91" s="43">
        <v>36991162</v>
      </c>
      <c r="O91" s="43">
        <v>800371500</v>
      </c>
      <c r="P91" s="44">
        <v>2400</v>
      </c>
      <c r="Q91" s="45">
        <f t="shared" si="54"/>
        <v>1920891600000</v>
      </c>
      <c r="R91" s="66" t="s">
        <v>131</v>
      </c>
      <c r="S91" s="6">
        <v>93780519</v>
      </c>
      <c r="T91" s="6">
        <f>-14275620+278297+36102-135774</f>
        <v>-14096995</v>
      </c>
      <c r="U91" s="6">
        <v>281660</v>
      </c>
      <c r="V91" s="6">
        <v>-1638733</v>
      </c>
      <c r="W91" s="6">
        <f t="shared" si="51"/>
        <v>-16017388</v>
      </c>
      <c r="X91" s="46"/>
      <c r="Y91" s="10">
        <v>14197</v>
      </c>
      <c r="Z91" s="11">
        <v>1</v>
      </c>
      <c r="AA91" s="11"/>
      <c r="AB91" s="28">
        <f t="shared" si="55"/>
        <v>-0.11706921937113973</v>
      </c>
      <c r="AC91" s="28">
        <f t="shared" si="65"/>
        <v>-0.17893415248641062</v>
      </c>
      <c r="AD91" s="28">
        <f t="shared" si="56"/>
        <v>2.1733950728137095</v>
      </c>
      <c r="AE91" s="12">
        <f t="shared" si="57"/>
        <v>0.71680208075271823</v>
      </c>
      <c r="AF91" s="28">
        <f t="shared" si="66"/>
        <v>0.52844747276517701</v>
      </c>
      <c r="AG91" s="28">
        <f t="shared" si="58"/>
        <v>0.34574133699808535</v>
      </c>
      <c r="AH91" s="13"/>
      <c r="AI91" s="14">
        <f t="shared" si="59"/>
        <v>0.33596680194118383</v>
      </c>
      <c r="AJ91" s="14">
        <f t="shared" si="60"/>
        <v>0.27036408551577623</v>
      </c>
      <c r="AK91" s="14">
        <f t="shared" si="61"/>
        <v>-0.10303329107897367</v>
      </c>
      <c r="AL91" s="14">
        <f t="shared" si="62"/>
        <v>2.8602631733870019</v>
      </c>
      <c r="AM91" s="14">
        <f t="shared" si="63"/>
        <v>0.68543086747666582</v>
      </c>
      <c r="AN91" s="74">
        <f>(AI91*AR91)+(AJ91*AS91)+(AK91*AT91)+(AL91*AU91)+(AM91*AV91)</f>
        <v>2.8363944843249942</v>
      </c>
      <c r="AO91" s="15"/>
      <c r="AP91" s="62" t="str">
        <f t="shared" si="67"/>
        <v>GA</v>
      </c>
      <c r="AQ91" s="13"/>
      <c r="AR91" s="16">
        <v>1.2</v>
      </c>
      <c r="AS91" s="16">
        <v>1.4</v>
      </c>
      <c r="AT91" s="16">
        <v>3.3</v>
      </c>
      <c r="AU91" s="16">
        <v>0.6</v>
      </c>
      <c r="AV91" s="16">
        <v>0.99</v>
      </c>
      <c r="AX91" s="69">
        <f t="shared" si="68"/>
        <v>1.0425336978417361</v>
      </c>
    </row>
    <row r="92" spans="1:50" x14ac:dyDescent="0.25">
      <c r="A92" s="49"/>
      <c r="B92" s="50"/>
      <c r="C92" s="51"/>
      <c r="D92" s="52"/>
      <c r="E92" s="53"/>
      <c r="F92" s="53"/>
      <c r="G92" s="52"/>
      <c r="H92" s="53"/>
      <c r="I92" s="53"/>
      <c r="J92" s="53"/>
      <c r="K92" s="53"/>
      <c r="L92" s="53"/>
      <c r="M92" s="54"/>
      <c r="N92" s="53"/>
      <c r="O92" s="53"/>
      <c r="P92" s="55"/>
      <c r="Q92" s="56"/>
      <c r="R92" s="51"/>
      <c r="S92" s="53"/>
      <c r="T92" s="53"/>
      <c r="U92" s="53"/>
      <c r="V92" s="53"/>
      <c r="W92" s="53"/>
      <c r="X92" s="53"/>
      <c r="Y92" s="57"/>
      <c r="Z92" s="58"/>
      <c r="AA92" s="58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72"/>
      <c r="AO92" s="59"/>
      <c r="AP92" s="63"/>
      <c r="AQ92" s="59"/>
      <c r="AR92" s="60"/>
      <c r="AS92" s="60"/>
      <c r="AT92" s="60"/>
      <c r="AU92" s="60"/>
      <c r="AV92" s="60"/>
    </row>
  </sheetData>
  <mergeCells count="15">
    <mergeCell ref="B86:B91"/>
    <mergeCell ref="B2:B7"/>
    <mergeCell ref="B8:B13"/>
    <mergeCell ref="B14:B19"/>
    <mergeCell ref="B20:B25"/>
    <mergeCell ref="B26:B31"/>
    <mergeCell ref="B32:B37"/>
    <mergeCell ref="B38:B43"/>
    <mergeCell ref="B44:B49"/>
    <mergeCell ref="B50:B55"/>
    <mergeCell ref="B56:B61"/>
    <mergeCell ref="B62:B67"/>
    <mergeCell ref="B68:B73"/>
    <mergeCell ref="B74:B79"/>
    <mergeCell ref="B80:B85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F4E2-1FB5-44C0-831B-AAEB3114E23B}">
  <dimension ref="A1:T6"/>
  <sheetViews>
    <sheetView workbookViewId="0">
      <selection activeCell="L9" sqref="L9"/>
    </sheetView>
  </sheetViews>
  <sheetFormatPr defaultRowHeight="15" x14ac:dyDescent="0.25"/>
  <cols>
    <col min="1" max="1" width="11.28515625" bestFit="1" customWidth="1"/>
    <col min="2" max="2" width="14.85546875" bestFit="1" customWidth="1"/>
    <col min="3" max="3" width="10.140625" bestFit="1" customWidth="1"/>
    <col min="4" max="5" width="10.5703125" style="69" bestFit="1" customWidth="1"/>
    <col min="6" max="6" width="10.5703125" style="69" customWidth="1"/>
    <col min="7" max="7" width="10.5703125" style="69" bestFit="1" customWidth="1"/>
  </cols>
  <sheetData>
    <row r="1" spans="1:20" x14ac:dyDescent="0.25">
      <c r="B1" s="68" t="s">
        <v>4</v>
      </c>
    </row>
    <row r="2" spans="1:20" x14ac:dyDescent="0.25">
      <c r="B2" t="s">
        <v>138</v>
      </c>
      <c r="C2" t="s">
        <v>139</v>
      </c>
      <c r="D2" s="69" t="s">
        <v>140</v>
      </c>
      <c r="E2" s="69" t="s">
        <v>141</v>
      </c>
      <c r="F2" s="69" t="s">
        <v>144</v>
      </c>
      <c r="G2" s="69" t="s">
        <v>143</v>
      </c>
      <c r="R2" t="s">
        <v>160</v>
      </c>
      <c r="S2" t="s">
        <v>159</v>
      </c>
    </row>
    <row r="3" spans="1:20" x14ac:dyDescent="0.25">
      <c r="A3" s="68" t="s">
        <v>142</v>
      </c>
      <c r="B3" s="67">
        <v>796506004780</v>
      </c>
      <c r="C3" s="67">
        <v>57298468</v>
      </c>
      <c r="D3" s="69">
        <v>14014.73</v>
      </c>
      <c r="E3" s="69">
        <v>13875.28</v>
      </c>
      <c r="F3" s="69">
        <f>(D3+E3)/2</f>
        <v>13945.005000000001</v>
      </c>
      <c r="G3" s="69">
        <f>B3/C3</f>
        <v>13901.000019407151</v>
      </c>
      <c r="H3" s="70">
        <f>D3-G3</f>
        <v>113.72998059284873</v>
      </c>
      <c r="I3" s="70">
        <f>E3-G3</f>
        <v>-25.720019407150176</v>
      </c>
      <c r="J3" s="70">
        <f>D3-E3</f>
        <v>139.44999999999891</v>
      </c>
      <c r="K3" s="70">
        <f>F3-G3</f>
        <v>44.004980592850188</v>
      </c>
      <c r="Q3" s="75">
        <v>1</v>
      </c>
      <c r="R3" s="75">
        <v>0.4</v>
      </c>
      <c r="S3">
        <v>30</v>
      </c>
      <c r="T3">
        <f>$R$3*S3</f>
        <v>12</v>
      </c>
    </row>
    <row r="4" spans="1:20" x14ac:dyDescent="0.25">
      <c r="S4">
        <v>30</v>
      </c>
      <c r="T4">
        <f t="shared" ref="T4:T5" si="0">$R$3*S4</f>
        <v>12</v>
      </c>
    </row>
    <row r="5" spans="1:20" x14ac:dyDescent="0.25">
      <c r="S5">
        <v>40</v>
      </c>
      <c r="T5">
        <f t="shared" si="0"/>
        <v>16</v>
      </c>
    </row>
    <row r="6" spans="1:20" x14ac:dyDescent="0.25">
      <c r="S6">
        <f>SUM(S3:S5)</f>
        <v>100</v>
      </c>
      <c r="T6">
        <f>SUM(T3:T5)</f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753C-DDA0-4FF6-A3BB-0EC7E31CCB3F}">
  <dimension ref="A1:G91"/>
  <sheetViews>
    <sheetView tabSelected="1" workbookViewId="0">
      <selection activeCell="N6" sqref="N6"/>
    </sheetView>
  </sheetViews>
  <sheetFormatPr defaultRowHeight="15" x14ac:dyDescent="0.25"/>
  <sheetData>
    <row r="1" spans="1:7" x14ac:dyDescent="0.25">
      <c r="B1" t="s">
        <v>146</v>
      </c>
      <c r="C1" t="s">
        <v>132</v>
      </c>
      <c r="D1" t="s">
        <v>145</v>
      </c>
      <c r="E1" t="s">
        <v>102</v>
      </c>
      <c r="F1" t="s">
        <v>175</v>
      </c>
    </row>
    <row r="2" spans="1:7" x14ac:dyDescent="0.25">
      <c r="A2" t="str">
        <f>LK_HOD!B2</f>
        <v>FPNI</v>
      </c>
      <c r="B2">
        <f>LK_HOD!AC2</f>
        <v>2.2145307522666014E-2</v>
      </c>
      <c r="C2">
        <f>LK_HOD!AE2</f>
        <v>0.40647741728457315</v>
      </c>
      <c r="D2">
        <f>LK_HOD!AF2</f>
        <v>1.0900616678918567</v>
      </c>
      <c r="E2">
        <f>LK_HOD!AN2</f>
        <v>1.7477761102935601</v>
      </c>
      <c r="F2">
        <f>LN(E2)</f>
        <v>0.55834418567388322</v>
      </c>
      <c r="G2">
        <f>IF(ISNUMBER(F2),1,0)</f>
        <v>1</v>
      </c>
    </row>
    <row r="3" spans="1:7" x14ac:dyDescent="0.25">
      <c r="B3">
        <f>LK_HOD!AC3</f>
        <v>-1.8206085378824215E-2</v>
      </c>
      <c r="C3">
        <f>LK_HOD!AE3</f>
        <v>0.47918473547267998</v>
      </c>
      <c r="D3">
        <f>LK_HOD!AF3</f>
        <v>1.0005526474943172</v>
      </c>
      <c r="E3">
        <f>LK_HOD!AN3</f>
        <v>1.911722732678395</v>
      </c>
      <c r="F3">
        <f t="shared" ref="F3:F66" si="0">LN(E3)</f>
        <v>0.6480047898240785</v>
      </c>
      <c r="G3">
        <f t="shared" ref="G3:G66" si="1">IF(ISNUMBER(F3),1,0)</f>
        <v>1</v>
      </c>
    </row>
    <row r="4" spans="1:7" x14ac:dyDescent="0.25">
      <c r="B4">
        <f>LK_HOD!AC4</f>
        <v>5.9735700004876387E-2</v>
      </c>
      <c r="C4">
        <f>LK_HOD!AE4</f>
        <v>0.42091440548491776</v>
      </c>
      <c r="D4">
        <f>LK_HOD!AF4</f>
        <v>0.90984541863753843</v>
      </c>
      <c r="E4">
        <f>LK_HOD!AN4</f>
        <v>2.0491978095072181</v>
      </c>
      <c r="F4">
        <f t="shared" si="0"/>
        <v>0.71744840413212319</v>
      </c>
      <c r="G4">
        <f t="shared" si="1"/>
        <v>1</v>
      </c>
    </row>
    <row r="5" spans="1:7" x14ac:dyDescent="0.25">
      <c r="B5">
        <f>LK_HOD!AC5</f>
        <v>-3.3126335739344329E-2</v>
      </c>
      <c r="C5">
        <f>LK_HOD!AE5</f>
        <v>0.48033489816286551</v>
      </c>
      <c r="D5">
        <f>LK_HOD!AF5</f>
        <v>0.67071252873099718</v>
      </c>
      <c r="E5">
        <f>LK_HOD!AN5</f>
        <v>1.519661252076784</v>
      </c>
      <c r="F5">
        <f t="shared" si="0"/>
        <v>0.41848744954529898</v>
      </c>
      <c r="G5">
        <f t="shared" si="1"/>
        <v>1</v>
      </c>
    </row>
    <row r="6" spans="1:7" x14ac:dyDescent="0.25">
      <c r="B6">
        <f>LK_HOD!AC6</f>
        <v>-5.1964019251381853E-2</v>
      </c>
      <c r="C6">
        <f>LK_HOD!AE6</f>
        <v>0.59343725090780264</v>
      </c>
      <c r="D6">
        <f>LK_HOD!AF6</f>
        <v>0.56971270044765765</v>
      </c>
      <c r="E6">
        <f>LK_HOD!AN6</f>
        <v>2.6045958747717752</v>
      </c>
      <c r="F6">
        <f t="shared" si="0"/>
        <v>0.9572775287261216</v>
      </c>
      <c r="G6">
        <f t="shared" si="1"/>
        <v>1</v>
      </c>
    </row>
    <row r="7" spans="1:7" x14ac:dyDescent="0.25">
      <c r="B7">
        <f>LK_HOD!AC7</f>
        <v>9.140607080051992E-2</v>
      </c>
      <c r="C7">
        <f>LK_HOD!AE7</f>
        <v>0.88340130102868752</v>
      </c>
      <c r="D7">
        <f>LK_HOD!AF7</f>
        <v>0.74919718632923005</v>
      </c>
      <c r="E7">
        <f>LK_HOD!AN7</f>
        <v>3.3412821794235934</v>
      </c>
      <c r="F7">
        <f t="shared" si="0"/>
        <v>1.2063546193781778</v>
      </c>
      <c r="G7">
        <f t="shared" si="1"/>
        <v>1</v>
      </c>
    </row>
    <row r="8" spans="1:7" x14ac:dyDescent="0.25">
      <c r="A8" t="str">
        <f>LK_HOD!B8</f>
        <v>KRAS</v>
      </c>
      <c r="B8">
        <f>LK_HOD!AC8</f>
        <v>-9.8236810048720508E-2</v>
      </c>
      <c r="C8">
        <f>LK_HOD!AE8</f>
        <v>0.4274132891684041</v>
      </c>
      <c r="D8">
        <f>LK_HOD!AF8</f>
        <v>1.1398935791445999</v>
      </c>
      <c r="E8">
        <f>LK_HOD!AN8</f>
        <v>0.29981591439723132</v>
      </c>
      <c r="F8">
        <f t="shared" si="0"/>
        <v>-1.2045866113428216</v>
      </c>
      <c r="G8">
        <f t="shared" si="1"/>
        <v>1</v>
      </c>
    </row>
    <row r="9" spans="1:7" x14ac:dyDescent="0.25">
      <c r="B9">
        <f>LK_HOD!AC9</f>
        <v>-4.6468362362229461E-2</v>
      </c>
      <c r="C9">
        <f>LK_HOD!AE9</f>
        <v>0.39150674973658223</v>
      </c>
      <c r="D9">
        <f>LK_HOD!AF9</f>
        <v>1.2206206899901717</v>
      </c>
      <c r="E9">
        <f>LK_HOD!AN9</f>
        <v>0.17274205365787279</v>
      </c>
      <c r="F9">
        <f t="shared" si="0"/>
        <v>-1.7559558164784681</v>
      </c>
      <c r="G9">
        <f t="shared" si="1"/>
        <v>1</v>
      </c>
    </row>
    <row r="10" spans="1:7" x14ac:dyDescent="0.25">
      <c r="B10">
        <f>LK_HOD!AC10</f>
        <v>-9.3062320958686551E-2</v>
      </c>
      <c r="C10">
        <f>LK_HOD!AE10</f>
        <v>0.2972461569737439</v>
      </c>
      <c r="D10">
        <f>LK_HOD!AF10</f>
        <v>1.3876719032692242</v>
      </c>
      <c r="E10">
        <f>LK_HOD!AN10</f>
        <v>4.6650777688837075E-2</v>
      </c>
      <c r="F10">
        <f t="shared" si="0"/>
        <v>-3.0650656811131181</v>
      </c>
      <c r="G10">
        <f t="shared" si="1"/>
        <v>1</v>
      </c>
    </row>
    <row r="11" spans="1:7" x14ac:dyDescent="0.25">
      <c r="B11">
        <f>LK_HOD!AC11</f>
        <v>-1.4554486810275313</v>
      </c>
      <c r="C11">
        <f>LK_HOD!AE11</f>
        <v>0.1725958685506247</v>
      </c>
      <c r="D11">
        <f>LK_HOD!AF11</f>
        <v>8.4690617440387044</v>
      </c>
      <c r="E11">
        <f>LK_HOD!AN11</f>
        <v>-1.513385253641353</v>
      </c>
      <c r="F11" t="e">
        <f t="shared" si="0"/>
        <v>#NUM!</v>
      </c>
      <c r="G11">
        <f t="shared" si="1"/>
        <v>0</v>
      </c>
    </row>
    <row r="12" spans="1:7" x14ac:dyDescent="0.25">
      <c r="B12">
        <f>LK_HOD!AC12</f>
        <v>5.0443146440008649E-2</v>
      </c>
      <c r="C12">
        <f>LK_HOD!AE12</f>
        <v>0.74836373831414293</v>
      </c>
      <c r="D12">
        <f>LK_HOD!AF12</f>
        <v>6.7694903091662342</v>
      </c>
      <c r="E12">
        <f>LK_HOD!AN12</f>
        <v>-0.29737370269693109</v>
      </c>
      <c r="F12" t="e">
        <f t="shared" si="0"/>
        <v>#NUM!</v>
      </c>
      <c r="G12">
        <f t="shared" si="1"/>
        <v>0</v>
      </c>
    </row>
    <row r="13" spans="1:7" x14ac:dyDescent="0.25">
      <c r="B13">
        <f>LK_HOD!AC13</f>
        <v>0.1190061654973482</v>
      </c>
      <c r="C13">
        <f>LK_HOD!AE13</f>
        <v>0.40790124154295965</v>
      </c>
      <c r="D13">
        <f>LK_HOD!AF13</f>
        <v>6.2278935604167023</v>
      </c>
      <c r="E13">
        <f>LK_HOD!AN13</f>
        <v>1.5238134896493443</v>
      </c>
      <c r="F13">
        <f t="shared" si="0"/>
        <v>0.42121606765529901</v>
      </c>
      <c r="G13">
        <f t="shared" si="1"/>
        <v>1</v>
      </c>
    </row>
    <row r="14" spans="1:7" x14ac:dyDescent="0.25">
      <c r="A14" t="str">
        <f>LK_HOD!B14</f>
        <v>BRNA</v>
      </c>
      <c r="B14">
        <f>LK_HOD!AC14</f>
        <v>1.2315784184185148E-2</v>
      </c>
      <c r="C14">
        <f>LK_HOD!AE14</f>
        <v>0.96892513866522001</v>
      </c>
      <c r="D14">
        <f>LK_HOD!AF14</f>
        <v>1.0311083358002628</v>
      </c>
      <c r="E14">
        <f>LK_HOD!AN14</f>
        <v>1.7110816785039282</v>
      </c>
      <c r="F14">
        <f t="shared" si="0"/>
        <v>0.53712573106109973</v>
      </c>
      <c r="G14">
        <f t="shared" si="1"/>
        <v>1</v>
      </c>
    </row>
    <row r="15" spans="1:7" x14ac:dyDescent="0.25">
      <c r="B15">
        <f>LK_HOD!AC15</f>
        <v>-0.20900031612859804</v>
      </c>
      <c r="C15">
        <f>LK_HOD!AE15</f>
        <v>0.73696975827696976</v>
      </c>
      <c r="D15">
        <f>LK_HOD!AF15</f>
        <v>1.3034106406810906</v>
      </c>
      <c r="E15">
        <f>LK_HOD!AN15</f>
        <v>1.170867367004923</v>
      </c>
      <c r="F15">
        <f t="shared" si="0"/>
        <v>0.15774481347385169</v>
      </c>
      <c r="G15">
        <f t="shared" si="1"/>
        <v>1</v>
      </c>
    </row>
    <row r="16" spans="1:7" x14ac:dyDescent="0.25">
      <c r="B16">
        <f>LK_HOD!AC16</f>
        <v>-2.1065614763600683E-2</v>
      </c>
      <c r="C16">
        <f>LK_HOD!AE16</f>
        <v>0.6245692975713284</v>
      </c>
      <c r="D16">
        <f>LK_HOD!AF16</f>
        <v>1.1912120508219544</v>
      </c>
      <c r="E16">
        <f>LK_HOD!AN16</f>
        <v>1.1975740445001262</v>
      </c>
      <c r="F16">
        <f t="shared" si="0"/>
        <v>0.18029788095933386</v>
      </c>
      <c r="G16">
        <f t="shared" si="1"/>
        <v>1</v>
      </c>
    </row>
    <row r="17" spans="1:7" x14ac:dyDescent="0.25">
      <c r="B17">
        <f>LK_HOD!AC17</f>
        <v>-0.17098686987500883</v>
      </c>
      <c r="C17">
        <f>LK_HOD!AE17</f>
        <v>0.49869020885564042</v>
      </c>
      <c r="D17">
        <f>LK_HOD!AF17</f>
        <v>1.3727809779301794</v>
      </c>
      <c r="E17">
        <f>LK_HOD!AN17</f>
        <v>0.80111469462150753</v>
      </c>
      <c r="F17">
        <f t="shared" si="0"/>
        <v>-0.22175115287411418</v>
      </c>
      <c r="G17">
        <f t="shared" si="1"/>
        <v>1</v>
      </c>
    </row>
    <row r="18" spans="1:7" x14ac:dyDescent="0.25">
      <c r="B18">
        <f>LK_HOD!AC18</f>
        <v>-0.24396452777127414</v>
      </c>
      <c r="C18">
        <f>LK_HOD!AE18</f>
        <v>0.44151038660365172</v>
      </c>
      <c r="D18">
        <f>LK_HOD!AF18</f>
        <v>1.5637905983731675</v>
      </c>
      <c r="E18">
        <f>LK_HOD!AN18</f>
        <v>0.71108111624559056</v>
      </c>
      <c r="F18">
        <f t="shared" si="0"/>
        <v>-0.3409687681398445</v>
      </c>
      <c r="G18">
        <f t="shared" si="1"/>
        <v>1</v>
      </c>
    </row>
    <row r="19" spans="1:7" x14ac:dyDescent="0.25">
      <c r="B19">
        <f>LK_HOD!AC19</f>
        <v>-0.22710324243224736</v>
      </c>
      <c r="C19">
        <f>LK_HOD!AE19</f>
        <v>0.37650491678343068</v>
      </c>
      <c r="D19">
        <f>LK_HOD!AF19</f>
        <v>1.3743324981417571</v>
      </c>
      <c r="E19">
        <f>LK_HOD!AN19</f>
        <v>0.65074955244746158</v>
      </c>
      <c r="F19">
        <f t="shared" si="0"/>
        <v>-0.42963042285650926</v>
      </c>
      <c r="G19">
        <f t="shared" si="1"/>
        <v>1</v>
      </c>
    </row>
    <row r="20" spans="1:7" x14ac:dyDescent="0.25">
      <c r="A20" t="str">
        <f>LK_HOD!B20</f>
        <v>AMFG</v>
      </c>
      <c r="B20">
        <f>LK_HOD!AC20</f>
        <v>7.2360349226953072E-2</v>
      </c>
      <c r="C20">
        <f>LK_HOD!AE20</f>
        <v>0.93809867063765551</v>
      </c>
      <c r="D20">
        <f>LK_HOD!AF20</f>
        <v>0.52944879842101056</v>
      </c>
      <c r="E20">
        <f>LK_HOD!AN20</f>
        <v>2.7956877255714301</v>
      </c>
      <c r="F20">
        <f t="shared" si="0"/>
        <v>1.0280781320009522</v>
      </c>
      <c r="G20">
        <f t="shared" si="1"/>
        <v>1</v>
      </c>
    </row>
    <row r="21" spans="1:7" x14ac:dyDescent="0.25">
      <c r="B21">
        <f>LK_HOD!AC21</f>
        <v>1.0867944986540813E-2</v>
      </c>
      <c r="C21">
        <f>LK_HOD!AE21</f>
        <v>0.86156928006034694</v>
      </c>
      <c r="D21">
        <f>LK_HOD!AF21</f>
        <v>0.76614066928777746</v>
      </c>
      <c r="E21">
        <f>LK_HOD!AN21</f>
        <v>2.122590613075777</v>
      </c>
      <c r="F21">
        <f t="shared" si="0"/>
        <v>0.75263732996502386</v>
      </c>
      <c r="G21">
        <f t="shared" si="1"/>
        <v>1</v>
      </c>
    </row>
    <row r="22" spans="1:7" x14ac:dyDescent="0.25">
      <c r="B22">
        <f>LK_HOD!AC22</f>
        <v>1.8339206365005814E-3</v>
      </c>
      <c r="C22">
        <f>LK_HOD!AE22</f>
        <v>0.52326867958208156</v>
      </c>
      <c r="D22">
        <f>LK_HOD!AF22</f>
        <v>1.3445691092806504</v>
      </c>
      <c r="E22">
        <f>LK_HOD!AN22</f>
        <v>1.3772087732339382</v>
      </c>
      <c r="F22">
        <f t="shared" si="0"/>
        <v>0.32005882280316839</v>
      </c>
      <c r="G22">
        <f t="shared" si="1"/>
        <v>1</v>
      </c>
    </row>
    <row r="23" spans="1:7" x14ac:dyDescent="0.25">
      <c r="B23">
        <f>LK_HOD!AC23</f>
        <v>-3.8775857927917018E-2</v>
      </c>
      <c r="C23">
        <f>LK_HOD!AE23</f>
        <v>0.41012631539348837</v>
      </c>
      <c r="D23">
        <f>LK_HOD!AF23</f>
        <v>1.5625313239476106</v>
      </c>
      <c r="E23">
        <f>LK_HOD!AN23</f>
        <v>1.1284782437939445</v>
      </c>
      <c r="F23">
        <f t="shared" si="0"/>
        <v>0.1208700382184965</v>
      </c>
      <c r="G23">
        <f t="shared" si="1"/>
        <v>1</v>
      </c>
    </row>
    <row r="24" spans="1:7" x14ac:dyDescent="0.25">
      <c r="B24">
        <f>LK_HOD!AC24</f>
        <v>-0.14710272277945838</v>
      </c>
      <c r="C24">
        <f>LK_HOD!AE24</f>
        <v>0.33012873830143297</v>
      </c>
      <c r="D24">
        <f>LK_HOD!AF24</f>
        <v>1.7174402535021573</v>
      </c>
      <c r="E24">
        <f>LK_HOD!AN24</f>
        <v>0.85087287688479996</v>
      </c>
      <c r="F24">
        <f t="shared" si="0"/>
        <v>-0.16149254243112027</v>
      </c>
      <c r="G24">
        <f t="shared" si="1"/>
        <v>1</v>
      </c>
    </row>
    <row r="25" spans="1:7" x14ac:dyDescent="0.25">
      <c r="B25">
        <f>LK_HOD!AC25</f>
        <v>9.6761705111088378E-2</v>
      </c>
      <c r="C25">
        <f>LK_HOD!AE25</f>
        <v>0.33333177712382395</v>
      </c>
      <c r="D25">
        <f>LK_HOD!AF25</f>
        <v>1.2479946826486799</v>
      </c>
      <c r="E25">
        <f>LK_HOD!AN25</f>
        <v>1.6654564064432715</v>
      </c>
      <c r="F25">
        <f t="shared" si="0"/>
        <v>0.51009920385288388</v>
      </c>
      <c r="G25">
        <f t="shared" si="1"/>
        <v>1</v>
      </c>
    </row>
    <row r="26" spans="1:7" x14ac:dyDescent="0.25">
      <c r="A26" t="str">
        <f>LK_HOD!B26</f>
        <v>ALMI</v>
      </c>
      <c r="B26">
        <f>LK_HOD!AC26</f>
        <v>-0.24754336139271393</v>
      </c>
      <c r="C26">
        <f>LK_HOD!AE26</f>
        <v>0.35066701034488923</v>
      </c>
      <c r="D26">
        <f>LK_HOD!AF26</f>
        <v>4.3333185016639835</v>
      </c>
      <c r="E26">
        <f>LK_HOD!AN26</f>
        <v>0.86846502747608145</v>
      </c>
      <c r="F26">
        <f t="shared" si="0"/>
        <v>-0.14102796184222041</v>
      </c>
      <c r="G26">
        <f t="shared" si="1"/>
        <v>1</v>
      </c>
    </row>
    <row r="27" spans="1:7" x14ac:dyDescent="0.25">
      <c r="B27">
        <f>LK_HOD!AC27</f>
        <v>2.2293777203691779E-2</v>
      </c>
      <c r="C27">
        <f>LK_HOD!AE27</f>
        <v>0.40596269041509192</v>
      </c>
      <c r="D27">
        <f>LK_HOD!AF27</f>
        <v>5.272015024509443</v>
      </c>
      <c r="E27">
        <f>LK_HOD!AN27</f>
        <v>1.4635019407718388</v>
      </c>
      <c r="F27">
        <f t="shared" si="0"/>
        <v>0.38083215326565723</v>
      </c>
      <c r="G27">
        <f t="shared" si="1"/>
        <v>1</v>
      </c>
    </row>
    <row r="28" spans="1:7" x14ac:dyDescent="0.25">
      <c r="B28">
        <f>LK_HOD!AC28</f>
        <v>2.0001898355986789E-2</v>
      </c>
      <c r="C28">
        <f>LK_HOD!AE28</f>
        <v>0.34219104673299938</v>
      </c>
      <c r="D28">
        <f>LK_HOD!AF28</f>
        <v>7.5014072666034259</v>
      </c>
      <c r="E28">
        <f>LK_HOD!AN28</f>
        <v>1.6815934219201769</v>
      </c>
      <c r="F28">
        <f t="shared" si="0"/>
        <v>0.51974180933471636</v>
      </c>
      <c r="G28">
        <f t="shared" si="1"/>
        <v>1</v>
      </c>
    </row>
    <row r="29" spans="1:7" x14ac:dyDescent="0.25">
      <c r="B29">
        <f>LK_HOD!AC29</f>
        <v>-136.43605765434648</v>
      </c>
      <c r="C29">
        <f>LK_HOD!AE29</f>
        <v>0.23136643472902579</v>
      </c>
      <c r="D29">
        <f>LK_HOD!AF29</f>
        <v>786.93111419108618</v>
      </c>
      <c r="E29">
        <f>LK_HOD!AN29</f>
        <v>0.62197849365097957</v>
      </c>
      <c r="F29">
        <f t="shared" si="0"/>
        <v>-0.47484976296455261</v>
      </c>
      <c r="G29">
        <f t="shared" si="1"/>
        <v>1</v>
      </c>
    </row>
    <row r="30" spans="1:7" x14ac:dyDescent="0.25">
      <c r="B30">
        <f>LK_HOD!AC30</f>
        <v>0.9912884683417853</v>
      </c>
      <c r="C30">
        <f>LK_HOD!AE30</f>
        <v>0.2014328886097351</v>
      </c>
      <c r="D30">
        <f>LK_HOD!AF30</f>
        <v>-6.3005201472084877</v>
      </c>
      <c r="E30">
        <f>LK_HOD!AN30</f>
        <v>-1.6782632870273946</v>
      </c>
      <c r="F30" t="e">
        <f t="shared" si="0"/>
        <v>#NUM!</v>
      </c>
      <c r="G30">
        <f t="shared" si="1"/>
        <v>0</v>
      </c>
    </row>
    <row r="31" spans="1:7" x14ac:dyDescent="0.25">
      <c r="B31">
        <f>LK_HOD!AC31</f>
        <v>1.0164997053624043E-3</v>
      </c>
      <c r="C31">
        <f>LK_HOD!AE31</f>
        <v>0.66925204874454403</v>
      </c>
      <c r="D31">
        <f>LK_HOD!AF31</f>
        <v>1.5545195010875994</v>
      </c>
      <c r="E31">
        <f>LK_HOD!AN31</f>
        <v>-0.26550136277104741</v>
      </c>
      <c r="F31" t="e">
        <f t="shared" si="0"/>
        <v>#NUM!</v>
      </c>
      <c r="G31">
        <f t="shared" si="1"/>
        <v>0</v>
      </c>
    </row>
    <row r="32" spans="1:7" x14ac:dyDescent="0.25">
      <c r="A32" t="str">
        <f>LK_HOD!B32</f>
        <v>ADMG</v>
      </c>
      <c r="B32">
        <f>LK_HOD!AC32</f>
        <v>-8.3801378159620091E-2</v>
      </c>
      <c r="C32">
        <f>LK_HOD!AE32</f>
        <v>1.0473131391836834</v>
      </c>
      <c r="D32">
        <f>LK_HOD!AF32</f>
        <v>0.55157598633626481</v>
      </c>
      <c r="E32">
        <f>LK_HOD!AN32</f>
        <v>0.78775113363523097</v>
      </c>
      <c r="F32">
        <f t="shared" si="0"/>
        <v>-0.23857305926583808</v>
      </c>
      <c r="G32">
        <f t="shared" si="1"/>
        <v>1</v>
      </c>
    </row>
    <row r="33" spans="1:7" x14ac:dyDescent="0.25">
      <c r="B33">
        <f>LK_HOD!AC33</f>
        <v>-3.6052411442543092E-2</v>
      </c>
      <c r="C33">
        <f>LK_HOD!AE33</f>
        <v>1.2613521668101533</v>
      </c>
      <c r="D33">
        <f>LK_HOD!AF33</f>
        <v>0.56144817829989968</v>
      </c>
      <c r="E33">
        <f>LK_HOD!AN33</f>
        <v>1.3185278610673401</v>
      </c>
      <c r="F33">
        <f t="shared" si="0"/>
        <v>0.27651585746951285</v>
      </c>
      <c r="G33">
        <f t="shared" si="1"/>
        <v>1</v>
      </c>
    </row>
    <row r="34" spans="1:7" x14ac:dyDescent="0.25">
      <c r="B34">
        <f>LK_HOD!AC34</f>
        <v>-5.3515571810152469E-3</v>
      </c>
      <c r="C34">
        <f>LK_HOD!AE34</f>
        <v>2.5481689068732529</v>
      </c>
      <c r="D34">
        <f>LK_HOD!AF34</f>
        <v>0.15138445848897933</v>
      </c>
      <c r="E34">
        <f>LK_HOD!AN34</f>
        <v>2.8642540256177749</v>
      </c>
      <c r="F34">
        <f t="shared" si="0"/>
        <v>1.0523079412607248</v>
      </c>
      <c r="G34">
        <f t="shared" si="1"/>
        <v>1</v>
      </c>
    </row>
    <row r="35" spans="1:7" x14ac:dyDescent="0.25">
      <c r="B35">
        <f>LK_HOD!AC35</f>
        <v>-0.14238453685343028</v>
      </c>
      <c r="C35">
        <f>LK_HOD!AE35</f>
        <v>1.7144685311698309</v>
      </c>
      <c r="D35">
        <f>LK_HOD!AF35</f>
        <v>0.228101524175087</v>
      </c>
      <c r="E35">
        <f>LK_HOD!AN35</f>
        <v>1.1843980938683103</v>
      </c>
      <c r="F35">
        <f t="shared" si="0"/>
        <v>0.16923470787918676</v>
      </c>
      <c r="G35">
        <f t="shared" si="1"/>
        <v>1</v>
      </c>
    </row>
    <row r="36" spans="1:7" x14ac:dyDescent="0.25">
      <c r="B36">
        <f>LK_HOD!AC36</f>
        <v>-0.23096840695549237</v>
      </c>
      <c r="C36">
        <f>LK_HOD!AE36</f>
        <v>1.9389969454477298</v>
      </c>
      <c r="D36">
        <f>LK_HOD!AF36</f>
        <v>0.22879736259181366</v>
      </c>
      <c r="E36">
        <f>LK_HOD!AN36</f>
        <v>0.83571227742169729</v>
      </c>
      <c r="F36">
        <f t="shared" si="0"/>
        <v>-0.17947089089958412</v>
      </c>
      <c r="G36">
        <f t="shared" si="1"/>
        <v>1</v>
      </c>
    </row>
    <row r="37" spans="1:7" x14ac:dyDescent="0.25">
      <c r="B37">
        <f>LK_HOD!AC37</f>
        <v>4.4422256629357377E-3</v>
      </c>
      <c r="C37">
        <f>LK_HOD!AE37</f>
        <v>1.9785026600467122</v>
      </c>
      <c r="D37">
        <f>LK_HOD!AF37</f>
        <v>0.18874772700405687</v>
      </c>
      <c r="E37">
        <f>LK_HOD!AN37</f>
        <v>1.624734073692522</v>
      </c>
      <c r="F37">
        <f t="shared" si="0"/>
        <v>0.48534415543162829</v>
      </c>
      <c r="G37">
        <f t="shared" si="1"/>
        <v>1</v>
      </c>
    </row>
    <row r="38" spans="1:7" x14ac:dyDescent="0.25">
      <c r="A38" t="str">
        <f>LK_HOD!B38</f>
        <v>KIAS</v>
      </c>
      <c r="B38">
        <f>LK_HOD!AC38</f>
        <v>-0.1661145228289361</v>
      </c>
      <c r="C38">
        <f>LK_HOD!AE38</f>
        <v>2.5023334961657415</v>
      </c>
      <c r="D38">
        <f>LK_HOD!AF38</f>
        <v>0.22344285290205809</v>
      </c>
      <c r="E38">
        <f>LK_HOD!AN38</f>
        <v>2.2304881977321425</v>
      </c>
      <c r="F38">
        <f t="shared" si="0"/>
        <v>0.80222048426177872</v>
      </c>
      <c r="G38">
        <f t="shared" si="1"/>
        <v>1</v>
      </c>
    </row>
    <row r="39" spans="1:7" x14ac:dyDescent="0.25">
      <c r="B39">
        <f>LK_HOD!AC39</f>
        <v>-5.978773755903919E-2</v>
      </c>
      <c r="C39">
        <f>LK_HOD!AE39</f>
        <v>2.4961915686079013</v>
      </c>
      <c r="D39">
        <f>LK_HOD!AF39</f>
        <v>0.23891916335693197</v>
      </c>
      <c r="E39">
        <f>LK_HOD!AN39</f>
        <v>2.7903724211128935</v>
      </c>
      <c r="F39">
        <f t="shared" si="0"/>
        <v>1.0261750711948963</v>
      </c>
      <c r="G39">
        <f t="shared" si="1"/>
        <v>1</v>
      </c>
    </row>
    <row r="40" spans="1:7" x14ac:dyDescent="0.25">
      <c r="B40">
        <f>LK_HOD!AC40</f>
        <v>-5.8461981080270578E-2</v>
      </c>
      <c r="C40">
        <f>LK_HOD!AE40</f>
        <v>2.3396837052767596</v>
      </c>
      <c r="D40">
        <f>LK_HOD!AF40</f>
        <v>0.2580290364102053</v>
      </c>
      <c r="E40">
        <f>LK_HOD!AN40</f>
        <v>2.7231276691290862</v>
      </c>
      <c r="F40">
        <f t="shared" si="0"/>
        <v>1.0017810980604314</v>
      </c>
      <c r="G40">
        <f t="shared" si="1"/>
        <v>1</v>
      </c>
    </row>
    <row r="41" spans="1:7" x14ac:dyDescent="0.25">
      <c r="B41">
        <f>LK_HOD!AC41</f>
        <v>-0.54598556582722657</v>
      </c>
      <c r="C41">
        <f>LK_HOD!AE41</f>
        <v>1.2428938367592832</v>
      </c>
      <c r="D41">
        <f>LK_HOD!AF41</f>
        <v>0.36012001613306716</v>
      </c>
      <c r="E41">
        <f>LK_HOD!AN41</f>
        <v>1.1354628868759709E-2</v>
      </c>
      <c r="F41">
        <f t="shared" si="0"/>
        <v>-4.4781297883480429</v>
      </c>
      <c r="G41">
        <f t="shared" si="1"/>
        <v>1</v>
      </c>
    </row>
    <row r="42" spans="1:7" x14ac:dyDescent="0.25">
      <c r="B42">
        <f>LK_HOD!AC42</f>
        <v>-6.0721231093696641E-2</v>
      </c>
      <c r="C42">
        <f>LK_HOD!AE42</f>
        <v>1.28207127532873</v>
      </c>
      <c r="D42">
        <f>LK_HOD!AF42</f>
        <v>0.19844679565409415</v>
      </c>
      <c r="E42">
        <f>LK_HOD!AN42</f>
        <v>1.5546198825701163</v>
      </c>
      <c r="F42">
        <f t="shared" si="0"/>
        <v>0.44123106724082722</v>
      </c>
      <c r="G42">
        <f t="shared" si="1"/>
        <v>1</v>
      </c>
    </row>
    <row r="43" spans="1:7" x14ac:dyDescent="0.25">
      <c r="B43">
        <f>LK_HOD!AC43</f>
        <v>-6.5625408072013409E-3</v>
      </c>
      <c r="C43">
        <f>LK_HOD!AE43</f>
        <v>1.9418229750260481</v>
      </c>
      <c r="D43">
        <f>LK_HOD!AF43</f>
        <v>0.18146236884914671</v>
      </c>
      <c r="E43">
        <f>LK_HOD!AN43</f>
        <v>2.1889350387782214</v>
      </c>
      <c r="F43">
        <f t="shared" si="0"/>
        <v>0.78341514189125161</v>
      </c>
      <c r="G43">
        <f t="shared" si="1"/>
        <v>1</v>
      </c>
    </row>
    <row r="44" spans="1:7" x14ac:dyDescent="0.25">
      <c r="A44" t="str">
        <f>LK_HOD!B44</f>
        <v>LMSH</v>
      </c>
      <c r="B44">
        <f>LK_HOD!AC44</f>
        <v>5.3298695893221601E-2</v>
      </c>
      <c r="C44">
        <f>LK_HOD!AE44</f>
        <v>1.5657624719492786</v>
      </c>
      <c r="D44">
        <f>LK_HOD!AF44</f>
        <v>0.38793956610364205</v>
      </c>
      <c r="E44">
        <f>LK_HOD!AN44</f>
        <v>3.2829940055355853</v>
      </c>
      <c r="F44">
        <f t="shared" si="0"/>
        <v>1.1887558126072146</v>
      </c>
      <c r="G44">
        <f t="shared" si="1"/>
        <v>1</v>
      </c>
    </row>
    <row r="45" spans="1:7" x14ac:dyDescent="0.25">
      <c r="B45">
        <f>LK_HOD!AC45</f>
        <v>0.10003790669935166</v>
      </c>
      <c r="C45">
        <f>LK_HOD!AE45</f>
        <v>2.5956761531730703</v>
      </c>
      <c r="D45">
        <f>LK_HOD!AF45</f>
        <v>0.24333387090356329</v>
      </c>
      <c r="E45">
        <f>LK_HOD!AN45</f>
        <v>4.4630682307361216</v>
      </c>
      <c r="F45">
        <f t="shared" si="0"/>
        <v>1.4958364736181318</v>
      </c>
      <c r="G45">
        <f t="shared" si="1"/>
        <v>1</v>
      </c>
    </row>
    <row r="46" spans="1:7" x14ac:dyDescent="0.25">
      <c r="B46">
        <f>LK_HOD!AC46</f>
        <v>2.175506329422924E-2</v>
      </c>
      <c r="C46">
        <f>LK_HOD!AE46</f>
        <v>3.4604647794002887</v>
      </c>
      <c r="D46">
        <f>LK_HOD!AF46</f>
        <v>0.20600359444813035</v>
      </c>
      <c r="E46">
        <f>LK_HOD!AN46</f>
        <v>4.4493782279108576</v>
      </c>
      <c r="F46">
        <f t="shared" si="0"/>
        <v>1.4927643623508564</v>
      </c>
      <c r="G46">
        <f t="shared" si="1"/>
        <v>1</v>
      </c>
    </row>
    <row r="47" spans="1:7" x14ac:dyDescent="0.25">
      <c r="B47">
        <f>LK_HOD!AC47</f>
        <v>-0.16056226402299492</v>
      </c>
      <c r="C47">
        <f>LK_HOD!AE47</f>
        <v>2.2795382118688732</v>
      </c>
      <c r="D47">
        <f>LK_HOD!AF47</f>
        <v>0.29440789364197162</v>
      </c>
      <c r="E47">
        <f>LK_HOD!AN47</f>
        <v>3.0575984609506737</v>
      </c>
      <c r="F47">
        <f t="shared" si="0"/>
        <v>1.1176297911516628</v>
      </c>
      <c r="G47">
        <f t="shared" si="1"/>
        <v>1</v>
      </c>
    </row>
    <row r="48" spans="1:7" x14ac:dyDescent="0.25">
      <c r="B48">
        <f>LK_HOD!AC48</f>
        <v>-7.44659078302852E-2</v>
      </c>
      <c r="C48">
        <f>LK_HOD!AE48</f>
        <v>1.828220166448502</v>
      </c>
      <c r="D48">
        <f>LK_HOD!AF48</f>
        <v>0.32426651437211768</v>
      </c>
      <c r="E48">
        <f>LK_HOD!AN48</f>
        <v>2.8104266650206116</v>
      </c>
      <c r="F48">
        <f t="shared" si="0"/>
        <v>1.0333363099050459</v>
      </c>
      <c r="G48">
        <f t="shared" si="1"/>
        <v>1</v>
      </c>
    </row>
    <row r="49" spans="1:7" x14ac:dyDescent="0.25">
      <c r="B49">
        <f>LK_HOD!AC49</f>
        <v>5.6368423704561139E-2</v>
      </c>
      <c r="C49">
        <f>LK_HOD!AE49</f>
        <v>2.4669851154305835</v>
      </c>
      <c r="D49">
        <f>LK_HOD!AF49</f>
        <v>0.25866841066702329</v>
      </c>
      <c r="E49">
        <f>LK_HOD!AN49</f>
        <v>4.3012738774636325</v>
      </c>
      <c r="F49">
        <f t="shared" si="0"/>
        <v>1.4589112293989184</v>
      </c>
      <c r="G49">
        <f t="shared" si="1"/>
        <v>1</v>
      </c>
    </row>
    <row r="50" spans="1:7" x14ac:dyDescent="0.25">
      <c r="A50" t="str">
        <f>LK_HOD!B50</f>
        <v>SULI</v>
      </c>
      <c r="B50">
        <f>LK_HOD!AC50</f>
        <v>-3.8446651760837662E-2</v>
      </c>
      <c r="C50">
        <f>LK_HOD!AE50</f>
        <v>0.27943085626809561</v>
      </c>
      <c r="D50">
        <f>LK_HOD!AF50</f>
        <v>-6.9299429922302282</v>
      </c>
      <c r="E50">
        <f>LK_HOD!AN50</f>
        <v>-2.0491951670362152</v>
      </c>
      <c r="F50" t="e">
        <f t="shared" si="0"/>
        <v>#NUM!</v>
      </c>
      <c r="G50">
        <f t="shared" si="1"/>
        <v>0</v>
      </c>
    </row>
    <row r="51" spans="1:7" x14ac:dyDescent="0.25">
      <c r="B51">
        <f>LK_HOD!AC51</f>
        <v>1.5512381294789934</v>
      </c>
      <c r="C51">
        <f>LK_HOD!AE51</f>
        <v>0.29628960429318196</v>
      </c>
      <c r="D51">
        <f>LK_HOD!AF51</f>
        <v>94.099679534824233</v>
      </c>
      <c r="E51">
        <f>LK_HOD!AN51</f>
        <v>-2.2622394090463809</v>
      </c>
      <c r="F51" t="e">
        <f t="shared" si="0"/>
        <v>#NUM!</v>
      </c>
      <c r="G51">
        <f t="shared" si="1"/>
        <v>0</v>
      </c>
    </row>
    <row r="52" spans="1:7" x14ac:dyDescent="0.25">
      <c r="B52">
        <f>LK_HOD!AC52</f>
        <v>0.65535127645632518</v>
      </c>
      <c r="C52">
        <f>LK_HOD!AE52</f>
        <v>0.21937697329296058</v>
      </c>
      <c r="D52">
        <f>LK_HOD!AF52</f>
        <v>19.296001156904815</v>
      </c>
      <c r="E52">
        <f>LK_HOD!AN52</f>
        <v>-2.0876269693777276</v>
      </c>
      <c r="F52" t="e">
        <f t="shared" si="0"/>
        <v>#NUM!</v>
      </c>
      <c r="G52">
        <f t="shared" si="1"/>
        <v>0</v>
      </c>
    </row>
    <row r="53" spans="1:7" x14ac:dyDescent="0.25">
      <c r="B53">
        <f>LK_HOD!AC53</f>
        <v>-2.0277878745851639</v>
      </c>
      <c r="C53">
        <f>LK_HOD!AE53</f>
        <v>0.11168136282416256</v>
      </c>
      <c r="D53">
        <f>LK_HOD!AF53</f>
        <v>22.014140204449941</v>
      </c>
      <c r="E53">
        <f>LK_HOD!AN53</f>
        <v>-3.0528295163237837</v>
      </c>
      <c r="F53" t="e">
        <f t="shared" si="0"/>
        <v>#NUM!</v>
      </c>
      <c r="G53">
        <f t="shared" si="1"/>
        <v>0</v>
      </c>
    </row>
    <row r="54" spans="1:7" x14ac:dyDescent="0.25">
      <c r="B54">
        <f>LK_HOD!AC54</f>
        <v>1.1638296479911685</v>
      </c>
      <c r="C54">
        <f>LK_HOD!AE54</f>
        <v>7.3915598079224154E-2</v>
      </c>
      <c r="D54">
        <f>LK_HOD!AF54</f>
        <v>-5.7037608608824284</v>
      </c>
      <c r="E54">
        <f>LK_HOD!AN54</f>
        <v>-5.0448954024247223</v>
      </c>
      <c r="F54" t="e">
        <f t="shared" si="0"/>
        <v>#NUM!</v>
      </c>
      <c r="G54">
        <f t="shared" si="1"/>
        <v>0</v>
      </c>
    </row>
    <row r="55" spans="1:7" x14ac:dyDescent="0.25">
      <c r="B55">
        <f>LK_HOD!AC55</f>
        <v>-0.23653389141882966</v>
      </c>
      <c r="C55">
        <f>LK_HOD!AE55</f>
        <v>0.15535587462828873</v>
      </c>
      <c r="D55">
        <f>LK_HOD!AF55</f>
        <v>-7.1759530719107865</v>
      </c>
      <c r="E55">
        <f>LK_HOD!AN55</f>
        <v>3.8181001627500466</v>
      </c>
      <c r="F55">
        <f t="shared" si="0"/>
        <v>1.3397529593098987</v>
      </c>
      <c r="G55">
        <f t="shared" si="1"/>
        <v>1</v>
      </c>
    </row>
    <row r="56" spans="1:7" x14ac:dyDescent="0.25">
      <c r="A56" t="str">
        <f>LK_HOD!B56</f>
        <v>TIRT</v>
      </c>
      <c r="B56">
        <f>LK_HOD!AC56</f>
        <v>0.22860136145266979</v>
      </c>
      <c r="C56">
        <f>LK_HOD!AE56</f>
        <v>0.36612676147123296</v>
      </c>
      <c r="D56">
        <f>LK_HOD!AF56</f>
        <v>5.4349001761064404</v>
      </c>
      <c r="E56">
        <f>LK_HOD!AN56</f>
        <v>1.2875471314453972</v>
      </c>
      <c r="F56">
        <f t="shared" si="0"/>
        <v>0.25273895983361755</v>
      </c>
      <c r="G56">
        <f t="shared" si="1"/>
        <v>1</v>
      </c>
    </row>
    <row r="57" spans="1:7" x14ac:dyDescent="0.25">
      <c r="B57">
        <f>LK_HOD!AC57</f>
        <v>8.0872797573983048E-3</v>
      </c>
      <c r="C57">
        <f>LK_HOD!AE57</f>
        <v>0.39367453513555539</v>
      </c>
      <c r="D57">
        <f>LK_HOD!AF57</f>
        <v>5.939773740921944</v>
      </c>
      <c r="E57">
        <f>LK_HOD!AN57</f>
        <v>1.0273155964941276</v>
      </c>
      <c r="F57">
        <f t="shared" si="0"/>
        <v>2.6949183149684409E-2</v>
      </c>
      <c r="G57">
        <f t="shared" si="1"/>
        <v>1</v>
      </c>
    </row>
    <row r="58" spans="1:7" x14ac:dyDescent="0.25">
      <c r="B58">
        <f>LK_HOD!AC58</f>
        <v>-0.41695147465523447</v>
      </c>
      <c r="C58">
        <f>LK_HOD!AE58</f>
        <v>0.33183624694122749</v>
      </c>
      <c r="D58">
        <f>LK_HOD!AF58</f>
        <v>9.5545180332243156</v>
      </c>
      <c r="E58">
        <f>LK_HOD!AN58</f>
        <v>0.97053397223902005</v>
      </c>
      <c r="F58">
        <f t="shared" si="0"/>
        <v>-2.9908872102658097E-2</v>
      </c>
      <c r="G58">
        <f t="shared" si="1"/>
        <v>1</v>
      </c>
    </row>
    <row r="59" spans="1:7" x14ac:dyDescent="0.25">
      <c r="B59">
        <f>LK_HOD!AC59</f>
        <v>-1.4394528770562884</v>
      </c>
      <c r="C59">
        <f>LK_HOD!AE59</f>
        <v>0.19265855875272614</v>
      </c>
      <c r="D59">
        <f>LK_HOD!AF59</f>
        <v>23.917303548338236</v>
      </c>
      <c r="E59">
        <f>LK_HOD!AN59</f>
        <v>0.36666504672156236</v>
      </c>
      <c r="F59">
        <f t="shared" si="0"/>
        <v>-1.0033065269056469</v>
      </c>
      <c r="G59">
        <f t="shared" si="1"/>
        <v>1</v>
      </c>
    </row>
    <row r="60" spans="1:7" x14ac:dyDescent="0.25">
      <c r="B60">
        <f>LK_HOD!AC60</f>
        <v>1.0616813578468016</v>
      </c>
      <c r="C60">
        <f>LK_HOD!AE60</f>
        <v>6.9573700674811473E-2</v>
      </c>
      <c r="D60">
        <f>LK_HOD!AF60</f>
        <v>-2.0112797524726456</v>
      </c>
      <c r="E60">
        <f>LK_HOD!AN60</f>
        <v>-5.6894684144531933</v>
      </c>
      <c r="F60" t="e">
        <f t="shared" si="0"/>
        <v>#NUM!</v>
      </c>
      <c r="G60">
        <f t="shared" si="1"/>
        <v>0</v>
      </c>
    </row>
    <row r="61" spans="1:7" x14ac:dyDescent="0.25">
      <c r="B61">
        <f>LK_HOD!AC61</f>
        <v>0.2457842344731376</v>
      </c>
      <c r="C61">
        <f>LK_HOD!AE61</f>
        <v>9.7919150467073876E-2</v>
      </c>
      <c r="D61">
        <f>LK_HOD!AF61</f>
        <v>-1.5491365175447755</v>
      </c>
      <c r="E61">
        <f>LK_HOD!AN61</f>
        <v>-5.3243369327897323</v>
      </c>
      <c r="F61" t="e">
        <f t="shared" si="0"/>
        <v>#NUM!</v>
      </c>
      <c r="G61">
        <f t="shared" si="1"/>
        <v>0</v>
      </c>
    </row>
    <row r="62" spans="1:7" x14ac:dyDescent="0.25">
      <c r="A62" t="str">
        <f>LK_HOD!B62</f>
        <v>INCF</v>
      </c>
      <c r="B62">
        <f>LK_HOD!AC62</f>
        <v>4.2085616472097021E-2</v>
      </c>
      <c r="C62">
        <f>LK_HOD!AE62</f>
        <v>0.49803677469656132</v>
      </c>
      <c r="D62">
        <f>LK_HOD!AF62</f>
        <v>2.1225196637617736</v>
      </c>
      <c r="E62">
        <f>LK_HOD!AN62</f>
        <v>2.6147553588806014</v>
      </c>
      <c r="F62">
        <f t="shared" si="0"/>
        <v>0.96117054013120029</v>
      </c>
      <c r="G62">
        <f t="shared" si="1"/>
        <v>1</v>
      </c>
    </row>
    <row r="63" spans="1:7" x14ac:dyDescent="0.25">
      <c r="B63">
        <f>LK_HOD!AC63</f>
        <v>2.6673503755569459E-2</v>
      </c>
      <c r="C63">
        <f>LK_HOD!AE63</f>
        <v>0.47214417838913897</v>
      </c>
      <c r="D63">
        <f>LK_HOD!AF63</f>
        <v>3.0667451838845845</v>
      </c>
      <c r="E63">
        <f>LK_HOD!AN63</f>
        <v>1.2615402062618366</v>
      </c>
      <c r="F63">
        <f t="shared" si="0"/>
        <v>0.23233336038009109</v>
      </c>
      <c r="G63">
        <f t="shared" si="1"/>
        <v>1</v>
      </c>
    </row>
    <row r="64" spans="1:7" x14ac:dyDescent="0.25">
      <c r="B64">
        <f>LK_HOD!AC64</f>
        <v>2.9861935341681748E-2</v>
      </c>
      <c r="C64">
        <f>LK_HOD!AE64</f>
        <v>0.89369904089297825</v>
      </c>
      <c r="D64">
        <f>LK_HOD!AF64</f>
        <v>2.5717835035471794</v>
      </c>
      <c r="E64">
        <f>LK_HOD!AN64</f>
        <v>2.1267278671633179</v>
      </c>
      <c r="F64">
        <f t="shared" si="0"/>
        <v>0.75458458593752198</v>
      </c>
      <c r="G64">
        <f t="shared" si="1"/>
        <v>1</v>
      </c>
    </row>
    <row r="65" spans="1:7" x14ac:dyDescent="0.25">
      <c r="B65">
        <f>LK_HOD!AC65</f>
        <v>-2.8526832369482811E-2</v>
      </c>
      <c r="C65">
        <f>LK_HOD!AE65</f>
        <v>0.75613936926338132</v>
      </c>
      <c r="D65">
        <f>LK_HOD!AF65</f>
        <v>2.1589745107676812</v>
      </c>
      <c r="E65">
        <f>LK_HOD!AN65</f>
        <v>1.2476205515478942</v>
      </c>
      <c r="F65">
        <f t="shared" si="0"/>
        <v>0.22123817848205346</v>
      </c>
      <c r="G65">
        <f t="shared" si="1"/>
        <v>1</v>
      </c>
    </row>
    <row r="66" spans="1:7" x14ac:dyDescent="0.25">
      <c r="B66">
        <f>LK_HOD!AC66</f>
        <v>-4.8083691555405164E-2</v>
      </c>
      <c r="C66">
        <f>LK_HOD!AE66</f>
        <v>1.679870879179177</v>
      </c>
      <c r="D66">
        <f>LK_HOD!AF66</f>
        <v>2.4345129832218171</v>
      </c>
      <c r="E66">
        <f>LK_HOD!AN66</f>
        <v>1.2065090818151809</v>
      </c>
      <c r="F66">
        <f t="shared" si="0"/>
        <v>0.18773113346048756</v>
      </c>
      <c r="G66">
        <f t="shared" si="1"/>
        <v>1</v>
      </c>
    </row>
    <row r="67" spans="1:7" x14ac:dyDescent="0.25">
      <c r="B67">
        <f>LK_HOD!AC67</f>
        <v>5.1361330804594848E-3</v>
      </c>
      <c r="C67">
        <f>LK_HOD!AE67</f>
        <v>1.3531755720589767</v>
      </c>
      <c r="D67">
        <f>LK_HOD!AF67</f>
        <v>2.7335342097215398</v>
      </c>
      <c r="E67">
        <f>LK_HOD!AN67</f>
        <v>1.7109876317055748</v>
      </c>
      <c r="F67">
        <f t="shared" ref="F67:F91" si="2">LN(E67)</f>
        <v>0.53707076619051886</v>
      </c>
      <c r="G67">
        <f t="shared" ref="G67:G91" si="3">IF(ISNUMBER(F67),1,0)</f>
        <v>1</v>
      </c>
    </row>
    <row r="68" spans="1:7" x14ac:dyDescent="0.25">
      <c r="A68" t="str">
        <f>LK_HOD!B68</f>
        <v>GDST</v>
      </c>
      <c r="B68">
        <f>LK_HOD!AC68</f>
        <v>3.8100807858285637E-2</v>
      </c>
      <c r="C68">
        <f>LK_HOD!AE68</f>
        <v>0.82300457415636386</v>
      </c>
      <c r="D68">
        <f>LK_HOD!AF68</f>
        <v>0.51132696750566864</v>
      </c>
      <c r="E68">
        <f>LK_HOD!AN68</f>
        <v>2.1034914524983739</v>
      </c>
      <c r="F68">
        <f t="shared" si="2"/>
        <v>0.74359856057375706</v>
      </c>
      <c r="G68">
        <f t="shared" si="3"/>
        <v>1</v>
      </c>
    </row>
    <row r="69" spans="1:7" x14ac:dyDescent="0.25">
      <c r="B69">
        <f>LK_HOD!AC69</f>
        <v>1.0112205151772843E-2</v>
      </c>
      <c r="C69">
        <f>LK_HOD!AE69</f>
        <v>1.0928966218804823</v>
      </c>
      <c r="D69">
        <f>LK_HOD!AF69</f>
        <v>0.35192626542150457</v>
      </c>
      <c r="E69">
        <f>LK_HOD!AN69</f>
        <v>2.4047828477668958</v>
      </c>
      <c r="F69">
        <f t="shared" si="2"/>
        <v>0.87745960749234075</v>
      </c>
      <c r="G69">
        <f t="shared" si="3"/>
        <v>1</v>
      </c>
    </row>
    <row r="70" spans="1:7" x14ac:dyDescent="0.25">
      <c r="B70">
        <f>LK_HOD!AC70</f>
        <v>-9.7992377337186867E-2</v>
      </c>
      <c r="C70">
        <f>LK_HOD!AE70</f>
        <v>0.44131038092822011</v>
      </c>
      <c r="D70">
        <f>LK_HOD!AF70</f>
        <v>0.50881401940482363</v>
      </c>
      <c r="E70">
        <f>LK_HOD!AN70</f>
        <v>1.8438483470277922</v>
      </c>
      <c r="F70">
        <f t="shared" si="2"/>
        <v>0.61185488044426151</v>
      </c>
      <c r="G70">
        <f t="shared" si="3"/>
        <v>1</v>
      </c>
    </row>
    <row r="71" spans="1:7" x14ac:dyDescent="0.25">
      <c r="B71">
        <f>LK_HOD!AC71</f>
        <v>2.9221376472977081E-2</v>
      </c>
      <c r="C71">
        <f>LK_HOD!AE71</f>
        <v>0.29944321569485238</v>
      </c>
      <c r="D71">
        <f>LK_HOD!AF71</f>
        <v>0.91693497726423412</v>
      </c>
      <c r="E71">
        <f>LK_HOD!AN71</f>
        <v>1.402146967088679</v>
      </c>
      <c r="F71">
        <f t="shared" si="2"/>
        <v>0.33800460985788833</v>
      </c>
      <c r="G71">
        <f t="shared" si="3"/>
        <v>1</v>
      </c>
    </row>
    <row r="72" spans="1:7" x14ac:dyDescent="0.25">
      <c r="B72">
        <f>LK_HOD!AC72</f>
        <v>-9.1919615899091381E-2</v>
      </c>
      <c r="C72">
        <f>LK_HOD!AE72</f>
        <v>0.20459835068077556</v>
      </c>
      <c r="D72">
        <f>LK_HOD!AF72</f>
        <v>0.87526851912966619</v>
      </c>
      <c r="E72">
        <f>LK_HOD!AN72</f>
        <v>1.2533494475375289</v>
      </c>
      <c r="F72">
        <f t="shared" si="2"/>
        <v>0.22581952572885752</v>
      </c>
      <c r="G72">
        <f t="shared" si="3"/>
        <v>1</v>
      </c>
    </row>
    <row r="73" spans="1:7" x14ac:dyDescent="0.25">
      <c r="B73">
        <f>LK_HOD!AC73</f>
        <v>-8.0842231267057474E-2</v>
      </c>
      <c r="C73">
        <f>LK_HOD!AE73</f>
        <v>0.25544059449640971</v>
      </c>
      <c r="D73">
        <f>LK_HOD!AF73</f>
        <v>1.009877447315183</v>
      </c>
      <c r="E73">
        <f>LK_HOD!AN73</f>
        <v>1.3222536444651456</v>
      </c>
      <c r="F73">
        <f t="shared" si="2"/>
        <v>0.27933758722042651</v>
      </c>
      <c r="G73">
        <f t="shared" si="3"/>
        <v>1</v>
      </c>
    </row>
    <row r="74" spans="1:7" x14ac:dyDescent="0.25">
      <c r="A74" t="str">
        <f>LK_HOD!B74</f>
        <v>BAJA</v>
      </c>
      <c r="B74">
        <f>LK_HOD!AC74</f>
        <v>0.17502739151694616</v>
      </c>
      <c r="C74">
        <f>LK_HOD!AE74</f>
        <v>0.38363059268234778</v>
      </c>
      <c r="D74">
        <f>LK_HOD!AF74</f>
        <v>4.0005773663859392</v>
      </c>
      <c r="E74">
        <f>LK_HOD!AN74</f>
        <v>1.6177370543934868</v>
      </c>
      <c r="F74">
        <f t="shared" si="2"/>
        <v>0.48102829269388137</v>
      </c>
      <c r="G74">
        <f t="shared" si="3"/>
        <v>1</v>
      </c>
    </row>
    <row r="75" spans="1:7" x14ac:dyDescent="0.25">
      <c r="B75">
        <f>LK_HOD!AC75</f>
        <v>-0.13361974266565813</v>
      </c>
      <c r="C75">
        <f>LK_HOD!AE75</f>
        <v>0.32386098825368581</v>
      </c>
      <c r="D75">
        <f>LK_HOD!AF75</f>
        <v>4.5020915468485736</v>
      </c>
      <c r="E75">
        <f>LK_HOD!AN75</f>
        <v>1.3515008871046541</v>
      </c>
      <c r="F75">
        <f t="shared" si="2"/>
        <v>0.30121574311939148</v>
      </c>
      <c r="G75">
        <f t="shared" si="3"/>
        <v>1</v>
      </c>
    </row>
    <row r="76" spans="1:7" x14ac:dyDescent="0.25">
      <c r="B76">
        <f>LK_HOD!AC76</f>
        <v>-1.2636445034709258</v>
      </c>
      <c r="C76">
        <f>LK_HOD!AE76</f>
        <v>0.35735651312173206</v>
      </c>
      <c r="D76">
        <f>LK_HOD!AF76</f>
        <v>10.776867666403108</v>
      </c>
      <c r="E76">
        <f>LK_HOD!AN76</f>
        <v>0.92463459263754078</v>
      </c>
      <c r="F76">
        <f t="shared" si="2"/>
        <v>-7.8356654503029366E-2</v>
      </c>
      <c r="G76">
        <f t="shared" si="3"/>
        <v>1</v>
      </c>
    </row>
    <row r="77" spans="1:7" x14ac:dyDescent="0.25">
      <c r="B77">
        <f>LK_HOD!AC77</f>
        <v>1.5002370250863959E-2</v>
      </c>
      <c r="C77">
        <f>LK_HOD!AE77</f>
        <v>0.34431614532793459</v>
      </c>
      <c r="D77">
        <f>LK_HOD!AF77</f>
        <v>10.280528782429352</v>
      </c>
      <c r="E77">
        <f>LK_HOD!AN77</f>
        <v>1.0474346516847231</v>
      </c>
      <c r="F77">
        <f t="shared" si="2"/>
        <v>4.6343985841611667E-2</v>
      </c>
      <c r="G77">
        <f t="shared" si="3"/>
        <v>1</v>
      </c>
    </row>
    <row r="78" spans="1:7" x14ac:dyDescent="0.25">
      <c r="B78">
        <f>LK_HOD!AC78</f>
        <v>0.43115545393642396</v>
      </c>
      <c r="C78">
        <f>LK_HOD!AE78</f>
        <v>0.42515441741189325</v>
      </c>
      <c r="D78">
        <f>LK_HOD!AF78</f>
        <v>4.9483017959509015</v>
      </c>
      <c r="E78">
        <f>LK_HOD!AN78</f>
        <v>1.7845237841165269</v>
      </c>
      <c r="F78">
        <f t="shared" si="2"/>
        <v>0.5791515920276683</v>
      </c>
      <c r="G78">
        <f t="shared" si="3"/>
        <v>1</v>
      </c>
    </row>
    <row r="79" spans="1:7" x14ac:dyDescent="0.25">
      <c r="B79">
        <f>LK_HOD!AC79</f>
        <v>0.4135149444091259</v>
      </c>
      <c r="C79">
        <f>LK_HOD!AE79</f>
        <v>1.0299344402570028</v>
      </c>
      <c r="D79">
        <f>LK_HOD!AF79</f>
        <v>2.3919948465714587</v>
      </c>
      <c r="E79">
        <f>LK_HOD!AN79</f>
        <v>3.7453637857881916</v>
      </c>
      <c r="F79">
        <f t="shared" si="2"/>
        <v>1.3205187513137571</v>
      </c>
      <c r="G79">
        <f t="shared" si="3"/>
        <v>1</v>
      </c>
    </row>
    <row r="80" spans="1:7" x14ac:dyDescent="0.25">
      <c r="A80" t="str">
        <f>LK_HOD!B80</f>
        <v>YPAS</v>
      </c>
      <c r="B80">
        <f>LK_HOD!AC80</f>
        <v>-7.6988138629763281E-2</v>
      </c>
      <c r="C80">
        <f>LK_HOD!AE80</f>
        <v>0.46443084574127641</v>
      </c>
      <c r="D80">
        <f>LK_HOD!AF80</f>
        <v>0.97362552206840602</v>
      </c>
      <c r="E80">
        <f>LK_HOD!AN80</f>
        <v>3.5665431161268604</v>
      </c>
      <c r="F80">
        <f t="shared" si="2"/>
        <v>1.2715968118614969</v>
      </c>
      <c r="G80">
        <f t="shared" si="3"/>
        <v>1</v>
      </c>
    </row>
    <row r="81" spans="1:7" x14ac:dyDescent="0.25">
      <c r="B81">
        <f>LK_HOD!AC81</f>
        <v>-0.11408986946987999</v>
      </c>
      <c r="C81">
        <f>LK_HOD!AE81</f>
        <v>0.54524654163463371</v>
      </c>
      <c r="D81">
        <f>LK_HOD!AF81</f>
        <v>1.3883515804228634</v>
      </c>
      <c r="E81">
        <f>LK_HOD!AN81</f>
        <v>3.1633155498951542</v>
      </c>
      <c r="F81">
        <f t="shared" si="2"/>
        <v>1.1516207021977205</v>
      </c>
      <c r="G81">
        <f t="shared" si="3"/>
        <v>1</v>
      </c>
    </row>
    <row r="82" spans="1:7" x14ac:dyDescent="0.25">
      <c r="B82">
        <f>LK_HOD!AC82</f>
        <v>-7.6523680226677979E-2</v>
      </c>
      <c r="C82">
        <f>LK_HOD!AE82</f>
        <v>0.6308083728936863</v>
      </c>
      <c r="D82">
        <f>LK_HOD!AF82</f>
        <v>1.8011283841093331</v>
      </c>
      <c r="E82">
        <f>LK_HOD!AN82</f>
        <v>2.5438442319914234</v>
      </c>
      <c r="F82">
        <f t="shared" si="2"/>
        <v>0.93367641404014978</v>
      </c>
      <c r="G82">
        <f t="shared" si="3"/>
        <v>1</v>
      </c>
    </row>
    <row r="83" spans="1:7" x14ac:dyDescent="0.25">
      <c r="B83">
        <f>LK_HOD!AC83</f>
        <v>2.8749590529916744E-2</v>
      </c>
      <c r="C83">
        <f>LK_HOD!AE83</f>
        <v>1.0180521242856935</v>
      </c>
      <c r="D83">
        <f>LK_HOD!AF83</f>
        <v>1.2928597807741526</v>
      </c>
      <c r="E83">
        <f>LK_HOD!AN83</f>
        <v>3.2504671150491045</v>
      </c>
      <c r="F83">
        <f t="shared" si="2"/>
        <v>1.1787987137212255</v>
      </c>
      <c r="G83">
        <f t="shared" si="3"/>
        <v>1</v>
      </c>
    </row>
    <row r="84" spans="1:7" x14ac:dyDescent="0.25">
      <c r="B84">
        <f>LK_HOD!AC84</f>
        <v>6.348122912576723E-2</v>
      </c>
      <c r="C84">
        <f>LK_HOD!AE84</f>
        <v>1.0918931369976026</v>
      </c>
      <c r="D84">
        <f>LK_HOD!AF84</f>
        <v>1.1004545548613653</v>
      </c>
      <c r="E84">
        <f>LK_HOD!AN84</f>
        <v>2.9053631760863996</v>
      </c>
      <c r="F84">
        <f t="shared" si="2"/>
        <v>1.0665584000755071</v>
      </c>
      <c r="G84">
        <f t="shared" si="3"/>
        <v>1</v>
      </c>
    </row>
    <row r="85" spans="1:7" x14ac:dyDescent="0.25">
      <c r="B85">
        <f>LK_HOD!AC85</f>
        <v>-7.7734849031543471E-2</v>
      </c>
      <c r="C85">
        <f>LK_HOD!AE85</f>
        <v>1.0234261890981475</v>
      </c>
      <c r="D85">
        <f>LK_HOD!AF85</f>
        <v>1.115858981164346</v>
      </c>
      <c r="E85">
        <f>LK_HOD!AN85</f>
        <v>3.9751781322871498</v>
      </c>
      <c r="F85">
        <f t="shared" si="2"/>
        <v>1.3800695602562159</v>
      </c>
      <c r="G85">
        <f t="shared" si="3"/>
        <v>1</v>
      </c>
    </row>
    <row r="86" spans="1:7" x14ac:dyDescent="0.25">
      <c r="A86" t="str">
        <f>LK_HOD!B86</f>
        <v>CTBN</v>
      </c>
      <c r="B86">
        <f>LK_HOD!AC86</f>
        <v>-7.8793025035386634E-3</v>
      </c>
      <c r="C86">
        <f>LK_HOD!AE86</f>
        <v>1.523627272751009</v>
      </c>
      <c r="D86">
        <f>LK_HOD!AF86</f>
        <v>0.35452286562240926</v>
      </c>
      <c r="E86">
        <f>LK_HOD!AN86</f>
        <v>5.9836426109857763</v>
      </c>
      <c r="F86">
        <f t="shared" si="2"/>
        <v>1.7890295147886506</v>
      </c>
      <c r="G86">
        <f t="shared" si="3"/>
        <v>1</v>
      </c>
    </row>
    <row r="87" spans="1:7" x14ac:dyDescent="0.25">
      <c r="B87">
        <f>LK_HOD!AC87</f>
        <v>-0.11504836683403365</v>
      </c>
      <c r="C87">
        <f>LK_HOD!AE87</f>
        <v>1.6209845761750339</v>
      </c>
      <c r="D87">
        <f>LK_HOD!AF87</f>
        <v>0.4192908113475951</v>
      </c>
      <c r="E87">
        <f>LK_HOD!AN87</f>
        <v>4.8050561795754643</v>
      </c>
      <c r="F87">
        <f t="shared" si="2"/>
        <v>1.5696687342530662</v>
      </c>
      <c r="G87">
        <f t="shared" si="3"/>
        <v>1</v>
      </c>
    </row>
    <row r="88" spans="1:7" x14ac:dyDescent="0.25">
      <c r="B88">
        <f>LK_HOD!AC88</f>
        <v>-5.8689223298761396E-2</v>
      </c>
      <c r="C88">
        <f>LK_HOD!AE88</f>
        <v>0.76551694881965171</v>
      </c>
      <c r="D88">
        <f>LK_HOD!AF88</f>
        <v>0.57645558009984443</v>
      </c>
      <c r="E88">
        <f>LK_HOD!AN88</f>
        <v>3.6661812331352799</v>
      </c>
      <c r="F88">
        <f t="shared" si="2"/>
        <v>1.2991505844026983</v>
      </c>
      <c r="G88">
        <f t="shared" si="3"/>
        <v>1</v>
      </c>
    </row>
    <row r="89" spans="1:7" x14ac:dyDescent="0.25">
      <c r="B89">
        <f>LK_HOD!AC89</f>
        <v>1.6217240071754273E-2</v>
      </c>
      <c r="C89">
        <f>LK_HOD!AE89</f>
        <v>0.71892010101018333</v>
      </c>
      <c r="D89">
        <f>LK_HOD!AF89</f>
        <v>0.69858715696185014</v>
      </c>
      <c r="E89">
        <f>LK_HOD!AN89</f>
        <v>3.1745323351660697</v>
      </c>
      <c r="F89">
        <f t="shared" si="2"/>
        <v>1.1551603254848455</v>
      </c>
      <c r="G89">
        <f t="shared" si="3"/>
        <v>1</v>
      </c>
    </row>
    <row r="90" spans="1:7" x14ac:dyDescent="0.25">
      <c r="B90">
        <f>LK_HOD!AC90</f>
        <v>-3.077377202841718E-2</v>
      </c>
      <c r="C90">
        <f>LK_HOD!AE90</f>
        <v>1.7335083423902469</v>
      </c>
      <c r="D90">
        <f>LK_HOD!AF90</f>
        <v>0.31304030357074913</v>
      </c>
      <c r="E90">
        <f>LK_HOD!AN90</f>
        <v>5.5469522595751561</v>
      </c>
      <c r="F90">
        <f t="shared" si="2"/>
        <v>1.7132486345055322</v>
      </c>
      <c r="G90">
        <f t="shared" si="3"/>
        <v>1</v>
      </c>
    </row>
    <row r="91" spans="1:7" x14ac:dyDescent="0.25">
      <c r="B91">
        <f>LK_HOD!AC91</f>
        <v>-0.17893415248641062</v>
      </c>
      <c r="C91">
        <f>LK_HOD!AE91</f>
        <v>0.71680208075271823</v>
      </c>
      <c r="D91">
        <f>LK_HOD!AF91</f>
        <v>0.52844747276517701</v>
      </c>
      <c r="E91">
        <f>LK_HOD!AN91</f>
        <v>2.8363944843249942</v>
      </c>
      <c r="F91">
        <f t="shared" si="2"/>
        <v>1.0425336978417361</v>
      </c>
      <c r="G91">
        <f t="shared" si="3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2D48E-B8B3-41B8-8561-2E97502B72DE}">
  <dimension ref="A1:E15"/>
  <sheetViews>
    <sheetView workbookViewId="0">
      <selection activeCell="J6" sqref="J6"/>
    </sheetView>
  </sheetViews>
  <sheetFormatPr defaultRowHeight="15" x14ac:dyDescent="0.25"/>
  <cols>
    <col min="1" max="1" width="18.140625" bestFit="1" customWidth="1"/>
    <col min="5" max="5" width="12.7109375" bestFit="1" customWidth="1"/>
  </cols>
  <sheetData>
    <row r="1" spans="1:5" x14ac:dyDescent="0.25">
      <c r="A1" s="98" t="s">
        <v>161</v>
      </c>
      <c r="B1" s="98" t="s">
        <v>146</v>
      </c>
      <c r="C1" s="98" t="s">
        <v>132</v>
      </c>
      <c r="D1" s="98" t="s">
        <v>145</v>
      </c>
      <c r="E1" s="98" t="s">
        <v>102</v>
      </c>
    </row>
    <row r="2" spans="1:5" x14ac:dyDescent="0.25">
      <c r="A2" s="96"/>
      <c r="B2" s="96"/>
      <c r="C2" s="96"/>
      <c r="D2" s="96"/>
      <c r="E2" s="96"/>
    </row>
    <row r="3" spans="1:5" x14ac:dyDescent="0.25">
      <c r="A3" s="96" t="s">
        <v>162</v>
      </c>
      <c r="B3" s="96">
        <v>-1.5529278200408221</v>
      </c>
      <c r="C3" s="96">
        <v>0.86132063166417894</v>
      </c>
      <c r="D3" s="96">
        <v>11.924420777572285</v>
      </c>
      <c r="E3" s="96">
        <v>1.4789588890794048</v>
      </c>
    </row>
    <row r="4" spans="1:5" x14ac:dyDescent="0.25">
      <c r="A4" s="96" t="s">
        <v>163</v>
      </c>
      <c r="B4" s="96">
        <v>1.5162716206718636</v>
      </c>
      <c r="C4" s="96">
        <v>7.7012930016134323E-2</v>
      </c>
      <c r="D4" s="96">
        <v>8.7816886939241989</v>
      </c>
      <c r="E4" s="96">
        <v>0.21709331553892303</v>
      </c>
    </row>
    <row r="5" spans="1:5" x14ac:dyDescent="0.25">
      <c r="A5" s="96" t="s">
        <v>164</v>
      </c>
      <c r="B5" s="96">
        <v>-2.4796223566541747E-2</v>
      </c>
      <c r="C5" s="96">
        <v>0.53425761060835764</v>
      </c>
      <c r="D5" s="96">
        <v>1.0605850018460599</v>
      </c>
      <c r="E5" s="96">
        <v>1.5392166861097303</v>
      </c>
    </row>
    <row r="6" spans="1:5" x14ac:dyDescent="0.25">
      <c r="A6" s="96" t="s">
        <v>165</v>
      </c>
      <c r="B6" s="96" t="e">
        <v>#N/A</v>
      </c>
      <c r="C6" s="96" t="e">
        <v>#N/A</v>
      </c>
      <c r="D6" s="96" t="e">
        <v>#N/A</v>
      </c>
      <c r="E6" s="96" t="e">
        <v>#N/A</v>
      </c>
    </row>
    <row r="7" spans="1:5" x14ac:dyDescent="0.25">
      <c r="A7" s="96" t="s">
        <v>166</v>
      </c>
      <c r="B7" s="96">
        <v>14.384615618393811</v>
      </c>
      <c r="C7" s="96">
        <v>0.73060880440239717</v>
      </c>
      <c r="D7" s="96">
        <v>83.310413926049179</v>
      </c>
      <c r="E7" s="96">
        <v>2.0595280257018636</v>
      </c>
    </row>
    <row r="8" spans="1:5" x14ac:dyDescent="0.25">
      <c r="A8" s="96" t="s">
        <v>167</v>
      </c>
      <c r="B8" s="96">
        <v>206.91716648893916</v>
      </c>
      <c r="C8" s="96">
        <v>0.53378922507030024</v>
      </c>
      <c r="D8" s="96">
        <v>6940.62506852965</v>
      </c>
      <c r="E8" s="96">
        <v>4.2416556886514165</v>
      </c>
    </row>
    <row r="9" spans="1:5" x14ac:dyDescent="0.25">
      <c r="A9" s="96" t="s">
        <v>168</v>
      </c>
      <c r="B9" s="96">
        <v>89.820694757716012</v>
      </c>
      <c r="C9" s="96">
        <v>1.3250787919059581</v>
      </c>
      <c r="D9" s="96">
        <v>86.923283197957787</v>
      </c>
      <c r="E9" s="96">
        <v>2.9055223531209595</v>
      </c>
    </row>
    <row r="10" spans="1:5" x14ac:dyDescent="0.25">
      <c r="A10" s="96" t="s">
        <v>169</v>
      </c>
      <c r="B10" s="96">
        <v>-9.4728365704595223</v>
      </c>
      <c r="C10" s="96">
        <v>1.3812082409000581</v>
      </c>
      <c r="D10" s="96">
        <v>9.2596993540473758</v>
      </c>
      <c r="E10" s="96">
        <v>-1.176356386131765</v>
      </c>
    </row>
    <row r="11" spans="1:5" x14ac:dyDescent="0.25">
      <c r="A11" s="96" t="s">
        <v>170</v>
      </c>
      <c r="B11" s="96">
        <v>137.98729578382549</v>
      </c>
      <c r="C11" s="96">
        <v>3.3908910787254771</v>
      </c>
      <c r="D11" s="96">
        <v>794.10706726299702</v>
      </c>
      <c r="E11" s="96">
        <v>11.673111025438971</v>
      </c>
    </row>
    <row r="12" spans="1:5" x14ac:dyDescent="0.25">
      <c r="A12" s="96" t="s">
        <v>171</v>
      </c>
      <c r="B12" s="96">
        <v>-136.43605765434648</v>
      </c>
      <c r="C12" s="96">
        <v>6.9573700674811473E-2</v>
      </c>
      <c r="D12" s="96">
        <v>-7.1759530719107865</v>
      </c>
      <c r="E12" s="96">
        <v>-5.6894684144531933</v>
      </c>
    </row>
    <row r="13" spans="1:5" x14ac:dyDescent="0.25">
      <c r="A13" s="96" t="s">
        <v>172</v>
      </c>
      <c r="B13" s="96">
        <v>1.5512381294789934</v>
      </c>
      <c r="C13" s="96">
        <v>3.4604647794002887</v>
      </c>
      <c r="D13" s="96">
        <v>786.93111419108618</v>
      </c>
      <c r="E13" s="96">
        <v>5.9836426109857763</v>
      </c>
    </row>
    <row r="14" spans="1:5" x14ac:dyDescent="0.25">
      <c r="A14" s="96" t="s">
        <v>173</v>
      </c>
      <c r="B14" s="96">
        <v>-139.76350380367398</v>
      </c>
      <c r="C14" s="96">
        <v>77.5188568497761</v>
      </c>
      <c r="D14" s="96">
        <v>1073.1978699815056</v>
      </c>
      <c r="E14" s="96">
        <v>133.10630001714642</v>
      </c>
    </row>
    <row r="15" spans="1:5" ht="15.75" thickBot="1" x14ac:dyDescent="0.3">
      <c r="A15" s="97" t="s">
        <v>174</v>
      </c>
      <c r="B15" s="97">
        <v>90</v>
      </c>
      <c r="C15" s="97">
        <v>90</v>
      </c>
      <c r="D15" s="97">
        <v>90</v>
      </c>
      <c r="E15" s="97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LK_HOD</vt:lpstr>
      <vt:lpstr>Sheet3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DJPB</dc:creator>
  <cp:lastModifiedBy>DJPB</cp:lastModifiedBy>
  <dcterms:created xsi:type="dcterms:W3CDTF">2021-07-02T07:12:33Z</dcterms:created>
  <dcterms:modified xsi:type="dcterms:W3CDTF">2022-11-22T07:22:07Z</dcterms:modified>
</cp:coreProperties>
</file>