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0730" windowHeight="9735" tabRatio="706" firstSheet="2" activeTab="8"/>
  </bookViews>
  <sheets>
    <sheet name="LK_2015_2019" sheetId="5" r:id="rId1"/>
    <sheet name="BALANCE_SHEET" sheetId="1" r:id="rId2"/>
    <sheet name="INCOME_STATEMENT" sheetId="2" r:id="rId3"/>
    <sheet name="RASIO" sheetId="6" r:id="rId4"/>
    <sheet name="TRANSFORMING" sheetId="8" r:id="rId5"/>
    <sheet name="DER_ROA" sheetId="9" r:id="rId6"/>
    <sheet name="DATA_READY" sheetId="4" r:id="rId7"/>
    <sheet name="ANALISA_RASIO" sheetId="3" r:id="rId8"/>
    <sheet name="Sheet2" sheetId="10" r:id="rId9"/>
    <sheet name="Transformasi" sheetId="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8" l="1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H20" i="8"/>
  <c r="H19" i="8"/>
  <c r="H18" i="8"/>
  <c r="H17" i="8"/>
  <c r="H16" i="8"/>
  <c r="H15" i="8"/>
  <c r="H14" i="8"/>
  <c r="H13" i="8"/>
  <c r="H12" i="8"/>
  <c r="H21" i="8"/>
  <c r="G21" i="8"/>
  <c r="G20" i="8"/>
  <c r="G19" i="8"/>
  <c r="G18" i="8"/>
  <c r="G17" i="8"/>
  <c r="G16" i="8"/>
  <c r="G15" i="8"/>
  <c r="G14" i="8"/>
  <c r="G13" i="8"/>
  <c r="G12" i="8"/>
  <c r="F21" i="8"/>
  <c r="F20" i="8"/>
  <c r="F19" i="8"/>
  <c r="F18" i="8"/>
  <c r="F17" i="8"/>
  <c r="F16" i="8"/>
  <c r="F15" i="8"/>
  <c r="F14" i="8"/>
  <c r="F13" i="8"/>
  <c r="F12" i="8"/>
  <c r="H6" i="8"/>
  <c r="G6" i="8"/>
  <c r="H7" i="8"/>
  <c r="H8" i="8"/>
  <c r="H9" i="8"/>
  <c r="H10" i="8"/>
  <c r="H11" i="8"/>
  <c r="G11" i="8"/>
  <c r="G10" i="8"/>
  <c r="G9" i="8"/>
  <c r="G8" i="8"/>
  <c r="G7" i="8"/>
  <c r="F11" i="8"/>
  <c r="F10" i="8"/>
  <c r="F9" i="8"/>
  <c r="F8" i="8"/>
  <c r="F7" i="8"/>
  <c r="F6" i="8"/>
  <c r="F5" i="8"/>
  <c r="G5" i="8"/>
  <c r="G4" i="8"/>
  <c r="F4" i="8"/>
  <c r="H5" i="8"/>
  <c r="H4" i="8"/>
  <c r="B7" i="6"/>
  <c r="C7" i="6"/>
  <c r="D7" i="6"/>
  <c r="E7" i="6"/>
  <c r="F7" i="6"/>
  <c r="G7" i="6"/>
  <c r="H7" i="6"/>
  <c r="I7" i="6"/>
  <c r="J7" i="6"/>
  <c r="K7" i="6"/>
  <c r="L7" i="6"/>
  <c r="M7" i="6"/>
  <c r="L15" i="8"/>
  <c r="L14" i="8"/>
  <c r="L13" i="8"/>
  <c r="L12" i="8"/>
  <c r="L11" i="8"/>
  <c r="L10" i="8"/>
  <c r="L9" i="8"/>
  <c r="L8" i="8"/>
  <c r="M15" i="8"/>
  <c r="M14" i="8"/>
  <c r="M13" i="8"/>
  <c r="M12" i="8"/>
  <c r="M11" i="8"/>
  <c r="M10" i="8"/>
  <c r="M9" i="8"/>
  <c r="M8" i="8"/>
  <c r="M7" i="8"/>
  <c r="M6" i="8"/>
  <c r="M5" i="8"/>
  <c r="M4" i="8"/>
  <c r="L7" i="8"/>
  <c r="L6" i="8"/>
  <c r="L5" i="8"/>
  <c r="L4" i="8"/>
  <c r="N15" i="8"/>
  <c r="N14" i="8"/>
  <c r="N13" i="8"/>
  <c r="N12" i="8"/>
  <c r="N11" i="8"/>
  <c r="N10" i="8"/>
  <c r="N9" i="8"/>
  <c r="N8" i="8"/>
  <c r="N7" i="8"/>
  <c r="N6" i="8"/>
  <c r="N5" i="8"/>
  <c r="N4" i="8"/>
  <c r="B9" i="6"/>
  <c r="C9" i="6"/>
  <c r="D9" i="6"/>
  <c r="E9" i="6"/>
  <c r="F9" i="6"/>
  <c r="G9" i="6"/>
  <c r="H9" i="6"/>
  <c r="I9" i="6"/>
  <c r="J9" i="6"/>
  <c r="K9" i="6"/>
  <c r="L9" i="6"/>
  <c r="M9" i="6"/>
  <c r="N31" i="8"/>
  <c r="N30" i="8"/>
  <c r="N29" i="8"/>
  <c r="N28" i="8"/>
  <c r="M31" i="8"/>
  <c r="M30" i="8"/>
  <c r="M29" i="8"/>
  <c r="M28" i="8"/>
  <c r="L31" i="8"/>
  <c r="L30" i="8"/>
  <c r="L29" i="8"/>
  <c r="L28" i="8"/>
  <c r="L27" i="8"/>
  <c r="L26" i="8"/>
  <c r="L25" i="8"/>
  <c r="L24" i="8"/>
  <c r="L23" i="8"/>
  <c r="L22" i="8"/>
  <c r="L21" i="8"/>
  <c r="L20" i="8"/>
  <c r="M25" i="8"/>
  <c r="M26" i="8"/>
  <c r="M27" i="8"/>
  <c r="M24" i="8"/>
  <c r="M23" i="8"/>
  <c r="M22" i="8"/>
  <c r="M21" i="8"/>
  <c r="M20" i="8"/>
  <c r="N27" i="8"/>
  <c r="N26" i="8"/>
  <c r="N25" i="8"/>
  <c r="N24" i="8"/>
  <c r="N23" i="8"/>
  <c r="N22" i="8"/>
  <c r="N21" i="8"/>
  <c r="N20" i="8"/>
  <c r="L19" i="8"/>
  <c r="L35" i="8"/>
  <c r="L18" i="8"/>
  <c r="L17" i="8"/>
  <c r="M19" i="8"/>
  <c r="M18" i="8"/>
  <c r="M17" i="8"/>
  <c r="N19" i="8"/>
  <c r="N18" i="8"/>
  <c r="N17" i="8"/>
  <c r="L16" i="8"/>
  <c r="M16" i="8"/>
  <c r="N16" i="8"/>
  <c r="N9" i="6"/>
  <c r="L32" i="8"/>
  <c r="N32" i="8"/>
  <c r="M32" i="8"/>
  <c r="N33" i="8"/>
  <c r="L33" i="8"/>
  <c r="M33" i="8"/>
  <c r="L34" i="8"/>
  <c r="M34" i="8"/>
  <c r="N34" i="8"/>
  <c r="M35" i="8"/>
  <c r="N35" i="8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" i="4"/>
  <c r="M34" i="4"/>
  <c r="M33" i="4"/>
  <c r="O33" i="4" s="1"/>
  <c r="M32" i="4"/>
  <c r="M31" i="4"/>
  <c r="M30" i="4"/>
  <c r="O30" i="4" s="1"/>
  <c r="M29" i="4"/>
  <c r="O29" i="4" s="1"/>
  <c r="M28" i="4"/>
  <c r="O28" i="4" s="1"/>
  <c r="M27" i="4"/>
  <c r="O27" i="4" s="1"/>
  <c r="M26" i="4"/>
  <c r="M25" i="4"/>
  <c r="O25" i="4" s="1"/>
  <c r="M24" i="4"/>
  <c r="M23" i="4"/>
  <c r="M22" i="4"/>
  <c r="M21" i="4"/>
  <c r="O21" i="4" s="1"/>
  <c r="M20" i="4"/>
  <c r="O20" i="4" s="1"/>
  <c r="M19" i="4"/>
  <c r="O19" i="4" s="1"/>
  <c r="M18" i="4"/>
  <c r="O18" i="4" s="1"/>
  <c r="M17" i="4"/>
  <c r="O17" i="4" s="1"/>
  <c r="M16" i="4"/>
  <c r="O16" i="4" s="1"/>
  <c r="M15" i="4"/>
  <c r="O15" i="4" s="1"/>
  <c r="M14" i="4"/>
  <c r="O14" i="4" s="1"/>
  <c r="M13" i="4"/>
  <c r="O13" i="4" s="1"/>
  <c r="M12" i="4"/>
  <c r="M11" i="4"/>
  <c r="M10" i="4"/>
  <c r="M9" i="4"/>
  <c r="M8" i="4"/>
  <c r="O8" i="4" s="1"/>
  <c r="M7" i="4"/>
  <c r="O7" i="4" s="1"/>
  <c r="M6" i="4"/>
  <c r="O6" i="4" s="1"/>
  <c r="O9" i="4"/>
  <c r="M5" i="4"/>
  <c r="O5" i="4" s="1"/>
  <c r="M4" i="4"/>
  <c r="O4" i="4"/>
  <c r="M3" i="4"/>
  <c r="O10" i="4"/>
  <c r="O11" i="4"/>
  <c r="O12" i="4"/>
  <c r="O22" i="4"/>
  <c r="O23" i="4"/>
  <c r="O24" i="4"/>
  <c r="O26" i="4"/>
  <c r="O31" i="4"/>
  <c r="O32" i="4"/>
  <c r="O3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" i="4"/>
  <c r="K30" i="4"/>
  <c r="K29" i="4"/>
  <c r="K28" i="4"/>
  <c r="L28" i="4" s="1"/>
  <c r="K27" i="4"/>
  <c r="K26" i="4"/>
  <c r="L26" i="4" s="1"/>
  <c r="K25" i="4"/>
  <c r="K31" i="4"/>
  <c r="K32" i="4"/>
  <c r="K33" i="4"/>
  <c r="K34" i="4"/>
  <c r="K24" i="4"/>
  <c r="L24" i="4" s="1"/>
  <c r="K23" i="4"/>
  <c r="K22" i="4"/>
  <c r="K21" i="4"/>
  <c r="K20" i="4"/>
  <c r="K19" i="4"/>
  <c r="K18" i="4"/>
  <c r="K17" i="4"/>
  <c r="L17" i="4" s="1"/>
  <c r="K16" i="4"/>
  <c r="K15" i="4"/>
  <c r="L15" i="4" s="1"/>
  <c r="K14" i="4"/>
  <c r="K13" i="4"/>
  <c r="K12" i="4"/>
  <c r="L12" i="4" s="1"/>
  <c r="K11" i="4"/>
  <c r="K10" i="4"/>
  <c r="L10" i="4" s="1"/>
  <c r="K9" i="4"/>
  <c r="K8" i="4"/>
  <c r="K7" i="4"/>
  <c r="L4" i="4"/>
  <c r="L5" i="4"/>
  <c r="L6" i="4"/>
  <c r="L7" i="4"/>
  <c r="L8" i="4"/>
  <c r="L9" i="4"/>
  <c r="L11" i="4"/>
  <c r="L13" i="4"/>
  <c r="L14" i="4"/>
  <c r="L16" i="4"/>
  <c r="L18" i="4"/>
  <c r="L19" i="4"/>
  <c r="L20" i="4"/>
  <c r="L21" i="4"/>
  <c r="L22" i="4"/>
  <c r="L23" i="4"/>
  <c r="L25" i="4"/>
  <c r="L27" i="4"/>
  <c r="L29" i="4"/>
  <c r="L30" i="4"/>
  <c r="L31" i="4"/>
  <c r="L32" i="4"/>
  <c r="L33" i="4"/>
  <c r="L34" i="4"/>
  <c r="K6" i="4"/>
  <c r="K5" i="4"/>
  <c r="K4" i="4"/>
  <c r="K3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H34" i="4"/>
  <c r="H33" i="4"/>
  <c r="H32" i="4"/>
  <c r="H31" i="4"/>
  <c r="H30" i="4"/>
  <c r="H29" i="4"/>
  <c r="H28" i="4"/>
  <c r="H27" i="4"/>
  <c r="H26" i="4"/>
  <c r="H25" i="4"/>
  <c r="I28" i="4"/>
  <c r="G34" i="4"/>
  <c r="G33" i="4"/>
  <c r="J33" i="4" s="1"/>
  <c r="G32" i="4"/>
  <c r="G31" i="4"/>
  <c r="G30" i="4"/>
  <c r="G29" i="4"/>
  <c r="G28" i="4"/>
  <c r="G27" i="4"/>
  <c r="J27" i="4" s="1"/>
  <c r="G26" i="4"/>
  <c r="G2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9" i="4"/>
  <c r="J30" i="4"/>
  <c r="J31" i="4"/>
  <c r="J34" i="4"/>
  <c r="H23" i="4"/>
  <c r="H22" i="4"/>
  <c r="H21" i="4"/>
  <c r="H20" i="4"/>
  <c r="H19" i="4"/>
  <c r="H18" i="4"/>
  <c r="H17" i="4"/>
  <c r="H16" i="4"/>
  <c r="H15" i="4"/>
  <c r="H14" i="4"/>
  <c r="H13" i="4"/>
  <c r="I16" i="4"/>
  <c r="H24" i="4"/>
  <c r="I24" i="4" s="1"/>
  <c r="G24" i="4"/>
  <c r="G23" i="4"/>
  <c r="I23" i="4" s="1"/>
  <c r="G22" i="4"/>
  <c r="G21" i="4"/>
  <c r="G20" i="4"/>
  <c r="G19" i="4"/>
  <c r="G18" i="4"/>
  <c r="G17" i="4"/>
  <c r="G16" i="4"/>
  <c r="G15" i="4"/>
  <c r="G14" i="4"/>
  <c r="G13" i="4"/>
  <c r="H12" i="4"/>
  <c r="H11" i="4"/>
  <c r="H10" i="4"/>
  <c r="H9" i="4"/>
  <c r="H8" i="4"/>
  <c r="H7" i="4"/>
  <c r="I7" i="4" s="1"/>
  <c r="G12" i="4"/>
  <c r="G11" i="4"/>
  <c r="G10" i="4"/>
  <c r="G9" i="4"/>
  <c r="G8" i="4"/>
  <c r="I9" i="4"/>
  <c r="H6" i="4"/>
  <c r="H5" i="4"/>
  <c r="I5" i="4" s="1"/>
  <c r="H4" i="4"/>
  <c r="G7" i="4"/>
  <c r="G6" i="4"/>
  <c r="I6" i="4" s="1"/>
  <c r="G5" i="4"/>
  <c r="G4" i="4"/>
  <c r="I4" i="4" s="1"/>
  <c r="H3" i="4"/>
  <c r="G3" i="4"/>
  <c r="J3" i="4"/>
  <c r="L3" i="4" s="1"/>
  <c r="E34" i="4"/>
  <c r="F34" i="4" s="1"/>
  <c r="E33" i="4"/>
  <c r="E32" i="4"/>
  <c r="E31" i="4"/>
  <c r="E30" i="4"/>
  <c r="F30" i="4" s="1"/>
  <c r="E29" i="4"/>
  <c r="E28" i="4"/>
  <c r="E27" i="4"/>
  <c r="E26" i="4"/>
  <c r="F26" i="4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F13" i="4"/>
  <c r="F14" i="4"/>
  <c r="F18" i="4"/>
  <c r="F22" i="4"/>
  <c r="E9" i="4"/>
  <c r="E8" i="4"/>
  <c r="F8" i="4" s="1"/>
  <c r="E7" i="4"/>
  <c r="E6" i="4"/>
  <c r="F9" i="4"/>
  <c r="I8" i="4"/>
  <c r="I10" i="4"/>
  <c r="I12" i="4"/>
  <c r="I13" i="4"/>
  <c r="I14" i="4"/>
  <c r="I15" i="4"/>
  <c r="I17" i="4"/>
  <c r="I18" i="4"/>
  <c r="I19" i="4"/>
  <c r="I21" i="4"/>
  <c r="I22" i="4"/>
  <c r="I25" i="4"/>
  <c r="I26" i="4"/>
  <c r="I27" i="4"/>
  <c r="I29" i="4"/>
  <c r="I30" i="4"/>
  <c r="I31" i="4"/>
  <c r="I33" i="4"/>
  <c r="I34" i="4"/>
  <c r="F6" i="4"/>
  <c r="F17" i="4"/>
  <c r="E5" i="4"/>
  <c r="F5" i="4" s="1"/>
  <c r="E4" i="4"/>
  <c r="E3" i="4"/>
  <c r="F3" i="4"/>
  <c r="R3" i="4"/>
  <c r="I3" i="4"/>
  <c r="O3" i="4"/>
  <c r="I32" i="4" l="1"/>
  <c r="J32" i="4"/>
  <c r="J28" i="4"/>
  <c r="I20" i="4"/>
  <c r="I11" i="4"/>
  <c r="F31" i="4"/>
  <c r="F27" i="4"/>
  <c r="F23" i="4"/>
  <c r="F19" i="4"/>
  <c r="F15" i="4"/>
  <c r="F11" i="4"/>
  <c r="F10" i="4"/>
  <c r="F7" i="4"/>
  <c r="F32" i="4"/>
  <c r="F28" i="4"/>
  <c r="F24" i="4"/>
  <c r="F20" i="4"/>
  <c r="F16" i="4"/>
  <c r="F12" i="4"/>
  <c r="F21" i="4"/>
  <c r="F25" i="4"/>
  <c r="F29" i="4"/>
  <c r="F33" i="4"/>
  <c r="F4" i="4"/>
  <c r="H9" i="2"/>
  <c r="I9" i="2"/>
  <c r="J9" i="2"/>
  <c r="J13" i="2" s="1"/>
  <c r="J16" i="2" s="1"/>
  <c r="J18" i="2" s="1"/>
  <c r="K9" i="2"/>
  <c r="K13" i="2" s="1"/>
  <c r="K16" i="2" s="1"/>
  <c r="K18" i="2" s="1"/>
  <c r="L9" i="2"/>
  <c r="M9" i="2"/>
  <c r="M13" i="2" s="1"/>
  <c r="M16" i="2" s="1"/>
  <c r="M18" i="2" s="1"/>
  <c r="H13" i="2"/>
  <c r="H16" i="2" s="1"/>
  <c r="H18" i="2" s="1"/>
  <c r="I13" i="2"/>
  <c r="I16" i="2" s="1"/>
  <c r="I18" i="2" s="1"/>
  <c r="L13" i="2"/>
  <c r="L16" i="2" s="1"/>
  <c r="L18" i="2" s="1"/>
  <c r="E12" i="2"/>
  <c r="D12" i="2"/>
  <c r="G9" i="2"/>
  <c r="G13" i="2" s="1"/>
  <c r="G16" i="2" s="1"/>
  <c r="G18" i="2" s="1"/>
  <c r="F9" i="2"/>
  <c r="E9" i="2"/>
  <c r="E13" i="2" s="1"/>
  <c r="E16" i="2" s="1"/>
  <c r="E18" i="2" s="1"/>
  <c r="F13" i="2"/>
  <c r="F16" i="2" s="1"/>
  <c r="F18" i="2" s="1"/>
  <c r="D13" i="2"/>
  <c r="D16" i="2" s="1"/>
  <c r="D18" i="2" s="1"/>
  <c r="D9" i="2"/>
  <c r="C18" i="2"/>
  <c r="C12" i="2"/>
  <c r="C13" i="2" s="1"/>
  <c r="C16" i="2" s="1"/>
  <c r="C9" i="2"/>
  <c r="M12" i="1"/>
  <c r="M15" i="1" s="1"/>
  <c r="M8" i="1"/>
  <c r="E16" i="1"/>
  <c r="E17" i="1" s="1"/>
  <c r="O15" i="1"/>
  <c r="O12" i="1"/>
  <c r="L12" i="1"/>
  <c r="L15" i="1" s="1"/>
  <c r="N12" i="1"/>
  <c r="N15" i="1" s="1"/>
  <c r="N16" i="1" s="1"/>
  <c r="N17" i="1" s="1"/>
  <c r="L8" i="1"/>
  <c r="N8" i="1"/>
  <c r="O8" i="1"/>
  <c r="F12" i="1"/>
  <c r="F15" i="1" s="1"/>
  <c r="G12" i="1"/>
  <c r="G15" i="1" s="1"/>
  <c r="H12" i="1"/>
  <c r="H15" i="1" s="1"/>
  <c r="I12" i="1"/>
  <c r="I15" i="1" s="1"/>
  <c r="J12" i="1"/>
  <c r="J15" i="1" s="1"/>
  <c r="K12" i="1"/>
  <c r="K15" i="1" s="1"/>
  <c r="F8" i="1"/>
  <c r="G8" i="1"/>
  <c r="H8" i="1"/>
  <c r="I8" i="1"/>
  <c r="J8" i="1"/>
  <c r="K8" i="1"/>
  <c r="E12" i="1"/>
  <c r="E15" i="1" s="1"/>
  <c r="E8" i="1"/>
  <c r="D98" i="2"/>
  <c r="E98" i="2"/>
  <c r="F98" i="2"/>
  <c r="G98" i="2"/>
  <c r="H98" i="2"/>
  <c r="I98" i="2"/>
  <c r="J98" i="2"/>
  <c r="K98" i="2"/>
  <c r="L98" i="2"/>
  <c r="M98" i="2"/>
  <c r="D96" i="2"/>
  <c r="E96" i="2"/>
  <c r="F96" i="2"/>
  <c r="G96" i="2"/>
  <c r="H96" i="2"/>
  <c r="I96" i="2"/>
  <c r="J96" i="2"/>
  <c r="K96" i="2"/>
  <c r="L96" i="2"/>
  <c r="M96" i="2"/>
  <c r="D94" i="2"/>
  <c r="E94" i="2"/>
  <c r="F94" i="2"/>
  <c r="G94" i="2"/>
  <c r="H94" i="2"/>
  <c r="I94" i="2"/>
  <c r="J94" i="2"/>
  <c r="K94" i="2"/>
  <c r="L94" i="2"/>
  <c r="M94" i="2"/>
  <c r="I90" i="2"/>
  <c r="H90" i="2"/>
  <c r="G90" i="2"/>
  <c r="F90" i="2"/>
  <c r="E90" i="2"/>
  <c r="D90" i="2"/>
  <c r="J90" i="2"/>
  <c r="K90" i="2"/>
  <c r="L90" i="2"/>
  <c r="M90" i="2"/>
  <c r="N90" i="2"/>
  <c r="O16" i="1" l="1"/>
  <c r="O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M16" i="1"/>
  <c r="M17" i="1" s="1"/>
  <c r="F16" i="1"/>
  <c r="F17" i="1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T72" i="1" l="1"/>
  <c r="T75" i="1" s="1"/>
  <c r="T68" i="1"/>
  <c r="Q75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P75" i="1"/>
  <c r="P65" i="1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N35" i="6"/>
  <c r="A34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N25" i="6"/>
  <c r="A24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N15" i="6"/>
  <c r="A14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N5" i="6"/>
  <c r="A2" i="6"/>
  <c r="T76" i="1" l="1"/>
  <c r="T77" i="1" s="1"/>
  <c r="AH63" i="2"/>
  <c r="AH68" i="2" s="1"/>
  <c r="AH71" i="2" s="1"/>
  <c r="AH73" i="2" s="1"/>
  <c r="AG63" i="2"/>
  <c r="AG68" i="2" s="1"/>
  <c r="AG71" i="2" s="1"/>
  <c r="AG73" i="2" s="1"/>
  <c r="AF63" i="2"/>
  <c r="AF68" i="2" s="1"/>
  <c r="AF71" i="2" s="1"/>
  <c r="AF73" i="2" s="1"/>
  <c r="AE63" i="2"/>
  <c r="AE68" i="2" s="1"/>
  <c r="AD63" i="2"/>
  <c r="AC63" i="2"/>
  <c r="AC68" i="2" s="1"/>
  <c r="AC71" i="2" s="1"/>
  <c r="AC73" i="2" s="1"/>
  <c r="AB63" i="2"/>
  <c r="AB68" i="2" s="1"/>
  <c r="AB71" i="2" s="1"/>
  <c r="AB73" i="2" s="1"/>
  <c r="AA63" i="2"/>
  <c r="AA68" i="2" s="1"/>
  <c r="AA71" i="2" s="1"/>
  <c r="AA73" i="2" s="1"/>
  <c r="V63" i="2"/>
  <c r="U63" i="2"/>
  <c r="U68" i="2" s="1"/>
  <c r="U71" i="2" s="1"/>
  <c r="U73" i="2" s="1"/>
  <c r="T63" i="2"/>
  <c r="T68" i="2" s="1"/>
  <c r="T71" i="2" s="1"/>
  <c r="T73" i="2" s="1"/>
  <c r="S63" i="2"/>
  <c r="S68" i="2" s="1"/>
  <c r="S71" i="2" s="1"/>
  <c r="S73" i="2" s="1"/>
  <c r="Q63" i="2"/>
  <c r="Q68" i="2" s="1"/>
  <c r="Q71" i="2" s="1"/>
  <c r="Q73" i="2" s="1"/>
  <c r="P63" i="2"/>
  <c r="P68" i="2" s="1"/>
  <c r="P71" i="2" s="1"/>
  <c r="P73" i="2" s="1"/>
  <c r="O63" i="2"/>
  <c r="O68" i="2" s="1"/>
  <c r="O71" i="2" s="1"/>
  <c r="O73" i="2" s="1"/>
  <c r="N30" i="6" l="1"/>
  <c r="T30" i="6"/>
  <c r="Z30" i="6"/>
  <c r="AE30" i="6"/>
  <c r="R30" i="6"/>
  <c r="AA30" i="6"/>
  <c r="AF30" i="6"/>
  <c r="P30" i="6"/>
  <c r="O30" i="6"/>
  <c r="S30" i="6"/>
  <c r="AB30" i="6"/>
  <c r="AG30" i="6"/>
  <c r="AE71" i="2"/>
  <c r="AE73" i="2" s="1"/>
  <c r="W67" i="2"/>
  <c r="W68" i="2"/>
  <c r="W63" i="2"/>
  <c r="X63" i="2"/>
  <c r="X68" i="2" s="1"/>
  <c r="X71" i="2" s="1"/>
  <c r="X73" i="2" s="1"/>
  <c r="Y63" i="2"/>
  <c r="Y68" i="2" s="1"/>
  <c r="Y71" i="2" s="1"/>
  <c r="Y73" i="2" s="1"/>
  <c r="Z41" i="1"/>
  <c r="Z42" i="1"/>
  <c r="AG45" i="1"/>
  <c r="AI42" i="1"/>
  <c r="AH42" i="1"/>
  <c r="AG42" i="1"/>
  <c r="AI38" i="1"/>
  <c r="AF26" i="6" s="1"/>
  <c r="AH38" i="1"/>
  <c r="AE26" i="6" s="1"/>
  <c r="AG38" i="1"/>
  <c r="AD26" i="6" s="1"/>
  <c r="Z45" i="1"/>
  <c r="AE42" i="1"/>
  <c r="AD42" i="1"/>
  <c r="AC42" i="1"/>
  <c r="AA42" i="1"/>
  <c r="Y42" i="1"/>
  <c r="AE38" i="1"/>
  <c r="AB26" i="6" s="1"/>
  <c r="AD38" i="1"/>
  <c r="AA26" i="6" s="1"/>
  <c r="AC38" i="1"/>
  <c r="Z26" i="6" s="1"/>
  <c r="AA38" i="1"/>
  <c r="X26" i="6" s="1"/>
  <c r="Z38" i="1"/>
  <c r="W26" i="6" s="1"/>
  <c r="Y38" i="1"/>
  <c r="V26" i="6" s="1"/>
  <c r="U42" i="1"/>
  <c r="V42" i="1"/>
  <c r="W42" i="1"/>
  <c r="W38" i="1"/>
  <c r="T26" i="6" s="1"/>
  <c r="V38" i="1"/>
  <c r="S26" i="6" s="1"/>
  <c r="U38" i="1"/>
  <c r="R26" i="6" s="1"/>
  <c r="Q42" i="1"/>
  <c r="R42" i="1"/>
  <c r="S42" i="1"/>
  <c r="Q38" i="1"/>
  <c r="N26" i="6" s="1"/>
  <c r="R38" i="1"/>
  <c r="O26" i="6" s="1"/>
  <c r="S38" i="1"/>
  <c r="P26" i="6" s="1"/>
  <c r="Z46" i="1" l="1"/>
  <c r="Z47" i="1" s="1"/>
  <c r="X30" i="6"/>
  <c r="X29" i="6"/>
  <c r="W29" i="6"/>
  <c r="W30" i="6"/>
  <c r="R45" i="1"/>
  <c r="O28" i="6"/>
  <c r="O27" i="6"/>
  <c r="U45" i="1"/>
  <c r="U46" i="1" s="1"/>
  <c r="U47" i="1" s="1"/>
  <c r="R28" i="6"/>
  <c r="R27" i="6"/>
  <c r="AA29" i="6"/>
  <c r="W45" i="1"/>
  <c r="W46" i="1" s="1"/>
  <c r="W47" i="1" s="1"/>
  <c r="T27" i="6"/>
  <c r="T28" i="6"/>
  <c r="AD45" i="1"/>
  <c r="AA28" i="6"/>
  <c r="AA27" i="6"/>
  <c r="AH45" i="1"/>
  <c r="AH46" i="1" s="1"/>
  <c r="AH47" i="1" s="1"/>
  <c r="AE28" i="6"/>
  <c r="AE27" i="6"/>
  <c r="AB29" i="6"/>
  <c r="O29" i="6"/>
  <c r="AF29" i="6"/>
  <c r="R29" i="6"/>
  <c r="Z29" i="6"/>
  <c r="N29" i="6"/>
  <c r="AA45" i="1"/>
  <c r="AA46" i="1" s="1"/>
  <c r="AA47" i="1" s="1"/>
  <c r="X27" i="6"/>
  <c r="X28" i="6"/>
  <c r="Q45" i="1"/>
  <c r="Q46" i="1" s="1"/>
  <c r="Q47" i="1" s="1"/>
  <c r="N28" i="6"/>
  <c r="N27" i="6"/>
  <c r="R46" i="1"/>
  <c r="R47" i="1" s="1"/>
  <c r="AC45" i="1"/>
  <c r="AC46" i="1" s="1"/>
  <c r="AC47" i="1" s="1"/>
  <c r="Z28" i="6"/>
  <c r="Z27" i="6"/>
  <c r="AD28" i="6"/>
  <c r="AD27" i="6"/>
  <c r="S45" i="1"/>
  <c r="S46" i="1" s="1"/>
  <c r="S47" i="1" s="1"/>
  <c r="P27" i="6"/>
  <c r="P28" i="6"/>
  <c r="V45" i="1"/>
  <c r="V46" i="1" s="1"/>
  <c r="V47" i="1" s="1"/>
  <c r="S28" i="6"/>
  <c r="S27" i="6"/>
  <c r="Y45" i="1"/>
  <c r="Y46" i="1" s="1"/>
  <c r="Y47" i="1" s="1"/>
  <c r="V28" i="6"/>
  <c r="V27" i="6"/>
  <c r="AE45" i="1"/>
  <c r="AB27" i="6"/>
  <c r="AB28" i="6"/>
  <c r="AI45" i="1"/>
  <c r="AI46" i="1" s="1"/>
  <c r="AI47" i="1" s="1"/>
  <c r="AF27" i="6"/>
  <c r="AF28" i="6"/>
  <c r="W28" i="6"/>
  <c r="W27" i="6"/>
  <c r="AD30" i="6"/>
  <c r="AD29" i="6"/>
  <c r="S29" i="6"/>
  <c r="P29" i="6"/>
  <c r="AE29" i="6"/>
  <c r="T29" i="6"/>
  <c r="W71" i="2"/>
  <c r="W73" i="2" s="1"/>
  <c r="AG46" i="1"/>
  <c r="AG47" i="1" s="1"/>
  <c r="AD46" i="1"/>
  <c r="AD47" i="1" s="1"/>
  <c r="AE46" i="1"/>
  <c r="AE47" i="1" s="1"/>
  <c r="AF44" i="2"/>
  <c r="AF43" i="2"/>
  <c r="AF46" i="2"/>
  <c r="AH36" i="2"/>
  <c r="AH41" i="2" s="1"/>
  <c r="AG36" i="2"/>
  <c r="AG41" i="2" s="1"/>
  <c r="AG44" i="2" s="1"/>
  <c r="AG46" i="2" s="1"/>
  <c r="AF36" i="2"/>
  <c r="AF41" i="2" s="1"/>
  <c r="AE36" i="2"/>
  <c r="AE41" i="2" s="1"/>
  <c r="AE44" i="2" s="1"/>
  <c r="AE46" i="2" s="1"/>
  <c r="AE27" i="1"/>
  <c r="AD27" i="1"/>
  <c r="AC27" i="1"/>
  <c r="AE23" i="1"/>
  <c r="AB16" i="6" s="1"/>
  <c r="AD23" i="1"/>
  <c r="AA16" i="6" s="1"/>
  <c r="AC23" i="1"/>
  <c r="Z16" i="6" s="1"/>
  <c r="AA36" i="2"/>
  <c r="AA41" i="2" s="1"/>
  <c r="AA44" i="2" s="1"/>
  <c r="AA46" i="2" s="1"/>
  <c r="AB36" i="2"/>
  <c r="AB41" i="2" s="1"/>
  <c r="AB44" i="2" s="1"/>
  <c r="AB46" i="2" s="1"/>
  <c r="AC36" i="2"/>
  <c r="AC41" i="2" s="1"/>
  <c r="AC44" i="2" s="1"/>
  <c r="AC46" i="2" s="1"/>
  <c r="W41" i="2"/>
  <c r="W44" i="2" s="1"/>
  <c r="W46" i="2" s="1"/>
  <c r="W36" i="2"/>
  <c r="X36" i="2"/>
  <c r="X41" i="2" s="1"/>
  <c r="X44" i="2" s="1"/>
  <c r="X46" i="2" s="1"/>
  <c r="Y36" i="2"/>
  <c r="Y41" i="2" s="1"/>
  <c r="Y44" i="2" s="1"/>
  <c r="Y46" i="2" s="1"/>
  <c r="Y23" i="1"/>
  <c r="V16" i="6" s="1"/>
  <c r="Z23" i="1"/>
  <c r="W16" i="6" s="1"/>
  <c r="AA23" i="1"/>
  <c r="X16" i="6" s="1"/>
  <c r="Y27" i="1"/>
  <c r="Z27" i="1"/>
  <c r="AA27" i="1"/>
  <c r="AE30" i="1"/>
  <c r="AG27" i="1"/>
  <c r="AH27" i="1"/>
  <c r="AI27" i="1"/>
  <c r="AI30" i="1" s="1"/>
  <c r="AJ27" i="1"/>
  <c r="AG23" i="1"/>
  <c r="AD16" i="6" s="1"/>
  <c r="AH23" i="1"/>
  <c r="AE16" i="6" s="1"/>
  <c r="AI23" i="1"/>
  <c r="AF16" i="6" s="1"/>
  <c r="AJ23" i="1"/>
  <c r="U23" i="1"/>
  <c r="R16" i="6" s="1"/>
  <c r="W27" i="1"/>
  <c r="V27" i="1"/>
  <c r="U27" i="1"/>
  <c r="W23" i="1"/>
  <c r="T16" i="6" s="1"/>
  <c r="V23" i="1"/>
  <c r="S16" i="6" s="1"/>
  <c r="Q30" i="1"/>
  <c r="S27" i="1"/>
  <c r="R27" i="1"/>
  <c r="Q27" i="1"/>
  <c r="S23" i="1"/>
  <c r="P16" i="6" s="1"/>
  <c r="R23" i="1"/>
  <c r="O16" i="6" s="1"/>
  <c r="Q23" i="1"/>
  <c r="N16" i="6" s="1"/>
  <c r="S36" i="2"/>
  <c r="S41" i="2" s="1"/>
  <c r="S44" i="2" s="1"/>
  <c r="S46" i="2" s="1"/>
  <c r="T36" i="2"/>
  <c r="T41" i="2" s="1"/>
  <c r="T44" i="2" s="1"/>
  <c r="T46" i="2" s="1"/>
  <c r="U36" i="2"/>
  <c r="U41" i="2" s="1"/>
  <c r="U44" i="2" s="1"/>
  <c r="U46" i="2" s="1"/>
  <c r="O36" i="2"/>
  <c r="P36" i="2"/>
  <c r="P41" i="2" s="1"/>
  <c r="P44" i="2" s="1"/>
  <c r="P46" i="2" s="1"/>
  <c r="Q36" i="2"/>
  <c r="Q41" i="2" s="1"/>
  <c r="Q44" i="2" s="1"/>
  <c r="Q46" i="2" s="1"/>
  <c r="U95" i="2"/>
  <c r="U94" i="2"/>
  <c r="S90" i="2"/>
  <c r="S94" i="2" s="1"/>
  <c r="T90" i="2"/>
  <c r="T94" i="2" s="1"/>
  <c r="U90" i="2"/>
  <c r="W94" i="2"/>
  <c r="Y90" i="2"/>
  <c r="Y94" i="2" s="1"/>
  <c r="X90" i="2"/>
  <c r="X94" i="2" s="1"/>
  <c r="W90" i="2"/>
  <c r="AD20" i="6" l="1"/>
  <c r="AD19" i="6"/>
  <c r="AF19" i="6"/>
  <c r="AF20" i="6"/>
  <c r="AG30" i="1"/>
  <c r="AD17" i="6"/>
  <c r="AD18" i="6"/>
  <c r="Z30" i="1"/>
  <c r="Z31" i="1" s="1"/>
  <c r="Z32" i="1" s="1"/>
  <c r="W17" i="6"/>
  <c r="W18" i="6"/>
  <c r="AD30" i="1"/>
  <c r="AA17" i="6"/>
  <c r="AA18" i="6"/>
  <c r="AE19" i="6"/>
  <c r="AE20" i="6"/>
  <c r="O19" i="6"/>
  <c r="O20" i="6"/>
  <c r="R20" i="6"/>
  <c r="R19" i="6"/>
  <c r="S30" i="1"/>
  <c r="S31" i="1" s="1"/>
  <c r="S32" i="1" s="1"/>
  <c r="P17" i="6"/>
  <c r="P18" i="6"/>
  <c r="U30" i="1"/>
  <c r="R17" i="6"/>
  <c r="R18" i="6"/>
  <c r="Y30" i="1"/>
  <c r="V17" i="6"/>
  <c r="V18" i="6"/>
  <c r="X19" i="6"/>
  <c r="X20" i="6"/>
  <c r="AB19" i="6"/>
  <c r="AB20" i="6"/>
  <c r="AB17" i="6"/>
  <c r="AB18" i="6"/>
  <c r="V30" i="6"/>
  <c r="V29" i="6"/>
  <c r="P19" i="6"/>
  <c r="P20" i="6"/>
  <c r="V20" i="6"/>
  <c r="V19" i="6"/>
  <c r="V30" i="1"/>
  <c r="S17" i="6"/>
  <c r="S18" i="6"/>
  <c r="AF17" i="6"/>
  <c r="AF18" i="6"/>
  <c r="W19" i="6"/>
  <c r="W20" i="6"/>
  <c r="AA19" i="6"/>
  <c r="AA20" i="6"/>
  <c r="S19" i="6"/>
  <c r="S20" i="6"/>
  <c r="R30" i="1"/>
  <c r="R31" i="1" s="1"/>
  <c r="R32" i="1" s="1"/>
  <c r="O17" i="6"/>
  <c r="O18" i="6"/>
  <c r="T19" i="6"/>
  <c r="T20" i="6"/>
  <c r="N18" i="6"/>
  <c r="N17" i="6"/>
  <c r="W30" i="1"/>
  <c r="T17" i="6"/>
  <c r="T18" i="6"/>
  <c r="AH30" i="1"/>
  <c r="AE17" i="6"/>
  <c r="AE18" i="6"/>
  <c r="AA30" i="1"/>
  <c r="X17" i="6"/>
  <c r="X18" i="6"/>
  <c r="Z20" i="6"/>
  <c r="Z19" i="6"/>
  <c r="AC30" i="1"/>
  <c r="Z17" i="6"/>
  <c r="Z18" i="6"/>
  <c r="O41" i="2"/>
  <c r="O44" i="2" s="1"/>
  <c r="O46" i="2" s="1"/>
  <c r="AG31" i="1"/>
  <c r="AG32" i="1" s="1"/>
  <c r="AH31" i="1"/>
  <c r="AH32" i="1" s="1"/>
  <c r="AI31" i="1"/>
  <c r="AI32" i="1" s="1"/>
  <c r="AE31" i="1"/>
  <c r="AE32" i="1" s="1"/>
  <c r="AD31" i="1"/>
  <c r="AD32" i="1" s="1"/>
  <c r="AC31" i="1"/>
  <c r="AC32" i="1" s="1"/>
  <c r="AA31" i="1"/>
  <c r="AA32" i="1" s="1"/>
  <c r="Y31" i="1"/>
  <c r="Y32" i="1" s="1"/>
  <c r="W31" i="1"/>
  <c r="W32" i="1" s="1"/>
  <c r="V31" i="1"/>
  <c r="V32" i="1" s="1"/>
  <c r="U31" i="1"/>
  <c r="U32" i="1" s="1"/>
  <c r="Q31" i="1"/>
  <c r="Q32" i="1" s="1"/>
  <c r="Q95" i="2"/>
  <c r="Q90" i="2"/>
  <c r="Q94" i="2" s="1"/>
  <c r="P90" i="2"/>
  <c r="P94" i="2" s="1"/>
  <c r="P96" i="2" s="1"/>
  <c r="P98" i="2" s="1"/>
  <c r="O90" i="2"/>
  <c r="O94" i="2" s="1"/>
  <c r="O96" i="2" s="1"/>
  <c r="O98" i="2" s="1"/>
  <c r="AC94" i="2"/>
  <c r="AC96" i="2" s="1"/>
  <c r="AC98" i="2" s="1"/>
  <c r="AC90" i="2"/>
  <c r="AG90" i="2"/>
  <c r="AG94" i="2" s="1"/>
  <c r="AG96" i="2" s="1"/>
  <c r="AG98" i="2" s="1"/>
  <c r="AE90" i="2"/>
  <c r="AE94" i="2" s="1"/>
  <c r="AE96" i="2" s="1"/>
  <c r="AE98" i="2" s="1"/>
  <c r="S96" i="2"/>
  <c r="S98" i="2" s="1"/>
  <c r="T96" i="2"/>
  <c r="T98" i="2" s="1"/>
  <c r="U96" i="2"/>
  <c r="U98" i="2" s="1"/>
  <c r="W96" i="2"/>
  <c r="W98" i="2" s="1"/>
  <c r="X96" i="2"/>
  <c r="X98" i="2" s="1"/>
  <c r="Y96" i="2"/>
  <c r="Y98" i="2" s="1"/>
  <c r="AB90" i="2"/>
  <c r="AB94" i="2" s="1"/>
  <c r="AB96" i="2" s="1"/>
  <c r="AB98" i="2" s="1"/>
  <c r="AA90" i="2"/>
  <c r="AA94" i="2" s="1"/>
  <c r="AA96" i="2" s="1"/>
  <c r="AA98" i="2" s="1"/>
  <c r="AE57" i="1"/>
  <c r="AE60" i="1" s="1"/>
  <c r="AD57" i="1"/>
  <c r="AC57" i="1"/>
  <c r="AA57" i="1"/>
  <c r="Z57" i="1"/>
  <c r="Y57" i="1"/>
  <c r="Y60" i="1" s="1"/>
  <c r="W57" i="1"/>
  <c r="V57" i="1"/>
  <c r="U57" i="1"/>
  <c r="S57" i="1"/>
  <c r="R57" i="1"/>
  <c r="Q57" i="1"/>
  <c r="Q53" i="1"/>
  <c r="N36" i="6" s="1"/>
  <c r="R53" i="1"/>
  <c r="O36" i="6" s="1"/>
  <c r="S53" i="1"/>
  <c r="P36" i="6" s="1"/>
  <c r="V53" i="1"/>
  <c r="S36" i="6" s="1"/>
  <c r="U53" i="1"/>
  <c r="R36" i="6" s="1"/>
  <c r="W53" i="1"/>
  <c r="T36" i="6" s="1"/>
  <c r="Y53" i="1"/>
  <c r="V36" i="6" s="1"/>
  <c r="Z53" i="1"/>
  <c r="W36" i="6" s="1"/>
  <c r="AA53" i="1"/>
  <c r="X36" i="6" s="1"/>
  <c r="AB53" i="1"/>
  <c r="Y36" i="6" s="1"/>
  <c r="AC53" i="1"/>
  <c r="Z36" i="6" s="1"/>
  <c r="AD53" i="1"/>
  <c r="AA36" i="6" s="1"/>
  <c r="AE53" i="1"/>
  <c r="AB36" i="6" s="1"/>
  <c r="AF53" i="1"/>
  <c r="AC36" i="6" s="1"/>
  <c r="AG53" i="1"/>
  <c r="AD36" i="6" s="1"/>
  <c r="AG57" i="1"/>
  <c r="AH57" i="1"/>
  <c r="AH53" i="1"/>
  <c r="AE36" i="6" s="1"/>
  <c r="AI57" i="1"/>
  <c r="AI53" i="1"/>
  <c r="AF36" i="6" s="1"/>
  <c r="AF90" i="2"/>
  <c r="AF94" i="2" s="1"/>
  <c r="AF96" i="2" s="1"/>
  <c r="AF98" i="2" s="1"/>
  <c r="AH90" i="2"/>
  <c r="AH94" i="2" s="1"/>
  <c r="AH96" i="2" s="1"/>
  <c r="AH98" i="2" s="1"/>
  <c r="AJ57" i="1"/>
  <c r="AJ53" i="1"/>
  <c r="AG36" i="6" s="1"/>
  <c r="AF57" i="1"/>
  <c r="AB23" i="2"/>
  <c r="AF60" i="1" l="1"/>
  <c r="AC38" i="6"/>
  <c r="AC37" i="6"/>
  <c r="S60" i="1"/>
  <c r="P38" i="6"/>
  <c r="P37" i="6"/>
  <c r="W40" i="6"/>
  <c r="W39" i="6"/>
  <c r="AH60" i="1"/>
  <c r="AE37" i="6"/>
  <c r="AE38" i="6"/>
  <c r="U60" i="1"/>
  <c r="R38" i="6"/>
  <c r="R37" i="6"/>
  <c r="Z60" i="1"/>
  <c r="W37" i="6"/>
  <c r="W38" i="6"/>
  <c r="AB38" i="6"/>
  <c r="AB37" i="6"/>
  <c r="Z40" i="6"/>
  <c r="Z39" i="6"/>
  <c r="V40" i="6"/>
  <c r="V39" i="6"/>
  <c r="AD40" i="6"/>
  <c r="AD39" i="6"/>
  <c r="N40" i="6"/>
  <c r="N39" i="6"/>
  <c r="AD60" i="1"/>
  <c r="AA37" i="6"/>
  <c r="AA38" i="6"/>
  <c r="R40" i="6"/>
  <c r="R39" i="6"/>
  <c r="AJ60" i="1"/>
  <c r="AG38" i="6"/>
  <c r="AG37" i="6"/>
  <c r="AG60" i="1"/>
  <c r="AD38" i="6"/>
  <c r="AD37" i="6"/>
  <c r="Q60" i="1"/>
  <c r="N38" i="6"/>
  <c r="N37" i="6"/>
  <c r="AA60" i="1"/>
  <c r="X38" i="6"/>
  <c r="X37" i="6"/>
  <c r="AA40" i="6"/>
  <c r="AA39" i="6"/>
  <c r="T40" i="6"/>
  <c r="T39" i="6"/>
  <c r="AF40" i="6"/>
  <c r="AF39" i="6"/>
  <c r="O40" i="6"/>
  <c r="O39" i="6"/>
  <c r="AE40" i="6"/>
  <c r="AE39" i="6"/>
  <c r="V38" i="6"/>
  <c r="V37" i="6"/>
  <c r="AB40" i="6"/>
  <c r="AB39" i="6"/>
  <c r="AF38" i="6"/>
  <c r="AF37" i="6"/>
  <c r="V60" i="1"/>
  <c r="S37" i="6"/>
  <c r="S38" i="6"/>
  <c r="AG39" i="6"/>
  <c r="AG40" i="6"/>
  <c r="AI60" i="1"/>
  <c r="R60" i="1"/>
  <c r="O37" i="6"/>
  <c r="O38" i="6"/>
  <c r="W60" i="1"/>
  <c r="T38" i="6"/>
  <c r="T37" i="6"/>
  <c r="AC60" i="1"/>
  <c r="Z38" i="6"/>
  <c r="Z37" i="6"/>
  <c r="X40" i="6"/>
  <c r="X39" i="6"/>
  <c r="S40" i="6"/>
  <c r="S39" i="6"/>
  <c r="N20" i="6"/>
  <c r="N19" i="6"/>
  <c r="Q96" i="2"/>
  <c r="Q98" i="2" s="1"/>
  <c r="AC9" i="2"/>
  <c r="AC13" i="2" s="1"/>
  <c r="AC16" i="2" s="1"/>
  <c r="AC18" i="2" s="1"/>
  <c r="AH78" i="2"/>
  <c r="AH51" i="2"/>
  <c r="AH44" i="2"/>
  <c r="AH46" i="2" s="1"/>
  <c r="AH52" i="2" s="1"/>
  <c r="AH23" i="2"/>
  <c r="AG23" i="2"/>
  <c r="AF23" i="2"/>
  <c r="AE23" i="2"/>
  <c r="AH9" i="2"/>
  <c r="AH13" i="2" s="1"/>
  <c r="AH16" i="2" s="1"/>
  <c r="AH18" i="2" s="1"/>
  <c r="AG9" i="2"/>
  <c r="AG13" i="2" s="1"/>
  <c r="AG16" i="2" s="1"/>
  <c r="AG18" i="2" s="1"/>
  <c r="AF9" i="2"/>
  <c r="AF13" i="2" s="1"/>
  <c r="AF16" i="2" s="1"/>
  <c r="AF18" i="2" s="1"/>
  <c r="AE9" i="2"/>
  <c r="AE13" i="2" s="1"/>
  <c r="AE16" i="2" s="1"/>
  <c r="AE18" i="2" s="1"/>
  <c r="AG10" i="6" l="1"/>
  <c r="AB10" i="6"/>
  <c r="P40" i="6"/>
  <c r="P39" i="6"/>
  <c r="AF10" i="6"/>
  <c r="AD10" i="6"/>
  <c r="AE10" i="6"/>
  <c r="AH79" i="2"/>
  <c r="AF24" i="2"/>
  <c r="AG24" i="2"/>
  <c r="AE24" i="2"/>
  <c r="AH24" i="2"/>
  <c r="AJ42" i="1"/>
  <c r="AJ38" i="1"/>
  <c r="AJ30" i="1"/>
  <c r="AJ12" i="1"/>
  <c r="AI12" i="1"/>
  <c r="AH12" i="1"/>
  <c r="AG12" i="1"/>
  <c r="AJ8" i="1"/>
  <c r="AG6" i="6" s="1"/>
  <c r="AI8" i="1"/>
  <c r="AF9" i="6" s="1"/>
  <c r="AH8" i="1"/>
  <c r="AE6" i="6" s="1"/>
  <c r="AG8" i="1"/>
  <c r="W23" i="2"/>
  <c r="X23" i="2"/>
  <c r="Y23" i="2"/>
  <c r="Z23" i="2"/>
  <c r="AA23" i="2"/>
  <c r="AC23" i="2"/>
  <c r="AC24" i="2" s="1"/>
  <c r="AD23" i="2"/>
  <c r="S23" i="2"/>
  <c r="T23" i="2"/>
  <c r="U23" i="2"/>
  <c r="V23" i="2"/>
  <c r="N23" i="2"/>
  <c r="O23" i="2"/>
  <c r="P23" i="2"/>
  <c r="Q23" i="2"/>
  <c r="R23" i="2"/>
  <c r="W9" i="2"/>
  <c r="W13" i="2" s="1"/>
  <c r="W16" i="2" s="1"/>
  <c r="W18" i="2" s="1"/>
  <c r="X9" i="2"/>
  <c r="X13" i="2" s="1"/>
  <c r="X16" i="2" s="1"/>
  <c r="X18" i="2" s="1"/>
  <c r="Y9" i="2"/>
  <c r="Y13" i="2" s="1"/>
  <c r="Y16" i="2" s="1"/>
  <c r="Y18" i="2" s="1"/>
  <c r="Z9" i="2"/>
  <c r="Z13" i="2" s="1"/>
  <c r="Z16" i="2" s="1"/>
  <c r="Z18" i="2" s="1"/>
  <c r="AA9" i="2"/>
  <c r="AA13" i="2" s="1"/>
  <c r="AA16" i="2" s="1"/>
  <c r="AA18" i="2" s="1"/>
  <c r="AB9" i="2"/>
  <c r="AB13" i="2" s="1"/>
  <c r="AB16" i="2" s="1"/>
  <c r="AB18" i="2" s="1"/>
  <c r="AD9" i="2"/>
  <c r="Y12" i="1"/>
  <c r="Z12" i="1"/>
  <c r="AA12" i="1"/>
  <c r="Y8" i="1"/>
  <c r="V6" i="6" s="1"/>
  <c r="Z8" i="1"/>
  <c r="W6" i="6" s="1"/>
  <c r="AA8" i="1"/>
  <c r="X6" i="6" s="1"/>
  <c r="AC12" i="1"/>
  <c r="AD12" i="1"/>
  <c r="AE12" i="1"/>
  <c r="AC8" i="1"/>
  <c r="Z6" i="6" s="1"/>
  <c r="AD8" i="1"/>
  <c r="AA6" i="6" s="1"/>
  <c r="AE8" i="1"/>
  <c r="AB6" i="6" s="1"/>
  <c r="S9" i="2"/>
  <c r="S13" i="2" s="1"/>
  <c r="S16" i="2" s="1"/>
  <c r="S18" i="2" s="1"/>
  <c r="T9" i="2"/>
  <c r="T13" i="2" s="1"/>
  <c r="T16" i="2" s="1"/>
  <c r="T18" i="2" s="1"/>
  <c r="U9" i="2"/>
  <c r="U13" i="2" s="1"/>
  <c r="U16" i="2" s="1"/>
  <c r="U18" i="2" s="1"/>
  <c r="W12" i="1"/>
  <c r="W8" i="1"/>
  <c r="T6" i="6" s="1"/>
  <c r="V12" i="1"/>
  <c r="V8" i="1"/>
  <c r="S6" i="6" s="1"/>
  <c r="U12" i="1"/>
  <c r="U8" i="1"/>
  <c r="R6" i="6" s="1"/>
  <c r="S12" i="1"/>
  <c r="R12" i="1"/>
  <c r="Q12" i="1"/>
  <c r="Q15" i="1" s="1"/>
  <c r="S8" i="1"/>
  <c r="P6" i="6" s="1"/>
  <c r="R8" i="1"/>
  <c r="O6" i="6" s="1"/>
  <c r="Q8" i="1"/>
  <c r="N6" i="6" s="1"/>
  <c r="O9" i="2"/>
  <c r="O13" i="2" s="1"/>
  <c r="O16" i="2" s="1"/>
  <c r="O18" i="2" s="1"/>
  <c r="P9" i="2"/>
  <c r="P13" i="2" s="1"/>
  <c r="P16" i="2" s="1"/>
  <c r="P18" i="2" s="1"/>
  <c r="Q9" i="2"/>
  <c r="Q13" i="2" s="1"/>
  <c r="Q16" i="2" s="1"/>
  <c r="Q18" i="2" s="1"/>
  <c r="G15" i="5"/>
  <c r="H12" i="5"/>
  <c r="G12" i="5"/>
  <c r="F12" i="5"/>
  <c r="F15" i="5" s="1"/>
  <c r="H8" i="5"/>
  <c r="G8" i="5"/>
  <c r="F8" i="5"/>
  <c r="AE9" i="6" l="1"/>
  <c r="Y10" i="6"/>
  <c r="AB9" i="6"/>
  <c r="P10" i="6"/>
  <c r="P9" i="6"/>
  <c r="S15" i="1"/>
  <c r="P8" i="6"/>
  <c r="P7" i="6"/>
  <c r="U15" i="1"/>
  <c r="R8" i="6"/>
  <c r="R7" i="6"/>
  <c r="W15" i="1"/>
  <c r="W16" i="1" s="1"/>
  <c r="W17" i="1" s="1"/>
  <c r="T8" i="6"/>
  <c r="T7" i="6"/>
  <c r="U16" i="1"/>
  <c r="U17" i="1" s="1"/>
  <c r="Q16" i="1"/>
  <c r="Q17" i="1" s="1"/>
  <c r="AC15" i="1"/>
  <c r="Z8" i="6"/>
  <c r="Z7" i="6"/>
  <c r="AA15" i="1"/>
  <c r="AA16" i="1" s="1"/>
  <c r="AA17" i="1" s="1"/>
  <c r="X8" i="6"/>
  <c r="X7" i="6"/>
  <c r="X10" i="6"/>
  <c r="X9" i="6"/>
  <c r="AH15" i="1"/>
  <c r="AE8" i="6"/>
  <c r="AE7" i="6"/>
  <c r="AG26" i="6"/>
  <c r="AG29" i="6"/>
  <c r="R15" i="1"/>
  <c r="R16" i="1" s="1"/>
  <c r="R17" i="1" s="1"/>
  <c r="O8" i="6"/>
  <c r="O7" i="6"/>
  <c r="AD6" i="6"/>
  <c r="U24" i="2"/>
  <c r="T10" i="6"/>
  <c r="T9" i="6"/>
  <c r="Z15" i="1"/>
  <c r="W8" i="6"/>
  <c r="W7" i="6"/>
  <c r="AB24" i="2"/>
  <c r="AA9" i="6"/>
  <c r="AA10" i="6"/>
  <c r="W9" i="6"/>
  <c r="W10" i="6"/>
  <c r="AF6" i="6"/>
  <c r="AI15" i="1"/>
  <c r="AI16" i="1" s="1"/>
  <c r="AI17" i="1" s="1"/>
  <c r="AF8" i="6"/>
  <c r="AF7" i="6"/>
  <c r="AJ45" i="1"/>
  <c r="AJ35" i="1" s="1"/>
  <c r="AG28" i="6"/>
  <c r="AG27" i="6"/>
  <c r="AD9" i="6"/>
  <c r="AG9" i="6"/>
  <c r="S24" i="2"/>
  <c r="R10" i="6"/>
  <c r="R9" i="6"/>
  <c r="AD15" i="1"/>
  <c r="AA8" i="6"/>
  <c r="AA7" i="6"/>
  <c r="AG15" i="1"/>
  <c r="AG16" i="1" s="1"/>
  <c r="AG17" i="1" s="1"/>
  <c r="AD8" i="6"/>
  <c r="AD7" i="6"/>
  <c r="O10" i="6"/>
  <c r="O9" i="6"/>
  <c r="N10" i="6"/>
  <c r="N8" i="6"/>
  <c r="N7" i="6"/>
  <c r="V15" i="1"/>
  <c r="S8" i="6"/>
  <c r="S7" i="6"/>
  <c r="S10" i="6"/>
  <c r="S9" i="6"/>
  <c r="S16" i="1"/>
  <c r="S17" i="1" s="1"/>
  <c r="AE15" i="1"/>
  <c r="AB8" i="6"/>
  <c r="AB7" i="6"/>
  <c r="Y15" i="1"/>
  <c r="Y16" i="1" s="1"/>
  <c r="Y17" i="1" s="1"/>
  <c r="V8" i="6"/>
  <c r="V7" i="6"/>
  <c r="AA24" i="2"/>
  <c r="Z10" i="6"/>
  <c r="Z9" i="6"/>
  <c r="W24" i="2"/>
  <c r="V10" i="6"/>
  <c r="V9" i="6"/>
  <c r="AJ15" i="1"/>
  <c r="AG8" i="6"/>
  <c r="AG7" i="6"/>
  <c r="AJ46" i="1"/>
  <c r="AJ47" i="1" s="1"/>
  <c r="AJ31" i="1"/>
  <c r="AJ32" i="1" s="1"/>
  <c r="Q24" i="2"/>
  <c r="AD13" i="2"/>
  <c r="AD16" i="2" s="1"/>
  <c r="AD18" i="2" s="1"/>
  <c r="P24" i="2"/>
  <c r="T24" i="2"/>
  <c r="Z24" i="2"/>
  <c r="AH16" i="1"/>
  <c r="AH17" i="1" s="1"/>
  <c r="AJ16" i="1"/>
  <c r="AJ17" i="1" s="1"/>
  <c r="X24" i="2"/>
  <c r="Y24" i="2"/>
  <c r="AE16" i="1"/>
  <c r="AE17" i="1" s="1"/>
  <c r="AD16" i="1"/>
  <c r="AD17" i="1" s="1"/>
  <c r="AC16" i="1"/>
  <c r="AC17" i="1" s="1"/>
  <c r="Z16" i="1"/>
  <c r="Z17" i="1" s="1"/>
  <c r="O24" i="2"/>
  <c r="V16" i="1"/>
  <c r="V17" i="1" s="1"/>
  <c r="J15" i="5"/>
  <c r="K15" i="5"/>
  <c r="L15" i="5"/>
  <c r="M15" i="5"/>
  <c r="N15" i="5"/>
  <c r="O15" i="5"/>
  <c r="P15" i="5"/>
  <c r="Q15" i="5"/>
  <c r="R15" i="5"/>
  <c r="S15" i="5"/>
  <c r="T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E27" i="5"/>
  <c r="E30" i="5" s="1"/>
  <c r="E20" i="5" s="1"/>
  <c r="U23" i="5"/>
  <c r="Q23" i="5"/>
  <c r="Q20" i="5" s="1"/>
  <c r="M23" i="5"/>
  <c r="I23" i="5"/>
  <c r="E23" i="5"/>
  <c r="U12" i="5"/>
  <c r="U15" i="5" s="1"/>
  <c r="Q12" i="5"/>
  <c r="M12" i="5"/>
  <c r="I12" i="5"/>
  <c r="I15" i="5" s="1"/>
  <c r="E12" i="5"/>
  <c r="E15" i="5" s="1"/>
  <c r="U8" i="5"/>
  <c r="Q8" i="5"/>
  <c r="M8" i="5"/>
  <c r="I8" i="5"/>
  <c r="E8" i="5"/>
  <c r="AD24" i="2" l="1"/>
  <c r="AC10" i="6"/>
  <c r="I20" i="5"/>
  <c r="I50" i="5"/>
  <c r="M20" i="5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R9" i="2" l="1"/>
  <c r="R13" i="2" s="1"/>
  <c r="V9" i="2"/>
  <c r="T8" i="1"/>
  <c r="AB8" i="1"/>
  <c r="AF12" i="1"/>
  <c r="AF8" i="1"/>
  <c r="Q6" i="6" l="1"/>
  <c r="AC8" i="6"/>
  <c r="AC7" i="6"/>
  <c r="AC6" i="6"/>
  <c r="AC9" i="6"/>
  <c r="Y6" i="6"/>
  <c r="Y9" i="6"/>
  <c r="Q26" i="3"/>
  <c r="R26" i="3"/>
  <c r="S26" i="3"/>
  <c r="T26" i="3"/>
  <c r="P26" i="3"/>
  <c r="T22" i="3"/>
  <c r="Q22" i="3"/>
  <c r="R22" i="3"/>
  <c r="S22" i="3"/>
  <c r="P22" i="3"/>
  <c r="Q18" i="3"/>
  <c r="R18" i="3"/>
  <c r="S18" i="3"/>
  <c r="T18" i="3"/>
  <c r="P18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G26" i="3"/>
  <c r="T12" i="1" l="1"/>
  <c r="Q7" i="6" l="1"/>
  <c r="Q8" i="6"/>
  <c r="Q13" i="3"/>
  <c r="Q15" i="3" s="1"/>
  <c r="Q5" i="3"/>
  <c r="AB12" i="1"/>
  <c r="X12" i="1"/>
  <c r="T15" i="1"/>
  <c r="T16" i="1" s="1"/>
  <c r="T17" i="1" s="1"/>
  <c r="P12" i="1"/>
  <c r="X8" i="1"/>
  <c r="U6" i="6" s="1"/>
  <c r="P8" i="1"/>
  <c r="AD103" i="2"/>
  <c r="Z103" i="2"/>
  <c r="V103" i="2"/>
  <c r="R103" i="2"/>
  <c r="N103" i="2"/>
  <c r="AD90" i="2"/>
  <c r="AD94" i="2" s="1"/>
  <c r="AD96" i="2" s="1"/>
  <c r="Z90" i="2"/>
  <c r="Z94" i="2" s="1"/>
  <c r="Z96" i="2" s="1"/>
  <c r="V90" i="2"/>
  <c r="R90" i="2"/>
  <c r="R94" i="2" s="1"/>
  <c r="N94" i="2"/>
  <c r="AD78" i="2"/>
  <c r="Z78" i="2"/>
  <c r="V78" i="2"/>
  <c r="R78" i="2"/>
  <c r="N78" i="2"/>
  <c r="AD66" i="2"/>
  <c r="AD68" i="2" s="1"/>
  <c r="AD71" i="2" s="1"/>
  <c r="AD73" i="2" s="1"/>
  <c r="Z66" i="2"/>
  <c r="V66" i="2"/>
  <c r="V68" i="2" s="1"/>
  <c r="V71" i="2" s="1"/>
  <c r="V73" i="2" s="1"/>
  <c r="R66" i="2"/>
  <c r="N66" i="2"/>
  <c r="Z63" i="2"/>
  <c r="Z68" i="2" s="1"/>
  <c r="Z71" i="2" s="1"/>
  <c r="R63" i="2"/>
  <c r="R68" i="2" s="1"/>
  <c r="N63" i="2"/>
  <c r="Z40" i="2"/>
  <c r="R40" i="2"/>
  <c r="V40" i="2"/>
  <c r="N40" i="2"/>
  <c r="AD51" i="2"/>
  <c r="Z51" i="2"/>
  <c r="V51" i="2"/>
  <c r="R51" i="2"/>
  <c r="N51" i="2"/>
  <c r="AD36" i="2"/>
  <c r="Z36" i="2"/>
  <c r="V36" i="2"/>
  <c r="V41" i="2" s="1"/>
  <c r="R36" i="2"/>
  <c r="R41" i="2" s="1"/>
  <c r="N36" i="2"/>
  <c r="N41" i="2" s="1"/>
  <c r="AB57" i="1"/>
  <c r="X57" i="1"/>
  <c r="T57" i="1"/>
  <c r="P57" i="1"/>
  <c r="P25" i="3" s="1"/>
  <c r="P27" i="3" s="1"/>
  <c r="H26" i="3"/>
  <c r="X53" i="1"/>
  <c r="T53" i="1"/>
  <c r="P53" i="1"/>
  <c r="D26" i="3" s="1"/>
  <c r="AF42" i="1"/>
  <c r="AB42" i="1"/>
  <c r="X42" i="1"/>
  <c r="T42" i="1"/>
  <c r="P42" i="1"/>
  <c r="AF38" i="1"/>
  <c r="AB38" i="1"/>
  <c r="X38" i="1"/>
  <c r="T38" i="1"/>
  <c r="P38" i="1"/>
  <c r="AF27" i="1"/>
  <c r="AB27" i="1"/>
  <c r="X27" i="1"/>
  <c r="T27" i="1"/>
  <c r="P27" i="1"/>
  <c r="T23" i="1"/>
  <c r="X23" i="1"/>
  <c r="AB23" i="1"/>
  <c r="AF23" i="1"/>
  <c r="P23" i="1"/>
  <c r="D18" i="3" l="1"/>
  <c r="Q16" i="6"/>
  <c r="E18" i="3"/>
  <c r="AB30" i="1"/>
  <c r="AB31" i="1" s="1"/>
  <c r="AB32" i="1" s="1"/>
  <c r="Y18" i="6"/>
  <c r="Y17" i="6"/>
  <c r="S6" i="3"/>
  <c r="S17" i="3"/>
  <c r="S19" i="3" s="1"/>
  <c r="S33" i="3" s="1"/>
  <c r="U26" i="6"/>
  <c r="F22" i="3"/>
  <c r="T45" i="1"/>
  <c r="Q28" i="6"/>
  <c r="Q27" i="6"/>
  <c r="Q21" i="3"/>
  <c r="Q23" i="3" s="1"/>
  <c r="Q7" i="3"/>
  <c r="AF30" i="1"/>
  <c r="AC18" i="6"/>
  <c r="AC17" i="6"/>
  <c r="T17" i="3"/>
  <c r="T19" i="3" s="1"/>
  <c r="T6" i="3"/>
  <c r="X45" i="1"/>
  <c r="X46" i="1" s="1"/>
  <c r="X47" i="1" s="1"/>
  <c r="U28" i="6"/>
  <c r="U27" i="6"/>
  <c r="R7" i="3"/>
  <c r="R21" i="3"/>
  <c r="R23" i="3" s="1"/>
  <c r="Q36" i="6"/>
  <c r="E26" i="3"/>
  <c r="T60" i="1"/>
  <c r="Q38" i="6"/>
  <c r="Q37" i="6"/>
  <c r="Q8" i="3"/>
  <c r="Q25" i="3"/>
  <c r="Q27" i="3" s="1"/>
  <c r="Q30" i="3" s="1"/>
  <c r="Q16" i="3" s="1"/>
  <c r="AC30" i="6"/>
  <c r="AC29" i="6"/>
  <c r="U7" i="6"/>
  <c r="U8" i="6"/>
  <c r="X15" i="1"/>
  <c r="X16" i="1" s="1"/>
  <c r="X17" i="1" s="1"/>
  <c r="P30" i="1"/>
  <c r="P20" i="1" s="1"/>
  <c r="P17" i="3"/>
  <c r="P19" i="3" s="1"/>
  <c r="P6" i="3"/>
  <c r="T30" i="1"/>
  <c r="T31" i="1" s="1"/>
  <c r="T32" i="1" s="1"/>
  <c r="Q18" i="6"/>
  <c r="Q17" i="6"/>
  <c r="Q6" i="3"/>
  <c r="Q9" i="3" s="1"/>
  <c r="Q17" i="3"/>
  <c r="Q19" i="3" s="1"/>
  <c r="AC26" i="6"/>
  <c r="H22" i="3"/>
  <c r="Y28" i="6"/>
  <c r="Y27" i="6"/>
  <c r="AB45" i="1"/>
  <c r="S7" i="3"/>
  <c r="S21" i="3"/>
  <c r="S23" i="3" s="1"/>
  <c r="S34" i="3" s="1"/>
  <c r="U36" i="6"/>
  <c r="F26" i="3"/>
  <c r="X60" i="1"/>
  <c r="U38" i="6"/>
  <c r="U37" i="6"/>
  <c r="R8" i="3"/>
  <c r="R25" i="3"/>
  <c r="R27" i="3" s="1"/>
  <c r="N68" i="2"/>
  <c r="Y8" i="6"/>
  <c r="Y7" i="6"/>
  <c r="AC16" i="6"/>
  <c r="AF31" i="1"/>
  <c r="AF32" i="1" s="1"/>
  <c r="H18" i="3"/>
  <c r="Y26" i="6"/>
  <c r="AB46" i="1"/>
  <c r="AB47" i="1" s="1"/>
  <c r="G22" i="3"/>
  <c r="Y16" i="6"/>
  <c r="G18" i="3"/>
  <c r="D22" i="3"/>
  <c r="U16" i="6"/>
  <c r="F18" i="3"/>
  <c r="X30" i="1"/>
  <c r="X31" i="1" s="1"/>
  <c r="X32" i="1" s="1"/>
  <c r="U18" i="6"/>
  <c r="U17" i="6"/>
  <c r="R17" i="3"/>
  <c r="R19" i="3" s="1"/>
  <c r="R6" i="3"/>
  <c r="Q26" i="6"/>
  <c r="T46" i="1"/>
  <c r="T47" i="1" s="1"/>
  <c r="E22" i="3"/>
  <c r="P45" i="1"/>
  <c r="P46" i="1" s="1"/>
  <c r="P47" i="1" s="1"/>
  <c r="P21" i="3"/>
  <c r="P23" i="3" s="1"/>
  <c r="P7" i="3"/>
  <c r="AF45" i="1"/>
  <c r="AF46" i="1" s="1"/>
  <c r="AF47" i="1" s="1"/>
  <c r="AC28" i="6"/>
  <c r="AC27" i="6"/>
  <c r="T7" i="3"/>
  <c r="T21" i="3"/>
  <c r="T23" i="3" s="1"/>
  <c r="Y38" i="6"/>
  <c r="Y37" i="6"/>
  <c r="AB60" i="1"/>
  <c r="S25" i="3"/>
  <c r="S27" i="3" s="1"/>
  <c r="S8" i="3"/>
  <c r="Z41" i="2"/>
  <c r="U30" i="6"/>
  <c r="U29" i="6"/>
  <c r="AD41" i="2"/>
  <c r="AD98" i="2"/>
  <c r="R96" i="2"/>
  <c r="R98" i="2" s="1"/>
  <c r="N96" i="2"/>
  <c r="N98" i="2" s="1"/>
  <c r="T8" i="3"/>
  <c r="T25" i="3"/>
  <c r="T27" i="3" s="1"/>
  <c r="F7" i="3"/>
  <c r="L21" i="3"/>
  <c r="L23" i="3" s="1"/>
  <c r="F21" i="3"/>
  <c r="L7" i="3"/>
  <c r="N44" i="2"/>
  <c r="N46" i="2" s="1"/>
  <c r="AD44" i="2"/>
  <c r="AD46" i="2" s="1"/>
  <c r="R71" i="2"/>
  <c r="R73" i="2" s="1"/>
  <c r="Q32" i="3"/>
  <c r="E14" i="3"/>
  <c r="R5" i="3"/>
  <c r="R13" i="3"/>
  <c r="R15" i="3" s="1"/>
  <c r="F14" i="3"/>
  <c r="AB15" i="1"/>
  <c r="AB16" i="1" s="1"/>
  <c r="AB17" i="1" s="1"/>
  <c r="S5" i="3"/>
  <c r="S13" i="3"/>
  <c r="S15" i="3" s="1"/>
  <c r="G14" i="3"/>
  <c r="AF15" i="1"/>
  <c r="AF16" i="1" s="1"/>
  <c r="AF17" i="1" s="1"/>
  <c r="T13" i="3"/>
  <c r="T15" i="3" s="1"/>
  <c r="T5" i="3"/>
  <c r="H14" i="3"/>
  <c r="P15" i="1"/>
  <c r="P16" i="1" s="1"/>
  <c r="P17" i="1" s="1"/>
  <c r="P5" i="3"/>
  <c r="P13" i="3"/>
  <c r="P15" i="3" s="1"/>
  <c r="D14" i="3"/>
  <c r="P60" i="1"/>
  <c r="P50" i="1" s="1"/>
  <c r="P8" i="3"/>
  <c r="R44" i="2"/>
  <c r="R46" i="2" s="1"/>
  <c r="V44" i="2"/>
  <c r="V46" i="2" s="1"/>
  <c r="Z73" i="2"/>
  <c r="Z98" i="2"/>
  <c r="V79" i="2"/>
  <c r="N71" i="2"/>
  <c r="N73" i="2" s="1"/>
  <c r="V94" i="2"/>
  <c r="Z44" i="2"/>
  <c r="Z46" i="2" s="1"/>
  <c r="N9" i="2"/>
  <c r="N13" i="2" s="1"/>
  <c r="N16" i="2" s="1"/>
  <c r="N18" i="2" s="1"/>
  <c r="D5" i="3" s="1"/>
  <c r="H5" i="3"/>
  <c r="V13" i="2"/>
  <c r="V16" i="2" s="1"/>
  <c r="V18" i="2" s="1"/>
  <c r="R16" i="2"/>
  <c r="R18" i="2" s="1"/>
  <c r="F23" i="3" l="1"/>
  <c r="R33" i="3"/>
  <c r="T33" i="3"/>
  <c r="R35" i="3"/>
  <c r="P34" i="3"/>
  <c r="V24" i="2"/>
  <c r="U10" i="6"/>
  <c r="U9" i="6"/>
  <c r="Y39" i="6"/>
  <c r="Y40" i="6"/>
  <c r="Y30" i="6"/>
  <c r="Y29" i="6"/>
  <c r="Q30" i="6"/>
  <c r="Q29" i="6"/>
  <c r="S35" i="3"/>
  <c r="Q35" i="3"/>
  <c r="N17" i="3"/>
  <c r="N19" i="3" s="1"/>
  <c r="AC20" i="6"/>
  <c r="AC19" i="6"/>
  <c r="P35" i="1"/>
  <c r="U20" i="6"/>
  <c r="U19" i="6"/>
  <c r="R24" i="2"/>
  <c r="Q10" i="6"/>
  <c r="Q9" i="6"/>
  <c r="Y20" i="6"/>
  <c r="Y19" i="6"/>
  <c r="R52" i="2"/>
  <c r="Q20" i="6"/>
  <c r="Q19" i="6"/>
  <c r="Q39" i="6"/>
  <c r="Q40" i="6"/>
  <c r="T34" i="3"/>
  <c r="Q34" i="3"/>
  <c r="P31" i="1"/>
  <c r="P32" i="1" s="1"/>
  <c r="AC39" i="6"/>
  <c r="AC40" i="6"/>
  <c r="Q33" i="3"/>
  <c r="P33" i="3"/>
  <c r="R34" i="3"/>
  <c r="T9" i="3"/>
  <c r="J8" i="3"/>
  <c r="J25" i="3"/>
  <c r="J27" i="3" s="1"/>
  <c r="N104" i="2"/>
  <c r="D25" i="3"/>
  <c r="D27" i="3" s="1"/>
  <c r="D8" i="3"/>
  <c r="E25" i="3"/>
  <c r="E27" i="3" s="1"/>
  <c r="K25" i="3"/>
  <c r="K27" i="3" s="1"/>
  <c r="R104" i="2"/>
  <c r="E8" i="3"/>
  <c r="K8" i="3"/>
  <c r="N25" i="3"/>
  <c r="N27" i="3" s="1"/>
  <c r="H25" i="3"/>
  <c r="H27" i="3" s="1"/>
  <c r="H8" i="3"/>
  <c r="AD104" i="2"/>
  <c r="N8" i="3"/>
  <c r="N35" i="3" s="1"/>
  <c r="V96" i="2"/>
  <c r="V98" i="2" s="1"/>
  <c r="F34" i="3"/>
  <c r="T35" i="3"/>
  <c r="AD52" i="2"/>
  <c r="H17" i="3"/>
  <c r="H19" i="3" s="1"/>
  <c r="H6" i="3"/>
  <c r="N6" i="3"/>
  <c r="AD79" i="2"/>
  <c r="N7" i="3"/>
  <c r="H21" i="3"/>
  <c r="H23" i="3" s="1"/>
  <c r="H7" i="3"/>
  <c r="N21" i="3"/>
  <c r="N23" i="3" s="1"/>
  <c r="N52" i="2"/>
  <c r="D6" i="3"/>
  <c r="D17" i="3"/>
  <c r="D19" i="3" s="1"/>
  <c r="J6" i="3"/>
  <c r="J17" i="3"/>
  <c r="J19" i="3" s="1"/>
  <c r="N79" i="2"/>
  <c r="D21" i="3"/>
  <c r="D23" i="3" s="1"/>
  <c r="J21" i="3"/>
  <c r="J23" i="3" s="1"/>
  <c r="J7" i="3"/>
  <c r="D7" i="3"/>
  <c r="Z79" i="2"/>
  <c r="G7" i="3"/>
  <c r="M21" i="3"/>
  <c r="M23" i="3" s="1"/>
  <c r="G21" i="3"/>
  <c r="G23" i="3" s="1"/>
  <c r="M7" i="3"/>
  <c r="V52" i="2"/>
  <c r="L6" i="3"/>
  <c r="L17" i="3"/>
  <c r="L19" i="3" s="1"/>
  <c r="F17" i="3"/>
  <c r="F19" i="3" s="1"/>
  <c r="F6" i="3"/>
  <c r="L34" i="3"/>
  <c r="Z52" i="2"/>
  <c r="M17" i="3"/>
  <c r="M19" i="3" s="1"/>
  <c r="G6" i="3"/>
  <c r="M6" i="3"/>
  <c r="G17" i="3"/>
  <c r="G19" i="3" s="1"/>
  <c r="E17" i="3"/>
  <c r="E19" i="3" s="1"/>
  <c r="K17" i="3"/>
  <c r="K19" i="3" s="1"/>
  <c r="E6" i="3"/>
  <c r="K6" i="3"/>
  <c r="Z104" i="2"/>
  <c r="G8" i="3"/>
  <c r="M25" i="3"/>
  <c r="M27" i="3" s="1"/>
  <c r="G25" i="3"/>
  <c r="G27" i="3" s="1"/>
  <c r="M8" i="3"/>
  <c r="R79" i="2"/>
  <c r="K21" i="3"/>
  <c r="K23" i="3" s="1"/>
  <c r="E21" i="3"/>
  <c r="E23" i="3" s="1"/>
  <c r="K7" i="3"/>
  <c r="E7" i="3"/>
  <c r="N5" i="3"/>
  <c r="N13" i="3"/>
  <c r="N15" i="3" s="1"/>
  <c r="H13" i="3"/>
  <c r="H15" i="3" s="1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16" i="3" s="1"/>
  <c r="P32" i="3"/>
  <c r="P9" i="3"/>
  <c r="P35" i="3"/>
  <c r="L5" i="3"/>
  <c r="N24" i="2"/>
  <c r="E35" i="3" l="1"/>
  <c r="K35" i="3"/>
  <c r="J35" i="3"/>
  <c r="U39" i="6"/>
  <c r="U40" i="6"/>
  <c r="H35" i="3"/>
  <c r="D35" i="3"/>
  <c r="V104" i="2"/>
  <c r="L25" i="3"/>
  <c r="L27" i="3" s="1"/>
  <c r="L8" i="3"/>
  <c r="F8" i="3"/>
  <c r="N9" i="3"/>
  <c r="F25" i="3"/>
  <c r="F27" i="3" s="1"/>
  <c r="F30" i="3" s="1"/>
  <c r="F16" i="3" s="1"/>
  <c r="J30" i="3"/>
  <c r="J20" i="3" s="1"/>
  <c r="N32" i="3"/>
  <c r="K30" i="3"/>
  <c r="K20" i="3" s="1"/>
  <c r="L30" i="3"/>
  <c r="L16" i="3" s="1"/>
  <c r="E9" i="3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L33" i="3"/>
  <c r="M34" i="3"/>
  <c r="J34" i="3"/>
  <c r="K34" i="3"/>
  <c r="M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E30" i="3"/>
  <c r="E16" i="3" s="1"/>
  <c r="K32" i="3"/>
  <c r="J32" i="3"/>
  <c r="D32" i="3"/>
  <c r="D30" i="3"/>
  <c r="D16" i="3" s="1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32" i="3"/>
  <c r="L35" i="3" l="1"/>
  <c r="L9" i="3"/>
  <c r="F35" i="3"/>
  <c r="J16" i="3"/>
  <c r="K24" i="3"/>
  <c r="J28" i="3"/>
  <c r="J24" i="3"/>
  <c r="L20" i="3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<sst xmlns="http://schemas.openxmlformats.org/spreadsheetml/2006/main" count="845" uniqueCount="148">
  <si>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</si>
  <si>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</si>
  <si>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</si>
  <si>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</si>
  <si>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</si>
  <si>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</si>
  <si>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</si>
  <si>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</si>
  <si>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</si>
  <si>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</si>
  <si>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</si>
  <si>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</si>
  <si>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</si>
  <si>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</si>
  <si>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</si>
  <si>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</si>
  <si>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</si>
  <si>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</si>
  <si>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</si>
  <si>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</si>
  <si>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</si>
  <si>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</si>
  <si>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</si>
  <si>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</si>
  <si>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</si>
  <si>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</si>
  <si>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</si>
  <si>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</si>
  <si>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</si>
  <si>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</si>
  <si>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</si>
  <si>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</si>
  <si>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</si>
  <si>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</si>
  <si>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</si>
  <si>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</si>
  <si>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</si>
  <si>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</si>
  <si>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</si>
  <si>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</si>
  <si>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</si>
  <si>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</si>
  <si>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</si>
  <si>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</si>
  <si>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</si>
  <si>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</si>
  <si>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</si>
  <si>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</si>
  <si>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</si>
  <si>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</si>
  <si>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</si>
  <si>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</si>
  <si>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</si>
  <si>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</si>
  <si>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</si>
  <si>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</si>
  <si>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</si>
  <si>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</si>
  <si>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</si>
  <si>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</si>
  <si>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</si>
  <si>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</si>
  <si>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</si>
  <si>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</si>
  <si>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</si>
  <si>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</si>
  <si>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</si>
  <si>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</si>
  <si>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</si>
  <si>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</si>
  <si>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</si>
  <si>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</si>
  <si>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</si>
  <si>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</si>
  <si>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</si>
  <si>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</si>
  <si>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</si>
  <si>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</si>
  <si>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</si>
  <si>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</si>
  <si>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</si>
  <si>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</si>
  <si>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</si>
  <si>
    <t>Q1 2019</t>
  </si>
  <si>
    <t>Q2 2019</t>
  </si>
  <si>
    <t>Q3 2019</t>
  </si>
  <si>
    <t>2019 Final</t>
  </si>
  <si>
    <t>Penghasilan lain-lain bersih</t>
  </si>
  <si>
    <t>LABA (RUGI)</t>
  </si>
  <si>
    <t>Laba selisih kurs - bersih</t>
  </si>
  <si>
    <t>Penghasilan/(beban) lain-lain - bersih</t>
  </si>
  <si>
    <t>Pendapatan operasi lain-lain</t>
  </si>
  <si>
    <t>Beban operasi lain-lain</t>
  </si>
  <si>
    <t>Q4</t>
  </si>
  <si>
    <t>2015 (dalam persen)</t>
  </si>
  <si>
    <t>2019 (dalam persen)</t>
  </si>
  <si>
    <t>2018 (dalam persen)</t>
  </si>
  <si>
    <t>2017 (dalam persen)</t>
  </si>
  <si>
    <t>2016 (dalam persen)</t>
  </si>
  <si>
    <t>LABA BERSIH</t>
  </si>
  <si>
    <t>DAR</t>
  </si>
  <si>
    <t>CR</t>
  </si>
  <si>
    <t>ROE</t>
  </si>
  <si>
    <t>WCTA</t>
  </si>
  <si>
    <t>PT. KINO INDONESIA Tbk</t>
  </si>
  <si>
    <t>DATA YANG SUDAH DI TRANFORMASI</t>
  </si>
  <si>
    <t>No</t>
  </si>
  <si>
    <t>Bulan</t>
  </si>
  <si>
    <t>Tahun</t>
  </si>
  <si>
    <t>Harga Saham</t>
  </si>
  <si>
    <t>HS-1</t>
  </si>
  <si>
    <t>Desember</t>
  </si>
  <si>
    <t>September</t>
  </si>
  <si>
    <t>Juni</t>
  </si>
  <si>
    <t>Maret</t>
  </si>
  <si>
    <t>DATA YANG DI TRANSFORMASI</t>
  </si>
  <si>
    <t>NO</t>
  </si>
  <si>
    <t>Kuartal</t>
  </si>
  <si>
    <t>2013</t>
  </si>
  <si>
    <t>2012</t>
  </si>
  <si>
    <t>SP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</si>
  <si>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</si>
  <si>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</si>
  <si>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</si>
  <si>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</si>
  <si>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</si>
  <si>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</si>
  <si>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</si>
  <si>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</si>
  <si>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</si>
  <si>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</si>
  <si>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</si>
  <si>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</si>
  <si>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CA</t>
  </si>
  <si>
    <t>CL</t>
  </si>
  <si>
    <t>TL</t>
  </si>
  <si>
    <t>EQ</t>
  </si>
  <si>
    <t>TA</t>
  </si>
  <si>
    <t>NP</t>
  </si>
  <si>
    <t>2014 (dalam persen)</t>
  </si>
  <si>
    <t>2013 (dalam persen)</t>
  </si>
  <si>
    <t>2012 (dalam persen)</t>
  </si>
  <si>
    <t>EAT</t>
  </si>
  <si>
    <t>TOTAL ASSETS</t>
  </si>
  <si>
    <t xml:space="preserve"> ROA </t>
  </si>
  <si>
    <t>TOTAL DEBT</t>
  </si>
  <si>
    <t>EQUITY</t>
  </si>
  <si>
    <t xml:space="preserve"> 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</si>
</sst>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  <numFmt numFmtId="167" formatCode="_(* #,##0.00_);_(* \(#,##0.00\);_(* &quot;-&quot;_);_(@_)"/>
    <numFmt numFmtId="168" formatCode="0.000"/>
    <numFmt numFmtId="172" formatCode="_(* #,##0.00000_);_(* \(#,##0.00000\);_(* &quot;-&quot;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4472C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0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164" fontId="10" fillId="0" borderId="0" xfId="1" applyNumberFormat="1" applyFont="1"/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6" fillId="0" borderId="0" xfId="1" applyNumberFormat="1" applyFont="1" applyAlignment="1">
      <alignment horizontal="center"/>
    </xf>
    <xf numFmtId="164" fontId="6" fillId="4" borderId="0" xfId="1" applyNumberFormat="1" applyFont="1" applyFill="1"/>
    <xf numFmtId="164" fontId="8" fillId="4" borderId="0" xfId="1" applyNumberFormat="1" applyFont="1" applyFill="1"/>
    <xf numFmtId="164" fontId="6" fillId="4" borderId="2" xfId="1" quotePrefix="1" applyNumberFormat="1" applyFont="1" applyFill="1" applyBorder="1" applyAlignment="1">
      <alignment horizontal="center"/>
    </xf>
    <xf numFmtId="164" fontId="9" fillId="4" borderId="0" xfId="1" applyNumberFormat="1" applyFont="1" applyFill="1"/>
    <xf numFmtId="164" fontId="10" fillId="4" borderId="0" xfId="1" applyNumberFormat="1" applyFont="1" applyFill="1"/>
    <xf numFmtId="164" fontId="6" fillId="5" borderId="0" xfId="1" applyNumberFormat="1" applyFont="1" applyFill="1"/>
    <xf numFmtId="164" fontId="8" fillId="5" borderId="0" xfId="1" applyNumberFormat="1" applyFont="1" applyFill="1"/>
    <xf numFmtId="164" fontId="6" fillId="5" borderId="2" xfId="1" quotePrefix="1" applyNumberFormat="1" applyFont="1" applyFill="1" applyBorder="1" applyAlignment="1">
      <alignment horizontal="center"/>
    </xf>
    <xf numFmtId="164" fontId="9" fillId="5" borderId="0" xfId="1" applyNumberFormat="1" applyFont="1" applyFill="1"/>
    <xf numFmtId="164" fontId="10" fillId="5" borderId="0" xfId="1" applyNumberFormat="1" applyFont="1" applyFill="1"/>
    <xf numFmtId="164" fontId="6" fillId="4" borderId="0" xfId="1" applyNumberFormat="1" applyFont="1" applyFill="1" applyAlignment="1">
      <alignment horizontal="center" vertical="center"/>
    </xf>
    <xf numFmtId="164" fontId="6" fillId="5" borderId="0" xfId="1" applyNumberFormat="1" applyFont="1" applyFill="1" applyAlignment="1">
      <alignment horizontal="center" vertical="center"/>
    </xf>
    <xf numFmtId="164" fontId="6" fillId="6" borderId="0" xfId="1" applyNumberFormat="1" applyFont="1" applyFill="1" applyAlignment="1">
      <alignment horizontal="center" vertical="center"/>
    </xf>
    <xf numFmtId="164" fontId="6" fillId="6" borderId="0" xfId="1" applyNumberFormat="1" applyFont="1" applyFill="1"/>
    <xf numFmtId="164" fontId="8" fillId="6" borderId="0" xfId="1" applyNumberFormat="1" applyFont="1" applyFill="1"/>
    <xf numFmtId="164" fontId="6" fillId="6" borderId="2" xfId="1" quotePrefix="1" applyNumberFormat="1" applyFont="1" applyFill="1" applyBorder="1" applyAlignment="1">
      <alignment horizontal="center"/>
    </xf>
    <xf numFmtId="164" fontId="9" fillId="6" borderId="0" xfId="1" applyNumberFormat="1" applyFont="1" applyFill="1"/>
    <xf numFmtId="164" fontId="10" fillId="6" borderId="0" xfId="1" applyNumberFormat="1" applyFont="1" applyFill="1"/>
    <xf numFmtId="164" fontId="6" fillId="4" borderId="0" xfId="1" applyNumberFormat="1" applyFont="1" applyFill="1" applyAlignment="1">
      <alignment horizontal="center"/>
    </xf>
    <xf numFmtId="164" fontId="8" fillId="6" borderId="10" xfId="1" applyNumberFormat="1" applyFont="1" applyFill="1" applyBorder="1"/>
    <xf numFmtId="164" fontId="8" fillId="5" borderId="10" xfId="1" applyNumberFormat="1" applyFont="1" applyFill="1" applyBorder="1"/>
    <xf numFmtId="164" fontId="8" fillId="4" borderId="10" xfId="1" applyNumberFormat="1" applyFont="1" applyFill="1" applyBorder="1"/>
    <xf numFmtId="164" fontId="9" fillId="6" borderId="10" xfId="1" applyNumberFormat="1" applyFont="1" applyFill="1" applyBorder="1"/>
    <xf numFmtId="164" fontId="9" fillId="5" borderId="10" xfId="1" applyNumberFormat="1" applyFont="1" applyFill="1" applyBorder="1"/>
    <xf numFmtId="164" fontId="9" fillId="4" borderId="10" xfId="1" applyNumberFormat="1" applyFont="1" applyFill="1" applyBorder="1"/>
    <xf numFmtId="164" fontId="10" fillId="6" borderId="10" xfId="1" applyNumberFormat="1" applyFont="1" applyFill="1" applyBorder="1"/>
    <xf numFmtId="164" fontId="10" fillId="5" borderId="10" xfId="1" applyNumberFormat="1" applyFont="1" applyFill="1" applyBorder="1"/>
    <xf numFmtId="164" fontId="10" fillId="4" borderId="10" xfId="1" applyNumberFormat="1" applyFont="1" applyFill="1" applyBorder="1"/>
    <xf numFmtId="164" fontId="6" fillId="6" borderId="0" xfId="1" applyNumberFormat="1" applyFont="1" applyFill="1" applyAlignment="1">
      <alignment horizontal="left" vertical="top"/>
    </xf>
    <xf numFmtId="164" fontId="6" fillId="6" borderId="0" xfId="1" applyNumberFormat="1" applyFont="1" applyFill="1" applyAlignment="1">
      <alignment horizontal="left" vertical="top" wrapText="1"/>
    </xf>
    <xf numFmtId="164" fontId="7" fillId="6" borderId="0" xfId="1" applyNumberFormat="1" applyFont="1" applyFill="1" applyBorder="1" applyAlignment="1">
      <alignment horizontal="left" vertical="top"/>
    </xf>
    <xf numFmtId="164" fontId="8" fillId="6" borderId="0" xfId="1" applyNumberFormat="1" applyFont="1" applyFill="1" applyAlignment="1">
      <alignment horizontal="left" vertical="top" wrapText="1"/>
    </xf>
    <xf numFmtId="164" fontId="6" fillId="6" borderId="2" xfId="1" applyNumberFormat="1" applyFont="1" applyFill="1" applyBorder="1" applyAlignment="1">
      <alignment horizontal="center" vertical="top"/>
    </xf>
    <xf numFmtId="164" fontId="6" fillId="6" borderId="2" xfId="1" applyNumberFormat="1" applyFont="1" applyFill="1" applyBorder="1" applyAlignment="1">
      <alignment horizontal="center" vertical="top" wrapText="1"/>
    </xf>
    <xf numFmtId="164" fontId="8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 wrapText="1"/>
    </xf>
    <xf numFmtId="164" fontId="10" fillId="6" borderId="10" xfId="1" applyNumberFormat="1" applyFont="1" applyFill="1" applyBorder="1" applyAlignment="1">
      <alignment horizontal="left" vertical="top"/>
    </xf>
    <xf numFmtId="164" fontId="10" fillId="6" borderId="10" xfId="1" applyNumberFormat="1" applyFont="1" applyFill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2" xfId="1" applyNumberFormat="1" applyFont="1" applyFill="1" applyBorder="1" applyAlignment="1">
      <alignment horizontal="center" vertical="top"/>
    </xf>
    <xf numFmtId="164" fontId="8" fillId="6" borderId="2" xfId="1" applyNumberFormat="1" applyFont="1" applyFill="1" applyBorder="1" applyAlignment="1">
      <alignment horizontal="center" vertical="top" wrapText="1"/>
    </xf>
    <xf numFmtId="164" fontId="8" fillId="6" borderId="2" xfId="1" quotePrefix="1" applyNumberFormat="1" applyFont="1" applyFill="1" applyBorder="1" applyAlignment="1">
      <alignment horizontal="center"/>
    </xf>
    <xf numFmtId="164" fontId="8" fillId="5" borderId="2" xfId="1" quotePrefix="1" applyNumberFormat="1" applyFont="1" applyFill="1" applyBorder="1" applyAlignment="1">
      <alignment horizontal="center"/>
    </xf>
    <xf numFmtId="164" fontId="8" fillId="4" borderId="2" xfId="1" quotePrefix="1" applyNumberFormat="1" applyFont="1" applyFill="1" applyBorder="1" applyAlignment="1">
      <alignment horizontal="center"/>
    </xf>
    <xf numFmtId="43" fontId="8" fillId="5" borderId="0" xfId="1" applyNumberFormat="1" applyFont="1" applyFill="1"/>
    <xf numFmtId="164" fontId="4" fillId="0" borderId="0" xfId="1" quotePrefix="1" applyNumberFormat="1" applyFont="1" applyAlignment="1">
      <alignment horizontal="center" vertical="top"/>
    </xf>
    <xf numFmtId="167" fontId="8" fillId="6" borderId="0" xfId="2" applyNumberFormat="1" applyFont="1" applyFill="1"/>
    <xf numFmtId="167" fontId="8" fillId="5" borderId="0" xfId="2" applyNumberFormat="1" applyFont="1" applyFill="1"/>
    <xf numFmtId="167" fontId="8" fillId="4" borderId="0" xfId="2" applyNumberFormat="1" applyFont="1" applyFill="1"/>
    <xf numFmtId="167" fontId="9" fillId="0" borderId="0" xfId="2" applyNumberFormat="1" applyFont="1"/>
    <xf numFmtId="0" fontId="13" fillId="0" borderId="0" xfId="0" applyFont="1"/>
    <xf numFmtId="167" fontId="13" fillId="0" borderId="0" xfId="2" applyNumberFormat="1" applyFont="1"/>
    <xf numFmtId="0" fontId="15" fillId="0" borderId="0" xfId="0" applyFont="1"/>
    <xf numFmtId="167" fontId="15" fillId="0" borderId="0" xfId="2" applyNumberFormat="1" applyFont="1"/>
    <xf numFmtId="0" fontId="16" fillId="0" borderId="0" xfId="0" applyFont="1"/>
    <xf numFmtId="167" fontId="16" fillId="0" borderId="0" xfId="2" applyNumberFormat="1" applyFont="1"/>
    <xf numFmtId="0" fontId="17" fillId="0" borderId="0" xfId="0" applyFont="1"/>
    <xf numFmtId="167" fontId="17" fillId="0" borderId="0" xfId="2" applyNumberFormat="1" applyFont="1"/>
    <xf numFmtId="0" fontId="18" fillId="0" borderId="0" xfId="0" applyFont="1"/>
    <xf numFmtId="167" fontId="18" fillId="0" borderId="0" xfId="2" applyNumberFormat="1" applyFont="1"/>
    <xf numFmtId="164" fontId="3" fillId="0" borderId="0" xfId="1" applyNumberFormat="1" applyFont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7" fontId="8" fillId="6" borderId="0" xfId="2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0" fontId="17" fillId="7" borderId="0" xfId="0" applyFont="1" applyFill="1"/>
    <xf numFmtId="0" fontId="16" fillId="7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1" xfId="0" applyFont="1" applyBorder="1"/>
    <xf numFmtId="168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left"/>
    </xf>
    <xf numFmtId="164" fontId="20" fillId="0" borderId="11" xfId="1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3" fillId="0" borderId="0" xfId="0" applyFont="1"/>
    <xf numFmtId="0" fontId="14" fillId="0" borderId="0" xfId="0" applyFont="1" applyAlignment="1">
      <alignment horizontal="center"/>
    </xf>
    <xf numFmtId="41" fontId="3" fillId="0" borderId="0" xfId="1" applyNumberFormat="1" applyFont="1" applyAlignment="1">
      <alignment horizontal="left" vertical="top" wrapText="1"/>
    </xf>
    <xf numFmtId="41" fontId="2" fillId="0" borderId="0" xfId="1" applyNumberFormat="1" applyFont="1" applyAlignment="1">
      <alignment horizontal="left" vertical="top" wrapText="1"/>
    </xf>
    <xf numFmtId="41" fontId="2" fillId="0" borderId="1" xfId="1" applyNumberFormat="1" applyFont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vertical="top"/>
    </xf>
    <xf numFmtId="164" fontId="9" fillId="5" borderId="10" xfId="1" applyNumberFormat="1" applyFont="1" applyFill="1" applyBorder="1" applyAlignment="1">
      <alignment vertical="top"/>
    </xf>
    <xf numFmtId="164" fontId="9" fillId="4" borderId="10" xfId="1" applyNumberFormat="1" applyFont="1" applyFill="1" applyBorder="1" applyAlignment="1">
      <alignment vertical="top"/>
    </xf>
    <xf numFmtId="164" fontId="9" fillId="0" borderId="0" xfId="1" applyNumberFormat="1" applyFont="1" applyAlignment="1">
      <alignment vertical="top"/>
    </xf>
    <xf numFmtId="167" fontId="0" fillId="0" borderId="0" xfId="2" applyNumberFormat="1" applyFont="1"/>
    <xf numFmtId="167" fontId="13" fillId="0" borderId="0" xfId="2" applyNumberFormat="1" applyFont="1" applyAlignment="1">
      <alignment horizontal="center"/>
    </xf>
    <xf numFmtId="167" fontId="0" fillId="0" borderId="0" xfId="2" quotePrefix="1" applyNumberFormat="1" applyFont="1"/>
    <xf numFmtId="167" fontId="13" fillId="2" borderId="0" xfId="2" applyNumberFormat="1" applyFont="1" applyFill="1" applyAlignment="1">
      <alignment horizontal="center"/>
    </xf>
    <xf numFmtId="167" fontId="0" fillId="2" borderId="0" xfId="2" applyNumberFormat="1" applyFont="1" applyFill="1"/>
    <xf numFmtId="167" fontId="13" fillId="8" borderId="0" xfId="2" applyNumberFormat="1" applyFont="1" applyFill="1" applyAlignment="1">
      <alignment horizontal="center"/>
    </xf>
    <xf numFmtId="167" fontId="0" fillId="8" borderId="0" xfId="2" applyNumberFormat="1" applyFont="1" applyFill="1"/>
    <xf numFmtId="41" fontId="0" fillId="0" borderId="0" xfId="2" applyNumberFormat="1" applyFont="1" applyFill="1"/>
    <xf numFmtId="167" fontId="0" fillId="0" borderId="0" xfId="2" applyNumberFormat="1" applyFont="1" applyFill="1"/>
    <xf numFmtId="41" fontId="0" fillId="8" borderId="0" xfId="2" applyNumberFormat="1" applyFont="1" applyFill="1"/>
    <xf numFmtId="41" fontId="13" fillId="8" borderId="0" xfId="2" applyNumberFormat="1" applyFont="1" applyFill="1" applyAlignment="1">
      <alignment horizontal="center"/>
    </xf>
    <xf numFmtId="164" fontId="4" fillId="0" borderId="0" xfId="1" quotePrefix="1" applyNumberFormat="1" applyFont="1" applyAlignment="1">
      <alignment horizontal="center" vertical="top"/>
    </xf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6" fillId="6" borderId="0" xfId="1" quotePrefix="1" applyNumberFormat="1" applyFont="1" applyFill="1" applyAlignment="1">
      <alignment horizontal="center"/>
    </xf>
    <xf numFmtId="164" fontId="6" fillId="6" borderId="0" xfId="1" applyNumberFormat="1" applyFont="1" applyFill="1" applyAlignment="1">
      <alignment horizontal="center"/>
    </xf>
    <xf numFmtId="164" fontId="6" fillId="5" borderId="0" xfId="1" quotePrefix="1" applyNumberFormat="1" applyFont="1" applyFill="1" applyAlignment="1">
      <alignment horizontal="center"/>
    </xf>
    <xf numFmtId="164" fontId="6" fillId="5" borderId="0" xfId="1" applyNumberFormat="1" applyFont="1" applyFill="1" applyAlignment="1">
      <alignment horizontal="center"/>
    </xf>
    <xf numFmtId="167" fontId="8" fillId="6" borderId="0" xfId="2" applyNumberFormat="1" applyFont="1" applyFill="1" applyAlignment="1">
      <alignment horizontal="left" vertical="top"/>
    </xf>
    <xf numFmtId="167" fontId="13" fillId="0" borderId="0" xfId="2" quotePrefix="1" applyNumberFormat="1" applyFont="1" applyAlignment="1">
      <alignment horizontal="center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0" fontId="19" fillId="0" borderId="0" xfId="0" applyFont="1" applyAlignment="1">
      <alignment horizontal="center"/>
    </xf>
    <xf numFmtId="0" fontId="17" fillId="0" borderId="0" xfId="0" applyFont="1" applyFill="1"/>
    <xf numFmtId="172" fontId="0" fillId="0" borderId="0" xfId="2" applyNumberFormat="1" applyFont="1"/>
    <xf numFmtId="172" fontId="13" fillId="0" borderId="0" xfId="2" applyNumberFormat="1" applyFont="1" applyAlignment="1">
      <alignment horizontal="center"/>
    </xf>
    <xf numFmtId="0" fontId="0" fillId="0" borderId="0" xfId="0" applyNumberFormat="1"/>
    <xf numFmtId="0" fontId="23" fillId="0" borderId="0" xfId="2" applyNumberFormat="1" applyFont="1"/>
    <xf numFmtId="0" fontId="14" fillId="0" borderId="0" xfId="2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22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172" fontId="23" fillId="0" borderId="0" xfId="2" applyNumberFormat="1" applyFont="1"/>
    <xf numFmtId="172" fontId="14" fillId="0" borderId="0" xfId="2" applyNumberFormat="1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376576"/>
        <c:axId val="1427373856"/>
      </c:lineChart>
      <c:catAx>
        <c:axId val="14273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7373856"/>
        <c:crosses val="autoZero"/>
        <c:auto val="1"/>
        <c:lblAlgn val="ctr"/>
        <c:lblOffset val="100"/>
        <c:noMultiLvlLbl val="0"/>
      </c:catAx>
      <c:valAx>
        <c:axId val="14273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73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374944"/>
        <c:axId val="1427371136"/>
      </c:lineChart>
      <c:catAx>
        <c:axId val="14273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7371136"/>
        <c:crosses val="autoZero"/>
        <c:auto val="1"/>
        <c:lblAlgn val="ctr"/>
        <c:lblOffset val="100"/>
        <c:noMultiLvlLbl val="0"/>
      </c:catAx>
      <c:valAx>
        <c:axId val="14273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73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377120"/>
        <c:axId val="1427379840"/>
      </c:lineChart>
      <c:catAx>
        <c:axId val="14273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7379840"/>
        <c:crosses val="autoZero"/>
        <c:auto val="1"/>
        <c:lblAlgn val="ctr"/>
        <c:lblOffset val="100"/>
        <c:noMultiLvlLbl val="0"/>
      </c:catAx>
      <c:valAx>
        <c:axId val="14273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73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77" customWidth="1"/>
    <col min="4" max="4" width="29.5703125" style="77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193" t="s">
        <v>3</v>
      </c>
      <c r="G3" s="193"/>
      <c r="H3" s="193"/>
      <c r="I3" s="193"/>
      <c r="J3" s="193" t="s">
        <v>4</v>
      </c>
      <c r="K3" s="193"/>
      <c r="L3" s="193"/>
      <c r="M3" s="193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193" t="s">
        <v>65</v>
      </c>
      <c r="W3" s="193"/>
      <c r="X3" s="193"/>
      <c r="Y3" s="193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194" t="s">
        <v>0</v>
      </c>
      <c r="D6" s="194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79"/>
      <c r="W6" s="79"/>
      <c r="X6" s="79"/>
      <c r="Y6" s="79"/>
    </row>
    <row r="7" spans="2:25" s="4" customFormat="1" x14ac:dyDescent="0.25">
      <c r="B7" s="3"/>
      <c r="C7" s="194" t="s">
        <v>1</v>
      </c>
      <c r="D7" s="194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77"/>
      <c r="D9" s="7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194" t="s">
        <v>7</v>
      </c>
      <c r="D10" s="194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194" t="s">
        <v>8</v>
      </c>
      <c r="D11" s="194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77"/>
      <c r="D13" s="7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78"/>
      <c r="W14" s="78"/>
      <c r="X14" s="78"/>
      <c r="Y14" s="78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H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194" t="s">
        <v>0</v>
      </c>
      <c r="D21" s="194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194" t="s">
        <v>1</v>
      </c>
      <c r="D22" s="194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194" t="s">
        <v>7</v>
      </c>
      <c r="D25" s="194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194" t="s">
        <v>8</v>
      </c>
      <c r="D26" s="194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194" t="s">
        <v>0</v>
      </c>
      <c r="D36" s="194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194" t="s">
        <v>1</v>
      </c>
      <c r="D37" s="194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194" t="s">
        <v>7</v>
      </c>
      <c r="D40" s="194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194" t="s">
        <v>8</v>
      </c>
      <c r="D41" s="194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194" t="s">
        <v>0</v>
      </c>
      <c r="D51" s="194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194" t="s">
        <v>1</v>
      </c>
      <c r="D52" s="194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194" t="s">
        <v>7</v>
      </c>
      <c r="D55" s="194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194" t="s">
        <v>8</v>
      </c>
      <c r="D56" s="194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C11:D11"/>
    <mergeCell ref="C21:D21"/>
    <mergeCell ref="C22:D22"/>
    <mergeCell ref="V3:Y3"/>
    <mergeCell ref="C51:D51"/>
    <mergeCell ref="C52:D52"/>
    <mergeCell ref="C55:D55"/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4" sqref="F4"/>
    </sheetView>
  </sheetViews>
  <sheetFormatPr defaultRowHeight="15" x14ac:dyDescent="0.25"/>
  <cols>
    <col min="1" max="1" width="3.85546875" bestFit="1" customWidth="1"/>
    <col min="2" max="2" width="10.42578125" bestFit="1" customWidth="1"/>
    <col min="3" max="3" width="7" bestFit="1" customWidth="1"/>
    <col min="4" max="5" width="6.140625" bestFit="1" customWidth="1"/>
    <col min="6" max="6" width="14.140625" bestFit="1" customWidth="1"/>
    <col min="7" max="7" width="5.85546875" bestFit="1" customWidth="1"/>
  </cols>
  <sheetData>
    <row r="1" spans="1:7" ht="15.75" x14ac:dyDescent="0.25">
      <c r="A1" s="212" t="s">
        <v>105</v>
      </c>
      <c r="B1" s="212"/>
      <c r="C1" s="212"/>
      <c r="D1" s="212"/>
      <c r="E1" s="212"/>
      <c r="F1" s="212"/>
      <c r="G1" s="212"/>
    </row>
    <row r="2" spans="1:7" ht="15.75" x14ac:dyDescent="0.25">
      <c r="A2" s="157"/>
      <c r="B2" s="157"/>
      <c r="C2" s="157"/>
      <c r="D2" s="157"/>
      <c r="E2" s="157"/>
      <c r="F2" s="158"/>
      <c r="G2" s="158"/>
    </row>
    <row r="3" spans="1:7" ht="15.75" x14ac:dyDescent="0.25">
      <c r="A3" s="159" t="s">
        <v>106</v>
      </c>
      <c r="B3" s="159" t="s">
        <v>107</v>
      </c>
      <c r="C3" s="159" t="s">
        <v>108</v>
      </c>
      <c r="D3" s="160" t="s">
        <v>101</v>
      </c>
      <c r="E3" s="161" t="s">
        <v>51</v>
      </c>
      <c r="F3" s="159" t="s">
        <v>109</v>
      </c>
      <c r="G3" s="159" t="s">
        <v>110</v>
      </c>
    </row>
    <row r="4" spans="1:7" ht="15.75" x14ac:dyDescent="0.25">
      <c r="A4" s="162">
        <v>1</v>
      </c>
      <c r="B4" s="163" t="s">
        <v>111</v>
      </c>
      <c r="C4" s="162">
        <v>2019</v>
      </c>
      <c r="D4" s="164">
        <v>0.56236375615469714</v>
      </c>
      <c r="E4" s="164">
        <v>3.5824845393217997</v>
      </c>
      <c r="F4" s="165">
        <v>3403</v>
      </c>
      <c r="G4" s="166">
        <v>8.1300000000000008</v>
      </c>
    </row>
    <row r="5" spans="1:7" ht="15.75" x14ac:dyDescent="0.25">
      <c r="A5" s="162">
        <f>A4+1</f>
        <v>2</v>
      </c>
      <c r="B5" s="163" t="s">
        <v>112</v>
      </c>
      <c r="C5" s="162">
        <v>2019</v>
      </c>
      <c r="D5" s="164">
        <v>0.50151623074757401</v>
      </c>
      <c r="E5" s="164">
        <v>3.9284559689259466</v>
      </c>
      <c r="F5" s="167">
        <v>3730</v>
      </c>
      <c r="G5" s="166">
        <v>8.2200000000000006</v>
      </c>
    </row>
    <row r="6" spans="1:7" ht="15.75" x14ac:dyDescent="0.25">
      <c r="A6" s="162">
        <f t="shared" ref="A6:A35" si="0">A5+1</f>
        <v>3</v>
      </c>
      <c r="B6" s="163" t="s">
        <v>113</v>
      </c>
      <c r="C6" s="162">
        <v>2019</v>
      </c>
      <c r="D6" s="164">
        <v>0.37826785737207713</v>
      </c>
      <c r="E6" s="164">
        <v>3.7440864678600678</v>
      </c>
      <c r="F6" s="167">
        <v>2750</v>
      </c>
      <c r="G6" s="166">
        <v>7.92</v>
      </c>
    </row>
    <row r="7" spans="1:7" ht="15.75" x14ac:dyDescent="0.25">
      <c r="A7" s="162">
        <f t="shared" si="0"/>
        <v>4</v>
      </c>
      <c r="B7" s="163" t="s">
        <v>114</v>
      </c>
      <c r="C7" s="162">
        <v>2019</v>
      </c>
      <c r="D7" s="164">
        <v>0.40982540033609954</v>
      </c>
      <c r="E7" s="164">
        <v>3.6905987868493928</v>
      </c>
      <c r="F7" s="167">
        <v>3467</v>
      </c>
      <c r="G7" s="166">
        <v>8.15</v>
      </c>
    </row>
    <row r="8" spans="1:7" ht="15.75" x14ac:dyDescent="0.25">
      <c r="A8" s="162">
        <f t="shared" si="0"/>
        <v>5</v>
      </c>
      <c r="B8" s="163" t="s">
        <v>111</v>
      </c>
      <c r="C8" s="162">
        <v>2018</v>
      </c>
      <c r="D8" s="164">
        <v>0.37577888976735907</v>
      </c>
      <c r="E8" s="164">
        <v>3.3785848293957761</v>
      </c>
      <c r="F8" s="168">
        <v>2027</v>
      </c>
      <c r="G8" s="166">
        <v>7.61</v>
      </c>
    </row>
    <row r="9" spans="1:7" ht="15.75" x14ac:dyDescent="0.25">
      <c r="A9" s="162">
        <f t="shared" si="0"/>
        <v>6</v>
      </c>
      <c r="B9" s="163" t="s">
        <v>112</v>
      </c>
      <c r="C9" s="162">
        <v>2018</v>
      </c>
      <c r="D9" s="164">
        <v>0.49175197547588506</v>
      </c>
      <c r="E9" s="164">
        <v>2.8211224573767049</v>
      </c>
      <c r="F9" s="168">
        <v>3267</v>
      </c>
      <c r="G9" s="166">
        <v>8.09</v>
      </c>
    </row>
    <row r="10" spans="1:7" ht="15.75" x14ac:dyDescent="0.25">
      <c r="A10" s="162">
        <f t="shared" si="0"/>
        <v>7</v>
      </c>
      <c r="B10" s="163" t="s">
        <v>113</v>
      </c>
      <c r="C10" s="162">
        <v>2018</v>
      </c>
      <c r="D10" s="164">
        <v>0.47640887736441084</v>
      </c>
      <c r="E10" s="164">
        <v>2.667162462466858</v>
      </c>
      <c r="F10" s="168">
        <v>3420</v>
      </c>
      <c r="G10" s="166">
        <v>8.14</v>
      </c>
    </row>
    <row r="11" spans="1:7" ht="15.75" x14ac:dyDescent="0.25">
      <c r="A11" s="162">
        <f t="shared" si="0"/>
        <v>8</v>
      </c>
      <c r="B11" s="163" t="s">
        <v>114</v>
      </c>
      <c r="C11" s="162">
        <v>2018</v>
      </c>
      <c r="D11" s="164">
        <v>0.57657207273621747</v>
      </c>
      <c r="E11" s="164">
        <v>2.4006092668988188</v>
      </c>
      <c r="F11" s="168">
        <v>5292</v>
      </c>
      <c r="G11" s="166">
        <v>8.57</v>
      </c>
    </row>
    <row r="12" spans="1:7" ht="15.75" x14ac:dyDescent="0.25">
      <c r="A12" s="162">
        <f t="shared" si="0"/>
        <v>9</v>
      </c>
      <c r="B12" s="163" t="s">
        <v>111</v>
      </c>
      <c r="C12" s="162">
        <v>2017</v>
      </c>
      <c r="D12" s="164">
        <v>0.58512367891844042</v>
      </c>
      <c r="E12" s="164">
        <v>2.4194542025957348</v>
      </c>
      <c r="F12" s="168">
        <v>5383</v>
      </c>
      <c r="G12" s="166">
        <v>8.59</v>
      </c>
    </row>
    <row r="13" spans="1:7" ht="15.75" x14ac:dyDescent="0.25">
      <c r="A13" s="162">
        <f t="shared" si="0"/>
        <v>10</v>
      </c>
      <c r="B13" s="163" t="s">
        <v>112</v>
      </c>
      <c r="C13" s="162">
        <v>2017</v>
      </c>
      <c r="D13" s="164">
        <v>0.61406183772263079</v>
      </c>
      <c r="E13" s="164">
        <v>2.1939163997897655</v>
      </c>
      <c r="F13" s="168">
        <v>6400</v>
      </c>
      <c r="G13" s="166">
        <v>8.76</v>
      </c>
    </row>
    <row r="14" spans="1:7" ht="15.75" x14ac:dyDescent="0.25">
      <c r="A14" s="162">
        <f t="shared" si="0"/>
        <v>11</v>
      </c>
      <c r="B14" s="163" t="s">
        <v>113</v>
      </c>
      <c r="C14" s="162">
        <v>2017</v>
      </c>
      <c r="D14" s="164">
        <v>0.57624492143213768</v>
      </c>
      <c r="E14" s="164">
        <v>2.4119216543529212</v>
      </c>
      <c r="F14" s="168">
        <v>6817</v>
      </c>
      <c r="G14" s="166">
        <v>8.83</v>
      </c>
    </row>
    <row r="15" spans="1:7" ht="15.75" x14ac:dyDescent="0.25">
      <c r="A15" s="162">
        <f t="shared" si="0"/>
        <v>12</v>
      </c>
      <c r="B15" s="163" t="s">
        <v>114</v>
      </c>
      <c r="C15" s="162">
        <v>2017</v>
      </c>
      <c r="D15" s="164">
        <v>0.47699463760246241</v>
      </c>
      <c r="E15" s="164">
        <v>2.4491289264526634</v>
      </c>
      <c r="F15" s="168">
        <v>6850</v>
      </c>
      <c r="G15" s="166">
        <v>8.83</v>
      </c>
    </row>
    <row r="16" spans="1:7" ht="15.75" x14ac:dyDescent="0.25">
      <c r="A16" s="162">
        <f t="shared" si="0"/>
        <v>13</v>
      </c>
      <c r="B16" s="163" t="s">
        <v>111</v>
      </c>
      <c r="C16" s="162">
        <v>2016</v>
      </c>
      <c r="D16" s="164">
        <v>0.42299227646297466</v>
      </c>
      <c r="E16" s="164">
        <v>2.5859686301568039</v>
      </c>
      <c r="F16" s="168">
        <v>6483</v>
      </c>
      <c r="G16" s="166">
        <v>8.7799999999999994</v>
      </c>
    </row>
    <row r="17" spans="1:7" ht="15.75" x14ac:dyDescent="0.25">
      <c r="A17" s="162">
        <f t="shared" si="0"/>
        <v>14</v>
      </c>
      <c r="B17" s="163" t="s">
        <v>112</v>
      </c>
      <c r="C17" s="162">
        <v>2016</v>
      </c>
      <c r="D17" s="164">
        <v>0.44067908198136363</v>
      </c>
      <c r="E17" s="164">
        <v>2.4419613993570755</v>
      </c>
      <c r="F17" s="168">
        <v>6358</v>
      </c>
      <c r="G17" s="166">
        <v>8.76</v>
      </c>
    </row>
    <row r="18" spans="1:7" ht="15.75" x14ac:dyDescent="0.25">
      <c r="A18" s="162">
        <f t="shared" si="0"/>
        <v>15</v>
      </c>
      <c r="B18" s="163" t="s">
        <v>113</v>
      </c>
      <c r="C18" s="162">
        <v>2016</v>
      </c>
      <c r="D18" s="164">
        <v>0.38916361811772476</v>
      </c>
      <c r="E18" s="164">
        <v>2.6587155794261541</v>
      </c>
      <c r="F18" s="168">
        <v>6550</v>
      </c>
      <c r="G18" s="166">
        <v>8.7899999999999991</v>
      </c>
    </row>
    <row r="19" spans="1:7" ht="15.75" x14ac:dyDescent="0.25">
      <c r="A19" s="162">
        <f t="shared" si="0"/>
        <v>16</v>
      </c>
      <c r="B19" s="163" t="s">
        <v>114</v>
      </c>
      <c r="C19" s="162">
        <v>2016</v>
      </c>
      <c r="D19" s="164">
        <v>0.44100586770137112</v>
      </c>
      <c r="E19" s="164">
        <v>2.8520801689590525</v>
      </c>
      <c r="F19" s="168">
        <v>5608</v>
      </c>
      <c r="G19" s="166">
        <v>8.6300000000000008</v>
      </c>
    </row>
    <row r="20" spans="1:7" ht="15.75" x14ac:dyDescent="0.25">
      <c r="A20" s="162">
        <f t="shared" si="0"/>
        <v>17</v>
      </c>
      <c r="B20" s="163" t="s">
        <v>111</v>
      </c>
      <c r="C20" s="162">
        <v>2015</v>
      </c>
      <c r="D20" s="164">
        <v>0.49463296530125767</v>
      </c>
      <c r="E20" s="164">
        <v>3.1759032696486638</v>
      </c>
      <c r="F20" s="168">
        <v>5097</v>
      </c>
      <c r="G20" s="166">
        <v>8.5399999999999991</v>
      </c>
    </row>
    <row r="21" spans="1:7" ht="15.75" x14ac:dyDescent="0.25">
      <c r="A21" s="162">
        <f t="shared" si="0"/>
        <v>18</v>
      </c>
      <c r="B21" s="163" t="s">
        <v>112</v>
      </c>
      <c r="C21" s="162">
        <v>2015</v>
      </c>
      <c r="D21" s="164">
        <v>0.58592780791533983</v>
      </c>
      <c r="E21" s="164">
        <v>2.9733963285008977</v>
      </c>
      <c r="F21" s="168">
        <v>4032</v>
      </c>
      <c r="G21" s="166">
        <v>8.3000000000000007</v>
      </c>
    </row>
    <row r="22" spans="1:7" ht="15.75" x14ac:dyDescent="0.25">
      <c r="A22" s="162">
        <f t="shared" si="0"/>
        <v>19</v>
      </c>
      <c r="B22" s="163" t="s">
        <v>113</v>
      </c>
      <c r="C22" s="162">
        <v>2015</v>
      </c>
      <c r="D22" s="164">
        <v>0.65789451161662615</v>
      </c>
      <c r="E22" s="164">
        <v>3.3179447651703931</v>
      </c>
      <c r="F22" s="168">
        <v>3913</v>
      </c>
      <c r="G22" s="166">
        <v>8.27</v>
      </c>
    </row>
    <row r="23" spans="1:7" ht="15.75" x14ac:dyDescent="0.25">
      <c r="A23" s="162">
        <f t="shared" si="0"/>
        <v>20</v>
      </c>
      <c r="B23" s="163" t="s">
        <v>114</v>
      </c>
      <c r="C23" s="162">
        <v>2015</v>
      </c>
      <c r="D23" s="164">
        <v>0.42301844668184579</v>
      </c>
      <c r="E23" s="164">
        <v>2.8085655783373791</v>
      </c>
      <c r="F23" s="168">
        <v>4162</v>
      </c>
      <c r="G23" s="166">
        <v>8.33</v>
      </c>
    </row>
    <row r="24" spans="1:7" ht="15.75" x14ac:dyDescent="0.25">
      <c r="A24" s="162">
        <f t="shared" si="0"/>
        <v>21</v>
      </c>
      <c r="B24" s="163" t="s">
        <v>111</v>
      </c>
      <c r="C24" s="162">
        <v>2014</v>
      </c>
      <c r="D24" s="164">
        <v>0.40626751212380985</v>
      </c>
      <c r="E24" s="164">
        <v>2.7514071605140731</v>
      </c>
      <c r="F24" s="168">
        <v>4015</v>
      </c>
      <c r="G24" s="166">
        <v>8.3000000000000007</v>
      </c>
    </row>
    <row r="25" spans="1:7" ht="15.75" x14ac:dyDescent="0.25">
      <c r="A25" s="162">
        <f t="shared" si="0"/>
        <v>22</v>
      </c>
      <c r="B25" s="163" t="s">
        <v>112</v>
      </c>
      <c r="C25" s="162">
        <v>2014</v>
      </c>
      <c r="D25" s="164">
        <v>0.48252575857425067</v>
      </c>
      <c r="E25" s="164">
        <v>2.4963505515673163</v>
      </c>
      <c r="F25" s="168">
        <v>4103</v>
      </c>
      <c r="G25" s="166">
        <v>8.32</v>
      </c>
    </row>
    <row r="26" spans="1:7" ht="15.75" x14ac:dyDescent="0.25">
      <c r="A26" s="162">
        <f t="shared" si="0"/>
        <v>23</v>
      </c>
      <c r="B26" s="163" t="s">
        <v>113</v>
      </c>
      <c r="C26" s="162">
        <v>2014</v>
      </c>
      <c r="D26" s="164">
        <v>0.53370088639232971</v>
      </c>
      <c r="E26" s="164">
        <v>2.1953947128922771</v>
      </c>
      <c r="F26" s="168">
        <v>4083</v>
      </c>
      <c r="G26" s="166">
        <v>8.31</v>
      </c>
    </row>
    <row r="27" spans="1:7" ht="15.75" x14ac:dyDescent="0.25">
      <c r="A27" s="162">
        <f t="shared" si="0"/>
        <v>24</v>
      </c>
      <c r="B27" s="163" t="s">
        <v>114</v>
      </c>
      <c r="C27" s="162">
        <v>2014</v>
      </c>
      <c r="D27" s="164">
        <v>0.61719720364230546</v>
      </c>
      <c r="E27" s="164">
        <v>2.1849121926562849</v>
      </c>
      <c r="F27" s="168">
        <v>4205</v>
      </c>
      <c r="G27" s="166">
        <v>8.34</v>
      </c>
    </row>
    <row r="28" spans="1:7" ht="15.75" x14ac:dyDescent="0.25">
      <c r="A28" s="162">
        <f t="shared" si="0"/>
        <v>25</v>
      </c>
      <c r="B28" s="163" t="s">
        <v>111</v>
      </c>
      <c r="C28" s="162">
        <v>2013</v>
      </c>
      <c r="D28" s="164">
        <v>0.53125721362069422</v>
      </c>
      <c r="E28" s="164">
        <v>2.3007759966067707</v>
      </c>
      <c r="F28" s="168">
        <v>4408</v>
      </c>
      <c r="G28" s="166">
        <v>8.39</v>
      </c>
    </row>
    <row r="29" spans="1:7" ht="15.75" x14ac:dyDescent="0.25">
      <c r="A29" s="162">
        <f t="shared" si="0"/>
        <v>26</v>
      </c>
      <c r="B29" s="163" t="s">
        <v>112</v>
      </c>
      <c r="C29" s="162">
        <v>2013</v>
      </c>
      <c r="D29" s="164">
        <v>0.49802604338901746</v>
      </c>
      <c r="E29" s="164">
        <v>2.1021847281782926</v>
      </c>
      <c r="F29" s="168">
        <v>4950</v>
      </c>
      <c r="G29" s="166">
        <v>8.51</v>
      </c>
    </row>
    <row r="30" spans="1:7" ht="15.75" x14ac:dyDescent="0.25">
      <c r="A30" s="162">
        <f t="shared" si="0"/>
        <v>27</v>
      </c>
      <c r="B30" s="163" t="s">
        <v>113</v>
      </c>
      <c r="C30" s="162">
        <v>2013</v>
      </c>
      <c r="D30" s="164">
        <v>0.52719350647103458</v>
      </c>
      <c r="E30" s="164">
        <v>1.8414044862046106</v>
      </c>
      <c r="F30" s="168">
        <v>6167</v>
      </c>
      <c r="G30" s="166">
        <v>8.73</v>
      </c>
    </row>
    <row r="31" spans="1:7" ht="15.75" x14ac:dyDescent="0.25">
      <c r="A31" s="162">
        <f t="shared" si="0"/>
        <v>28</v>
      </c>
      <c r="B31" s="163" t="s">
        <v>114</v>
      </c>
      <c r="C31" s="162">
        <v>2013</v>
      </c>
      <c r="D31" s="164">
        <v>0.70113130772084231</v>
      </c>
      <c r="E31" s="164">
        <v>1.7687476944206253</v>
      </c>
      <c r="F31" s="168">
        <v>7083</v>
      </c>
      <c r="G31" s="166">
        <v>8.8699999999999992</v>
      </c>
    </row>
    <row r="32" spans="1:7" ht="15.75" x14ac:dyDescent="0.25">
      <c r="A32" s="162">
        <f t="shared" si="0"/>
        <v>29</v>
      </c>
      <c r="B32" s="163" t="s">
        <v>111</v>
      </c>
      <c r="C32" s="162">
        <v>2012</v>
      </c>
      <c r="D32" s="164">
        <v>0.75426632283173434</v>
      </c>
      <c r="E32" s="164">
        <v>1.8473301173103869</v>
      </c>
      <c r="F32" s="168">
        <v>6767</v>
      </c>
      <c r="G32" s="166">
        <v>8.82</v>
      </c>
    </row>
    <row r="33" spans="1:7" ht="15.75" x14ac:dyDescent="0.25">
      <c r="A33" s="162">
        <f t="shared" si="0"/>
        <v>30</v>
      </c>
      <c r="B33" s="163" t="s">
        <v>112</v>
      </c>
      <c r="C33" s="162">
        <v>2012</v>
      </c>
      <c r="D33" s="164">
        <v>0.72355321658651661</v>
      </c>
      <c r="E33" s="164">
        <v>1.5520432874641843</v>
      </c>
      <c r="F33" s="168">
        <v>5683</v>
      </c>
      <c r="G33" s="166">
        <v>8.65</v>
      </c>
    </row>
    <row r="34" spans="1:7" ht="15.75" x14ac:dyDescent="0.25">
      <c r="A34" s="162">
        <f t="shared" si="0"/>
        <v>31</v>
      </c>
      <c r="B34" s="163" t="s">
        <v>113</v>
      </c>
      <c r="C34" s="162">
        <v>2012</v>
      </c>
      <c r="D34" s="164">
        <v>0.62523076109725118</v>
      </c>
      <c r="E34" s="164">
        <v>1.947059670544244</v>
      </c>
      <c r="F34" s="168">
        <v>4950</v>
      </c>
      <c r="G34" s="166">
        <v>8.51</v>
      </c>
    </row>
    <row r="35" spans="1:7" ht="15.75" x14ac:dyDescent="0.25">
      <c r="A35" s="162">
        <f t="shared" si="0"/>
        <v>32</v>
      </c>
      <c r="B35" s="163" t="s">
        <v>114</v>
      </c>
      <c r="C35" s="162">
        <v>2012</v>
      </c>
      <c r="D35" s="164">
        <v>0.54277080093543162</v>
      </c>
      <c r="E35" s="164">
        <v>1.7393545846003335</v>
      </c>
      <c r="F35" s="168">
        <v>5750</v>
      </c>
      <c r="G35" s="166">
        <v>8.66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7"/>
  <sheetViews>
    <sheetView topLeftCell="A4" zoomScale="115" zoomScaleNormal="115" workbookViewId="0">
      <selection activeCell="E8" sqref="E8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15" width="17.28515625" style="147" customWidth="1"/>
    <col min="16" max="16" width="17.28515625" style="3" bestFit="1" customWidth="1"/>
    <col min="17" max="19" width="17.28515625" style="3" customWidth="1"/>
    <col min="20" max="20" width="18.140625" style="3" bestFit="1" customWidth="1"/>
    <col min="21" max="23" width="18.140625" style="3" customWidth="1"/>
    <col min="24" max="24" width="18.140625" style="3" bestFit="1" customWidth="1"/>
    <col min="25" max="27" width="18.140625" style="3" customWidth="1"/>
    <col min="28" max="28" width="18.140625" style="3" bestFit="1" customWidth="1"/>
    <col min="29" max="31" width="18.140625" style="3" customWidth="1"/>
    <col min="32" max="32" width="18.140625" style="3" bestFit="1" customWidth="1"/>
    <col min="33" max="35" width="18.140625" style="3" customWidth="1"/>
    <col min="36" max="36" width="18.140625" style="3" bestFit="1" customWidth="1"/>
    <col min="37" max="16384" width="9.140625" style="3"/>
  </cols>
  <sheetData>
    <row r="1" spans="2:36" s="4" customFormat="1" x14ac:dyDescent="0.2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2:36" s="4" customForma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2:36" s="4" customForma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2:36" s="4" customFormat="1" ht="15" customHeight="1" x14ac:dyDescent="0.25">
      <c r="B4" s="8"/>
      <c r="C4" s="9"/>
      <c r="D4" s="9"/>
      <c r="E4" s="195" t="s">
        <v>119</v>
      </c>
      <c r="F4" s="195"/>
      <c r="G4" s="195"/>
      <c r="H4" s="195"/>
      <c r="I4" s="193" t="s">
        <v>118</v>
      </c>
      <c r="J4" s="193"/>
      <c r="K4" s="193"/>
      <c r="L4" s="193"/>
      <c r="M4" s="193" t="s">
        <v>2</v>
      </c>
      <c r="N4" s="193"/>
      <c r="O4" s="193"/>
      <c r="P4" s="193"/>
      <c r="Q4" s="193" t="s">
        <v>3</v>
      </c>
      <c r="R4" s="193"/>
      <c r="S4" s="193"/>
      <c r="T4" s="193"/>
      <c r="U4" s="193" t="s">
        <v>4</v>
      </c>
      <c r="V4" s="193"/>
      <c r="W4" s="193"/>
      <c r="X4" s="193"/>
      <c r="Y4" s="193" t="s">
        <v>5</v>
      </c>
      <c r="Z4" s="193"/>
      <c r="AA4" s="193"/>
      <c r="AB4" s="193"/>
      <c r="AC4" s="193" t="s">
        <v>6</v>
      </c>
      <c r="AD4" s="193"/>
      <c r="AE4" s="193"/>
      <c r="AF4" s="193"/>
      <c r="AG4" s="193" t="s">
        <v>65</v>
      </c>
      <c r="AH4" s="193"/>
      <c r="AI4" s="193"/>
      <c r="AJ4" s="193"/>
    </row>
    <row r="5" spans="2:36" s="4" customFormat="1" x14ac:dyDescent="0.25">
      <c r="B5" s="12" t="s">
        <v>45</v>
      </c>
      <c r="C5" s="13"/>
      <c r="D5" s="13"/>
      <c r="E5" s="14" t="s">
        <v>62</v>
      </c>
      <c r="F5" s="14" t="s">
        <v>63</v>
      </c>
      <c r="G5" s="14" t="s">
        <v>64</v>
      </c>
      <c r="H5" s="14" t="s">
        <v>61</v>
      </c>
      <c r="I5" s="14" t="s">
        <v>62</v>
      </c>
      <c r="J5" s="14" t="s">
        <v>63</v>
      </c>
      <c r="K5" s="14" t="s">
        <v>64</v>
      </c>
      <c r="L5" s="14" t="s">
        <v>61</v>
      </c>
      <c r="M5" s="14" t="s">
        <v>62</v>
      </c>
      <c r="N5" s="14" t="s">
        <v>63</v>
      </c>
      <c r="O5" s="14" t="s">
        <v>64</v>
      </c>
      <c r="P5" s="14" t="s">
        <v>61</v>
      </c>
      <c r="Q5" s="14" t="s">
        <v>62</v>
      </c>
      <c r="R5" s="14" t="s">
        <v>63</v>
      </c>
      <c r="S5" s="14" t="s">
        <v>64</v>
      </c>
      <c r="T5" s="14" t="s">
        <v>61</v>
      </c>
      <c r="U5" s="14" t="s">
        <v>62</v>
      </c>
      <c r="V5" s="14" t="s">
        <v>63</v>
      </c>
      <c r="W5" s="14" t="s">
        <v>64</v>
      </c>
      <c r="X5" s="14" t="s">
        <v>61</v>
      </c>
      <c r="Y5" s="14" t="s">
        <v>62</v>
      </c>
      <c r="Z5" s="14" t="s">
        <v>63</v>
      </c>
      <c r="AA5" s="14" t="s">
        <v>64</v>
      </c>
      <c r="AB5" s="14" t="s">
        <v>61</v>
      </c>
      <c r="AC5" s="14" t="s">
        <v>62</v>
      </c>
      <c r="AD5" s="14" t="s">
        <v>63</v>
      </c>
      <c r="AE5" s="14" t="s">
        <v>64</v>
      </c>
      <c r="AF5" s="14" t="s">
        <v>61</v>
      </c>
      <c r="AG5" s="14" t="s">
        <v>62</v>
      </c>
      <c r="AH5" s="14" t="s">
        <v>63</v>
      </c>
      <c r="AI5" s="14" t="s">
        <v>64</v>
      </c>
      <c r="AJ5" s="14" t="s">
        <v>61</v>
      </c>
    </row>
    <row r="6" spans="2:36" s="4" customFormat="1" x14ac:dyDescent="0.25">
      <c r="B6" s="3"/>
      <c r="C6" s="194" t="s">
        <v>0</v>
      </c>
      <c r="D6" s="194"/>
      <c r="E6" s="175">
        <v>5698982</v>
      </c>
      <c r="F6" s="175">
        <v>7474079</v>
      </c>
      <c r="G6" s="175">
        <v>5771516</v>
      </c>
      <c r="H6" s="175">
        <v>5035962</v>
      </c>
      <c r="I6" s="175">
        <v>5828057</v>
      </c>
      <c r="J6" s="175">
        <v>7071858</v>
      </c>
      <c r="K6" s="175">
        <v>6118018</v>
      </c>
      <c r="L6" s="175">
        <v>5862939</v>
      </c>
      <c r="M6" s="175">
        <v>6956716</v>
      </c>
      <c r="N6" s="175">
        <v>8505223</v>
      </c>
      <c r="O6" s="175">
        <v>7520219</v>
      </c>
      <c r="P6" s="3">
        <v>6337170</v>
      </c>
      <c r="Q6" s="3">
        <v>6725675</v>
      </c>
      <c r="R6" s="3">
        <v>8189284</v>
      </c>
      <c r="S6" s="3">
        <v>7423304</v>
      </c>
      <c r="T6" s="3">
        <v>6623114</v>
      </c>
      <c r="U6" s="3">
        <v>7366121</v>
      </c>
      <c r="V6" s="3">
        <v>9443805</v>
      </c>
      <c r="W6" s="3">
        <v>6878563</v>
      </c>
      <c r="X6" s="3">
        <v>6588109</v>
      </c>
      <c r="Y6" s="3">
        <v>7996530</v>
      </c>
      <c r="Z6" s="3">
        <v>8624713</v>
      </c>
      <c r="AA6" s="3">
        <v>7960938</v>
      </c>
      <c r="AB6" s="3">
        <v>6588109</v>
      </c>
      <c r="AC6" s="3">
        <v>9310953</v>
      </c>
      <c r="AD6" s="3">
        <v>9476988</v>
      </c>
      <c r="AE6" s="3">
        <v>9018583</v>
      </c>
      <c r="AF6" s="3">
        <v>7941635</v>
      </c>
      <c r="AG6" s="3">
        <v>9787714</v>
      </c>
      <c r="AH6" s="3">
        <v>10012444</v>
      </c>
      <c r="AI6" s="3">
        <v>8889091</v>
      </c>
      <c r="AJ6" s="3">
        <v>8530334</v>
      </c>
    </row>
    <row r="7" spans="2:36" s="4" customFormat="1" x14ac:dyDescent="0.25">
      <c r="B7" s="3"/>
      <c r="C7" s="194" t="s">
        <v>1</v>
      </c>
      <c r="D7" s="194"/>
      <c r="E7" s="175">
        <v>6296454</v>
      </c>
      <c r="F7" s="175">
        <v>6460659</v>
      </c>
      <c r="G7" s="175">
        <v>6650394</v>
      </c>
      <c r="H7" s="175">
        <v>6949017</v>
      </c>
      <c r="I7" s="175">
        <v>7078200</v>
      </c>
      <c r="J7" s="175">
        <v>7121276</v>
      </c>
      <c r="K7" s="175">
        <v>7222160</v>
      </c>
      <c r="L7" s="175">
        <v>7485249</v>
      </c>
      <c r="M7" s="175">
        <v>7357464</v>
      </c>
      <c r="N7" s="175">
        <v>7451733</v>
      </c>
      <c r="O7" s="175">
        <v>7649892</v>
      </c>
      <c r="P7" s="3">
        <v>7943500</v>
      </c>
      <c r="Q7" s="3">
        <v>8046879</v>
      </c>
      <c r="R7" s="3">
        <v>8296894</v>
      </c>
      <c r="S7" s="3">
        <v>8561467</v>
      </c>
      <c r="T7" s="3">
        <v>9106831</v>
      </c>
      <c r="U7" s="3">
        <v>9287179</v>
      </c>
      <c r="V7" s="3">
        <v>9476331</v>
      </c>
      <c r="W7" s="3">
        <v>9870110</v>
      </c>
      <c r="X7" s="3">
        <v>10157586</v>
      </c>
      <c r="Y7" s="3">
        <v>10589874</v>
      </c>
      <c r="Z7" s="3">
        <v>10661674</v>
      </c>
      <c r="AA7" s="3">
        <v>10854286</v>
      </c>
      <c r="AB7" s="3">
        <v>10157586</v>
      </c>
      <c r="AC7" s="3">
        <v>10930860</v>
      </c>
      <c r="AD7" s="3">
        <v>11049137</v>
      </c>
      <c r="AE7" s="3">
        <v>10979553</v>
      </c>
      <c r="AF7" s="3">
        <v>10964778</v>
      </c>
      <c r="AG7" s="3">
        <v>12039607</v>
      </c>
      <c r="AH7" s="3">
        <v>12027534</v>
      </c>
      <c r="AI7" s="3">
        <v>11924847</v>
      </c>
      <c r="AJ7" s="3">
        <v>12119037</v>
      </c>
    </row>
    <row r="8" spans="2:36" s="4" customFormat="1" x14ac:dyDescent="0.25">
      <c r="B8" s="4" t="s">
        <v>34</v>
      </c>
      <c r="C8" s="5"/>
      <c r="D8" s="5"/>
      <c r="E8" s="176">
        <f>E6+E7</f>
        <v>11995436</v>
      </c>
      <c r="F8" s="176">
        <f t="shared" ref="F8:M8" si="0">F6+F7</f>
        <v>13934738</v>
      </c>
      <c r="G8" s="176">
        <f t="shared" si="0"/>
        <v>12421910</v>
      </c>
      <c r="H8" s="176">
        <f t="shared" si="0"/>
        <v>11984979</v>
      </c>
      <c r="I8" s="176">
        <f t="shared" si="0"/>
        <v>12906257</v>
      </c>
      <c r="J8" s="176">
        <f t="shared" si="0"/>
        <v>14193134</v>
      </c>
      <c r="K8" s="176">
        <f t="shared" si="0"/>
        <v>13340178</v>
      </c>
      <c r="L8" s="176">
        <f t="shared" ref="L8" si="1">L6+L7</f>
        <v>13348188</v>
      </c>
      <c r="M8" s="176">
        <f t="shared" si="0"/>
        <v>14314180</v>
      </c>
      <c r="N8" s="176">
        <f t="shared" ref="N8" si="2">N6+N7</f>
        <v>15956956</v>
      </c>
      <c r="O8" s="176">
        <f t="shared" ref="O8" si="3">O6+O7</f>
        <v>15170111</v>
      </c>
      <c r="P8" s="4">
        <f t="shared" ref="P8:W8" si="4">P6+P7</f>
        <v>14280670</v>
      </c>
      <c r="Q8" s="4">
        <f t="shared" si="4"/>
        <v>14772554</v>
      </c>
      <c r="R8" s="4">
        <f t="shared" si="4"/>
        <v>16486178</v>
      </c>
      <c r="S8" s="4">
        <f t="shared" si="4"/>
        <v>15984771</v>
      </c>
      <c r="T8" s="4">
        <f t="shared" si="4"/>
        <v>15729945</v>
      </c>
      <c r="U8" s="4">
        <f t="shared" si="4"/>
        <v>16653300</v>
      </c>
      <c r="V8" s="4">
        <f t="shared" si="4"/>
        <v>18920136</v>
      </c>
      <c r="W8" s="4">
        <f t="shared" si="4"/>
        <v>16748673</v>
      </c>
      <c r="X8" s="4">
        <f t="shared" ref="X8:AA8" si="5">X6+X7</f>
        <v>16745695</v>
      </c>
      <c r="Y8" s="4">
        <f t="shared" si="5"/>
        <v>18586404</v>
      </c>
      <c r="Z8" s="4">
        <f t="shared" si="5"/>
        <v>19286387</v>
      </c>
      <c r="AA8" s="4">
        <f t="shared" si="5"/>
        <v>18815224</v>
      </c>
      <c r="AB8" s="4">
        <f>AB6+AB7</f>
        <v>16745695</v>
      </c>
      <c r="AC8" s="4">
        <f t="shared" ref="AC8:AE8" si="6">AC6+AC7</f>
        <v>20241813</v>
      </c>
      <c r="AD8" s="4">
        <f t="shared" si="6"/>
        <v>20526125</v>
      </c>
      <c r="AE8" s="4">
        <f t="shared" si="6"/>
        <v>19998136</v>
      </c>
      <c r="AF8" s="4">
        <f>AF6+AF7</f>
        <v>18906413</v>
      </c>
      <c r="AG8" s="4">
        <f t="shared" ref="AG8" si="7">AG6+AG7</f>
        <v>21827321</v>
      </c>
      <c r="AH8" s="4">
        <f t="shared" ref="AH8" si="8">AH6+AH7</f>
        <v>22039978</v>
      </c>
      <c r="AI8" s="4">
        <f t="shared" ref="AI8" si="9">AI6+AI7</f>
        <v>20813938</v>
      </c>
      <c r="AJ8" s="4">
        <f>AJ6+AJ7</f>
        <v>20649371</v>
      </c>
    </row>
    <row r="9" spans="2:36" s="4" customFormat="1" x14ac:dyDescent="0.25">
      <c r="B9" s="3"/>
      <c r="C9" s="2"/>
      <c r="D9" s="2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s="4" customFormat="1" x14ac:dyDescent="0.25">
      <c r="B10" s="3"/>
      <c r="C10" s="194" t="s">
        <v>7</v>
      </c>
      <c r="D10" s="194"/>
      <c r="E10" s="175">
        <v>6765866</v>
      </c>
      <c r="F10" s="175">
        <v>9784421</v>
      </c>
      <c r="G10" s="175">
        <v>6874980</v>
      </c>
      <c r="H10" s="175">
        <v>7535896</v>
      </c>
      <c r="I10" s="175">
        <v>6938544</v>
      </c>
      <c r="J10" s="175">
        <v>9323573</v>
      </c>
      <c r="K10" s="175">
        <v>7166964</v>
      </c>
      <c r="L10" s="175">
        <v>8419442</v>
      </c>
      <c r="M10" s="175">
        <v>7976721</v>
      </c>
      <c r="N10" s="175">
        <v>10921740</v>
      </c>
      <c r="O10" s="175">
        <v>8892043</v>
      </c>
      <c r="P10" s="3">
        <v>8864832</v>
      </c>
      <c r="Q10" s="3">
        <v>7705404</v>
      </c>
      <c r="R10" s="3">
        <v>11203904</v>
      </c>
      <c r="S10" s="3">
        <v>9400595</v>
      </c>
      <c r="T10" s="3">
        <v>10127542</v>
      </c>
      <c r="U10" s="3">
        <v>9450833</v>
      </c>
      <c r="V10" s="3">
        <v>13172612</v>
      </c>
      <c r="W10" s="3">
        <v>9565299</v>
      </c>
      <c r="X10" s="3">
        <v>10878074</v>
      </c>
      <c r="Y10" s="3">
        <v>10666311</v>
      </c>
      <c r="Z10" s="3">
        <v>13175378</v>
      </c>
      <c r="AA10" s="3">
        <v>11084822</v>
      </c>
      <c r="AB10" s="3">
        <v>10878074</v>
      </c>
      <c r="AC10" s="3">
        <v>11959689</v>
      </c>
      <c r="AD10" s="3">
        <v>14412037</v>
      </c>
      <c r="AE10" s="3">
        <v>10090182</v>
      </c>
      <c r="AF10" s="3">
        <v>12532304</v>
      </c>
      <c r="AG10" s="3">
        <v>14782473</v>
      </c>
      <c r="AH10" s="3">
        <v>10996741</v>
      </c>
      <c r="AI10" s="3">
        <v>11910104</v>
      </c>
      <c r="AJ10" s="3">
        <v>13065308</v>
      </c>
    </row>
    <row r="11" spans="2:36" s="4" customFormat="1" x14ac:dyDescent="0.25">
      <c r="B11" s="3"/>
      <c r="C11" s="194" t="s">
        <v>8</v>
      </c>
      <c r="D11" s="194"/>
      <c r="E11" s="175">
        <v>385947</v>
      </c>
      <c r="F11" s="175">
        <v>398159</v>
      </c>
      <c r="G11" s="175">
        <v>441304</v>
      </c>
      <c r="H11" s="175">
        <v>480718</v>
      </c>
      <c r="I11" s="175">
        <v>567365</v>
      </c>
      <c r="J11" s="175">
        <v>625726</v>
      </c>
      <c r="K11" s="175">
        <v>662770</v>
      </c>
      <c r="L11" s="175">
        <v>674076</v>
      </c>
      <c r="M11" s="175">
        <v>721808</v>
      </c>
      <c r="N11" s="175">
        <v>763285</v>
      </c>
      <c r="O11" s="175">
        <v>805199</v>
      </c>
      <c r="P11" s="3">
        <v>817056</v>
      </c>
      <c r="Q11" s="3">
        <v>728937</v>
      </c>
      <c r="R11" s="3">
        <v>779200</v>
      </c>
      <c r="S11" s="3">
        <v>828569</v>
      </c>
      <c r="T11" s="3">
        <v>775043</v>
      </c>
      <c r="U11" s="3">
        <v>805067</v>
      </c>
      <c r="V11" s="3">
        <v>857077</v>
      </c>
      <c r="W11" s="3">
        <v>840583</v>
      </c>
      <c r="X11" s="3">
        <v>1163363</v>
      </c>
      <c r="Y11" s="3">
        <v>1254994</v>
      </c>
      <c r="Z11" s="3">
        <v>1204895</v>
      </c>
      <c r="AA11" s="3">
        <v>1306544</v>
      </c>
      <c r="AB11" s="3">
        <v>1163363</v>
      </c>
      <c r="AC11" s="3">
        <v>1269605</v>
      </c>
      <c r="AD11" s="3">
        <v>1102319</v>
      </c>
      <c r="AE11" s="3">
        <v>937805</v>
      </c>
      <c r="AF11" s="3">
        <v>1200721</v>
      </c>
      <c r="AG11" s="3">
        <v>1969635</v>
      </c>
      <c r="AH11" s="3">
        <v>1980862</v>
      </c>
      <c r="AI11" s="3">
        <v>2016250</v>
      </c>
      <c r="AJ11" s="3">
        <v>2302201</v>
      </c>
    </row>
    <row r="12" spans="2:36" s="4" customFormat="1" x14ac:dyDescent="0.25">
      <c r="B12" s="4" t="s">
        <v>35</v>
      </c>
      <c r="C12" s="5"/>
      <c r="D12" s="5"/>
      <c r="E12" s="176">
        <f>E10+E11</f>
        <v>7151813</v>
      </c>
      <c r="F12" s="176">
        <f t="shared" ref="F12:M12" si="10">F10+F11</f>
        <v>10182580</v>
      </c>
      <c r="G12" s="176">
        <f t="shared" si="10"/>
        <v>7316284</v>
      </c>
      <c r="H12" s="176">
        <f t="shared" si="10"/>
        <v>8016614</v>
      </c>
      <c r="I12" s="176">
        <f t="shared" si="10"/>
        <v>7505909</v>
      </c>
      <c r="J12" s="176">
        <f t="shared" si="10"/>
        <v>9949299</v>
      </c>
      <c r="K12" s="176">
        <f t="shared" si="10"/>
        <v>7829734</v>
      </c>
      <c r="L12" s="176">
        <f t="shared" ref="L12" si="11">L10+L11</f>
        <v>9093518</v>
      </c>
      <c r="M12" s="176">
        <f t="shared" si="10"/>
        <v>8698529</v>
      </c>
      <c r="N12" s="176">
        <f t="shared" ref="N12:O12" si="12">N10+N11</f>
        <v>11685025</v>
      </c>
      <c r="O12" s="176">
        <f t="shared" si="12"/>
        <v>9697242</v>
      </c>
      <c r="P12" s="4">
        <f>P10+P11</f>
        <v>9681888</v>
      </c>
      <c r="Q12" s="4">
        <f>Q10+Q11</f>
        <v>8434341</v>
      </c>
      <c r="R12" s="4">
        <f>R10+R11</f>
        <v>11983104</v>
      </c>
      <c r="S12" s="4">
        <f>S10+S11</f>
        <v>10229164</v>
      </c>
      <c r="T12" s="4">
        <f t="shared" ref="T12:U12" si="13">T10+T11</f>
        <v>10902585</v>
      </c>
      <c r="U12" s="4">
        <f t="shared" si="13"/>
        <v>10255900</v>
      </c>
      <c r="V12" s="4">
        <f t="shared" ref="V12:W12" si="14">V10+V11</f>
        <v>14029689</v>
      </c>
      <c r="W12" s="4">
        <f t="shared" si="14"/>
        <v>10405882</v>
      </c>
      <c r="X12" s="4">
        <f t="shared" ref="X12:AA12" si="15">X10+X11</f>
        <v>12041437</v>
      </c>
      <c r="Y12" s="4">
        <f t="shared" si="15"/>
        <v>11921305</v>
      </c>
      <c r="Z12" s="4">
        <f t="shared" si="15"/>
        <v>14380273</v>
      </c>
      <c r="AA12" s="4">
        <f t="shared" si="15"/>
        <v>12391366</v>
      </c>
      <c r="AB12" s="4">
        <f t="shared" ref="AB12:AE12" si="16">AB10+AB11</f>
        <v>12041437</v>
      </c>
      <c r="AC12" s="4">
        <f t="shared" si="16"/>
        <v>13229294</v>
      </c>
      <c r="AD12" s="4">
        <f t="shared" si="16"/>
        <v>15514356</v>
      </c>
      <c r="AE12" s="4">
        <f t="shared" si="16"/>
        <v>11027987</v>
      </c>
      <c r="AF12" s="4">
        <f>AF10+AF11</f>
        <v>13733025</v>
      </c>
      <c r="AG12" s="4">
        <f t="shared" ref="AG12:AI12" si="17">AG10+AG11</f>
        <v>16752108</v>
      </c>
      <c r="AH12" s="4">
        <f t="shared" si="17"/>
        <v>12977603</v>
      </c>
      <c r="AI12" s="4">
        <f t="shared" si="17"/>
        <v>13926354</v>
      </c>
      <c r="AJ12" s="4">
        <f>AJ10+AJ11</f>
        <v>15367509</v>
      </c>
    </row>
    <row r="13" spans="2:36" s="4" customFormat="1" x14ac:dyDescent="0.25">
      <c r="B13" s="3"/>
      <c r="C13" s="2"/>
      <c r="D13" s="2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s="4" customFormat="1" x14ac:dyDescent="0.25">
      <c r="B14" s="4" t="s">
        <v>36</v>
      </c>
      <c r="C14" s="5"/>
      <c r="D14" s="5"/>
      <c r="E14" s="176">
        <v>4843623</v>
      </c>
      <c r="F14" s="176">
        <v>3752158</v>
      </c>
      <c r="G14" s="176">
        <v>5105626</v>
      </c>
      <c r="H14" s="176">
        <v>3968365</v>
      </c>
      <c r="I14" s="176">
        <v>5400348</v>
      </c>
      <c r="J14" s="176">
        <v>4243835</v>
      </c>
      <c r="K14" s="176">
        <v>5510444</v>
      </c>
      <c r="L14" s="176">
        <v>4254670</v>
      </c>
      <c r="M14" s="176">
        <v>5615651</v>
      </c>
      <c r="N14" s="176">
        <v>4271931</v>
      </c>
      <c r="O14" s="176">
        <v>5472869</v>
      </c>
      <c r="P14" s="4">
        <v>4598782</v>
      </c>
      <c r="Q14" s="4">
        <v>6338213</v>
      </c>
      <c r="R14" s="4">
        <v>4503074</v>
      </c>
      <c r="S14" s="4">
        <v>5755607</v>
      </c>
      <c r="T14" s="4">
        <v>4827360</v>
      </c>
      <c r="U14" s="4">
        <v>6397400</v>
      </c>
      <c r="V14" s="4">
        <v>4890447</v>
      </c>
      <c r="W14" s="4">
        <v>6342791</v>
      </c>
      <c r="X14" s="4">
        <v>4704258</v>
      </c>
      <c r="Y14" s="4">
        <v>6665099</v>
      </c>
      <c r="Z14" s="4">
        <v>4906114</v>
      </c>
      <c r="AA14" s="4">
        <v>6423858</v>
      </c>
      <c r="AB14" s="4">
        <v>4704258</v>
      </c>
      <c r="AC14" s="4">
        <v>7012519</v>
      </c>
      <c r="AD14" s="4">
        <v>5011769</v>
      </c>
      <c r="AE14" s="4">
        <v>8970149</v>
      </c>
      <c r="AF14" s="4">
        <v>5173388</v>
      </c>
      <c r="AG14" s="4">
        <v>5075213</v>
      </c>
      <c r="AH14" s="4">
        <v>9062375</v>
      </c>
      <c r="AI14" s="4">
        <v>6887584</v>
      </c>
      <c r="AJ14" s="4">
        <v>5281862</v>
      </c>
    </row>
    <row r="15" spans="2:36" s="4" customFormat="1" ht="13.5" thickBot="1" x14ac:dyDescent="0.3">
      <c r="B15" s="6" t="s">
        <v>37</v>
      </c>
      <c r="C15" s="16"/>
      <c r="D15" s="16"/>
      <c r="E15" s="177">
        <f>E12+E14</f>
        <v>11995436</v>
      </c>
      <c r="F15" s="177">
        <f t="shared" ref="F15:M15" si="18">F12+F14</f>
        <v>13934738</v>
      </c>
      <c r="G15" s="177">
        <f t="shared" si="18"/>
        <v>12421910</v>
      </c>
      <c r="H15" s="177">
        <f t="shared" si="18"/>
        <v>11984979</v>
      </c>
      <c r="I15" s="177">
        <f t="shared" si="18"/>
        <v>12906257</v>
      </c>
      <c r="J15" s="177">
        <f t="shared" si="18"/>
        <v>14193134</v>
      </c>
      <c r="K15" s="177">
        <f t="shared" si="18"/>
        <v>13340178</v>
      </c>
      <c r="L15" s="177">
        <f t="shared" ref="L15" si="19">L12+L14</f>
        <v>13348188</v>
      </c>
      <c r="M15" s="177">
        <f t="shared" si="18"/>
        <v>14314180</v>
      </c>
      <c r="N15" s="177">
        <f t="shared" ref="N15" si="20">N12+N14</f>
        <v>15956956</v>
      </c>
      <c r="O15" s="177">
        <f t="shared" ref="O15" si="21">O12+O14</f>
        <v>15170111</v>
      </c>
      <c r="P15" s="6">
        <f>P12+P14</f>
        <v>14280670</v>
      </c>
      <c r="Q15" s="6">
        <f t="shared" ref="Q15:S15" si="22">Q12+Q14</f>
        <v>14772554</v>
      </c>
      <c r="R15" s="6">
        <f t="shared" si="22"/>
        <v>16486178</v>
      </c>
      <c r="S15" s="6">
        <f t="shared" si="22"/>
        <v>15984771</v>
      </c>
      <c r="T15" s="6">
        <f t="shared" ref="T15:U15" si="23">T12+T14</f>
        <v>15729945</v>
      </c>
      <c r="U15" s="6">
        <f t="shared" si="23"/>
        <v>16653300</v>
      </c>
      <c r="V15" s="6">
        <f t="shared" ref="V15:AA15" si="24">V12+V14</f>
        <v>18920136</v>
      </c>
      <c r="W15" s="6">
        <f t="shared" si="24"/>
        <v>16748673</v>
      </c>
      <c r="X15" s="6">
        <f t="shared" si="24"/>
        <v>16745695</v>
      </c>
      <c r="Y15" s="6">
        <f t="shared" si="24"/>
        <v>18586404</v>
      </c>
      <c r="Z15" s="6">
        <f t="shared" si="24"/>
        <v>19286387</v>
      </c>
      <c r="AA15" s="6">
        <f t="shared" si="24"/>
        <v>18815224</v>
      </c>
      <c r="AB15" s="6">
        <f t="shared" ref="AB15:AE15" si="25">AB12+AB14</f>
        <v>16745695</v>
      </c>
      <c r="AC15" s="6">
        <f t="shared" si="25"/>
        <v>20241813</v>
      </c>
      <c r="AD15" s="6">
        <f t="shared" si="25"/>
        <v>20526125</v>
      </c>
      <c r="AE15" s="6">
        <f t="shared" si="25"/>
        <v>19998136</v>
      </c>
      <c r="AF15" s="6">
        <f t="shared" ref="AF15:AI15" si="26">AF12+AF14</f>
        <v>18906413</v>
      </c>
      <c r="AG15" s="6">
        <f t="shared" si="26"/>
        <v>21827321</v>
      </c>
      <c r="AH15" s="6">
        <f t="shared" si="26"/>
        <v>22039978</v>
      </c>
      <c r="AI15" s="6">
        <f t="shared" si="26"/>
        <v>20813938</v>
      </c>
      <c r="AJ15" s="6">
        <f t="shared" ref="AJ15" si="27">AJ12+AJ14</f>
        <v>20649371</v>
      </c>
    </row>
    <row r="16" spans="2:36" s="4" customFormat="1" ht="13.5" thickTop="1" x14ac:dyDescent="0.25">
      <c r="B16" s="15"/>
      <c r="C16" s="15"/>
      <c r="D16" s="15"/>
      <c r="E16" s="7">
        <f>E8-E15</f>
        <v>0</v>
      </c>
      <c r="F16" s="7">
        <f t="shared" ref="F16:O16" si="28">F8-F15</f>
        <v>0</v>
      </c>
      <c r="G16" s="7">
        <f t="shared" si="28"/>
        <v>0</v>
      </c>
      <c r="H16" s="7">
        <f t="shared" si="28"/>
        <v>0</v>
      </c>
      <c r="I16" s="7">
        <f t="shared" si="28"/>
        <v>0</v>
      </c>
      <c r="J16" s="7">
        <f t="shared" si="28"/>
        <v>0</v>
      </c>
      <c r="K16" s="7">
        <f t="shared" si="28"/>
        <v>0</v>
      </c>
      <c r="L16" s="7">
        <f t="shared" si="28"/>
        <v>0</v>
      </c>
      <c r="M16" s="7">
        <f t="shared" si="28"/>
        <v>0</v>
      </c>
      <c r="N16" s="7">
        <f t="shared" si="28"/>
        <v>0</v>
      </c>
      <c r="O16" s="7">
        <f t="shared" si="28"/>
        <v>0</v>
      </c>
      <c r="P16" s="7">
        <f>P8-P15</f>
        <v>0</v>
      </c>
      <c r="Q16" s="7">
        <f t="shared" ref="Q16:X16" si="29">Q8-Q15</f>
        <v>0</v>
      </c>
      <c r="R16" s="7">
        <f t="shared" si="29"/>
        <v>0</v>
      </c>
      <c r="S16" s="7">
        <f t="shared" si="29"/>
        <v>0</v>
      </c>
      <c r="T16" s="7">
        <f t="shared" si="29"/>
        <v>0</v>
      </c>
      <c r="U16" s="7">
        <f t="shared" si="29"/>
        <v>0</v>
      </c>
      <c r="V16" s="7">
        <f t="shared" si="29"/>
        <v>0</v>
      </c>
      <c r="W16" s="7">
        <f t="shared" si="29"/>
        <v>0</v>
      </c>
      <c r="X16" s="7">
        <f t="shared" si="29"/>
        <v>0</v>
      </c>
      <c r="Y16" s="7">
        <f t="shared" ref="Y16" si="30">Y8-Y15</f>
        <v>0</v>
      </c>
      <c r="Z16" s="7">
        <f t="shared" ref="Z16" si="31">Z8-Z15</f>
        <v>0</v>
      </c>
      <c r="AA16" s="7">
        <f t="shared" ref="AA16" si="32">AA8-AA15</f>
        <v>0</v>
      </c>
      <c r="AB16" s="7">
        <f t="shared" ref="AB16" si="33">AB8-AB15</f>
        <v>0</v>
      </c>
      <c r="AC16" s="7">
        <f t="shared" ref="AC16" si="34">AC8-AC15</f>
        <v>0</v>
      </c>
      <c r="AD16" s="7">
        <f t="shared" ref="AD16" si="35">AD8-AD15</f>
        <v>0</v>
      </c>
      <c r="AE16" s="7">
        <f t="shared" ref="AE16" si="36">AE8-AE15</f>
        <v>0</v>
      </c>
      <c r="AF16" s="7">
        <f t="shared" ref="AF16" si="37">AF8-AF15</f>
        <v>0</v>
      </c>
      <c r="AG16" s="7">
        <f t="shared" ref="AG16" si="38">AG8-AG15</f>
        <v>0</v>
      </c>
      <c r="AH16" s="7">
        <f t="shared" ref="AH16" si="39">AH8-AH15</f>
        <v>0</v>
      </c>
      <c r="AI16" s="7">
        <f t="shared" ref="AI16" si="40">AI8-AI15</f>
        <v>0</v>
      </c>
      <c r="AJ16" s="7">
        <f t="shared" ref="AJ16" si="41">AJ8-AJ15</f>
        <v>0</v>
      </c>
    </row>
    <row r="17" spans="2:36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O17" si="42">IF(F16=0,"","TIDAK SAMA")</f>
        <v/>
      </c>
      <c r="G17" s="7" t="str">
        <f t="shared" si="42"/>
        <v/>
      </c>
      <c r="H17" s="7" t="str">
        <f t="shared" si="42"/>
        <v/>
      </c>
      <c r="I17" s="7" t="str">
        <f t="shared" si="42"/>
        <v/>
      </c>
      <c r="J17" s="7" t="str">
        <f t="shared" si="42"/>
        <v/>
      </c>
      <c r="K17" s="7" t="str">
        <f t="shared" si="42"/>
        <v/>
      </c>
      <c r="L17" s="7" t="str">
        <f t="shared" si="42"/>
        <v/>
      </c>
      <c r="M17" s="7" t="str">
        <f t="shared" si="42"/>
        <v/>
      </c>
      <c r="N17" s="7" t="str">
        <f t="shared" si="42"/>
        <v/>
      </c>
      <c r="O17" s="7" t="str">
        <f t="shared" si="42"/>
        <v/>
      </c>
      <c r="P17" s="7" t="str">
        <f>IF(P16=0,"","TIDAK SAMA")</f>
        <v/>
      </c>
      <c r="Q17" s="7" t="str">
        <f t="shared" ref="Q17:X17" si="43">IF(Q16=0,"","TIDAK SAMA")</f>
        <v/>
      </c>
      <c r="R17" s="7" t="str">
        <f t="shared" si="43"/>
        <v/>
      </c>
      <c r="S17" s="7" t="str">
        <f t="shared" si="43"/>
        <v/>
      </c>
      <c r="T17" s="7" t="str">
        <f t="shared" si="43"/>
        <v/>
      </c>
      <c r="U17" s="7" t="str">
        <f t="shared" si="43"/>
        <v/>
      </c>
      <c r="V17" s="7" t="str">
        <f t="shared" si="43"/>
        <v/>
      </c>
      <c r="W17" s="7" t="str">
        <f t="shared" si="43"/>
        <v/>
      </c>
      <c r="X17" s="7" t="str">
        <f t="shared" si="43"/>
        <v/>
      </c>
      <c r="Y17" s="7" t="str">
        <f t="shared" ref="Y17" si="44">IF(Y16=0,"","TIDAK SAMA")</f>
        <v/>
      </c>
      <c r="Z17" s="7" t="str">
        <f t="shared" ref="Z17" si="45">IF(Z16=0,"","TIDAK SAMA")</f>
        <v/>
      </c>
      <c r="AA17" s="7" t="str">
        <f t="shared" ref="AA17" si="46">IF(AA16=0,"","TIDAK SAMA")</f>
        <v/>
      </c>
      <c r="AB17" s="7" t="str">
        <f t="shared" ref="AB17" si="47">IF(AB16=0,"","TIDAK SAMA")</f>
        <v/>
      </c>
      <c r="AC17" s="7" t="str">
        <f t="shared" ref="AC17" si="48">IF(AC16=0,"","TIDAK SAMA")</f>
        <v/>
      </c>
      <c r="AD17" s="7" t="str">
        <f t="shared" ref="AD17" si="49">IF(AD16=0,"","TIDAK SAMA")</f>
        <v/>
      </c>
      <c r="AE17" s="7" t="str">
        <f t="shared" ref="AE17" si="50">IF(AE16=0,"","TIDAK SAMA")</f>
        <v/>
      </c>
      <c r="AF17" s="7" t="str">
        <f t="shared" ref="AF17" si="51">IF(AF16=0,"","TIDAK SAMA")</f>
        <v/>
      </c>
      <c r="AG17" s="7" t="str">
        <f t="shared" ref="AG17" si="52">IF(AG16=0,"","TIDAK SAMA")</f>
        <v/>
      </c>
      <c r="AH17" s="7" t="str">
        <f t="shared" ref="AH17" si="53">IF(AH16=0,"","TIDAK SAMA")</f>
        <v/>
      </c>
      <c r="AI17" s="7" t="str">
        <f t="shared" ref="AI17" si="54">IF(AI16=0,"","TIDAK SAMA")</f>
        <v/>
      </c>
      <c r="AJ17" s="7" t="str">
        <f t="shared" ref="AJ17" si="55">IF(AJ16=0,"","TIDAK SAMA")</f>
        <v/>
      </c>
    </row>
    <row r="19" spans="2:36" s="8" customFormat="1" ht="1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 t="s">
        <v>2</v>
      </c>
      <c r="Q19" s="193" t="s">
        <v>3</v>
      </c>
      <c r="R19" s="193"/>
      <c r="S19" s="193"/>
      <c r="T19" s="193"/>
      <c r="U19" s="193" t="s">
        <v>4</v>
      </c>
      <c r="V19" s="193"/>
      <c r="W19" s="193"/>
      <c r="X19" s="193"/>
      <c r="Y19" s="193" t="s">
        <v>5</v>
      </c>
      <c r="Z19" s="193"/>
      <c r="AA19" s="193"/>
      <c r="AB19" s="193"/>
      <c r="AC19" s="193" t="s">
        <v>6</v>
      </c>
      <c r="AD19" s="193"/>
      <c r="AE19" s="193"/>
      <c r="AF19" s="193"/>
      <c r="AG19" s="193" t="s">
        <v>65</v>
      </c>
      <c r="AH19" s="193"/>
      <c r="AI19" s="193"/>
      <c r="AJ19" s="193"/>
    </row>
    <row r="20" spans="2:36" s="8" customFormat="1" x14ac:dyDescent="0.25">
      <c r="B20" s="12" t="s">
        <v>33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 t="str">
        <f>IF(P23-P30=0,"","UNBALANCED")</f>
        <v/>
      </c>
      <c r="Q20" s="14" t="s">
        <v>62</v>
      </c>
      <c r="R20" s="14" t="s">
        <v>63</v>
      </c>
      <c r="S20" s="14" t="s">
        <v>64</v>
      </c>
      <c r="T20" s="14" t="s">
        <v>61</v>
      </c>
      <c r="U20" s="14" t="s">
        <v>62</v>
      </c>
      <c r="V20" s="14" t="s">
        <v>63</v>
      </c>
      <c r="W20" s="14" t="s">
        <v>64</v>
      </c>
      <c r="X20" s="14" t="s">
        <v>61</v>
      </c>
      <c r="Y20" s="14" t="s">
        <v>62</v>
      </c>
      <c r="Z20" s="14" t="s">
        <v>63</v>
      </c>
      <c r="AA20" s="14" t="s">
        <v>64</v>
      </c>
      <c r="AB20" s="14" t="s">
        <v>61</v>
      </c>
      <c r="AC20" s="14" t="s">
        <v>62</v>
      </c>
      <c r="AD20" s="14" t="s">
        <v>63</v>
      </c>
      <c r="AE20" s="14" t="s">
        <v>64</v>
      </c>
      <c r="AF20" s="14" t="s">
        <v>61</v>
      </c>
      <c r="AG20" s="14" t="s">
        <v>62</v>
      </c>
      <c r="AH20" s="14" t="s">
        <v>63</v>
      </c>
      <c r="AI20" s="14" t="s">
        <v>64</v>
      </c>
      <c r="AJ20" s="14" t="s">
        <v>61</v>
      </c>
    </row>
    <row r="21" spans="2:36" x14ac:dyDescent="0.25">
      <c r="C21" s="194" t="s">
        <v>0</v>
      </c>
      <c r="D21" s="194"/>
      <c r="P21" s="3">
        <v>376694285634</v>
      </c>
      <c r="Q21" s="3">
        <v>365263535580</v>
      </c>
      <c r="R21" s="3">
        <v>386047258358</v>
      </c>
      <c r="S21" s="3">
        <v>377923335646</v>
      </c>
      <c r="T21" s="3">
        <v>380988168593</v>
      </c>
      <c r="U21" s="3">
        <v>363085529593</v>
      </c>
      <c r="V21" s="3">
        <v>373431029948</v>
      </c>
      <c r="W21" s="3">
        <v>369407354465</v>
      </c>
      <c r="X21" s="3">
        <v>372731501477</v>
      </c>
      <c r="Y21" s="3">
        <v>380956738970</v>
      </c>
      <c r="Z21" s="3">
        <v>382001851185</v>
      </c>
      <c r="AA21" s="3">
        <v>395073782851</v>
      </c>
      <c r="AB21" s="3">
        <v>384262906538</v>
      </c>
      <c r="AC21" s="3">
        <v>390091045328</v>
      </c>
      <c r="AD21" s="3">
        <v>395009852816</v>
      </c>
      <c r="AE21" s="3">
        <v>414980846491</v>
      </c>
      <c r="AF21" s="3">
        <v>382330851179</v>
      </c>
      <c r="AG21" s="3">
        <v>384256748162</v>
      </c>
      <c r="AH21" s="3">
        <v>387592431516</v>
      </c>
      <c r="AI21" s="3">
        <v>390132542524</v>
      </c>
      <c r="AJ21" s="3">
        <v>0</v>
      </c>
    </row>
    <row r="22" spans="2:36" x14ac:dyDescent="0.25">
      <c r="C22" s="194" t="s">
        <v>1</v>
      </c>
      <c r="D22" s="194"/>
      <c r="P22" s="3">
        <v>122092091111</v>
      </c>
      <c r="Q22" s="3">
        <v>120395850961</v>
      </c>
      <c r="R22" s="3">
        <v>114924268295</v>
      </c>
      <c r="S22" s="3">
        <v>111512033490</v>
      </c>
      <c r="T22" s="3">
        <v>116101869515</v>
      </c>
      <c r="U22" s="3">
        <v>119689090669</v>
      </c>
      <c r="V22" s="3">
        <v>119264778600</v>
      </c>
      <c r="W22" s="3">
        <v>115547341791</v>
      </c>
      <c r="X22" s="3">
        <v>110305672387</v>
      </c>
      <c r="Y22" s="3">
        <v>107256679337</v>
      </c>
      <c r="Z22" s="3">
        <v>110005556381</v>
      </c>
      <c r="AA22" s="3">
        <v>109827462425</v>
      </c>
      <c r="AB22" s="3">
        <v>113091512551</v>
      </c>
      <c r="AC22" s="3">
        <v>113497897852</v>
      </c>
      <c r="AD22" s="3">
        <v>112337495659</v>
      </c>
      <c r="AE22" s="3">
        <v>112964125027</v>
      </c>
      <c r="AF22" s="3">
        <v>129556932688</v>
      </c>
      <c r="AG22" s="3">
        <v>127112476711</v>
      </c>
      <c r="AH22" s="3">
        <v>124074400866</v>
      </c>
      <c r="AI22" s="3">
        <v>120685365297</v>
      </c>
      <c r="AJ22" s="3">
        <v>0</v>
      </c>
    </row>
    <row r="23" spans="2:36" s="4" customFormat="1" x14ac:dyDescent="0.25">
      <c r="B23" s="4" t="s">
        <v>34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>
        <f>P21+P22</f>
        <v>498786376745</v>
      </c>
      <c r="Q23" s="4">
        <f>Q21+Q22</f>
        <v>485659386541</v>
      </c>
      <c r="R23" s="4">
        <f>R21+R22</f>
        <v>500971526653</v>
      </c>
      <c r="S23" s="4">
        <f>S21+S22</f>
        <v>489435369136</v>
      </c>
      <c r="T23" s="4">
        <f t="shared" ref="T23:AJ23" si="56">T21+T22</f>
        <v>497090038108</v>
      </c>
      <c r="U23" s="4">
        <f t="shared" si="56"/>
        <v>482774620262</v>
      </c>
      <c r="V23" s="4">
        <f t="shared" si="56"/>
        <v>492695808548</v>
      </c>
      <c r="W23" s="4">
        <f t="shared" si="56"/>
        <v>484954696256</v>
      </c>
      <c r="X23" s="4">
        <f t="shared" si="56"/>
        <v>483037173864</v>
      </c>
      <c r="Y23" s="4">
        <f t="shared" si="56"/>
        <v>488213418307</v>
      </c>
      <c r="Z23" s="4">
        <f t="shared" si="56"/>
        <v>492007407566</v>
      </c>
      <c r="AA23" s="4">
        <f t="shared" si="56"/>
        <v>504901245276</v>
      </c>
      <c r="AB23" s="4">
        <f t="shared" si="56"/>
        <v>497354419089</v>
      </c>
      <c r="AC23" s="4">
        <f t="shared" si="56"/>
        <v>503588943180</v>
      </c>
      <c r="AD23" s="4">
        <f t="shared" si="56"/>
        <v>507347348475</v>
      </c>
      <c r="AE23" s="4">
        <f t="shared" si="56"/>
        <v>527944971518</v>
      </c>
      <c r="AF23" s="4">
        <f t="shared" si="56"/>
        <v>511887783867</v>
      </c>
      <c r="AG23" s="4">
        <f t="shared" si="56"/>
        <v>511369224873</v>
      </c>
      <c r="AH23" s="4">
        <f t="shared" si="56"/>
        <v>511666832382</v>
      </c>
      <c r="AI23" s="4">
        <f t="shared" si="56"/>
        <v>510817907821</v>
      </c>
      <c r="AJ23" s="4">
        <f t="shared" si="56"/>
        <v>0</v>
      </c>
    </row>
    <row r="25" spans="2:36" x14ac:dyDescent="0.25">
      <c r="C25" s="194" t="s">
        <v>7</v>
      </c>
      <c r="D25" s="194"/>
      <c r="P25" s="3">
        <v>104267201912</v>
      </c>
      <c r="Q25" s="3">
        <v>89537414623</v>
      </c>
      <c r="R25" s="3">
        <v>100650890172</v>
      </c>
      <c r="S25" s="3">
        <v>93320334241</v>
      </c>
      <c r="T25" s="3">
        <v>102898339772</v>
      </c>
      <c r="U25" s="3">
        <v>86894308982</v>
      </c>
      <c r="V25" s="3">
        <v>97892181631</v>
      </c>
      <c r="W25" s="3">
        <v>98566471038</v>
      </c>
      <c r="X25" s="3">
        <v>93871952310</v>
      </c>
      <c r="Y25" s="3">
        <v>97914900368</v>
      </c>
      <c r="Z25" s="3">
        <v>99572932726</v>
      </c>
      <c r="AA25" s="3">
        <v>110419898320</v>
      </c>
      <c r="AB25" s="3">
        <v>106813922324</v>
      </c>
      <c r="AC25" s="3">
        <v>111765234575</v>
      </c>
      <c r="AD25" s="3">
        <v>114186132492</v>
      </c>
      <c r="AE25" s="3">
        <v>133551255223</v>
      </c>
      <c r="AF25" s="3">
        <v>122929175890</v>
      </c>
      <c r="AG25" s="3">
        <v>124788709868</v>
      </c>
      <c r="AH25" s="3">
        <v>123476016243</v>
      </c>
      <c r="AI25" s="3">
        <v>124427752696</v>
      </c>
      <c r="AJ25" s="3">
        <v>0</v>
      </c>
    </row>
    <row r="26" spans="2:36" ht="15" customHeight="1" x14ac:dyDescent="0.25">
      <c r="C26" s="194" t="s">
        <v>8</v>
      </c>
      <c r="D26" s="194"/>
      <c r="P26" s="3">
        <v>10574595944</v>
      </c>
      <c r="Q26" s="3">
        <v>10087207052</v>
      </c>
      <c r="R26" s="3">
        <v>11275588795</v>
      </c>
      <c r="S26" s="3">
        <v>11147848774</v>
      </c>
      <c r="T26" s="3">
        <v>17165678527</v>
      </c>
      <c r="U26" s="3">
        <v>16806293003</v>
      </c>
      <c r="V26" s="3">
        <v>17031067953</v>
      </c>
      <c r="W26" s="3">
        <v>15561515352</v>
      </c>
      <c r="X26" s="3">
        <v>20076021579</v>
      </c>
      <c r="Y26" s="3">
        <v>20720253954</v>
      </c>
      <c r="Z26" s="3">
        <v>21761199053</v>
      </c>
      <c r="AA26" s="3">
        <v>22428367297</v>
      </c>
      <c r="AB26" s="3">
        <v>23809082761</v>
      </c>
      <c r="AC26" s="3">
        <v>22800141558</v>
      </c>
      <c r="AD26" s="3">
        <v>24034016087</v>
      </c>
      <c r="AE26" s="3">
        <v>24965852630</v>
      </c>
      <c r="AF26" s="3">
        <v>20984611197</v>
      </c>
      <c r="AG26" s="3">
        <v>21217370801</v>
      </c>
      <c r="AH26" s="3">
        <v>18626459260</v>
      </c>
      <c r="AI26" s="3">
        <v>17058744168</v>
      </c>
      <c r="AJ26" s="3">
        <v>0</v>
      </c>
    </row>
    <row r="27" spans="2:36" s="4" customFormat="1" x14ac:dyDescent="0.25">
      <c r="B27" s="4" t="s">
        <v>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>
        <f>P25+P26</f>
        <v>114841797856</v>
      </c>
      <c r="Q27" s="4">
        <f>Q25+Q26</f>
        <v>99624621675</v>
      </c>
      <c r="R27" s="4">
        <f>R25+R26</f>
        <v>111926478967</v>
      </c>
      <c r="S27" s="4">
        <f>S25+S26</f>
        <v>104468183015</v>
      </c>
      <c r="T27" s="4">
        <f t="shared" ref="T27:W27" si="57">T25+T26</f>
        <v>120064018299</v>
      </c>
      <c r="U27" s="4">
        <f t="shared" si="57"/>
        <v>103700601985</v>
      </c>
      <c r="V27" s="4">
        <f t="shared" si="57"/>
        <v>114923249584</v>
      </c>
      <c r="W27" s="4">
        <f t="shared" si="57"/>
        <v>114127986390</v>
      </c>
      <c r="X27" s="4">
        <f t="shared" ref="X27:AA27" si="58">X25+X26</f>
        <v>113947973889</v>
      </c>
      <c r="Y27" s="4">
        <f t="shared" si="58"/>
        <v>118635154322</v>
      </c>
      <c r="Z27" s="4">
        <f t="shared" si="58"/>
        <v>121334131779</v>
      </c>
      <c r="AA27" s="4">
        <f t="shared" si="58"/>
        <v>132848265617</v>
      </c>
      <c r="AB27" s="4">
        <f t="shared" ref="AB27:AE27" si="59">AB25+AB26</f>
        <v>130623005085</v>
      </c>
      <c r="AC27" s="4">
        <f t="shared" si="59"/>
        <v>134565376133</v>
      </c>
      <c r="AD27" s="4">
        <f t="shared" si="59"/>
        <v>138220148579</v>
      </c>
      <c r="AE27" s="4">
        <f t="shared" si="59"/>
        <v>158517107853</v>
      </c>
      <c r="AF27" s="4">
        <f t="shared" ref="AF27:AJ27" si="60">AF25+AF26</f>
        <v>143913787087</v>
      </c>
      <c r="AG27" s="4">
        <f t="shared" si="60"/>
        <v>146006080669</v>
      </c>
      <c r="AH27" s="4">
        <f t="shared" si="60"/>
        <v>142102475503</v>
      </c>
      <c r="AI27" s="4">
        <f t="shared" si="60"/>
        <v>141486496864</v>
      </c>
      <c r="AJ27" s="4">
        <f t="shared" si="60"/>
        <v>0</v>
      </c>
    </row>
    <row r="29" spans="2:36" s="4" customFormat="1" x14ac:dyDescent="0.25">
      <c r="B29" s="4" t="s">
        <v>36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v>383944578889</v>
      </c>
      <c r="Q29" s="4">
        <v>386034764866</v>
      </c>
      <c r="R29" s="4">
        <v>389045047686</v>
      </c>
      <c r="S29" s="4">
        <v>384967186121</v>
      </c>
      <c r="T29" s="4">
        <v>377026019809</v>
      </c>
      <c r="U29" s="4">
        <v>379074018277</v>
      </c>
      <c r="V29" s="4">
        <v>377772558964</v>
      </c>
      <c r="W29" s="4">
        <v>370826709866</v>
      </c>
      <c r="X29" s="4">
        <v>369089199975</v>
      </c>
      <c r="Y29" s="4">
        <v>369578263985</v>
      </c>
      <c r="Z29" s="4">
        <v>370673275787</v>
      </c>
      <c r="AA29" s="4">
        <v>372052979659</v>
      </c>
      <c r="AB29" s="4">
        <v>366731414004</v>
      </c>
      <c r="AC29" s="4">
        <v>369023567047</v>
      </c>
      <c r="AD29" s="4">
        <v>369127199896</v>
      </c>
      <c r="AE29" s="4">
        <v>369427863665</v>
      </c>
      <c r="AF29" s="4">
        <v>367973996780</v>
      </c>
      <c r="AG29" s="4">
        <v>365363144204</v>
      </c>
      <c r="AH29" s="4">
        <v>369564356879</v>
      </c>
      <c r="AI29" s="4">
        <v>369331410957</v>
      </c>
      <c r="AJ29" s="4">
        <v>0</v>
      </c>
    </row>
    <row r="30" spans="2:36" s="4" customFormat="1" ht="13.5" thickBot="1" x14ac:dyDescent="0.3">
      <c r="B30" s="6" t="s">
        <v>37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">
        <f>P27+P29</f>
        <v>498786376745</v>
      </c>
      <c r="Q30" s="6">
        <f>Q27+Q29</f>
        <v>485659386541</v>
      </c>
      <c r="R30" s="6">
        <f>R27+R29</f>
        <v>500971526653</v>
      </c>
      <c r="S30" s="6">
        <f>S27+S29</f>
        <v>489435369136</v>
      </c>
      <c r="T30" s="6">
        <f t="shared" ref="T30:AI30" si="61">T27+T29</f>
        <v>497090038108</v>
      </c>
      <c r="U30" s="6">
        <f t="shared" si="61"/>
        <v>482774620262</v>
      </c>
      <c r="V30" s="6">
        <f t="shared" si="61"/>
        <v>492695808548</v>
      </c>
      <c r="W30" s="6">
        <f t="shared" si="61"/>
        <v>484954696256</v>
      </c>
      <c r="X30" s="6">
        <f t="shared" si="61"/>
        <v>483037173864</v>
      </c>
      <c r="Y30" s="6">
        <f t="shared" si="61"/>
        <v>488213418307</v>
      </c>
      <c r="Z30" s="6">
        <f t="shared" si="61"/>
        <v>492007407566</v>
      </c>
      <c r="AA30" s="6">
        <f t="shared" si="61"/>
        <v>504901245276</v>
      </c>
      <c r="AB30" s="6">
        <f t="shared" si="61"/>
        <v>497354419089</v>
      </c>
      <c r="AC30" s="6">
        <f t="shared" si="61"/>
        <v>503588943180</v>
      </c>
      <c r="AD30" s="6">
        <f t="shared" si="61"/>
        <v>507347348475</v>
      </c>
      <c r="AE30" s="6">
        <f t="shared" si="61"/>
        <v>527944971518</v>
      </c>
      <c r="AF30" s="6">
        <f t="shared" si="61"/>
        <v>511887783867</v>
      </c>
      <c r="AG30" s="6">
        <f t="shared" si="61"/>
        <v>511369224873</v>
      </c>
      <c r="AH30" s="6">
        <f t="shared" si="61"/>
        <v>511666832382</v>
      </c>
      <c r="AI30" s="6">
        <f t="shared" si="61"/>
        <v>510817907821</v>
      </c>
      <c r="AJ30" s="6">
        <f t="shared" ref="AJ30" si="62">AJ27+AJ29</f>
        <v>0</v>
      </c>
    </row>
    <row r="31" spans="2:36" ht="13.5" thickTop="1" x14ac:dyDescent="0.25">
      <c r="P31" s="3">
        <f>P23-P30</f>
        <v>0</v>
      </c>
      <c r="Q31" s="3">
        <f t="shared" ref="Q31:AJ31" si="63">Q23-Q30</f>
        <v>0</v>
      </c>
      <c r="R31" s="3">
        <f t="shared" si="63"/>
        <v>0</v>
      </c>
      <c r="S31" s="3">
        <f t="shared" si="63"/>
        <v>0</v>
      </c>
      <c r="T31" s="3">
        <f t="shared" si="63"/>
        <v>0</v>
      </c>
      <c r="U31" s="3">
        <f t="shared" si="63"/>
        <v>0</v>
      </c>
      <c r="V31" s="3">
        <f t="shared" si="63"/>
        <v>0</v>
      </c>
      <c r="W31" s="3">
        <f t="shared" si="63"/>
        <v>0</v>
      </c>
      <c r="X31" s="3">
        <f t="shared" si="63"/>
        <v>0</v>
      </c>
      <c r="Y31" s="3">
        <f t="shared" si="63"/>
        <v>0</v>
      </c>
      <c r="Z31" s="3">
        <f t="shared" si="63"/>
        <v>0</v>
      </c>
      <c r="AA31" s="3">
        <f t="shared" si="63"/>
        <v>0</v>
      </c>
      <c r="AB31" s="3">
        <f t="shared" si="63"/>
        <v>0</v>
      </c>
      <c r="AC31" s="3">
        <f t="shared" si="63"/>
        <v>0</v>
      </c>
      <c r="AD31" s="3">
        <f t="shared" si="63"/>
        <v>0</v>
      </c>
      <c r="AE31" s="3">
        <f t="shared" si="63"/>
        <v>0</v>
      </c>
      <c r="AF31" s="3">
        <f t="shared" si="63"/>
        <v>0</v>
      </c>
      <c r="AG31" s="3">
        <f t="shared" si="63"/>
        <v>0</v>
      </c>
      <c r="AH31" s="3">
        <f t="shared" si="63"/>
        <v>0</v>
      </c>
      <c r="AI31" s="3">
        <f t="shared" si="63"/>
        <v>0</v>
      </c>
      <c r="AJ31" s="3">
        <f t="shared" si="63"/>
        <v>0</v>
      </c>
    </row>
    <row r="32" spans="2:36" s="8" customForma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8" t="str">
        <f>IF(P31=0,"","UNBALANCED")</f>
        <v/>
      </c>
      <c r="Q32" s="8" t="str">
        <f t="shared" ref="Q32:AJ32" si="64">IF(Q31=0,"","UNBALANCED")</f>
        <v/>
      </c>
      <c r="R32" s="8" t="str">
        <f t="shared" si="64"/>
        <v/>
      </c>
      <c r="S32" s="8" t="str">
        <f t="shared" si="64"/>
        <v/>
      </c>
      <c r="T32" s="8" t="str">
        <f t="shared" si="64"/>
        <v/>
      </c>
      <c r="U32" s="8" t="str">
        <f t="shared" si="64"/>
        <v/>
      </c>
      <c r="V32" s="8" t="str">
        <f t="shared" si="64"/>
        <v/>
      </c>
      <c r="W32" s="8" t="str">
        <f t="shared" si="64"/>
        <v/>
      </c>
      <c r="X32" s="8" t="str">
        <f t="shared" si="64"/>
        <v/>
      </c>
      <c r="Y32" s="8" t="str">
        <f t="shared" si="64"/>
        <v/>
      </c>
      <c r="Z32" s="8" t="str">
        <f t="shared" si="64"/>
        <v/>
      </c>
      <c r="AA32" s="8" t="str">
        <f t="shared" si="64"/>
        <v/>
      </c>
      <c r="AB32" s="8" t="str">
        <f t="shared" si="64"/>
        <v/>
      </c>
      <c r="AC32" s="8" t="str">
        <f t="shared" si="64"/>
        <v/>
      </c>
      <c r="AD32" s="8" t="str">
        <f t="shared" si="64"/>
        <v/>
      </c>
      <c r="AE32" s="8" t="str">
        <f t="shared" si="64"/>
        <v/>
      </c>
      <c r="AF32" s="8" t="str">
        <f t="shared" si="64"/>
        <v/>
      </c>
      <c r="AG32" s="8" t="str">
        <f t="shared" si="64"/>
        <v/>
      </c>
      <c r="AH32" s="8" t="str">
        <f t="shared" si="64"/>
        <v/>
      </c>
      <c r="AI32" s="8" t="str">
        <f t="shared" si="64"/>
        <v/>
      </c>
      <c r="AJ32" s="8" t="str">
        <f t="shared" si="64"/>
        <v/>
      </c>
    </row>
    <row r="34" spans="2:36" s="8" customFormat="1" ht="1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 t="s">
        <v>2</v>
      </c>
      <c r="Q34" s="193" t="s">
        <v>3</v>
      </c>
      <c r="R34" s="193"/>
      <c r="S34" s="193"/>
      <c r="T34" s="193"/>
      <c r="U34" s="193" t="s">
        <v>4</v>
      </c>
      <c r="V34" s="193"/>
      <c r="W34" s="193"/>
      <c r="X34" s="193"/>
      <c r="Y34" s="193" t="s">
        <v>5</v>
      </c>
      <c r="Z34" s="193"/>
      <c r="AA34" s="193"/>
      <c r="AB34" s="193"/>
      <c r="AC34" s="193" t="s">
        <v>6</v>
      </c>
      <c r="AD34" s="193"/>
      <c r="AE34" s="193"/>
      <c r="AF34" s="193"/>
      <c r="AG34" s="193" t="s">
        <v>65</v>
      </c>
      <c r="AH34" s="193"/>
      <c r="AI34" s="193"/>
      <c r="AJ34" s="193"/>
    </row>
    <row r="35" spans="2:36" s="11" customFormat="1" x14ac:dyDescent="0.25">
      <c r="B35" s="12" t="s">
        <v>38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 t="str">
        <f t="shared" ref="P35:AJ35" si="65">IF(P38-P45=0,"","UNBALANCED")</f>
        <v/>
      </c>
      <c r="Q35" s="14" t="s">
        <v>62</v>
      </c>
      <c r="R35" s="14" t="s">
        <v>63</v>
      </c>
      <c r="S35" s="14" t="s">
        <v>64</v>
      </c>
      <c r="T35" s="14"/>
      <c r="U35" s="14" t="s">
        <v>62</v>
      </c>
      <c r="V35" s="14" t="s">
        <v>63</v>
      </c>
      <c r="W35" s="14" t="s">
        <v>64</v>
      </c>
      <c r="X35" s="14"/>
      <c r="Y35" s="14" t="s">
        <v>62</v>
      </c>
      <c r="Z35" s="14" t="s">
        <v>63</v>
      </c>
      <c r="AA35" s="14" t="s">
        <v>64</v>
      </c>
      <c r="AB35" s="14"/>
      <c r="AC35" s="14" t="s">
        <v>62</v>
      </c>
      <c r="AD35" s="14" t="s">
        <v>63</v>
      </c>
      <c r="AE35" s="14" t="s">
        <v>64</v>
      </c>
      <c r="AF35" s="14"/>
      <c r="AG35" s="14" t="s">
        <v>62</v>
      </c>
      <c r="AH35" s="14" t="s">
        <v>63</v>
      </c>
      <c r="AI35" s="14" t="s">
        <v>64</v>
      </c>
      <c r="AJ35" s="14" t="str">
        <f t="shared" si="65"/>
        <v/>
      </c>
    </row>
    <row r="36" spans="2:36" x14ac:dyDescent="0.25">
      <c r="C36" s="194" t="s">
        <v>0</v>
      </c>
      <c r="D36" s="194"/>
      <c r="P36" s="3">
        <v>441621631299</v>
      </c>
      <c r="Q36" s="3">
        <v>465767600039</v>
      </c>
      <c r="R36" s="3">
        <v>441360039723</v>
      </c>
      <c r="S36" s="3">
        <v>425976821177</v>
      </c>
      <c r="T36" s="3">
        <v>467304062732</v>
      </c>
      <c r="U36" s="3">
        <v>491207339557</v>
      </c>
      <c r="V36" s="3">
        <v>484907556720</v>
      </c>
      <c r="W36" s="3">
        <v>449615756096</v>
      </c>
      <c r="X36" s="3">
        <v>472762014033</v>
      </c>
      <c r="Y36" s="3">
        <v>477784093607</v>
      </c>
      <c r="Z36" s="3">
        <v>511326288247</v>
      </c>
      <c r="AA36" s="3">
        <v>523875920055</v>
      </c>
      <c r="AB36" s="3">
        <v>520384083342</v>
      </c>
      <c r="AC36" s="3">
        <v>521187279318</v>
      </c>
      <c r="AD36" s="3">
        <v>495610379658</v>
      </c>
      <c r="AE36" s="3">
        <v>414962542012</v>
      </c>
      <c r="AF36" s="3">
        <v>392357840917</v>
      </c>
      <c r="AG36" s="3">
        <v>407795144737</v>
      </c>
      <c r="AH36" s="3">
        <v>353358808432</v>
      </c>
      <c r="AI36" s="3">
        <v>338042392981</v>
      </c>
      <c r="AJ36" s="3">
        <v>317285450420</v>
      </c>
    </row>
    <row r="37" spans="2:36" x14ac:dyDescent="0.25">
      <c r="C37" s="194" t="s">
        <v>1</v>
      </c>
      <c r="D37" s="194"/>
      <c r="P37" s="3">
        <v>177761450767</v>
      </c>
      <c r="Q37" s="3">
        <v>176657473025</v>
      </c>
      <c r="R37" s="3">
        <v>177672150672</v>
      </c>
      <c r="S37" s="3">
        <v>176664398017</v>
      </c>
      <c r="T37" s="3">
        <v>181595314508</v>
      </c>
      <c r="U37" s="3">
        <v>238102246867</v>
      </c>
      <c r="V37" s="3">
        <v>240840073040</v>
      </c>
      <c r="W37" s="3">
        <v>238557308855</v>
      </c>
      <c r="X37" s="3">
        <v>237197154055</v>
      </c>
      <c r="Y37" s="3">
        <v>237968544420</v>
      </c>
      <c r="Z37" s="3">
        <v>235923765157</v>
      </c>
      <c r="AA37" s="3">
        <v>236805779364</v>
      </c>
      <c r="AB37" s="3">
        <v>260285678445</v>
      </c>
      <c r="AC37" s="3">
        <v>254779559009</v>
      </c>
      <c r="AD37" s="3">
        <v>258357085507</v>
      </c>
      <c r="AE37" s="3">
        <v>250909527489</v>
      </c>
      <c r="AF37" s="3">
        <v>255659039408</v>
      </c>
      <c r="AG37" s="3">
        <v>251634702442</v>
      </c>
      <c r="AH37" s="3">
        <v>261863976088</v>
      </c>
      <c r="AI37" s="3">
        <v>265430178659</v>
      </c>
      <c r="AJ37" s="3">
        <v>273778477617</v>
      </c>
    </row>
    <row r="38" spans="2:36" x14ac:dyDescent="0.25">
      <c r="B38" s="4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>
        <f>P36+P37</f>
        <v>619383082066</v>
      </c>
      <c r="Q38" s="4">
        <f t="shared" ref="Q38:S38" si="66">Q36+Q37</f>
        <v>642425073064</v>
      </c>
      <c r="R38" s="4">
        <f t="shared" si="66"/>
        <v>619032190395</v>
      </c>
      <c r="S38" s="4">
        <f t="shared" si="66"/>
        <v>602641219194</v>
      </c>
      <c r="T38" s="4">
        <f t="shared" ref="T38:W38" si="67">T36+T37</f>
        <v>648899377240</v>
      </c>
      <c r="U38" s="4">
        <f t="shared" si="67"/>
        <v>729309586424</v>
      </c>
      <c r="V38" s="4">
        <f t="shared" si="67"/>
        <v>725747629760</v>
      </c>
      <c r="W38" s="4">
        <f t="shared" si="67"/>
        <v>688173064951</v>
      </c>
      <c r="X38" s="4">
        <f t="shared" ref="X38:AE38" si="68">X36+X37</f>
        <v>709959168088</v>
      </c>
      <c r="Y38" s="4">
        <f t="shared" si="68"/>
        <v>715752638027</v>
      </c>
      <c r="Z38" s="4">
        <f t="shared" si="68"/>
        <v>747250053404</v>
      </c>
      <c r="AA38" s="4">
        <f t="shared" si="68"/>
        <v>760681699419</v>
      </c>
      <c r="AB38" s="4">
        <f t="shared" ref="AB38" si="69">AB36+AB37</f>
        <v>780669761787</v>
      </c>
      <c r="AC38" s="4">
        <f t="shared" si="68"/>
        <v>775966838327</v>
      </c>
      <c r="AD38" s="4">
        <f t="shared" si="68"/>
        <v>753967465165</v>
      </c>
      <c r="AE38" s="4">
        <f t="shared" si="68"/>
        <v>665872069501</v>
      </c>
      <c r="AF38" s="4">
        <f t="shared" ref="AF38:AI38" si="70">AF36+AF37</f>
        <v>648016880325</v>
      </c>
      <c r="AG38" s="4">
        <f t="shared" si="70"/>
        <v>659429847179</v>
      </c>
      <c r="AH38" s="4">
        <f t="shared" si="70"/>
        <v>615222784520</v>
      </c>
      <c r="AI38" s="4">
        <f t="shared" si="70"/>
        <v>603472571640</v>
      </c>
      <c r="AJ38" s="4">
        <f t="shared" ref="AJ38" si="71">AJ36+AJ37</f>
        <v>591063928037</v>
      </c>
    </row>
    <row r="40" spans="2:36" x14ac:dyDescent="0.25">
      <c r="C40" s="194" t="s">
        <v>7</v>
      </c>
      <c r="D40" s="194"/>
      <c r="P40" s="3">
        <v>111683722179</v>
      </c>
      <c r="Q40" s="3">
        <v>131222715399</v>
      </c>
      <c r="R40" s="3">
        <v>102591751653</v>
      </c>
      <c r="S40" s="3">
        <v>87254190059</v>
      </c>
      <c r="T40" s="3">
        <v>149060988246</v>
      </c>
      <c r="U40" s="3">
        <v>220771691452</v>
      </c>
      <c r="V40" s="3">
        <v>172264731497</v>
      </c>
      <c r="W40" s="3">
        <v>132171143760</v>
      </c>
      <c r="X40" s="3">
        <v>155284557576</v>
      </c>
      <c r="Y40" s="3">
        <v>158548344248</v>
      </c>
      <c r="Z40" s="3">
        <v>187269153392</v>
      </c>
      <c r="AA40" s="3">
        <v>227198668004</v>
      </c>
      <c r="AB40" s="3">
        <v>252247858307</v>
      </c>
      <c r="AC40" s="3">
        <v>246063165989</v>
      </c>
      <c r="AD40" s="3">
        <v>244892622807</v>
      </c>
      <c r="AE40" s="3">
        <v>196462535277</v>
      </c>
      <c r="AF40" s="3">
        <v>240203560883</v>
      </c>
      <c r="AG40" s="3">
        <v>249613293491</v>
      </c>
      <c r="AH40" s="3">
        <v>225051409882</v>
      </c>
      <c r="AI40" s="3">
        <v>216661804712</v>
      </c>
      <c r="AJ40" s="3">
        <v>254266866831</v>
      </c>
    </row>
    <row r="41" spans="2:36" x14ac:dyDescent="0.25">
      <c r="C41" s="194" t="s">
        <v>8</v>
      </c>
      <c r="D41" s="194"/>
      <c r="P41" s="3">
        <v>53950225983</v>
      </c>
      <c r="Q41" s="3">
        <v>54864042536</v>
      </c>
      <c r="R41" s="3">
        <v>57384955669</v>
      </c>
      <c r="S41" s="3">
        <v>58798092853</v>
      </c>
      <c r="T41" s="3">
        <v>65624793028</v>
      </c>
      <c r="U41" s="3">
        <v>66705673743</v>
      </c>
      <c r="V41" s="3">
        <v>111080332075</v>
      </c>
      <c r="W41" s="3">
        <v>112800251897</v>
      </c>
      <c r="X41" s="3">
        <v>113747712801</v>
      </c>
      <c r="Y41" s="3">
        <v>115441937723</v>
      </c>
      <c r="Z41" s="3">
        <f>5920021631+34799999966+75032198156</f>
        <v>115752219753</v>
      </c>
      <c r="AA41" s="3">
        <v>119020901517</v>
      </c>
      <c r="AB41" s="3">
        <v>115679280937</v>
      </c>
      <c r="AC41" s="3">
        <v>116767676545</v>
      </c>
      <c r="AD41" s="3">
        <v>118071972889</v>
      </c>
      <c r="AE41" s="3">
        <v>119030774824</v>
      </c>
      <c r="AF41" s="3">
        <v>107313562569</v>
      </c>
      <c r="AG41" s="3">
        <v>108338986041</v>
      </c>
      <c r="AH41" s="3">
        <v>106725609575</v>
      </c>
      <c r="AI41" s="3">
        <v>113891630512</v>
      </c>
      <c r="AJ41" s="3">
        <v>101625859467</v>
      </c>
    </row>
    <row r="42" spans="2:36" x14ac:dyDescent="0.25">
      <c r="B42" s="4" t="s">
        <v>35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>
        <f>P40+P41</f>
        <v>165633948162</v>
      </c>
      <c r="Q42" s="4">
        <f t="shared" ref="Q42:S42" si="72">Q40+Q41</f>
        <v>186086757935</v>
      </c>
      <c r="R42" s="4">
        <f t="shared" si="72"/>
        <v>159976707322</v>
      </c>
      <c r="S42" s="4">
        <f t="shared" si="72"/>
        <v>146052282912</v>
      </c>
      <c r="T42" s="4">
        <f t="shared" ref="T42" si="73">T40+T41</f>
        <v>214685781274</v>
      </c>
      <c r="U42" s="4">
        <f t="shared" ref="U42:AE42" si="74">U40+U41</f>
        <v>287477365195</v>
      </c>
      <c r="V42" s="4">
        <f t="shared" si="74"/>
        <v>283345063572</v>
      </c>
      <c r="W42" s="4">
        <f t="shared" si="74"/>
        <v>244971395657</v>
      </c>
      <c r="X42" s="4">
        <f t="shared" si="74"/>
        <v>269032270377</v>
      </c>
      <c r="Y42" s="4">
        <f t="shared" si="74"/>
        <v>273990281971</v>
      </c>
      <c r="Z42" s="4">
        <f>Z40+Z41</f>
        <v>303021373145</v>
      </c>
      <c r="AA42" s="4">
        <f t="shared" si="74"/>
        <v>346219569521</v>
      </c>
      <c r="AB42" s="4">
        <f t="shared" ref="AB42" si="75">AB40+AB41</f>
        <v>367927139244</v>
      </c>
      <c r="AC42" s="4">
        <f t="shared" si="74"/>
        <v>362830842534</v>
      </c>
      <c r="AD42" s="4">
        <f t="shared" si="74"/>
        <v>362964595696</v>
      </c>
      <c r="AE42" s="4">
        <f t="shared" si="74"/>
        <v>315493310101</v>
      </c>
      <c r="AF42" s="4">
        <f t="shared" ref="AF42:AI42" si="76">AF40+AF41</f>
        <v>347517123452</v>
      </c>
      <c r="AG42" s="4">
        <f t="shared" si="76"/>
        <v>357952279532</v>
      </c>
      <c r="AH42" s="4">
        <f t="shared" si="76"/>
        <v>331777019457</v>
      </c>
      <c r="AI42" s="4">
        <f t="shared" si="76"/>
        <v>330553435224</v>
      </c>
      <c r="AJ42" s="4">
        <f t="shared" ref="AJ42" si="77">AJ40+AJ41</f>
        <v>355892726298</v>
      </c>
    </row>
    <row r="44" spans="2:36" x14ac:dyDescent="0.25">
      <c r="B44" s="4" t="s">
        <v>36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>
        <v>453749133904</v>
      </c>
      <c r="Q44" s="4">
        <v>456338315129</v>
      </c>
      <c r="R44" s="4">
        <v>459055483073</v>
      </c>
      <c r="S44" s="4">
        <v>456588936282</v>
      </c>
      <c r="T44" s="4">
        <v>434213595966</v>
      </c>
      <c r="U44" s="4">
        <v>441832221229</v>
      </c>
      <c r="V44" s="4">
        <v>442402566188</v>
      </c>
      <c r="W44" s="4">
        <v>443201669294</v>
      </c>
      <c r="X44" s="4">
        <v>440926897711</v>
      </c>
      <c r="Y44" s="4">
        <v>441762356056</v>
      </c>
      <c r="Z44" s="4">
        <v>444228680259</v>
      </c>
      <c r="AA44" s="4">
        <v>414462129898</v>
      </c>
      <c r="AB44" s="4">
        <v>412742622543</v>
      </c>
      <c r="AC44" s="4">
        <v>413135995793</v>
      </c>
      <c r="AD44" s="4">
        <v>391002869469</v>
      </c>
      <c r="AE44" s="4">
        <v>350378759400</v>
      </c>
      <c r="AF44" s="4">
        <v>300499756873</v>
      </c>
      <c r="AG44" s="4">
        <v>301477567647</v>
      </c>
      <c r="AH44" s="4">
        <v>283445765063</v>
      </c>
      <c r="AI44" s="4">
        <v>272919136416</v>
      </c>
      <c r="AJ44" s="4">
        <v>235171201739</v>
      </c>
    </row>
    <row r="45" spans="2:36" ht="13.5" thickBot="1" x14ac:dyDescent="0.3">
      <c r="B45" s="6" t="s">
        <v>37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6">
        <f>P42+P44</f>
        <v>619383082066</v>
      </c>
      <c r="Q45" s="6">
        <f t="shared" ref="Q45:S45" si="78">Q42+Q44</f>
        <v>642425073064</v>
      </c>
      <c r="R45" s="6">
        <f t="shared" si="78"/>
        <v>619032190395</v>
      </c>
      <c r="S45" s="6">
        <f t="shared" si="78"/>
        <v>602641219194</v>
      </c>
      <c r="T45" s="6">
        <f t="shared" ref="T45:W45" si="79">T42+T44</f>
        <v>648899377240</v>
      </c>
      <c r="U45" s="6">
        <f t="shared" si="79"/>
        <v>729309586424</v>
      </c>
      <c r="V45" s="6">
        <f t="shared" si="79"/>
        <v>725747629760</v>
      </c>
      <c r="W45" s="6">
        <f t="shared" si="79"/>
        <v>688173064951</v>
      </c>
      <c r="X45" s="6">
        <f t="shared" ref="X45:AE45" si="80">X42+X44</f>
        <v>709959168088</v>
      </c>
      <c r="Y45" s="6">
        <f t="shared" si="80"/>
        <v>715752638027</v>
      </c>
      <c r="Z45" s="6">
        <f>Z42+Z44</f>
        <v>747250053404</v>
      </c>
      <c r="AA45" s="6">
        <f t="shared" si="80"/>
        <v>760681699419</v>
      </c>
      <c r="AB45" s="6">
        <f t="shared" si="80"/>
        <v>780669761787</v>
      </c>
      <c r="AC45" s="6">
        <f t="shared" si="80"/>
        <v>775966838327</v>
      </c>
      <c r="AD45" s="6">
        <f t="shared" si="80"/>
        <v>753967465165</v>
      </c>
      <c r="AE45" s="6">
        <f t="shared" si="80"/>
        <v>665872069501</v>
      </c>
      <c r="AF45" s="6">
        <f t="shared" ref="AF45:AI45" si="81">AF42+AF44</f>
        <v>648016880325</v>
      </c>
      <c r="AG45" s="6">
        <f t="shared" si="81"/>
        <v>659429847179</v>
      </c>
      <c r="AH45" s="6">
        <f t="shared" si="81"/>
        <v>615222784520</v>
      </c>
      <c r="AI45" s="6">
        <f t="shared" si="81"/>
        <v>603472571640</v>
      </c>
      <c r="AJ45" s="6">
        <f t="shared" ref="AJ45" si="82">AJ42+AJ44</f>
        <v>591063928037</v>
      </c>
    </row>
    <row r="46" spans="2:36" ht="13.5" thickTop="1" x14ac:dyDescent="0.25">
      <c r="P46" s="3">
        <f>P38-P45</f>
        <v>0</v>
      </c>
      <c r="Q46" s="3">
        <f t="shared" ref="Q46:AJ46" si="83">Q38-Q45</f>
        <v>0</v>
      </c>
      <c r="R46" s="3">
        <f t="shared" si="83"/>
        <v>0</v>
      </c>
      <c r="S46" s="3">
        <f t="shared" si="83"/>
        <v>0</v>
      </c>
      <c r="T46" s="3">
        <f t="shared" si="83"/>
        <v>0</v>
      </c>
      <c r="U46" s="3">
        <f t="shared" si="83"/>
        <v>0</v>
      </c>
      <c r="V46" s="3">
        <f t="shared" si="83"/>
        <v>0</v>
      </c>
      <c r="W46" s="3">
        <f t="shared" si="83"/>
        <v>0</v>
      </c>
      <c r="X46" s="3">
        <f t="shared" si="83"/>
        <v>0</v>
      </c>
      <c r="Y46" s="3">
        <f t="shared" si="83"/>
        <v>0</v>
      </c>
      <c r="Z46" s="3">
        <f t="shared" si="83"/>
        <v>0</v>
      </c>
      <c r="AA46" s="3">
        <f t="shared" si="83"/>
        <v>0</v>
      </c>
      <c r="AB46" s="3">
        <f t="shared" si="83"/>
        <v>0</v>
      </c>
      <c r="AC46" s="3">
        <f t="shared" si="83"/>
        <v>0</v>
      </c>
      <c r="AD46" s="3">
        <f t="shared" si="83"/>
        <v>0</v>
      </c>
      <c r="AE46" s="3">
        <f t="shared" si="83"/>
        <v>0</v>
      </c>
      <c r="AF46" s="3">
        <f t="shared" si="83"/>
        <v>0</v>
      </c>
      <c r="AG46" s="3">
        <f t="shared" si="83"/>
        <v>0</v>
      </c>
      <c r="AH46" s="3">
        <f t="shared" si="83"/>
        <v>0</v>
      </c>
      <c r="AI46" s="3">
        <f t="shared" si="83"/>
        <v>0</v>
      </c>
      <c r="AJ46" s="3">
        <f t="shared" si="83"/>
        <v>0</v>
      </c>
    </row>
    <row r="47" spans="2:36" x14ac:dyDescent="0.25">
      <c r="P47" s="8" t="str">
        <f>IF(P46=0,"","UNBALANCED")</f>
        <v/>
      </c>
      <c r="Q47" s="8" t="str">
        <f t="shared" ref="Q47:AJ47" si="84">IF(Q46=0,"","UNBALANCED")</f>
        <v/>
      </c>
      <c r="R47" s="8" t="str">
        <f t="shared" si="84"/>
        <v/>
      </c>
      <c r="S47" s="8" t="str">
        <f t="shared" si="84"/>
        <v/>
      </c>
      <c r="T47" s="8" t="str">
        <f t="shared" si="84"/>
        <v/>
      </c>
      <c r="U47" s="8" t="str">
        <f t="shared" si="84"/>
        <v/>
      </c>
      <c r="V47" s="8" t="str">
        <f t="shared" si="84"/>
        <v/>
      </c>
      <c r="W47" s="8" t="str">
        <f t="shared" si="84"/>
        <v/>
      </c>
      <c r="X47" s="8" t="str">
        <f t="shared" si="84"/>
        <v/>
      </c>
      <c r="Y47" s="8" t="str">
        <f t="shared" si="84"/>
        <v/>
      </c>
      <c r="Z47" s="8" t="str">
        <f t="shared" si="84"/>
        <v/>
      </c>
      <c r="AA47" s="8" t="str">
        <f t="shared" si="84"/>
        <v/>
      </c>
      <c r="AB47" s="8" t="str">
        <f t="shared" si="84"/>
        <v/>
      </c>
      <c r="AC47" s="8" t="str">
        <f t="shared" si="84"/>
        <v/>
      </c>
      <c r="AD47" s="8" t="str">
        <f t="shared" si="84"/>
        <v/>
      </c>
      <c r="AE47" s="8" t="str">
        <f t="shared" si="84"/>
        <v/>
      </c>
      <c r="AF47" s="8" t="str">
        <f t="shared" si="84"/>
        <v/>
      </c>
      <c r="AG47" s="8" t="str">
        <f t="shared" si="84"/>
        <v/>
      </c>
      <c r="AH47" s="8" t="str">
        <f t="shared" si="84"/>
        <v/>
      </c>
      <c r="AI47" s="8" t="str">
        <f t="shared" si="84"/>
        <v/>
      </c>
      <c r="AJ47" s="8" t="str">
        <f t="shared" si="84"/>
        <v/>
      </c>
    </row>
    <row r="49" spans="2:36" s="11" customFormat="1" ht="15" customHeight="1" x14ac:dyDescent="0.25"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 t="s">
        <v>2</v>
      </c>
      <c r="Q49" s="193" t="s">
        <v>3</v>
      </c>
      <c r="R49" s="193"/>
      <c r="S49" s="193"/>
      <c r="T49" s="193"/>
      <c r="U49" s="193" t="s">
        <v>4</v>
      </c>
      <c r="V49" s="193"/>
      <c r="W49" s="193"/>
      <c r="X49" s="193"/>
      <c r="Y49" s="193" t="s">
        <v>5</v>
      </c>
      <c r="Z49" s="193"/>
      <c r="AA49" s="193"/>
      <c r="AB49" s="193"/>
      <c r="AC49" s="193" t="s">
        <v>6</v>
      </c>
      <c r="AD49" s="193"/>
      <c r="AE49" s="193"/>
      <c r="AF49" s="193"/>
      <c r="AG49" s="193" t="s">
        <v>65</v>
      </c>
      <c r="AH49" s="193"/>
      <c r="AI49" s="193"/>
      <c r="AJ49" s="193"/>
    </row>
    <row r="50" spans="2:36" s="11" customFormat="1" x14ac:dyDescent="0.25">
      <c r="B50" s="12" t="s">
        <v>39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tr">
        <f>IF(P53-P60=0,"","UNBALANCED")</f>
        <v/>
      </c>
      <c r="Q50" s="14" t="s">
        <v>62</v>
      </c>
      <c r="R50" s="14" t="s">
        <v>63</v>
      </c>
      <c r="S50" s="14" t="s">
        <v>64</v>
      </c>
      <c r="T50" s="14" t="s">
        <v>93</v>
      </c>
      <c r="U50" s="14" t="s">
        <v>62</v>
      </c>
      <c r="V50" s="14" t="s">
        <v>63</v>
      </c>
      <c r="W50" s="14" t="s">
        <v>64</v>
      </c>
      <c r="X50" s="14" t="s">
        <v>93</v>
      </c>
      <c r="Y50" s="14" t="s">
        <v>62</v>
      </c>
      <c r="Z50" s="14" t="s">
        <v>63</v>
      </c>
      <c r="AA50" s="14" t="s">
        <v>64</v>
      </c>
      <c r="AB50" s="14" t="s">
        <v>93</v>
      </c>
      <c r="AC50" s="14" t="s">
        <v>62</v>
      </c>
      <c r="AD50" s="14" t="s">
        <v>63</v>
      </c>
      <c r="AE50" s="14" t="s">
        <v>64</v>
      </c>
      <c r="AF50" s="14" t="s">
        <v>93</v>
      </c>
      <c r="AG50" s="14" t="s">
        <v>62</v>
      </c>
      <c r="AH50" s="14" t="s">
        <v>63</v>
      </c>
      <c r="AI50" s="14" t="s">
        <v>64</v>
      </c>
      <c r="AJ50" s="14" t="s">
        <v>93</v>
      </c>
    </row>
    <row r="51" spans="2:36" x14ac:dyDescent="0.25">
      <c r="C51" s="194" t="s">
        <v>0</v>
      </c>
      <c r="D51" s="194"/>
      <c r="P51" s="3">
        <v>874017297803</v>
      </c>
      <c r="Q51" s="3">
        <v>942868891941</v>
      </c>
      <c r="R51" s="3">
        <v>1046460458080</v>
      </c>
      <c r="S51" s="3">
        <v>1006661518865</v>
      </c>
      <c r="T51" s="3">
        <v>1112672539416</v>
      </c>
      <c r="U51" s="3">
        <v>1212583434696</v>
      </c>
      <c r="V51" s="3">
        <v>1108309049932</v>
      </c>
      <c r="W51" s="3">
        <v>1191258843731</v>
      </c>
      <c r="X51" s="3">
        <v>1174482404487</v>
      </c>
      <c r="Y51" s="3">
        <v>1285629958292</v>
      </c>
      <c r="Z51" s="3">
        <v>1211038229685</v>
      </c>
      <c r="AA51" s="3">
        <v>1282545536158</v>
      </c>
      <c r="AB51" s="3">
        <v>1276478591542</v>
      </c>
      <c r="AC51" s="3">
        <v>1354654158633</v>
      </c>
      <c r="AD51" s="3">
        <v>1234805625084</v>
      </c>
      <c r="AE51" s="3">
        <v>1336839128408</v>
      </c>
      <c r="AF51" s="3">
        <v>1333428311186</v>
      </c>
      <c r="AG51" s="3">
        <v>1525882566927</v>
      </c>
      <c r="AH51" s="3">
        <v>1376180114571</v>
      </c>
      <c r="AI51" s="3">
        <v>1425407735846</v>
      </c>
      <c r="AJ51" s="3">
        <v>1428191709308</v>
      </c>
    </row>
    <row r="52" spans="2:36" x14ac:dyDescent="0.25">
      <c r="C52" s="194" t="s">
        <v>1</v>
      </c>
      <c r="D52" s="194"/>
      <c r="P52" s="3">
        <v>979218045833</v>
      </c>
      <c r="Q52" s="3">
        <v>1028670348540</v>
      </c>
      <c r="R52" s="3">
        <v>1024843820811</v>
      </c>
      <c r="S52" s="3">
        <v>966679100538</v>
      </c>
      <c r="T52" s="3">
        <v>969424309287</v>
      </c>
      <c r="U52" s="3">
        <v>977486111421</v>
      </c>
      <c r="V52" s="3">
        <v>977767145490</v>
      </c>
      <c r="W52" s="3">
        <v>988288051399</v>
      </c>
      <c r="X52" s="3">
        <v>1010618633614</v>
      </c>
      <c r="Y52" s="3">
        <v>1037787181499</v>
      </c>
      <c r="Z52" s="3">
        <v>1032467928877</v>
      </c>
      <c r="AA52" s="3">
        <v>1066818417181</v>
      </c>
      <c r="AB52" s="3">
        <v>1085328597888</v>
      </c>
      <c r="AC52" s="3">
        <v>1082293700878</v>
      </c>
      <c r="AD52" s="3">
        <v>1085486773933</v>
      </c>
      <c r="AE52" s="3">
        <v>1096806337441</v>
      </c>
      <c r="AF52" s="3">
        <v>1111715200615</v>
      </c>
      <c r="AG52" s="3">
        <v>1113488348692</v>
      </c>
      <c r="AH52" s="3">
        <v>1133750434414</v>
      </c>
      <c r="AI52" s="3">
        <v>1116018759400</v>
      </c>
      <c r="AJ52" s="3">
        <v>1123000911631</v>
      </c>
    </row>
    <row r="53" spans="2:36" x14ac:dyDescent="0.25">
      <c r="B53" s="4" t="s">
        <v>34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>
        <f>P51+P52</f>
        <v>1853235343636</v>
      </c>
      <c r="Q53" s="4">
        <f t="shared" ref="Q53:T53" si="85">Q51+Q52</f>
        <v>1971539240481</v>
      </c>
      <c r="R53" s="4">
        <f t="shared" si="85"/>
        <v>2071304278891</v>
      </c>
      <c r="S53" s="4">
        <f t="shared" si="85"/>
        <v>1973340619403</v>
      </c>
      <c r="T53" s="4">
        <f t="shared" si="85"/>
        <v>2082096848703</v>
      </c>
      <c r="U53" s="4">
        <f t="shared" ref="U53:AC53" si="86">U51+U52</f>
        <v>2190069546117</v>
      </c>
      <c r="V53" s="4">
        <f t="shared" si="86"/>
        <v>2086076195422</v>
      </c>
      <c r="W53" s="4">
        <f t="shared" si="86"/>
        <v>2179546895130</v>
      </c>
      <c r="X53" s="4">
        <f t="shared" si="86"/>
        <v>2185101038101</v>
      </c>
      <c r="Y53" s="4">
        <f t="shared" si="86"/>
        <v>2323417139791</v>
      </c>
      <c r="Z53" s="4">
        <f t="shared" si="86"/>
        <v>2243506158562</v>
      </c>
      <c r="AA53" s="4">
        <f t="shared" si="86"/>
        <v>2349363953339</v>
      </c>
      <c r="AB53" s="4">
        <f t="shared" si="86"/>
        <v>2361807189430</v>
      </c>
      <c r="AC53" s="4">
        <f t="shared" si="86"/>
        <v>2436947859511</v>
      </c>
      <c r="AD53" s="4">
        <f t="shared" ref="AD53:AG53" si="87">AD51+AD52</f>
        <v>2320292399017</v>
      </c>
      <c r="AE53" s="4">
        <f t="shared" si="87"/>
        <v>2433645465849</v>
      </c>
      <c r="AF53" s="4">
        <f t="shared" si="87"/>
        <v>2445143511801</v>
      </c>
      <c r="AG53" s="4">
        <f t="shared" si="87"/>
        <v>2639370915619</v>
      </c>
      <c r="AH53" s="4">
        <f>AH51+AH52</f>
        <v>2509930548985</v>
      </c>
      <c r="AI53" s="4">
        <f t="shared" ref="AI53:AJ53" si="88">AI51+AI52</f>
        <v>2541426495246</v>
      </c>
      <c r="AJ53" s="4">
        <f t="shared" si="88"/>
        <v>2551192620939</v>
      </c>
    </row>
    <row r="55" spans="2:36" x14ac:dyDescent="0.25">
      <c r="C55" s="194" t="s">
        <v>7</v>
      </c>
      <c r="D55" s="194"/>
      <c r="P55" s="3">
        <v>486053837459</v>
      </c>
      <c r="Q55" s="3">
        <v>524834283816</v>
      </c>
      <c r="R55" s="3">
        <v>255134451533</v>
      </c>
      <c r="S55" s="3">
        <v>211785057316</v>
      </c>
      <c r="T55" s="3">
        <v>222930621643</v>
      </c>
      <c r="U55" s="3">
        <v>264871937746</v>
      </c>
      <c r="V55" s="3">
        <v>214377171717</v>
      </c>
      <c r="W55" s="3">
        <v>233973631813</v>
      </c>
      <c r="X55" s="3">
        <v>223305151868</v>
      </c>
      <c r="Y55" s="3">
        <v>267118445638</v>
      </c>
      <c r="Z55" s="3">
        <v>241772701486</v>
      </c>
      <c r="AA55" s="3">
        <v>274100839757</v>
      </c>
      <c r="AB55" s="3">
        <v>259806845843</v>
      </c>
      <c r="AC55" s="3">
        <v>257146307820</v>
      </c>
      <c r="AD55" s="3">
        <v>193800550921</v>
      </c>
      <c r="AE55" s="3">
        <v>252081692250</v>
      </c>
      <c r="AF55" s="3">
        <v>231533842787</v>
      </c>
      <c r="AG55" s="3">
        <v>351003642100</v>
      </c>
      <c r="AH55" s="3">
        <v>279111327818</v>
      </c>
      <c r="AI55" s="3">
        <v>265381512914</v>
      </c>
      <c r="AJ55" s="3">
        <v>255852750863</v>
      </c>
    </row>
    <row r="56" spans="2:36" x14ac:dyDescent="0.25">
      <c r="C56" s="194" t="s">
        <v>8</v>
      </c>
      <c r="D56" s="194"/>
      <c r="P56" s="3">
        <v>83677063909</v>
      </c>
      <c r="Q56" s="3">
        <v>152717886921</v>
      </c>
      <c r="R56" s="3">
        <v>145995403858</v>
      </c>
      <c r="S56" s="3">
        <v>125684314091</v>
      </c>
      <c r="T56" s="3">
        <v>144294749027</v>
      </c>
      <c r="U56" s="3">
        <v>172344283028</v>
      </c>
      <c r="V56" s="3">
        <v>183010662209</v>
      </c>
      <c r="W56" s="3">
        <v>198523920692</v>
      </c>
      <c r="X56" s="3">
        <v>178637378908</v>
      </c>
      <c r="Y56" s="3">
        <v>208993102451</v>
      </c>
      <c r="Z56" s="3">
        <v>215079241262</v>
      </c>
      <c r="AA56" s="3">
        <v>234600410475</v>
      </c>
      <c r="AB56" s="3">
        <v>243674007163</v>
      </c>
      <c r="AC56" s="3">
        <v>256983904817</v>
      </c>
      <c r="AD56" s="3">
        <v>253483289292</v>
      </c>
      <c r="AE56" s="3">
        <v>224730837178</v>
      </c>
      <c r="AF56" s="3">
        <v>241146503875</v>
      </c>
      <c r="AG56" s="3">
        <v>233786825542</v>
      </c>
      <c r="AH56" s="3">
        <v>257889197912</v>
      </c>
      <c r="AI56" s="3">
        <v>263124922334</v>
      </c>
      <c r="AJ56" s="3">
        <v>276196052914</v>
      </c>
    </row>
    <row r="57" spans="2:36" x14ac:dyDescent="0.25">
      <c r="B57" s="4" t="s">
        <v>35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>
        <f>P55+P56</f>
        <v>569730901368</v>
      </c>
      <c r="Q57" s="4">
        <f>Q55+Q56</f>
        <v>677552170737</v>
      </c>
      <c r="R57" s="4">
        <f>R55+R56</f>
        <v>401129855391</v>
      </c>
      <c r="S57" s="4">
        <f>S55+S56</f>
        <v>337469371407</v>
      </c>
      <c r="T57" s="4">
        <f t="shared" ref="T57" si="89">T55+T56</f>
        <v>367225370670</v>
      </c>
      <c r="U57" s="4">
        <f>U55+U56</f>
        <v>437216220774</v>
      </c>
      <c r="V57" s="4">
        <f>V55+V56</f>
        <v>397387833926</v>
      </c>
      <c r="W57" s="4">
        <f>W55+W56</f>
        <v>432497552505</v>
      </c>
      <c r="X57" s="4">
        <f t="shared" ref="X57" si="90">X55+X56</f>
        <v>401942530776</v>
      </c>
      <c r="Y57" s="4">
        <f>Y55+Y56</f>
        <v>476111548089</v>
      </c>
      <c r="Z57" s="4">
        <f>Z55+Z56</f>
        <v>456851942748</v>
      </c>
      <c r="AA57" s="4">
        <f>AA55+AA56</f>
        <v>508701250232</v>
      </c>
      <c r="AB57" s="4">
        <f t="shared" ref="AB57" si="91">AB55+AB56</f>
        <v>503480853006</v>
      </c>
      <c r="AC57" s="4">
        <f t="shared" ref="AC57:AH57" si="92">AC55+AC56</f>
        <v>514130212637</v>
      </c>
      <c r="AD57" s="4">
        <f t="shared" si="92"/>
        <v>447283840213</v>
      </c>
      <c r="AE57" s="4">
        <f t="shared" si="92"/>
        <v>476812529428</v>
      </c>
      <c r="AF57" s="4">
        <f t="shared" si="92"/>
        <v>472680346662</v>
      </c>
      <c r="AG57" s="4">
        <f t="shared" si="92"/>
        <v>584790467642</v>
      </c>
      <c r="AH57" s="4">
        <f t="shared" si="92"/>
        <v>537000525730</v>
      </c>
      <c r="AI57" s="4">
        <f t="shared" ref="AI57:AJ57" si="93">AI55+AI56</f>
        <v>528506435248</v>
      </c>
      <c r="AJ57" s="4">
        <f t="shared" si="93"/>
        <v>532048803777</v>
      </c>
    </row>
    <row r="59" spans="2:36" x14ac:dyDescent="0.25">
      <c r="B59" s="4" t="s">
        <v>36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>
        <v>1283504442268</v>
      </c>
      <c r="Q59" s="4">
        <v>1293987069744</v>
      </c>
      <c r="R59" s="4">
        <v>1670174423500</v>
      </c>
      <c r="S59" s="4">
        <v>1635871247996</v>
      </c>
      <c r="T59" s="4">
        <v>1714871478033</v>
      </c>
      <c r="U59" s="4">
        <v>1752853325343</v>
      </c>
      <c r="V59" s="4">
        <v>1688688361496</v>
      </c>
      <c r="W59" s="4">
        <v>1747049342625</v>
      </c>
      <c r="X59" s="4">
        <v>1783158507325</v>
      </c>
      <c r="Y59" s="4">
        <v>1847305591702</v>
      </c>
      <c r="Z59" s="4">
        <v>1786654215814</v>
      </c>
      <c r="AA59" s="4">
        <v>1840662703107</v>
      </c>
      <c r="AB59" s="4">
        <v>1858326336424</v>
      </c>
      <c r="AC59" s="4">
        <v>1922817646874</v>
      </c>
      <c r="AD59" s="4">
        <v>1873008558804</v>
      </c>
      <c r="AE59" s="4">
        <v>1956832936421</v>
      </c>
      <c r="AF59" s="4">
        <v>1972463165139</v>
      </c>
      <c r="AG59" s="4">
        <v>2054580447977</v>
      </c>
      <c r="AH59" s="4">
        <v>1972930023255</v>
      </c>
      <c r="AI59" s="4">
        <v>2012920059998</v>
      </c>
      <c r="AJ59" s="4">
        <v>2019143817162</v>
      </c>
    </row>
    <row r="60" spans="2:36" ht="13.5" thickBot="1" x14ac:dyDescent="0.3">
      <c r="B60" s="6" t="s">
        <v>37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6">
        <f>P57+P59</f>
        <v>1853235343636</v>
      </c>
      <c r="Q60" s="6">
        <f>Q57+Q59</f>
        <v>1971539240481</v>
      </c>
      <c r="R60" s="6">
        <f>R57+R59</f>
        <v>2071304278891</v>
      </c>
      <c r="S60" s="6">
        <f>S57+S59</f>
        <v>1973340619403</v>
      </c>
      <c r="T60" s="6">
        <f t="shared" ref="T60" si="94">T57+T59</f>
        <v>2082096848703</v>
      </c>
      <c r="U60" s="6">
        <f>U57+U59</f>
        <v>2190069546117</v>
      </c>
      <c r="V60" s="6">
        <f>V57+V59</f>
        <v>2086076195422</v>
      </c>
      <c r="W60" s="6">
        <f>W57+W59</f>
        <v>2179546895130</v>
      </c>
      <c r="X60" s="6">
        <f t="shared" ref="X60" si="95">X57+X59</f>
        <v>2185101038101</v>
      </c>
      <c r="Y60" s="6">
        <f t="shared" ref="Y60:AH60" si="96">Y57+Y59</f>
        <v>2323417139791</v>
      </c>
      <c r="Z60" s="6">
        <f t="shared" si="96"/>
        <v>2243506158562</v>
      </c>
      <c r="AA60" s="6">
        <f t="shared" si="96"/>
        <v>2349363953339</v>
      </c>
      <c r="AB60" s="6">
        <f t="shared" si="96"/>
        <v>2361807189430</v>
      </c>
      <c r="AC60" s="6">
        <f t="shared" si="96"/>
        <v>2436947859511</v>
      </c>
      <c r="AD60" s="6">
        <f t="shared" si="96"/>
        <v>2320292399017</v>
      </c>
      <c r="AE60" s="6">
        <f t="shared" si="96"/>
        <v>2433645465849</v>
      </c>
      <c r="AF60" s="6">
        <f t="shared" si="96"/>
        <v>2445143511801</v>
      </c>
      <c r="AG60" s="6">
        <f t="shared" si="96"/>
        <v>2639370915619</v>
      </c>
      <c r="AH60" s="6">
        <f t="shared" si="96"/>
        <v>2509930548985</v>
      </c>
      <c r="AI60" s="6">
        <f t="shared" ref="AI60:AJ60" si="97">AI57+AI59</f>
        <v>2541426495246</v>
      </c>
      <c r="AJ60" s="6">
        <f t="shared" si="97"/>
        <v>2551192620939</v>
      </c>
    </row>
    <row r="61" spans="2:36" ht="13.5" thickTop="1" x14ac:dyDescent="0.25"/>
    <row r="64" spans="2:36" x14ac:dyDescent="0.25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32" t="s">
        <v>2</v>
      </c>
      <c r="Q64" s="193" t="s">
        <v>3</v>
      </c>
      <c r="R64" s="193"/>
      <c r="S64" s="193"/>
      <c r="T64" s="193"/>
      <c r="U64" s="193" t="s">
        <v>4</v>
      </c>
      <c r="V64" s="193"/>
      <c r="W64" s="193"/>
      <c r="X64" s="193"/>
      <c r="Y64" s="193" t="s">
        <v>5</v>
      </c>
      <c r="Z64" s="193"/>
      <c r="AA64" s="193"/>
      <c r="AB64" s="193"/>
      <c r="AC64" s="193" t="s">
        <v>6</v>
      </c>
      <c r="AD64" s="193"/>
      <c r="AE64" s="193"/>
      <c r="AF64" s="193"/>
      <c r="AG64" s="193" t="s">
        <v>65</v>
      </c>
      <c r="AH64" s="193"/>
      <c r="AI64" s="193"/>
      <c r="AJ64" s="193"/>
    </row>
    <row r="65" spans="2:36" x14ac:dyDescent="0.25">
      <c r="B65" s="12" t="s">
        <v>104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 t="str">
        <f>IF(P68-P76=0,"","UNBALANCED")</f>
        <v/>
      </c>
      <c r="Q65" s="14" t="s">
        <v>62</v>
      </c>
      <c r="R65" s="14" t="s">
        <v>63</v>
      </c>
      <c r="S65" s="14" t="s">
        <v>64</v>
      </c>
      <c r="T65" s="14" t="s">
        <v>93</v>
      </c>
      <c r="U65" s="14" t="s">
        <v>62</v>
      </c>
      <c r="V65" s="14" t="s">
        <v>63</v>
      </c>
      <c r="W65" s="14" t="s">
        <v>64</v>
      </c>
      <c r="X65" s="14" t="s">
        <v>93</v>
      </c>
      <c r="Y65" s="14" t="s">
        <v>62</v>
      </c>
      <c r="Z65" s="14" t="s">
        <v>63</v>
      </c>
      <c r="AA65" s="14" t="s">
        <v>64</v>
      </c>
      <c r="AB65" s="14" t="s">
        <v>93</v>
      </c>
      <c r="AC65" s="14" t="s">
        <v>62</v>
      </c>
      <c r="AD65" s="14" t="s">
        <v>63</v>
      </c>
      <c r="AE65" s="14" t="s">
        <v>64</v>
      </c>
      <c r="AF65" s="14" t="s">
        <v>93</v>
      </c>
      <c r="AG65" s="14" t="s">
        <v>62</v>
      </c>
      <c r="AH65" s="14" t="s">
        <v>63</v>
      </c>
      <c r="AI65" s="14" t="s">
        <v>64</v>
      </c>
      <c r="AJ65" s="14" t="s">
        <v>93</v>
      </c>
    </row>
    <row r="66" spans="2:36" x14ac:dyDescent="0.25">
      <c r="C66" s="194" t="s">
        <v>0</v>
      </c>
      <c r="D66" s="194"/>
      <c r="T66" s="3">
        <v>2089896826583</v>
      </c>
    </row>
    <row r="67" spans="2:36" x14ac:dyDescent="0.25">
      <c r="C67" s="194" t="s">
        <v>1</v>
      </c>
      <c r="D67" s="194"/>
      <c r="T67" s="3">
        <v>1121337831987</v>
      </c>
    </row>
    <row r="68" spans="2:36" s="4" customFormat="1" x14ac:dyDescent="0.25">
      <c r="B68" s="4" t="s">
        <v>34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T68" s="4">
        <f>T66+T67</f>
        <v>3211234658570</v>
      </c>
    </row>
    <row r="70" spans="2:36" x14ac:dyDescent="0.25">
      <c r="C70" s="194" t="s">
        <v>7</v>
      </c>
      <c r="D70" s="194"/>
      <c r="T70" s="3">
        <v>1291021571370</v>
      </c>
    </row>
    <row r="71" spans="2:36" x14ac:dyDescent="0.25">
      <c r="C71" s="194" t="s">
        <v>8</v>
      </c>
      <c r="D71" s="194"/>
      <c r="T71" s="3">
        <v>143583834900</v>
      </c>
    </row>
    <row r="72" spans="2:36" s="4" customFormat="1" x14ac:dyDescent="0.25">
      <c r="B72" s="4" t="s">
        <v>35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T72" s="4">
        <f>T70+T71</f>
        <v>1434605406270</v>
      </c>
    </row>
    <row r="73" spans="2:36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36" s="4" customFormat="1" x14ac:dyDescent="0.25">
      <c r="B74" s="4" t="s">
        <v>36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T74" s="4">
        <v>1776629252300</v>
      </c>
    </row>
    <row r="75" spans="2:36" ht="13.5" thickBot="1" x14ac:dyDescent="0.3">
      <c r="B75" s="6" t="s">
        <v>37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6">
        <f>P72+P74</f>
        <v>0</v>
      </c>
      <c r="Q75" s="6">
        <f t="shared" ref="Q75:AJ75" si="98">Q72+Q74</f>
        <v>0</v>
      </c>
      <c r="R75" s="6">
        <f t="shared" si="98"/>
        <v>0</v>
      </c>
      <c r="S75" s="6">
        <f t="shared" si="98"/>
        <v>0</v>
      </c>
      <c r="T75" s="6">
        <f t="shared" si="98"/>
        <v>3211234658570</v>
      </c>
      <c r="U75" s="6">
        <f t="shared" si="98"/>
        <v>0</v>
      </c>
      <c r="V75" s="6">
        <f t="shared" si="98"/>
        <v>0</v>
      </c>
      <c r="W75" s="6">
        <f t="shared" si="98"/>
        <v>0</v>
      </c>
      <c r="X75" s="6">
        <f t="shared" si="98"/>
        <v>0</v>
      </c>
      <c r="Y75" s="6">
        <f t="shared" si="98"/>
        <v>0</v>
      </c>
      <c r="Z75" s="6">
        <f t="shared" si="98"/>
        <v>0</v>
      </c>
      <c r="AA75" s="6">
        <f t="shared" si="98"/>
        <v>0</v>
      </c>
      <c r="AB75" s="6">
        <f t="shared" si="98"/>
        <v>0</v>
      </c>
      <c r="AC75" s="6">
        <f t="shared" si="98"/>
        <v>0</v>
      </c>
      <c r="AD75" s="6">
        <f t="shared" si="98"/>
        <v>0</v>
      </c>
      <c r="AE75" s="6">
        <f t="shared" si="98"/>
        <v>0</v>
      </c>
      <c r="AF75" s="6">
        <f t="shared" si="98"/>
        <v>0</v>
      </c>
      <c r="AG75" s="6">
        <f t="shared" si="98"/>
        <v>0</v>
      </c>
      <c r="AH75" s="6">
        <f t="shared" si="98"/>
        <v>0</v>
      </c>
      <c r="AI75" s="6">
        <f t="shared" si="98"/>
        <v>0</v>
      </c>
      <c r="AJ75" s="6">
        <f t="shared" si="98"/>
        <v>0</v>
      </c>
    </row>
    <row r="76" spans="2:36" ht="13.5" thickTop="1" x14ac:dyDescent="0.25">
      <c r="T76" s="3">
        <f>T68-(T72+T74)</f>
        <v>0</v>
      </c>
    </row>
    <row r="77" spans="2:36" s="8" customForma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T77" s="8" t="str">
        <f>IF(T76=0,"","UNBALANCED")</f>
        <v/>
      </c>
    </row>
  </sheetData>
  <mergeCells count="48">
    <mergeCell ref="M4:P4"/>
    <mergeCell ref="I4:L4"/>
    <mergeCell ref="E4:H4"/>
    <mergeCell ref="C66:D66"/>
    <mergeCell ref="C67:D67"/>
    <mergeCell ref="C36:D36"/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70:D70"/>
    <mergeCell ref="C71:D71"/>
    <mergeCell ref="Q64:T64"/>
    <mergeCell ref="AG4:AJ4"/>
    <mergeCell ref="U64:X64"/>
    <mergeCell ref="Y64:AB64"/>
    <mergeCell ref="AC64:AF64"/>
    <mergeCell ref="AG64:AJ64"/>
    <mergeCell ref="AG19:AJ19"/>
    <mergeCell ref="AG34:AJ34"/>
    <mergeCell ref="AG49:AJ49"/>
    <mergeCell ref="AC49:AF49"/>
    <mergeCell ref="Y49:AB49"/>
    <mergeCell ref="U49:X49"/>
    <mergeCell ref="AC19:AF19"/>
    <mergeCell ref="Y19:AB19"/>
    <mergeCell ref="AC34:AF34"/>
    <mergeCell ref="Q4:T4"/>
    <mergeCell ref="U4:X4"/>
    <mergeCell ref="Y4:AB4"/>
    <mergeCell ref="AC4:AF4"/>
    <mergeCell ref="Q49:T49"/>
    <mergeCell ref="Q34:T34"/>
    <mergeCell ref="U34:X34"/>
    <mergeCell ref="Y34:AB34"/>
    <mergeCell ref="Q19:T19"/>
    <mergeCell ref="U19:X19"/>
    <mergeCell ref="C52:D52"/>
    <mergeCell ref="C21:D21"/>
    <mergeCell ref="C22:D22"/>
    <mergeCell ref="C25:D25"/>
    <mergeCell ref="C26:D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opLeftCell="A4" zoomScaleNormal="100" workbookViewId="0">
      <selection activeCell="C18" sqref="C18"/>
    </sheetView>
  </sheetViews>
  <sheetFormatPr defaultRowHeight="12.75" x14ac:dyDescent="0.2"/>
  <cols>
    <col min="1" max="1" width="3.7109375" style="124" customWidth="1"/>
    <col min="2" max="2" width="41.5703125" style="125" customWidth="1"/>
    <col min="3" max="13" width="19.28515625" style="148" customWidth="1"/>
    <col min="14" max="14" width="19.28515625" style="97" bestFit="1" customWidth="1"/>
    <col min="15" max="17" width="19.28515625" style="97" customWidth="1"/>
    <col min="18" max="18" width="19.28515625" style="97" bestFit="1" customWidth="1"/>
    <col min="19" max="21" width="19.28515625" style="89" customWidth="1"/>
    <col min="22" max="22" width="19.28515625" style="89" bestFit="1" customWidth="1"/>
    <col min="23" max="25" width="19.28515625" style="84" customWidth="1"/>
    <col min="26" max="26" width="19.28515625" style="84" bestFit="1" customWidth="1"/>
    <col min="27" max="29" width="19.28515625" style="89" customWidth="1"/>
    <col min="30" max="30" width="19.28515625" style="89" bestFit="1" customWidth="1"/>
    <col min="31" max="33" width="19.28515625" style="84" customWidth="1"/>
    <col min="34" max="34" width="19.28515625" style="84" bestFit="1" customWidth="1"/>
    <col min="35" max="16384" width="9.140625" style="19"/>
  </cols>
  <sheetData>
    <row r="1" spans="1:34" s="17" customFormat="1" x14ac:dyDescent="0.2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94"/>
      <c r="O1" s="202" t="s">
        <v>3</v>
      </c>
      <c r="P1" s="203"/>
      <c r="Q1" s="203"/>
      <c r="R1" s="203"/>
      <c r="S1" s="204" t="s">
        <v>4</v>
      </c>
      <c r="T1" s="205"/>
      <c r="U1" s="205"/>
      <c r="V1" s="205"/>
      <c r="W1" s="99"/>
      <c r="X1" s="99"/>
      <c r="Y1" s="99"/>
      <c r="Z1" s="81"/>
      <c r="AA1" s="86"/>
      <c r="AB1" s="86"/>
      <c r="AC1" s="86"/>
      <c r="AD1" s="86"/>
      <c r="AE1" s="81"/>
      <c r="AF1" s="81"/>
      <c r="AG1" s="81"/>
      <c r="AH1" s="81"/>
    </row>
    <row r="2" spans="1:34" s="17" customFormat="1" x14ac:dyDescent="0.2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94"/>
      <c r="O2" s="93" t="s">
        <v>62</v>
      </c>
      <c r="P2" s="93" t="s">
        <v>63</v>
      </c>
      <c r="Q2" s="93" t="s">
        <v>64</v>
      </c>
      <c r="R2" s="93" t="s">
        <v>74</v>
      </c>
      <c r="S2" s="92" t="s">
        <v>62</v>
      </c>
      <c r="T2" s="92" t="s">
        <v>63</v>
      </c>
      <c r="U2" s="92" t="s">
        <v>64</v>
      </c>
      <c r="V2" s="92" t="s">
        <v>74</v>
      </c>
      <c r="W2" s="91"/>
      <c r="X2" s="91"/>
      <c r="Y2" s="91"/>
      <c r="Z2" s="81"/>
      <c r="AA2" s="86"/>
      <c r="AB2" s="86"/>
      <c r="AC2" s="86"/>
      <c r="AD2" s="86"/>
      <c r="AE2" s="81"/>
      <c r="AF2" s="81"/>
      <c r="AG2" s="81"/>
      <c r="AH2" s="81"/>
    </row>
    <row r="3" spans="1:34" s="17" customFormat="1" x14ac:dyDescent="0.2">
      <c r="A3" s="109" t="s">
        <v>30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94"/>
      <c r="O3" s="94"/>
      <c r="P3" s="94"/>
      <c r="Q3" s="94"/>
      <c r="R3" s="94"/>
      <c r="S3" s="86"/>
      <c r="T3" s="86"/>
      <c r="U3" s="86"/>
      <c r="V3" s="86"/>
      <c r="W3" s="81"/>
      <c r="X3" s="81"/>
      <c r="Y3" s="81"/>
      <c r="Z3" s="81"/>
      <c r="AA3" s="86"/>
      <c r="AB3" s="86"/>
      <c r="AC3" s="86"/>
      <c r="AD3" s="86"/>
      <c r="AE3" s="81"/>
      <c r="AF3" s="81"/>
      <c r="AG3" s="81"/>
      <c r="AH3" s="81"/>
    </row>
    <row r="4" spans="1:34" s="17" customFormat="1" x14ac:dyDescent="0.2">
      <c r="A4" s="109" t="s">
        <v>31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94"/>
      <c r="O4" s="94"/>
      <c r="P4" s="94"/>
      <c r="Q4" s="94"/>
      <c r="R4" s="94"/>
      <c r="S4" s="86"/>
      <c r="T4" s="86"/>
      <c r="U4" s="86"/>
      <c r="V4" s="86"/>
      <c r="W4" s="81"/>
      <c r="X4" s="81"/>
      <c r="Y4" s="81"/>
      <c r="Z4" s="81"/>
      <c r="AA4" s="86"/>
      <c r="AB4" s="86"/>
      <c r="AC4" s="86"/>
      <c r="AD4" s="86"/>
      <c r="AE4" s="81"/>
      <c r="AF4" s="81"/>
      <c r="AG4" s="81"/>
      <c r="AH4" s="81"/>
    </row>
    <row r="5" spans="1:34" s="18" customFormat="1" x14ac:dyDescent="0.2">
      <c r="A5" s="111" t="s">
        <v>32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95"/>
      <c r="O5" s="95"/>
      <c r="P5" s="95"/>
      <c r="Q5" s="95"/>
      <c r="R5" s="95"/>
      <c r="S5" s="87"/>
      <c r="T5" s="87"/>
      <c r="U5" s="87"/>
      <c r="V5" s="87"/>
      <c r="W5" s="82"/>
      <c r="X5" s="82"/>
      <c r="Y5" s="82"/>
      <c r="Z5" s="82"/>
      <c r="AA5" s="87"/>
      <c r="AB5" s="87"/>
      <c r="AC5" s="87"/>
      <c r="AD5" s="87"/>
      <c r="AE5" s="82"/>
      <c r="AF5" s="82"/>
      <c r="AG5" s="82"/>
      <c r="AH5" s="82"/>
    </row>
    <row r="6" spans="1:34" s="80" customFormat="1" x14ac:dyDescent="0.2">
      <c r="A6" s="113"/>
      <c r="B6" s="114"/>
      <c r="C6" s="114" t="s">
        <v>121</v>
      </c>
      <c r="D6" s="114" t="s">
        <v>122</v>
      </c>
      <c r="E6" s="114" t="s">
        <v>123</v>
      </c>
      <c r="F6" s="114" t="s">
        <v>124</v>
      </c>
      <c r="G6" s="114" t="s">
        <v>125</v>
      </c>
      <c r="H6" s="114" t="s">
        <v>126</v>
      </c>
      <c r="I6" s="114" t="s">
        <v>127</v>
      </c>
      <c r="J6" s="114" t="s">
        <v>128</v>
      </c>
      <c r="K6" s="114" t="s">
        <v>129</v>
      </c>
      <c r="L6" s="114" t="s">
        <v>130</v>
      </c>
      <c r="M6" s="114" t="s">
        <v>131</v>
      </c>
      <c r="N6" s="114" t="s">
        <v>132</v>
      </c>
      <c r="O6" s="96" t="s">
        <v>66</v>
      </c>
      <c r="P6" s="96" t="s">
        <v>67</v>
      </c>
      <c r="Q6" s="96" t="s">
        <v>68</v>
      </c>
      <c r="R6" s="96" t="s">
        <v>69</v>
      </c>
      <c r="S6" s="88" t="s">
        <v>70</v>
      </c>
      <c r="T6" s="88" t="s">
        <v>72</v>
      </c>
      <c r="U6" s="88" t="s">
        <v>73</v>
      </c>
      <c r="V6" s="88" t="s">
        <v>71</v>
      </c>
      <c r="W6" s="83" t="s">
        <v>75</v>
      </c>
      <c r="X6" s="83" t="s">
        <v>76</v>
      </c>
      <c r="Y6" s="83" t="s">
        <v>77</v>
      </c>
      <c r="Z6" s="83" t="s">
        <v>78</v>
      </c>
      <c r="AA6" s="88" t="s">
        <v>79</v>
      </c>
      <c r="AB6" s="88" t="s">
        <v>80</v>
      </c>
      <c r="AC6" s="88" t="s">
        <v>81</v>
      </c>
      <c r="AD6" s="88" t="s">
        <v>82</v>
      </c>
      <c r="AE6" s="83" t="s">
        <v>83</v>
      </c>
      <c r="AF6" s="83" t="s">
        <v>84</v>
      </c>
      <c r="AG6" s="83" t="s">
        <v>85</v>
      </c>
      <c r="AH6" s="83" t="s">
        <v>86</v>
      </c>
    </row>
    <row r="7" spans="1:34" x14ac:dyDescent="0.2">
      <c r="A7" s="196" t="s">
        <v>9</v>
      </c>
      <c r="B7" s="196"/>
      <c r="C7" s="150">
        <v>6604058</v>
      </c>
      <c r="D7" s="150">
        <v>13359546</v>
      </c>
      <c r="E7" s="150">
        <v>20344016</v>
      </c>
      <c r="F7" s="150">
        <v>27303248</v>
      </c>
      <c r="G7" s="150">
        <v>7575564</v>
      </c>
      <c r="H7" s="150">
        <v>15430393</v>
      </c>
      <c r="I7" s="150">
        <v>23025103</v>
      </c>
      <c r="J7" s="150">
        <v>30757435</v>
      </c>
      <c r="K7" s="150">
        <v>8725116</v>
      </c>
      <c r="L7" s="150">
        <v>17582488</v>
      </c>
      <c r="M7" s="150">
        <v>26089807</v>
      </c>
      <c r="N7" s="97">
        <v>34511534</v>
      </c>
      <c r="O7" s="97">
        <v>9413452</v>
      </c>
      <c r="P7" s="97">
        <v>18801546</v>
      </c>
      <c r="Q7" s="97">
        <v>27546680</v>
      </c>
      <c r="R7" s="97">
        <v>36484030</v>
      </c>
      <c r="S7" s="89">
        <v>9988220</v>
      </c>
      <c r="T7" s="89">
        <v>20745636</v>
      </c>
      <c r="U7" s="89">
        <v>30101448</v>
      </c>
      <c r="V7" s="89">
        <v>40053732</v>
      </c>
      <c r="W7" s="84">
        <v>10845687</v>
      </c>
      <c r="X7" s="84">
        <v>21263708</v>
      </c>
      <c r="Y7" s="84">
        <v>31213506</v>
      </c>
      <c r="Z7" s="84">
        <v>41204510</v>
      </c>
      <c r="AA7" s="89">
        <v>10746621</v>
      </c>
      <c r="AB7" s="89">
        <v>21183734</v>
      </c>
      <c r="AC7" s="89">
        <v>31531499</v>
      </c>
      <c r="AD7" s="89">
        <v>41802073</v>
      </c>
      <c r="AE7" s="84">
        <v>10664618</v>
      </c>
      <c r="AF7" s="84">
        <v>21457234</v>
      </c>
      <c r="AG7" s="84">
        <v>32360986</v>
      </c>
      <c r="AH7" s="84">
        <v>42922563</v>
      </c>
    </row>
    <row r="8" spans="1:34" x14ac:dyDescent="0.2">
      <c r="A8" s="197" t="s">
        <v>10</v>
      </c>
      <c r="B8" s="197"/>
      <c r="C8" s="152">
        <v>-3288189</v>
      </c>
      <c r="D8" s="152">
        <v>-6618477</v>
      </c>
      <c r="E8" s="152">
        <v>-9978454</v>
      </c>
      <c r="F8" s="152">
        <v>-13414122</v>
      </c>
      <c r="G8" s="152">
        <v>3694939</v>
      </c>
      <c r="H8" s="152">
        <v>-7463056</v>
      </c>
      <c r="I8" s="152">
        <v>-11201135</v>
      </c>
      <c r="J8" s="152">
        <v>-14978947</v>
      </c>
      <c r="K8" s="152">
        <v>-4517905</v>
      </c>
      <c r="L8" s="152">
        <v>-8952857</v>
      </c>
      <c r="M8" s="152">
        <v>-13359185</v>
      </c>
      <c r="N8" s="103">
        <v>-17412413</v>
      </c>
      <c r="O8" s="103">
        <v>-4610196</v>
      </c>
      <c r="P8" s="103">
        <v>-9272118</v>
      </c>
      <c r="Q8" s="103">
        <v>-13582688</v>
      </c>
      <c r="R8" s="103">
        <v>-17835061</v>
      </c>
      <c r="S8" s="104">
        <v>-4967525</v>
      </c>
      <c r="T8" s="104">
        <v>-10254483</v>
      </c>
      <c r="U8" s="104">
        <v>-14798699</v>
      </c>
      <c r="V8" s="104">
        <v>-19594636</v>
      </c>
      <c r="W8" s="105">
        <v>-5219437</v>
      </c>
      <c r="X8" s="105">
        <v>-10350543</v>
      </c>
      <c r="Y8" s="105">
        <v>-15160205</v>
      </c>
      <c r="Z8" s="105">
        <v>-19984776</v>
      </c>
      <c r="AA8" s="104">
        <v>-5256880</v>
      </c>
      <c r="AB8" s="104">
        <v>-10416314</v>
      </c>
      <c r="AC8" s="104">
        <v>-15719903</v>
      </c>
      <c r="AD8" s="104">
        <v>-20709800</v>
      </c>
      <c r="AE8" s="105">
        <v>-5358300</v>
      </c>
      <c r="AF8" s="105">
        <v>-10503740</v>
      </c>
      <c r="AG8" s="105">
        <v>-15923228</v>
      </c>
      <c r="AH8" s="105">
        <v>-20893870</v>
      </c>
    </row>
    <row r="9" spans="1:34" s="18" customFormat="1" x14ac:dyDescent="0.2">
      <c r="A9" s="115"/>
      <c r="B9" s="116" t="s">
        <v>11</v>
      </c>
      <c r="C9" s="116">
        <f>C7+C8</f>
        <v>3315869</v>
      </c>
      <c r="D9" s="116">
        <f>D7+D8</f>
        <v>6741069</v>
      </c>
      <c r="E9" s="116">
        <f>E7+E8</f>
        <v>10365562</v>
      </c>
      <c r="F9" s="116">
        <f>F7+F8</f>
        <v>13889126</v>
      </c>
      <c r="G9" s="116">
        <f>G7+G8</f>
        <v>11270503</v>
      </c>
      <c r="H9" s="116">
        <f t="shared" ref="H9:M9" si="0">H7+H8</f>
        <v>7967337</v>
      </c>
      <c r="I9" s="116">
        <f t="shared" si="0"/>
        <v>11823968</v>
      </c>
      <c r="J9" s="116">
        <f t="shared" si="0"/>
        <v>15778488</v>
      </c>
      <c r="K9" s="116">
        <f t="shared" si="0"/>
        <v>4207211</v>
      </c>
      <c r="L9" s="116">
        <f t="shared" si="0"/>
        <v>8629631</v>
      </c>
      <c r="M9" s="116">
        <f t="shared" si="0"/>
        <v>12730622</v>
      </c>
      <c r="N9" s="100">
        <f>N7+N8</f>
        <v>17099121</v>
      </c>
      <c r="O9" s="100">
        <f t="shared" ref="O9:Q9" si="1">O7+O8</f>
        <v>4803256</v>
      </c>
      <c r="P9" s="100">
        <f t="shared" si="1"/>
        <v>9529428</v>
      </c>
      <c r="Q9" s="100">
        <f t="shared" si="1"/>
        <v>13963992</v>
      </c>
      <c r="R9" s="100">
        <f>R7+R8</f>
        <v>18648969</v>
      </c>
      <c r="S9" s="101">
        <f t="shared" ref="S9:U9" si="2">S7+S8</f>
        <v>5020695</v>
      </c>
      <c r="T9" s="101">
        <f t="shared" si="2"/>
        <v>10491153</v>
      </c>
      <c r="U9" s="101">
        <f t="shared" si="2"/>
        <v>15302749</v>
      </c>
      <c r="V9" s="101">
        <f>V7+V8</f>
        <v>20459096</v>
      </c>
      <c r="W9" s="102">
        <f t="shared" ref="W9:AD9" si="3">W7+W8</f>
        <v>5626250</v>
      </c>
      <c r="X9" s="102">
        <f t="shared" si="3"/>
        <v>10913165</v>
      </c>
      <c r="Y9" s="102">
        <f t="shared" si="3"/>
        <v>16053301</v>
      </c>
      <c r="Z9" s="102">
        <f t="shared" si="3"/>
        <v>21219734</v>
      </c>
      <c r="AA9" s="101">
        <f t="shared" si="3"/>
        <v>5489741</v>
      </c>
      <c r="AB9" s="101">
        <f t="shared" si="3"/>
        <v>10767420</v>
      </c>
      <c r="AC9" s="101">
        <f t="shared" ref="AC9" si="4">AC7+AC8</f>
        <v>15811596</v>
      </c>
      <c r="AD9" s="101">
        <f t="shared" si="3"/>
        <v>21092273</v>
      </c>
      <c r="AE9" s="102">
        <f t="shared" ref="AE9:AH9" si="5">AE7+AE8</f>
        <v>5306318</v>
      </c>
      <c r="AF9" s="102">
        <f t="shared" si="5"/>
        <v>10953494</v>
      </c>
      <c r="AG9" s="102">
        <f t="shared" si="5"/>
        <v>16437758</v>
      </c>
      <c r="AH9" s="102">
        <f t="shared" si="5"/>
        <v>22028693</v>
      </c>
    </row>
    <row r="10" spans="1:34" x14ac:dyDescent="0.2">
      <c r="A10" s="197" t="s">
        <v>12</v>
      </c>
      <c r="B10" s="197"/>
      <c r="C10" s="152">
        <v>-1394600</v>
      </c>
      <c r="D10" s="152">
        <v>-2895816</v>
      </c>
      <c r="E10" s="152">
        <v>-4283400</v>
      </c>
      <c r="F10" s="152">
        <v>-5889372</v>
      </c>
      <c r="G10" s="152">
        <v>-1510818</v>
      </c>
      <c r="H10" s="152">
        <v>-3219031</v>
      </c>
      <c r="I10" s="152">
        <v>-4856585</v>
      </c>
      <c r="J10" s="152">
        <v>-6627850</v>
      </c>
      <c r="K10" s="152">
        <v>-1671352</v>
      </c>
      <c r="L10" s="152">
        <v>-3443285</v>
      </c>
      <c r="M10" s="152">
        <v>-5178750</v>
      </c>
      <c r="N10" s="103">
        <v>-6613992</v>
      </c>
      <c r="O10" s="103">
        <v>-1831859</v>
      </c>
      <c r="P10" s="103">
        <v>-3771528</v>
      </c>
      <c r="Q10" s="103">
        <v>-5617462</v>
      </c>
      <c r="R10" s="103">
        <v>-7239165</v>
      </c>
      <c r="S10" s="104">
        <v>-1992925</v>
      </c>
      <c r="T10" s="104">
        <v>-4082543</v>
      </c>
      <c r="U10" s="104">
        <v>-6010068</v>
      </c>
      <c r="V10" s="104">
        <v>-7791556</v>
      </c>
      <c r="W10" s="105">
        <v>-1919273</v>
      </c>
      <c r="X10" s="105">
        <v>-3985012</v>
      </c>
      <c r="Y10" s="105">
        <v>-6056107</v>
      </c>
      <c r="Z10" s="105">
        <v>-7839387</v>
      </c>
      <c r="AA10" s="104">
        <v>-2052627</v>
      </c>
      <c r="AB10" s="104">
        <v>-4041102</v>
      </c>
      <c r="AC10" s="104">
        <v>-5951675</v>
      </c>
      <c r="AD10" s="104">
        <v>-7719088</v>
      </c>
      <c r="AE10" s="105">
        <v>-2007999</v>
      </c>
      <c r="AF10" s="105">
        <v>-3944247</v>
      </c>
      <c r="AG10" s="105">
        <v>-6100681</v>
      </c>
      <c r="AH10" s="105">
        <v>-8049388</v>
      </c>
    </row>
    <row r="11" spans="1:34" x14ac:dyDescent="0.2">
      <c r="A11" s="197" t="s">
        <v>13</v>
      </c>
      <c r="B11" s="197"/>
      <c r="C11" s="152">
        <v>-351614</v>
      </c>
      <c r="D11" s="152">
        <v>-760804</v>
      </c>
      <c r="E11" s="152">
        <v>-1160218</v>
      </c>
      <c r="F11" s="152">
        <v>-1544946</v>
      </c>
      <c r="G11" s="152">
        <v>-493503</v>
      </c>
      <c r="H11" s="152">
        <v>-1012100</v>
      </c>
      <c r="I11" s="152">
        <v>-1527560</v>
      </c>
      <c r="J11" s="152">
        <v>-2028895</v>
      </c>
      <c r="K11" s="152">
        <v>-668536</v>
      </c>
      <c r="L11" s="152">
        <v>-1345440</v>
      </c>
      <c r="M11" s="152">
        <v>-2063395</v>
      </c>
      <c r="N11" s="103">
        <v>-2705822</v>
      </c>
      <c r="O11" s="103">
        <v>-883724</v>
      </c>
      <c r="P11" s="103">
        <v>-1806688</v>
      </c>
      <c r="Q11" s="103">
        <v>-2678922</v>
      </c>
      <c r="R11" s="103">
        <v>-3465924</v>
      </c>
      <c r="S11" s="104">
        <v>-881864</v>
      </c>
      <c r="T11" s="104">
        <v>-1934879</v>
      </c>
      <c r="U11" s="104">
        <v>-2819775</v>
      </c>
      <c r="V11" s="104">
        <v>-3960830</v>
      </c>
      <c r="W11" s="105">
        <v>-1044898</v>
      </c>
      <c r="X11" s="105">
        <v>-2025195</v>
      </c>
      <c r="Y11" s="105">
        <v>-2905252</v>
      </c>
      <c r="Z11" s="105">
        <v>-3875371</v>
      </c>
      <c r="AA11" s="104">
        <v>-926409</v>
      </c>
      <c r="AB11" s="104">
        <v>-1929312</v>
      </c>
      <c r="AC11" s="104">
        <v>-2847263</v>
      </c>
      <c r="AD11" s="104">
        <v>-3917171</v>
      </c>
      <c r="AE11" s="105">
        <v>-934447</v>
      </c>
      <c r="AF11" s="105">
        <v>-1986375</v>
      </c>
      <c r="AG11" s="105">
        <v>-2812381</v>
      </c>
      <c r="AH11" s="105">
        <v>-3861481</v>
      </c>
    </row>
    <row r="12" spans="1:34" x14ac:dyDescent="0.2">
      <c r="A12" s="197" t="s">
        <v>20</v>
      </c>
      <c r="B12" s="197"/>
      <c r="C12" s="152">
        <f>2326+3538</f>
        <v>5864</v>
      </c>
      <c r="D12" s="152">
        <f>1962-543</f>
        <v>1419</v>
      </c>
      <c r="E12" s="152">
        <f>1487+4662+1567</f>
        <v>7716</v>
      </c>
      <c r="F12" s="152">
        <v>43299</v>
      </c>
      <c r="G12" s="152">
        <v>54371</v>
      </c>
      <c r="H12" s="152">
        <v>52640</v>
      </c>
      <c r="I12" s="152">
        <v>50307</v>
      </c>
      <c r="J12" s="152">
        <v>42702</v>
      </c>
      <c r="K12" s="152">
        <v>-1910</v>
      </c>
      <c r="L12" s="152">
        <v>-7650</v>
      </c>
      <c r="M12" s="152">
        <v>-4342</v>
      </c>
      <c r="N12" s="103">
        <v>-16979</v>
      </c>
      <c r="O12" s="103">
        <v>5867</v>
      </c>
      <c r="P12" s="103">
        <v>-2430</v>
      </c>
      <c r="Q12" s="103">
        <v>-15858</v>
      </c>
      <c r="R12" s="103">
        <v>-4479</v>
      </c>
      <c r="S12" s="104">
        <v>926</v>
      </c>
      <c r="T12" s="104">
        <v>4393</v>
      </c>
      <c r="U12" s="104">
        <v>3100</v>
      </c>
      <c r="V12" s="104">
        <v>951</v>
      </c>
      <c r="W12" s="105">
        <v>-1349</v>
      </c>
      <c r="X12" s="105">
        <v>-3778</v>
      </c>
      <c r="Y12" s="105">
        <v>-6191</v>
      </c>
      <c r="Z12" s="105">
        <v>-9212</v>
      </c>
      <c r="AA12" s="104">
        <v>-1141</v>
      </c>
      <c r="AB12" s="104">
        <v>-1166</v>
      </c>
      <c r="AC12" s="104">
        <v>2844522</v>
      </c>
      <c r="AD12" s="104">
        <v>2822616</v>
      </c>
      <c r="AE12" s="105">
        <v>-484</v>
      </c>
      <c r="AF12" s="105">
        <v>367</v>
      </c>
      <c r="AG12" s="105">
        <v>2165</v>
      </c>
      <c r="AH12" s="105">
        <v>3082</v>
      </c>
    </row>
    <row r="13" spans="1:34" s="18" customFormat="1" x14ac:dyDescent="0.2">
      <c r="A13" s="115"/>
      <c r="B13" s="116" t="s">
        <v>14</v>
      </c>
      <c r="C13" s="116">
        <f>C9+C10+C11+C12</f>
        <v>1575519</v>
      </c>
      <c r="D13" s="116">
        <f>D9+D10+D11+D12</f>
        <v>3085868</v>
      </c>
      <c r="E13" s="116">
        <f>E9+E10+E11+E12</f>
        <v>4929660</v>
      </c>
      <c r="F13" s="116">
        <f>F9+F10+F11+F12</f>
        <v>6498107</v>
      </c>
      <c r="G13" s="116">
        <f>G9+G10+G11+G12</f>
        <v>9320553</v>
      </c>
      <c r="H13" s="116">
        <f t="shared" ref="H13:M13" si="6">H9+H10+H11+H12</f>
        <v>3788846</v>
      </c>
      <c r="I13" s="116">
        <f t="shared" si="6"/>
        <v>5490130</v>
      </c>
      <c r="J13" s="116">
        <f t="shared" si="6"/>
        <v>7164445</v>
      </c>
      <c r="K13" s="116">
        <f t="shared" si="6"/>
        <v>1865413</v>
      </c>
      <c r="L13" s="116">
        <f t="shared" si="6"/>
        <v>3833256</v>
      </c>
      <c r="M13" s="116">
        <f t="shared" si="6"/>
        <v>5484135</v>
      </c>
      <c r="N13" s="100">
        <f>N9+SUM(N10:N12)</f>
        <v>7762328</v>
      </c>
      <c r="O13" s="100">
        <f t="shared" ref="O13:Q13" si="7">O9+SUM(O10:O12)</f>
        <v>2093540</v>
      </c>
      <c r="P13" s="100">
        <f t="shared" si="7"/>
        <v>3948782</v>
      </c>
      <c r="Q13" s="100">
        <f t="shared" si="7"/>
        <v>5651750</v>
      </c>
      <c r="R13" s="100">
        <f>R9+SUM(R10:R12)</f>
        <v>7939401</v>
      </c>
      <c r="S13" s="101">
        <f t="shared" ref="S13:U13" si="8">S9+SUM(S10:S12)</f>
        <v>2146832</v>
      </c>
      <c r="T13" s="101">
        <f t="shared" si="8"/>
        <v>4478124</v>
      </c>
      <c r="U13" s="101">
        <f t="shared" si="8"/>
        <v>6476006</v>
      </c>
      <c r="V13" s="101">
        <f>V9+SUM(V10:V12)</f>
        <v>8707661</v>
      </c>
      <c r="W13" s="102">
        <f t="shared" ref="W13:AD13" si="9">W9+SUM(W10:W12)</f>
        <v>2660730</v>
      </c>
      <c r="X13" s="102">
        <f t="shared" si="9"/>
        <v>4899180</v>
      </c>
      <c r="Y13" s="102">
        <f t="shared" si="9"/>
        <v>7085751</v>
      </c>
      <c r="Z13" s="102">
        <f t="shared" si="9"/>
        <v>9495764</v>
      </c>
      <c r="AA13" s="101">
        <f t="shared" si="9"/>
        <v>2509564</v>
      </c>
      <c r="AB13" s="101">
        <f t="shared" si="9"/>
        <v>4795840</v>
      </c>
      <c r="AC13" s="101">
        <f t="shared" ref="AC13" si="10">AC9+SUM(AC10:AC12)</f>
        <v>9857180</v>
      </c>
      <c r="AD13" s="101">
        <f t="shared" si="9"/>
        <v>12278630</v>
      </c>
      <c r="AE13" s="102">
        <f t="shared" ref="AE13:AH13" si="11">AE9+SUM(AE10:AE12)</f>
        <v>2363388</v>
      </c>
      <c r="AF13" s="102">
        <f t="shared" si="11"/>
        <v>5023239</v>
      </c>
      <c r="AG13" s="102">
        <f t="shared" si="11"/>
        <v>7526861</v>
      </c>
      <c r="AH13" s="102">
        <f t="shared" si="11"/>
        <v>10120906</v>
      </c>
    </row>
    <row r="14" spans="1:34" x14ac:dyDescent="0.2">
      <c r="A14" s="197" t="s">
        <v>15</v>
      </c>
      <c r="B14" s="197"/>
      <c r="C14" s="152">
        <v>3930</v>
      </c>
      <c r="D14" s="152">
        <v>18743</v>
      </c>
      <c r="E14" s="152">
        <v>26131</v>
      </c>
      <c r="F14" s="152">
        <v>37545</v>
      </c>
      <c r="G14" s="152">
        <v>1603</v>
      </c>
      <c r="H14" s="152">
        <v>4124</v>
      </c>
      <c r="I14" s="152">
        <v>7718</v>
      </c>
      <c r="J14" s="152">
        <v>14470</v>
      </c>
      <c r="K14" s="152">
        <v>1659</v>
      </c>
      <c r="L14" s="152">
        <v>5228</v>
      </c>
      <c r="M14" s="152">
        <v>8655</v>
      </c>
      <c r="N14" s="103">
        <v>10458</v>
      </c>
      <c r="O14" s="103">
        <v>1641</v>
      </c>
      <c r="P14" s="103">
        <v>5582</v>
      </c>
      <c r="Q14" s="103">
        <v>8669</v>
      </c>
      <c r="R14" s="103">
        <v>10616</v>
      </c>
      <c r="S14" s="104">
        <v>1628</v>
      </c>
      <c r="T14" s="104">
        <v>4490</v>
      </c>
      <c r="U14" s="104">
        <v>6244</v>
      </c>
      <c r="V14" s="104">
        <v>7468</v>
      </c>
      <c r="W14" s="105">
        <v>700</v>
      </c>
      <c r="X14" s="105">
        <v>1563</v>
      </c>
      <c r="Y14" s="105">
        <v>2839</v>
      </c>
      <c r="Z14" s="105">
        <v>3579</v>
      </c>
      <c r="AA14" s="104">
        <v>579</v>
      </c>
      <c r="AB14" s="104">
        <v>4132</v>
      </c>
      <c r="AC14" s="104">
        <v>5992</v>
      </c>
      <c r="AD14" s="104">
        <v>15776</v>
      </c>
      <c r="AE14" s="105">
        <v>2033</v>
      </c>
      <c r="AF14" s="105">
        <v>8005</v>
      </c>
      <c r="AG14" s="105">
        <v>9275</v>
      </c>
      <c r="AH14" s="105">
        <v>11096</v>
      </c>
    </row>
    <row r="15" spans="1:34" x14ac:dyDescent="0.2">
      <c r="A15" s="197" t="s">
        <v>16</v>
      </c>
      <c r="B15" s="197"/>
      <c r="C15" s="152">
        <v>-25454</v>
      </c>
      <c r="D15" s="152">
        <v>-40324</v>
      </c>
      <c r="E15" s="152">
        <v>-53744</v>
      </c>
      <c r="F15" s="152">
        <v>-68887</v>
      </c>
      <c r="G15" s="152">
        <v>17638</v>
      </c>
      <c r="H15" s="152">
        <v>-21042</v>
      </c>
      <c r="I15" s="152">
        <v>-29224</v>
      </c>
      <c r="J15" s="152">
        <v>-20107</v>
      </c>
      <c r="K15" s="152">
        <v>-47381</v>
      </c>
      <c r="L15" s="152">
        <v>-39496</v>
      </c>
      <c r="M15" s="152">
        <v>-72242</v>
      </c>
      <c r="N15" s="103">
        <v>-96064</v>
      </c>
      <c r="O15" s="103">
        <v>-32973</v>
      </c>
      <c r="P15" s="103">
        <v>-33598</v>
      </c>
      <c r="Q15" s="103">
        <v>-61885</v>
      </c>
      <c r="R15" s="103">
        <v>-120527</v>
      </c>
      <c r="S15" s="104">
        <v>-42292</v>
      </c>
      <c r="T15" s="104">
        <v>-67289</v>
      </c>
      <c r="U15" s="104">
        <v>-117949</v>
      </c>
      <c r="V15" s="104">
        <v>-143244</v>
      </c>
      <c r="W15" s="105">
        <v>-41261</v>
      </c>
      <c r="X15" s="105">
        <v>-57373</v>
      </c>
      <c r="Y15" s="105">
        <v>-95709</v>
      </c>
      <c r="Z15" s="105">
        <v>-127682</v>
      </c>
      <c r="AA15" s="104">
        <v>-42272</v>
      </c>
      <c r="AB15" s="104">
        <v>-79071</v>
      </c>
      <c r="AC15" s="104">
        <v>-94822</v>
      </c>
      <c r="AD15" s="104">
        <v>-108642</v>
      </c>
      <c r="AE15" s="105">
        <v>-35250</v>
      </c>
      <c r="AF15" s="105">
        <v>-74899</v>
      </c>
      <c r="AG15" s="105">
        <v>-169326</v>
      </c>
      <c r="AH15" s="105">
        <v>-230230</v>
      </c>
    </row>
    <row r="16" spans="1:34" s="18" customFormat="1" x14ac:dyDescent="0.2">
      <c r="A16" s="115"/>
      <c r="B16" s="116" t="s">
        <v>17</v>
      </c>
      <c r="C16" s="116">
        <f>C13+C14+C15</f>
        <v>1553995</v>
      </c>
      <c r="D16" s="116">
        <f>D13+D14+D15</f>
        <v>3064287</v>
      </c>
      <c r="E16" s="116">
        <f>E13+E14+E15</f>
        <v>4902047</v>
      </c>
      <c r="F16" s="116">
        <f>F13+F14+F15</f>
        <v>6466765</v>
      </c>
      <c r="G16" s="116">
        <f>G13+G14+G15</f>
        <v>9339794</v>
      </c>
      <c r="H16" s="116">
        <f t="shared" ref="H16:M16" si="12">H13+H14+H15</f>
        <v>3771928</v>
      </c>
      <c r="I16" s="116">
        <f t="shared" si="12"/>
        <v>5468624</v>
      </c>
      <c r="J16" s="116">
        <f t="shared" si="12"/>
        <v>7158808</v>
      </c>
      <c r="K16" s="116">
        <f t="shared" si="12"/>
        <v>1819691</v>
      </c>
      <c r="L16" s="116">
        <f t="shared" si="12"/>
        <v>3798988</v>
      </c>
      <c r="M16" s="116">
        <f t="shared" si="12"/>
        <v>5420548</v>
      </c>
      <c r="N16" s="100">
        <f>N13+SUM(N14:N15)</f>
        <v>7676722</v>
      </c>
      <c r="O16" s="100">
        <f t="shared" ref="O16:Q16" si="13">O13+SUM(O14:O15)</f>
        <v>2062208</v>
      </c>
      <c r="P16" s="100">
        <f t="shared" si="13"/>
        <v>3920766</v>
      </c>
      <c r="Q16" s="100">
        <f t="shared" si="13"/>
        <v>5598534</v>
      </c>
      <c r="R16" s="100">
        <f>R13+SUM(R14:R15)</f>
        <v>7829490</v>
      </c>
      <c r="S16" s="101">
        <f t="shared" ref="S16:U16" si="14">S13+SUM(S14:S15)</f>
        <v>2106168</v>
      </c>
      <c r="T16" s="101">
        <f t="shared" si="14"/>
        <v>4415325</v>
      </c>
      <c r="U16" s="101">
        <f t="shared" si="14"/>
        <v>6364301</v>
      </c>
      <c r="V16" s="101">
        <f>V13+SUM(V14:V15)</f>
        <v>8571885</v>
      </c>
      <c r="W16" s="102">
        <f t="shared" ref="W16:AD16" si="15">W13+SUM(W14:W15)</f>
        <v>2620169</v>
      </c>
      <c r="X16" s="102">
        <f t="shared" si="15"/>
        <v>4843370</v>
      </c>
      <c r="Y16" s="102">
        <f t="shared" si="15"/>
        <v>6992881</v>
      </c>
      <c r="Z16" s="102">
        <f t="shared" si="15"/>
        <v>9371661</v>
      </c>
      <c r="AA16" s="101">
        <f t="shared" si="15"/>
        <v>2467871</v>
      </c>
      <c r="AB16" s="101">
        <f t="shared" si="15"/>
        <v>4720901</v>
      </c>
      <c r="AC16" s="101">
        <f t="shared" ref="AC16" si="16">AC13+SUM(AC14:AC15)</f>
        <v>9768350</v>
      </c>
      <c r="AD16" s="101">
        <f t="shared" si="15"/>
        <v>12185764</v>
      </c>
      <c r="AE16" s="102">
        <f t="shared" ref="AE16:AH16" si="17">AE13+SUM(AE14:AE15)</f>
        <v>2330171</v>
      </c>
      <c r="AF16" s="102">
        <f t="shared" si="17"/>
        <v>4956345</v>
      </c>
      <c r="AG16" s="102">
        <f t="shared" si="17"/>
        <v>7366810</v>
      </c>
      <c r="AH16" s="102">
        <f t="shared" si="17"/>
        <v>9901772</v>
      </c>
    </row>
    <row r="17" spans="1:34" x14ac:dyDescent="0.2">
      <c r="A17" s="197" t="s">
        <v>18</v>
      </c>
      <c r="B17" s="197"/>
      <c r="C17" s="152">
        <v>-391309</v>
      </c>
      <c r="D17" s="152">
        <v>-734586</v>
      </c>
      <c r="E17" s="152">
        <v>-1248479</v>
      </c>
      <c r="F17" s="152">
        <v>-1627620</v>
      </c>
      <c r="G17" s="152">
        <v>482657</v>
      </c>
      <c r="H17" s="152">
        <v>-948038</v>
      </c>
      <c r="I17" s="152">
        <v>-1378125</v>
      </c>
      <c r="J17" s="152">
        <v>-1806183</v>
      </c>
      <c r="K17" s="152">
        <v>-458710</v>
      </c>
      <c r="L17" s="152">
        <v>-950997</v>
      </c>
      <c r="M17" s="152">
        <v>-1371619</v>
      </c>
      <c r="N17" s="103">
        <v>-1938199</v>
      </c>
      <c r="O17" s="103">
        <v>-470509</v>
      </c>
      <c r="P17" s="103">
        <v>-990126</v>
      </c>
      <c r="Q17" s="103">
        <v>-1415361</v>
      </c>
      <c r="R17" s="103">
        <v>-1977685</v>
      </c>
      <c r="S17" s="104">
        <v>-536128</v>
      </c>
      <c r="T17" s="104">
        <v>-1117018</v>
      </c>
      <c r="U17" s="104">
        <v>-1613750</v>
      </c>
      <c r="V17" s="104">
        <v>-2181213</v>
      </c>
      <c r="W17" s="105">
        <v>-659328</v>
      </c>
      <c r="X17" s="105">
        <v>-1219412</v>
      </c>
      <c r="Y17" s="105">
        <v>-1763481</v>
      </c>
      <c r="Z17" s="105">
        <v>-2367099</v>
      </c>
      <c r="AA17" s="104">
        <v>-628740</v>
      </c>
      <c r="AB17" s="104">
        <v>-1191032</v>
      </c>
      <c r="AC17" s="104">
        <v>-2464857</v>
      </c>
      <c r="AD17" s="104">
        <v>-3076319</v>
      </c>
      <c r="AE17" s="105">
        <v>-581651</v>
      </c>
      <c r="AF17" s="105">
        <v>-1259113</v>
      </c>
      <c r="AG17" s="105">
        <v>-1857207</v>
      </c>
      <c r="AH17" s="105">
        <v>-2508935</v>
      </c>
    </row>
    <row r="18" spans="1:34" s="20" customFormat="1" x14ac:dyDescent="0.2">
      <c r="A18" s="117"/>
      <c r="B18" s="118" t="s">
        <v>99</v>
      </c>
      <c r="C18" s="118">
        <f t="shared" ref="C18:N18" si="18">C16+C17</f>
        <v>1162686</v>
      </c>
      <c r="D18" s="118">
        <f t="shared" si="18"/>
        <v>2329701</v>
      </c>
      <c r="E18" s="118">
        <f t="shared" si="18"/>
        <v>3653568</v>
      </c>
      <c r="F18" s="118">
        <f t="shared" si="18"/>
        <v>4839145</v>
      </c>
      <c r="G18" s="118">
        <f t="shared" si="18"/>
        <v>9822451</v>
      </c>
      <c r="H18" s="118">
        <f t="shared" si="18"/>
        <v>2823890</v>
      </c>
      <c r="I18" s="118">
        <f t="shared" si="18"/>
        <v>4090499</v>
      </c>
      <c r="J18" s="118">
        <f t="shared" si="18"/>
        <v>5352625</v>
      </c>
      <c r="K18" s="118">
        <f t="shared" si="18"/>
        <v>1360981</v>
      </c>
      <c r="L18" s="118">
        <f t="shared" si="18"/>
        <v>2847991</v>
      </c>
      <c r="M18" s="118">
        <f t="shared" si="18"/>
        <v>4048929</v>
      </c>
      <c r="N18" s="106">
        <f t="shared" si="18"/>
        <v>5738523</v>
      </c>
      <c r="O18" s="106">
        <f t="shared" ref="O18:Q18" si="19">O16+O17</f>
        <v>1591699</v>
      </c>
      <c r="P18" s="106">
        <f t="shared" si="19"/>
        <v>2930640</v>
      </c>
      <c r="Q18" s="106">
        <f t="shared" si="19"/>
        <v>4183173</v>
      </c>
      <c r="R18" s="106">
        <f>R16+R17</f>
        <v>5851805</v>
      </c>
      <c r="S18" s="107">
        <f t="shared" ref="S18:U18" si="20">S16+S17</f>
        <v>1570040</v>
      </c>
      <c r="T18" s="107">
        <f t="shared" si="20"/>
        <v>3298307</v>
      </c>
      <c r="U18" s="107">
        <f t="shared" si="20"/>
        <v>4750551</v>
      </c>
      <c r="V18" s="107">
        <f>V16+V17</f>
        <v>6390672</v>
      </c>
      <c r="W18" s="108">
        <f t="shared" ref="W18:AD18" si="21">W16+W17</f>
        <v>1960841</v>
      </c>
      <c r="X18" s="108">
        <f t="shared" si="21"/>
        <v>3623958</v>
      </c>
      <c r="Y18" s="108">
        <f t="shared" si="21"/>
        <v>5229400</v>
      </c>
      <c r="Z18" s="108">
        <f t="shared" si="21"/>
        <v>7004562</v>
      </c>
      <c r="AA18" s="107">
        <f t="shared" si="21"/>
        <v>1839131</v>
      </c>
      <c r="AB18" s="107">
        <f t="shared" si="21"/>
        <v>3529869</v>
      </c>
      <c r="AC18" s="107">
        <f t="shared" ref="AC18" si="22">AC16+AC17</f>
        <v>7303493</v>
      </c>
      <c r="AD18" s="107">
        <f t="shared" si="21"/>
        <v>9109445</v>
      </c>
      <c r="AE18" s="108">
        <f t="shared" ref="AE18:AH18" si="23">AE16+AE17</f>
        <v>1748520</v>
      </c>
      <c r="AF18" s="108">
        <f t="shared" si="23"/>
        <v>3697232</v>
      </c>
      <c r="AG18" s="108">
        <f t="shared" si="23"/>
        <v>5509603</v>
      </c>
      <c r="AH18" s="108">
        <f t="shared" si="23"/>
        <v>7392837</v>
      </c>
    </row>
    <row r="19" spans="1:34" s="18" customFormat="1" x14ac:dyDescent="0.2">
      <c r="A19" s="198" t="s">
        <v>21</v>
      </c>
      <c r="B19" s="198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00"/>
      <c r="O19" s="100"/>
      <c r="P19" s="100"/>
      <c r="Q19" s="100"/>
      <c r="R19" s="100"/>
      <c r="S19" s="101"/>
      <c r="T19" s="101"/>
      <c r="U19" s="101"/>
      <c r="V19" s="101"/>
      <c r="W19" s="102"/>
      <c r="X19" s="102"/>
      <c r="Y19" s="102"/>
      <c r="Z19" s="102"/>
      <c r="AA19" s="101"/>
      <c r="AB19" s="101"/>
      <c r="AC19" s="101"/>
      <c r="AD19" s="101"/>
      <c r="AE19" s="102"/>
      <c r="AF19" s="102"/>
      <c r="AG19" s="102"/>
      <c r="AH19" s="102"/>
    </row>
    <row r="20" spans="1:34" x14ac:dyDescent="0.2">
      <c r="A20" s="197" t="s">
        <v>22</v>
      </c>
      <c r="B20" s="197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03"/>
      <c r="O20" s="103"/>
      <c r="P20" s="103"/>
      <c r="Q20" s="103"/>
      <c r="R20" s="103"/>
      <c r="S20" s="104"/>
      <c r="T20" s="104"/>
      <c r="U20" s="104"/>
      <c r="V20" s="104"/>
      <c r="W20" s="105"/>
      <c r="X20" s="105"/>
      <c r="Y20" s="105"/>
      <c r="Z20" s="105"/>
      <c r="AA20" s="104"/>
      <c r="AB20" s="104"/>
      <c r="AC20" s="104"/>
      <c r="AD20" s="104"/>
      <c r="AE20" s="105"/>
      <c r="AF20" s="105"/>
      <c r="AG20" s="105"/>
      <c r="AH20" s="105"/>
    </row>
    <row r="21" spans="1:34" ht="25.5" x14ac:dyDescent="0.2">
      <c r="A21" s="119"/>
      <c r="B21" s="120" t="s">
        <v>23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03">
        <v>0</v>
      </c>
      <c r="O21" s="103"/>
      <c r="P21" s="103"/>
      <c r="Q21" s="103"/>
      <c r="R21" s="103">
        <v>16775</v>
      </c>
      <c r="S21" s="104"/>
      <c r="T21" s="104"/>
      <c r="U21" s="104"/>
      <c r="V21" s="104">
        <v>-577554</v>
      </c>
      <c r="W21" s="105"/>
      <c r="X21" s="105">
        <v>116931</v>
      </c>
      <c r="Y21" s="105"/>
      <c r="Z21" s="105">
        <v>136981</v>
      </c>
      <c r="AA21" s="104"/>
      <c r="AB21" s="104">
        <v>215549</v>
      </c>
      <c r="AC21" s="104">
        <v>461891</v>
      </c>
      <c r="AD21" s="104">
        <v>369000</v>
      </c>
      <c r="AE21" s="105">
        <v>-97512</v>
      </c>
      <c r="AF21" s="105">
        <v>-119181</v>
      </c>
      <c r="AG21" s="105">
        <v>-119181</v>
      </c>
      <c r="AH21" s="105">
        <v>-403573</v>
      </c>
    </row>
    <row r="22" spans="1:34" ht="25.5" x14ac:dyDescent="0.2">
      <c r="A22" s="119"/>
      <c r="B22" s="120" t="s">
        <v>24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03">
        <v>0</v>
      </c>
      <c r="O22" s="103"/>
      <c r="P22" s="103"/>
      <c r="Q22" s="103"/>
      <c r="R22" s="103">
        <v>-4194</v>
      </c>
      <c r="S22" s="104"/>
      <c r="T22" s="104"/>
      <c r="U22" s="104"/>
      <c r="V22" s="104">
        <v>144389</v>
      </c>
      <c r="W22" s="105"/>
      <c r="X22" s="105">
        <v>-29233</v>
      </c>
      <c r="Y22" s="105"/>
      <c r="Z22" s="105">
        <v>-34223</v>
      </c>
      <c r="AA22" s="104"/>
      <c r="AB22" s="104">
        <v>-53887</v>
      </c>
      <c r="AC22" s="104">
        <v>-115473</v>
      </c>
      <c r="AD22" s="104">
        <v>-92250</v>
      </c>
      <c r="AE22" s="105">
        <v>24378</v>
      </c>
      <c r="AF22" s="105">
        <v>29795</v>
      </c>
      <c r="AG22" s="105">
        <v>29795</v>
      </c>
      <c r="AH22" s="105">
        <v>100893</v>
      </c>
    </row>
    <row r="23" spans="1:34" s="18" customFormat="1" x14ac:dyDescent="0.2">
      <c r="A23" s="198" t="s">
        <v>25</v>
      </c>
      <c r="B23" s="198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00">
        <f t="shared" ref="N23:Q23" si="24">N21+N22</f>
        <v>0</v>
      </c>
      <c r="O23" s="100">
        <f t="shared" si="24"/>
        <v>0</v>
      </c>
      <c r="P23" s="100">
        <f t="shared" si="24"/>
        <v>0</v>
      </c>
      <c r="Q23" s="100">
        <f t="shared" si="24"/>
        <v>0</v>
      </c>
      <c r="R23" s="100">
        <f>R21+R22</f>
        <v>12581</v>
      </c>
      <c r="S23" s="101">
        <f t="shared" ref="S23:W23" si="25">S21+S22</f>
        <v>0</v>
      </c>
      <c r="T23" s="101">
        <f t="shared" si="25"/>
        <v>0</v>
      </c>
      <c r="U23" s="101">
        <f t="shared" si="25"/>
        <v>0</v>
      </c>
      <c r="V23" s="101">
        <f t="shared" si="25"/>
        <v>-433165</v>
      </c>
      <c r="W23" s="102">
        <f t="shared" si="25"/>
        <v>0</v>
      </c>
      <c r="X23" s="102">
        <f t="shared" ref="X23" si="26">X21+X22</f>
        <v>87698</v>
      </c>
      <c r="Y23" s="102">
        <f t="shared" ref="Y23" si="27">Y21+Y22</f>
        <v>0</v>
      </c>
      <c r="Z23" s="102">
        <f t="shared" ref="Z23" si="28">Z21+Z22</f>
        <v>102758</v>
      </c>
      <c r="AA23" s="101">
        <f t="shared" ref="AA23:AB23" si="29">AA21+AA22</f>
        <v>0</v>
      </c>
      <c r="AB23" s="101">
        <f t="shared" si="29"/>
        <v>161662</v>
      </c>
      <c r="AC23" s="101">
        <f t="shared" ref="AC23" si="30">AC21+AC22</f>
        <v>346418</v>
      </c>
      <c r="AD23" s="101">
        <f t="shared" ref="AD23:AG23" si="31">AD21+AD22</f>
        <v>276750</v>
      </c>
      <c r="AE23" s="102">
        <f t="shared" si="31"/>
        <v>-73134</v>
      </c>
      <c r="AF23" s="102">
        <f t="shared" si="31"/>
        <v>-89386</v>
      </c>
      <c r="AG23" s="102">
        <f t="shared" si="31"/>
        <v>-89386</v>
      </c>
      <c r="AH23" s="102">
        <f t="shared" ref="AH23" si="32">AH21+AH22</f>
        <v>-302680</v>
      </c>
    </row>
    <row r="24" spans="1:34" s="18" customFormat="1" x14ac:dyDescent="0.2">
      <c r="A24" s="198" t="s">
        <v>26</v>
      </c>
      <c r="B24" s="198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00">
        <f>N18+N23</f>
        <v>5738523</v>
      </c>
      <c r="O24" s="100">
        <f>O18+O23</f>
        <v>1591699</v>
      </c>
      <c r="P24" s="100">
        <f>P18+P23</f>
        <v>2930640</v>
      </c>
      <c r="Q24" s="100">
        <f>Q18+Q23</f>
        <v>4183173</v>
      </c>
      <c r="R24" s="100">
        <f>R18+R23</f>
        <v>5864386</v>
      </c>
      <c r="S24" s="101">
        <f t="shared" ref="S24:AD24" si="33">S18+S23</f>
        <v>1570040</v>
      </c>
      <c r="T24" s="101">
        <f>T18+T23</f>
        <v>3298307</v>
      </c>
      <c r="U24" s="101">
        <f t="shared" si="33"/>
        <v>4750551</v>
      </c>
      <c r="V24" s="101">
        <f t="shared" si="33"/>
        <v>5957507</v>
      </c>
      <c r="W24" s="102">
        <f t="shared" si="33"/>
        <v>1960841</v>
      </c>
      <c r="X24" s="102">
        <f t="shared" si="33"/>
        <v>3711656</v>
      </c>
      <c r="Y24" s="102">
        <f t="shared" si="33"/>
        <v>5229400</v>
      </c>
      <c r="Z24" s="102">
        <f t="shared" si="33"/>
        <v>7107320</v>
      </c>
      <c r="AA24" s="101">
        <f t="shared" si="33"/>
        <v>1839131</v>
      </c>
      <c r="AB24" s="101">
        <f t="shared" si="33"/>
        <v>3691531</v>
      </c>
      <c r="AC24" s="101">
        <f t="shared" si="33"/>
        <v>7649911</v>
      </c>
      <c r="AD24" s="101">
        <f t="shared" si="33"/>
        <v>9386195</v>
      </c>
      <c r="AE24" s="102">
        <f t="shared" ref="AE24:AH24" si="34">AE18+AE23</f>
        <v>1675386</v>
      </c>
      <c r="AF24" s="102">
        <f t="shared" si="34"/>
        <v>3607846</v>
      </c>
      <c r="AG24" s="102">
        <f t="shared" si="34"/>
        <v>5420217</v>
      </c>
      <c r="AH24" s="102">
        <f t="shared" si="34"/>
        <v>7090157</v>
      </c>
    </row>
    <row r="25" spans="1:34" ht="30" customHeight="1" x14ac:dyDescent="0.2">
      <c r="A25" s="199" t="s">
        <v>29</v>
      </c>
      <c r="B25" s="199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03">
        <v>0</v>
      </c>
      <c r="O25" s="103">
        <v>0</v>
      </c>
      <c r="P25" s="103"/>
      <c r="Q25" s="103"/>
      <c r="R25" s="103">
        <v>0</v>
      </c>
      <c r="S25" s="104"/>
      <c r="T25" s="104"/>
      <c r="U25" s="104"/>
      <c r="V25" s="104">
        <v>0</v>
      </c>
      <c r="W25" s="105"/>
      <c r="X25" s="105"/>
      <c r="Y25" s="105"/>
      <c r="Z25" s="105">
        <v>10149844</v>
      </c>
      <c r="AA25" s="104">
        <v>2767809</v>
      </c>
      <c r="AB25" s="104"/>
      <c r="AC25" s="104"/>
      <c r="AD25" s="104">
        <v>13055881</v>
      </c>
      <c r="AE25" s="105">
        <v>2616307</v>
      </c>
      <c r="AF25" s="105">
        <v>5544420</v>
      </c>
      <c r="AG25" s="105">
        <v>8306346</v>
      </c>
      <c r="AH25" s="105">
        <v>11250251</v>
      </c>
    </row>
    <row r="26" spans="1:34" s="18" customFormat="1" x14ac:dyDescent="0.2">
      <c r="A26" s="198" t="s">
        <v>27</v>
      </c>
      <c r="B26" s="198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00"/>
      <c r="O26" s="100"/>
      <c r="P26" s="100"/>
      <c r="Q26" s="100"/>
      <c r="R26" s="100"/>
      <c r="S26" s="101"/>
      <c r="T26" s="101"/>
      <c r="U26" s="101"/>
      <c r="V26" s="101"/>
      <c r="W26" s="102"/>
      <c r="X26" s="102"/>
      <c r="Y26" s="102"/>
      <c r="Z26" s="102"/>
      <c r="AA26" s="101"/>
      <c r="AB26" s="101"/>
      <c r="AC26" s="101"/>
      <c r="AD26" s="101"/>
      <c r="AE26" s="102"/>
      <c r="AF26" s="102"/>
      <c r="AG26" s="102"/>
      <c r="AH26" s="102"/>
    </row>
    <row r="27" spans="1:34" s="181" customFormat="1" ht="25.5" x14ac:dyDescent="0.25">
      <c r="A27" s="152"/>
      <c r="B27" s="154" t="s">
        <v>28</v>
      </c>
      <c r="C27" s="152">
        <v>152</v>
      </c>
      <c r="D27" s="154">
        <v>305</v>
      </c>
      <c r="E27" s="154">
        <v>479</v>
      </c>
      <c r="F27" s="154">
        <v>634</v>
      </c>
      <c r="G27" s="154">
        <v>188</v>
      </c>
      <c r="H27" s="154">
        <v>370</v>
      </c>
      <c r="I27" s="154">
        <v>536</v>
      </c>
      <c r="J27" s="154">
        <v>701</v>
      </c>
      <c r="K27" s="154">
        <v>178</v>
      </c>
      <c r="L27" s="154">
        <v>373</v>
      </c>
      <c r="M27" s="154"/>
      <c r="N27" s="178">
        <v>752</v>
      </c>
      <c r="O27" s="178">
        <v>209</v>
      </c>
      <c r="P27" s="178">
        <v>384</v>
      </c>
      <c r="Q27" s="178">
        <v>548</v>
      </c>
      <c r="R27" s="178">
        <v>766</v>
      </c>
      <c r="S27" s="179">
        <v>206</v>
      </c>
      <c r="T27" s="179">
        <v>432</v>
      </c>
      <c r="U27" s="179">
        <v>623</v>
      </c>
      <c r="V27" s="179">
        <v>838</v>
      </c>
      <c r="W27" s="180">
        <v>257</v>
      </c>
      <c r="X27" s="180">
        <v>475</v>
      </c>
      <c r="Y27" s="180">
        <v>685</v>
      </c>
      <c r="Z27" s="180">
        <v>918</v>
      </c>
      <c r="AA27" s="179">
        <v>240</v>
      </c>
      <c r="AB27" s="179">
        <v>463</v>
      </c>
      <c r="AC27" s="179">
        <v>957</v>
      </c>
      <c r="AD27" s="179">
        <v>1194</v>
      </c>
      <c r="AE27" s="180">
        <v>229</v>
      </c>
      <c r="AF27" s="180">
        <v>485</v>
      </c>
      <c r="AG27" s="180">
        <v>722</v>
      </c>
      <c r="AH27" s="180">
        <v>1194</v>
      </c>
    </row>
    <row r="30" spans="1:34" s="21" customFormat="1" x14ac:dyDescent="0.2">
      <c r="A30" s="109" t="s">
        <v>41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94"/>
      <c r="O30" s="94"/>
      <c r="P30" s="94"/>
      <c r="Q30" s="94"/>
      <c r="R30" s="94"/>
      <c r="S30" s="86"/>
      <c r="T30" s="86"/>
      <c r="U30" s="86"/>
      <c r="V30" s="86"/>
      <c r="W30" s="81"/>
      <c r="X30" s="81"/>
      <c r="Y30" s="81"/>
      <c r="Z30" s="81"/>
      <c r="AA30" s="86"/>
      <c r="AB30" s="86"/>
      <c r="AC30" s="86"/>
      <c r="AD30" s="86"/>
      <c r="AE30" s="81"/>
      <c r="AF30" s="81"/>
      <c r="AG30" s="81"/>
      <c r="AH30" s="81"/>
    </row>
    <row r="31" spans="1:34" s="21" customFormat="1" x14ac:dyDescent="0.2">
      <c r="A31" s="109" t="s">
        <v>31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94"/>
      <c r="O31" s="94"/>
      <c r="P31" s="94"/>
      <c r="Q31" s="94"/>
      <c r="R31" s="94"/>
      <c r="S31" s="86"/>
      <c r="T31" s="86"/>
      <c r="U31" s="86"/>
      <c r="V31" s="86"/>
      <c r="W31" s="81"/>
      <c r="X31" s="81"/>
      <c r="Y31" s="81"/>
      <c r="Z31" s="81"/>
      <c r="AA31" s="86"/>
      <c r="AB31" s="86"/>
      <c r="AC31" s="86"/>
      <c r="AD31" s="86"/>
      <c r="AE31" s="81"/>
      <c r="AF31" s="81"/>
      <c r="AG31" s="81"/>
      <c r="AH31" s="81"/>
    </row>
    <row r="32" spans="1:34" x14ac:dyDescent="0.2">
      <c r="A32" s="111" t="s">
        <v>43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95"/>
      <c r="O32" s="95"/>
      <c r="P32" s="95"/>
      <c r="Q32" s="95"/>
      <c r="R32" s="95"/>
      <c r="S32" s="87"/>
      <c r="T32" s="87"/>
      <c r="U32" s="87"/>
      <c r="V32" s="87"/>
      <c r="W32" s="82"/>
      <c r="X32" s="82"/>
      <c r="Y32" s="82"/>
      <c r="Z32" s="82"/>
      <c r="AA32" s="87"/>
      <c r="AB32" s="87"/>
      <c r="AC32" s="87"/>
      <c r="AD32" s="87"/>
      <c r="AE32" s="82"/>
      <c r="AF32" s="82"/>
      <c r="AG32" s="82"/>
      <c r="AH32" s="82"/>
    </row>
    <row r="33" spans="1:34" s="17" customFormat="1" x14ac:dyDescent="0.2">
      <c r="A33" s="113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96" t="s">
        <v>2</v>
      </c>
      <c r="O33" s="96" t="s">
        <v>62</v>
      </c>
      <c r="P33" s="96" t="s">
        <v>63</v>
      </c>
      <c r="Q33" s="96" t="s">
        <v>64</v>
      </c>
      <c r="R33" s="96" t="s">
        <v>3</v>
      </c>
      <c r="S33" s="88" t="s">
        <v>62</v>
      </c>
      <c r="T33" s="88" t="s">
        <v>63</v>
      </c>
      <c r="U33" s="88" t="s">
        <v>64</v>
      </c>
      <c r="V33" s="88" t="s">
        <v>4</v>
      </c>
      <c r="W33" s="83" t="s">
        <v>62</v>
      </c>
      <c r="X33" s="83" t="s">
        <v>63</v>
      </c>
      <c r="Y33" s="83" t="s">
        <v>64</v>
      </c>
      <c r="Z33" s="83" t="s">
        <v>5</v>
      </c>
      <c r="AA33" s="88" t="s">
        <v>62</v>
      </c>
      <c r="AB33" s="88" t="s">
        <v>63</v>
      </c>
      <c r="AC33" s="88" t="s">
        <v>64</v>
      </c>
      <c r="AD33" s="88" t="s">
        <v>82</v>
      </c>
      <c r="AE33" s="83" t="s">
        <v>62</v>
      </c>
      <c r="AF33" s="83" t="s">
        <v>63</v>
      </c>
      <c r="AG33" s="83" t="s">
        <v>64</v>
      </c>
      <c r="AH33" s="83" t="s">
        <v>86</v>
      </c>
    </row>
    <row r="34" spans="1:34" x14ac:dyDescent="0.2">
      <c r="A34" s="196" t="s">
        <v>9</v>
      </c>
      <c r="B34" s="196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97">
        <v>434747101600</v>
      </c>
      <c r="O34" s="97">
        <v>98680898523</v>
      </c>
      <c r="P34" s="97">
        <v>222888408040</v>
      </c>
      <c r="Q34" s="97">
        <v>319691913221</v>
      </c>
      <c r="R34" s="97">
        <v>428092732505</v>
      </c>
      <c r="S34" s="89">
        <v>81444408353</v>
      </c>
      <c r="T34" s="89">
        <v>178154788279</v>
      </c>
      <c r="U34" s="89">
        <v>259963410738</v>
      </c>
      <c r="V34" s="89">
        <v>344361345265</v>
      </c>
      <c r="W34" s="84">
        <v>82302250364</v>
      </c>
      <c r="X34" s="84">
        <v>145074401280</v>
      </c>
      <c r="Y34" s="84">
        <v>236177229699</v>
      </c>
      <c r="Z34" s="84">
        <v>344678666245</v>
      </c>
      <c r="AA34" s="89">
        <v>82630145750</v>
      </c>
      <c r="AB34" s="89">
        <v>160613825387</v>
      </c>
      <c r="AC34" s="89">
        <v>238578130573</v>
      </c>
      <c r="AD34" s="89">
        <v>300572751733</v>
      </c>
      <c r="AE34" s="84">
        <v>63018400065</v>
      </c>
      <c r="AF34" s="84">
        <v>138150223920</v>
      </c>
      <c r="AG34" s="84">
        <v>222375333219</v>
      </c>
      <c r="AH34" s="84">
        <v>0</v>
      </c>
    </row>
    <row r="35" spans="1:34" x14ac:dyDescent="0.2">
      <c r="A35" s="196" t="s">
        <v>10</v>
      </c>
      <c r="B35" s="196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97">
        <v>-187750245429</v>
      </c>
      <c r="O35" s="97">
        <v>-41593998727</v>
      </c>
      <c r="P35" s="97">
        <v>-92826121226</v>
      </c>
      <c r="Q35" s="97">
        <v>-139900536621</v>
      </c>
      <c r="R35" s="97">
        <v>-181547126367</v>
      </c>
      <c r="S35" s="89">
        <v>-35639369206</v>
      </c>
      <c r="T35" s="89">
        <v>-70398022461</v>
      </c>
      <c r="U35" s="89">
        <v>-112187040892</v>
      </c>
      <c r="V35" s="89">
        <v>-142263034669</v>
      </c>
      <c r="W35" s="84">
        <v>-35084214741</v>
      </c>
      <c r="X35" s="84">
        <v>-60931398675</v>
      </c>
      <c r="Y35" s="84">
        <v>-99194290600</v>
      </c>
      <c r="Z35" s="84">
        <v>-145109272647</v>
      </c>
      <c r="AA35" s="89">
        <v>-35684250212</v>
      </c>
      <c r="AB35" s="89">
        <v>-68840495942</v>
      </c>
      <c r="AC35" s="89">
        <v>-100731811279</v>
      </c>
      <c r="AD35" s="89">
        <v>-126237236215</v>
      </c>
      <c r="AE35" s="84">
        <v>-26345750432</v>
      </c>
      <c r="AF35" s="84">
        <v>-58830660368</v>
      </c>
      <c r="AG35" s="84">
        <v>-93746098589</v>
      </c>
      <c r="AH35" s="84">
        <v>0</v>
      </c>
    </row>
    <row r="36" spans="1:34" x14ac:dyDescent="0.2">
      <c r="A36" s="121"/>
      <c r="B36" s="112" t="s">
        <v>11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95">
        <f t="shared" ref="N36:AH36" si="35">N34+N35</f>
        <v>246996856171</v>
      </c>
      <c r="O36" s="95">
        <f t="shared" si="35"/>
        <v>57086899796</v>
      </c>
      <c r="P36" s="95">
        <f t="shared" si="35"/>
        <v>130062286814</v>
      </c>
      <c r="Q36" s="95">
        <f t="shared" si="35"/>
        <v>179791376600</v>
      </c>
      <c r="R36" s="95">
        <f t="shared" si="35"/>
        <v>246545606138</v>
      </c>
      <c r="S36" s="87">
        <f t="shared" si="35"/>
        <v>45805039147</v>
      </c>
      <c r="T36" s="87">
        <f t="shared" si="35"/>
        <v>107756765818</v>
      </c>
      <c r="U36" s="87">
        <f t="shared" si="35"/>
        <v>147776369846</v>
      </c>
      <c r="V36" s="87">
        <f t="shared" si="35"/>
        <v>202098310596</v>
      </c>
      <c r="W36" s="82">
        <f t="shared" si="35"/>
        <v>47218035623</v>
      </c>
      <c r="X36" s="82">
        <f t="shared" si="35"/>
        <v>84143002605</v>
      </c>
      <c r="Y36" s="82">
        <f t="shared" si="35"/>
        <v>136982939099</v>
      </c>
      <c r="Z36" s="82">
        <f t="shared" si="35"/>
        <v>199569393598</v>
      </c>
      <c r="AA36" s="87">
        <f t="shared" si="35"/>
        <v>46945895538</v>
      </c>
      <c r="AB36" s="87">
        <f t="shared" si="35"/>
        <v>91773329445</v>
      </c>
      <c r="AC36" s="87">
        <f t="shared" si="35"/>
        <v>137846319294</v>
      </c>
      <c r="AD36" s="87">
        <f t="shared" si="35"/>
        <v>174335515518</v>
      </c>
      <c r="AE36" s="82">
        <f t="shared" si="35"/>
        <v>36672649633</v>
      </c>
      <c r="AF36" s="82">
        <f t="shared" si="35"/>
        <v>79319563552</v>
      </c>
      <c r="AG36" s="82">
        <f t="shared" si="35"/>
        <v>128629234630</v>
      </c>
      <c r="AH36" s="82">
        <f t="shared" si="35"/>
        <v>0</v>
      </c>
    </row>
    <row r="37" spans="1:34" x14ac:dyDescent="0.2">
      <c r="A37" s="196" t="s">
        <v>12</v>
      </c>
      <c r="B37" s="196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97">
        <v>-187666642049</v>
      </c>
      <c r="O37" s="97">
        <v>-45819657662</v>
      </c>
      <c r="P37" s="97">
        <v>-101045204830</v>
      </c>
      <c r="Q37" s="97">
        <v>-136778636164</v>
      </c>
      <c r="R37" s="97">
        <v>-190379660433</v>
      </c>
      <c r="S37" s="89">
        <v>-34362308805</v>
      </c>
      <c r="T37" s="89">
        <v>-82902515235</v>
      </c>
      <c r="U37" s="89">
        <v>-117728714743</v>
      </c>
      <c r="V37" s="89">
        <v>-154870187331</v>
      </c>
      <c r="W37" s="84">
        <v>-35242250271</v>
      </c>
      <c r="X37" s="84">
        <v>-61057055959</v>
      </c>
      <c r="Y37" s="84">
        <v>-101253058921</v>
      </c>
      <c r="Z37" s="84">
        <v>-149895559375</v>
      </c>
      <c r="AA37" s="89">
        <v>-33352060067</v>
      </c>
      <c r="AB37" s="89">
        <v>-67134837567</v>
      </c>
      <c r="AC37" s="89">
        <v>-103553795182</v>
      </c>
      <c r="AD37" s="89">
        <v>-121854966846</v>
      </c>
      <c r="AE37" s="84">
        <v>-27478991269</v>
      </c>
      <c r="AF37" s="84">
        <v>-55259245706</v>
      </c>
      <c r="AG37" s="84">
        <v>-92868844596</v>
      </c>
      <c r="AH37" s="84">
        <v>0</v>
      </c>
    </row>
    <row r="38" spans="1:34" x14ac:dyDescent="0.2">
      <c r="A38" s="196" t="s">
        <v>13</v>
      </c>
      <c r="B38" s="196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97">
        <v>-41469242951</v>
      </c>
      <c r="O38" s="97">
        <v>-8896046511</v>
      </c>
      <c r="P38" s="97">
        <v>-21779137229</v>
      </c>
      <c r="Q38" s="97">
        <v>-34443025264</v>
      </c>
      <c r="R38" s="97">
        <v>-46045824750</v>
      </c>
      <c r="S38" s="89">
        <v>-9496682239</v>
      </c>
      <c r="T38" s="89">
        <v>-22038150632</v>
      </c>
      <c r="U38" s="89">
        <v>-33633236362</v>
      </c>
      <c r="V38" s="89">
        <v>-45750235747</v>
      </c>
      <c r="W38" s="84">
        <v>-10038941129</v>
      </c>
      <c r="X38" s="84">
        <v>-19632323192</v>
      </c>
      <c r="Y38" s="84">
        <v>-30529542273</v>
      </c>
      <c r="Z38" s="84">
        <v>-43984434952</v>
      </c>
      <c r="AA38" s="89">
        <v>-10803866456</v>
      </c>
      <c r="AB38" s="89">
        <v>-19032891678</v>
      </c>
      <c r="AC38" s="89">
        <v>-29114899755</v>
      </c>
      <c r="AD38" s="89">
        <v>-43793006242</v>
      </c>
      <c r="AE38" s="84">
        <v>-9811145002</v>
      </c>
      <c r="AF38" s="84">
        <v>-17588833649</v>
      </c>
      <c r="AG38" s="84">
        <v>-26721567959</v>
      </c>
      <c r="AH38" s="84">
        <v>0</v>
      </c>
    </row>
    <row r="39" spans="1:34" x14ac:dyDescent="0.2">
      <c r="A39" s="196" t="s">
        <v>89</v>
      </c>
      <c r="B39" s="196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97">
        <v>0</v>
      </c>
      <c r="O39" s="97">
        <v>403103088</v>
      </c>
      <c r="P39" s="97">
        <v>945296038</v>
      </c>
      <c r="Q39" s="97">
        <v>2617202506</v>
      </c>
      <c r="R39" s="97">
        <v>0</v>
      </c>
      <c r="S39" s="89">
        <v>-1342525401</v>
      </c>
      <c r="T39" s="89">
        <v>-1545244483</v>
      </c>
      <c r="U39" s="89">
        <v>-1818508802</v>
      </c>
      <c r="V39" s="89">
        <v>0</v>
      </c>
      <c r="W39" s="84">
        <v>-345004520</v>
      </c>
      <c r="X39" s="84">
        <v>-338407672</v>
      </c>
      <c r="Y39" s="84">
        <v>-242467702</v>
      </c>
      <c r="AA39" s="89">
        <v>153412544</v>
      </c>
      <c r="AB39" s="89">
        <v>274451558</v>
      </c>
      <c r="AC39" s="89">
        <v>704364312</v>
      </c>
      <c r="AD39" s="89">
        <v>2293299533</v>
      </c>
      <c r="AE39" s="84">
        <v>-163945947</v>
      </c>
      <c r="AF39" s="84">
        <v>-169733970</v>
      </c>
      <c r="AG39" s="84">
        <v>-184047512</v>
      </c>
    </row>
    <row r="40" spans="1:34" x14ac:dyDescent="0.2">
      <c r="A40" s="196" t="s">
        <v>90</v>
      </c>
      <c r="B40" s="196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97">
        <f>-648323373-5475379430</f>
        <v>-6123702803</v>
      </c>
      <c r="O40" s="97">
        <v>-186767220</v>
      </c>
      <c r="P40" s="97">
        <v>-600210486</v>
      </c>
      <c r="Q40" s="97">
        <v>-2324916550</v>
      </c>
      <c r="R40" s="97">
        <f>-266342637-4615022538</f>
        <v>-4881365175</v>
      </c>
      <c r="S40" s="89">
        <v>409937922</v>
      </c>
      <c r="T40" s="89">
        <v>666300239</v>
      </c>
      <c r="U40" s="89">
        <v>792763767</v>
      </c>
      <c r="V40" s="89">
        <f>-1309954850-167759452</f>
        <v>-1477714302</v>
      </c>
      <c r="W40" s="84">
        <v>119936345</v>
      </c>
      <c r="X40" s="84">
        <v>158922680</v>
      </c>
      <c r="Y40" s="84">
        <v>387558795</v>
      </c>
      <c r="Z40" s="84">
        <f>1834023590-3878361119</f>
        <v>-2044337529</v>
      </c>
      <c r="AA40" s="89">
        <v>-433656233</v>
      </c>
      <c r="AB40" s="89">
        <v>-759800361</v>
      </c>
      <c r="AC40" s="89">
        <v>356787352</v>
      </c>
      <c r="AD40" s="89">
        <v>-3391029312</v>
      </c>
      <c r="AE40" s="84">
        <v>-235400927</v>
      </c>
      <c r="AF40" s="84">
        <v>-117849775</v>
      </c>
      <c r="AG40" s="84">
        <v>330100059</v>
      </c>
      <c r="AH40" s="84">
        <v>0</v>
      </c>
    </row>
    <row r="41" spans="1:34" x14ac:dyDescent="0.2">
      <c r="A41" s="121"/>
      <c r="B41" s="112" t="s">
        <v>14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95">
        <f t="shared" ref="N41:Z41" si="36">N36+N37+N38+N39+N40</f>
        <v>11737268368</v>
      </c>
      <c r="O41" s="95">
        <f t="shared" si="36"/>
        <v>2587531491</v>
      </c>
      <c r="P41" s="95">
        <f t="shared" si="36"/>
        <v>7583030307</v>
      </c>
      <c r="Q41" s="95">
        <f t="shared" si="36"/>
        <v>8862001128</v>
      </c>
      <c r="R41" s="95">
        <f t="shared" si="36"/>
        <v>5238755780</v>
      </c>
      <c r="S41" s="87">
        <f t="shared" si="36"/>
        <v>1013460624</v>
      </c>
      <c r="T41" s="87">
        <f t="shared" si="36"/>
        <v>1937155707</v>
      </c>
      <c r="U41" s="87">
        <f t="shared" si="36"/>
        <v>-4611326294</v>
      </c>
      <c r="V41" s="87">
        <f t="shared" si="36"/>
        <v>173216</v>
      </c>
      <c r="W41" s="82">
        <f t="shared" si="36"/>
        <v>1711776048</v>
      </c>
      <c r="X41" s="82">
        <f t="shared" si="36"/>
        <v>3274138462</v>
      </c>
      <c r="Y41" s="82">
        <f t="shared" si="36"/>
        <v>5345428998</v>
      </c>
      <c r="Z41" s="82">
        <f t="shared" si="36"/>
        <v>3645061742</v>
      </c>
      <c r="AA41" s="87">
        <f t="shared" ref="AA41:AC41" si="37">AA36+AA37+AA38+AA39+AA40</f>
        <v>2509725326</v>
      </c>
      <c r="AB41" s="87">
        <f t="shared" si="37"/>
        <v>5120251397</v>
      </c>
      <c r="AC41" s="87">
        <f t="shared" si="37"/>
        <v>6238776021</v>
      </c>
      <c r="AD41" s="87">
        <f>AD36+AD37+AD38+AD39+AD40</f>
        <v>7589812651</v>
      </c>
      <c r="AE41" s="82">
        <f>AE36+AE37+AE38+AE39+AE40</f>
        <v>-1016833512</v>
      </c>
      <c r="AF41" s="82">
        <f>AF36+AF37+AF38+AF39+AF40</f>
        <v>6183900452</v>
      </c>
      <c r="AG41" s="82">
        <f>AG36+AG37+AG38+AG39+AG40</f>
        <v>9184874622</v>
      </c>
      <c r="AH41" s="82">
        <f>AH36+AH37+AH38+AH39+AH40</f>
        <v>0</v>
      </c>
    </row>
    <row r="42" spans="1:34" x14ac:dyDescent="0.2">
      <c r="A42" s="196" t="s">
        <v>15</v>
      </c>
      <c r="B42" s="196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97">
        <v>991753907</v>
      </c>
      <c r="O42" s="97">
        <v>99344940</v>
      </c>
      <c r="P42" s="97">
        <v>311437089</v>
      </c>
      <c r="Q42" s="97">
        <v>448370118</v>
      </c>
      <c r="R42" s="97">
        <v>682631942</v>
      </c>
      <c r="S42" s="89">
        <v>178380797</v>
      </c>
      <c r="T42" s="89">
        <v>360143545</v>
      </c>
      <c r="U42" s="89">
        <v>509718956</v>
      </c>
      <c r="V42" s="89">
        <v>664733259</v>
      </c>
      <c r="W42" s="84">
        <v>163550982</v>
      </c>
      <c r="X42" s="84">
        <v>313841769</v>
      </c>
      <c r="Y42" s="84">
        <v>458239014</v>
      </c>
      <c r="Z42" s="84">
        <v>-5568603458</v>
      </c>
      <c r="AA42" s="89">
        <v>99127695</v>
      </c>
      <c r="AB42" s="89">
        <v>481077550</v>
      </c>
      <c r="AC42" s="89">
        <v>559285771</v>
      </c>
      <c r="AD42" s="89">
        <v>-6507057142</v>
      </c>
      <c r="AE42" s="84">
        <v>65288871</v>
      </c>
      <c r="AF42" s="84">
        <v>95317660</v>
      </c>
      <c r="AG42" s="84">
        <v>124840130</v>
      </c>
      <c r="AH42" s="84">
        <v>0</v>
      </c>
    </row>
    <row r="43" spans="1:34" x14ac:dyDescent="0.2">
      <c r="A43" s="196" t="s">
        <v>16</v>
      </c>
      <c r="B43" s="196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97">
        <v>-2688038171</v>
      </c>
      <c r="O43" s="97">
        <v>-693708771</v>
      </c>
      <c r="P43" s="97">
        <v>-1675405887</v>
      </c>
      <c r="Q43" s="97">
        <v>-2793253820</v>
      </c>
      <c r="R43" s="97">
        <v>-3665411293</v>
      </c>
      <c r="S43" s="89">
        <v>-831051129</v>
      </c>
      <c r="T43" s="89">
        <v>-1781018710</v>
      </c>
      <c r="U43" s="89">
        <v>-3345144178</v>
      </c>
      <c r="V43" s="89">
        <v>-4747208360</v>
      </c>
      <c r="W43" s="84">
        <v>-1044200515</v>
      </c>
      <c r="X43" s="84">
        <v>-2224777382</v>
      </c>
      <c r="Y43" s="84">
        <v>-4057844688</v>
      </c>
      <c r="Z43" s="84">
        <v>567970732</v>
      </c>
      <c r="AA43" s="89">
        <v>-1522670590</v>
      </c>
      <c r="AB43" s="89">
        <v>-3323084979</v>
      </c>
      <c r="AC43" s="89">
        <v>-5209012661</v>
      </c>
      <c r="AD43" s="89">
        <v>794345026</v>
      </c>
      <c r="AE43" s="84">
        <v>-1592065805</v>
      </c>
      <c r="AF43" s="84">
        <f>-3196763651</f>
        <v>-3196763651</v>
      </c>
      <c r="AG43" s="84">
        <v>-5180520436</v>
      </c>
      <c r="AH43" s="84">
        <v>0</v>
      </c>
    </row>
    <row r="44" spans="1:34" x14ac:dyDescent="0.2">
      <c r="A44" s="121"/>
      <c r="B44" s="112" t="s">
        <v>17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95">
        <f>N41+N42+N43</f>
        <v>10040984104</v>
      </c>
      <c r="O44" s="95">
        <f>O41+O42+O43</f>
        <v>1993167660</v>
      </c>
      <c r="P44" s="95">
        <f>P41+P42+P43</f>
        <v>6219061509</v>
      </c>
      <c r="Q44" s="95">
        <f>Q41+Q42+Q43</f>
        <v>6517117426</v>
      </c>
      <c r="R44" s="95">
        <f>R41+R42+R43</f>
        <v>2255976429</v>
      </c>
      <c r="S44" s="87">
        <f>S41+(S42+S43)</f>
        <v>360790292</v>
      </c>
      <c r="T44" s="87">
        <f>T41+(T42+T43)</f>
        <v>516280542</v>
      </c>
      <c r="U44" s="87">
        <f>U41+(U42+U43)</f>
        <v>-7446751516</v>
      </c>
      <c r="V44" s="87">
        <f>V41+(V42+V43)</f>
        <v>-4082301885</v>
      </c>
      <c r="W44" s="82">
        <f>W41+W42+W43</f>
        <v>831126515</v>
      </c>
      <c r="X44" s="82">
        <f>X41+X42+X43</f>
        <v>1363202849</v>
      </c>
      <c r="Y44" s="82">
        <f>Y41+Y42+Y43</f>
        <v>1745823324</v>
      </c>
      <c r="Z44" s="82">
        <f>Z41+Z42+Z43</f>
        <v>-1355570984</v>
      </c>
      <c r="AA44" s="87">
        <f t="shared" ref="AA44:AB44" si="38">AA41+AA42+AA43</f>
        <v>1086182431</v>
      </c>
      <c r="AB44" s="87">
        <f t="shared" si="38"/>
        <v>2278243968</v>
      </c>
      <c r="AC44" s="87">
        <f t="shared" ref="AC44:AH44" si="39">AC41+AC42+AC43</f>
        <v>1589049131</v>
      </c>
      <c r="AD44" s="87">
        <f t="shared" si="39"/>
        <v>1877100535</v>
      </c>
      <c r="AE44" s="82">
        <f t="shared" si="39"/>
        <v>-2543610446</v>
      </c>
      <c r="AF44" s="82">
        <f t="shared" si="39"/>
        <v>3082454461</v>
      </c>
      <c r="AG44" s="82">
        <f t="shared" si="39"/>
        <v>4129194316</v>
      </c>
      <c r="AH44" s="82">
        <f t="shared" si="39"/>
        <v>0</v>
      </c>
    </row>
    <row r="45" spans="1:34" x14ac:dyDescent="0.2">
      <c r="A45" s="196" t="s">
        <v>18</v>
      </c>
      <c r="B45" s="196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97">
        <v>-2669010262</v>
      </c>
      <c r="O45" s="97">
        <v>-413406089</v>
      </c>
      <c r="P45" s="97">
        <v>-1617932661</v>
      </c>
      <c r="Q45" s="97">
        <v>-1287500252</v>
      </c>
      <c r="R45" s="97">
        <v>-1209986118</v>
      </c>
      <c r="S45" s="89">
        <v>-88597956</v>
      </c>
      <c r="T45" s="89">
        <v>-26246742</v>
      </c>
      <c r="U45" s="89">
        <v>1840455172</v>
      </c>
      <c r="V45" s="89">
        <v>-1467163793</v>
      </c>
      <c r="W45" s="84">
        <v>-391163710</v>
      </c>
      <c r="X45" s="84">
        <v>-484192283</v>
      </c>
      <c r="Y45" s="84">
        <v>-249375506</v>
      </c>
      <c r="Z45" s="84">
        <v>72238875</v>
      </c>
      <c r="AA45" s="89">
        <v>-401922642</v>
      </c>
      <c r="AB45" s="89">
        <v>-1236914956</v>
      </c>
      <c r="AC45" s="89">
        <v>-799415487</v>
      </c>
      <c r="AD45" s="89">
        <v>-4133577032</v>
      </c>
      <c r="AE45" s="84">
        <v>53094529</v>
      </c>
      <c r="AF45" s="84">
        <v>-794337378</v>
      </c>
      <c r="AG45" s="84">
        <v>1822890445</v>
      </c>
      <c r="AH45" s="84">
        <v>0</v>
      </c>
    </row>
    <row r="46" spans="1:34" s="22" customFormat="1" x14ac:dyDescent="0.2">
      <c r="A46" s="122"/>
      <c r="B46" s="123" t="s">
        <v>88</v>
      </c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98">
        <f t="shared" ref="N46:Z46" si="40">N44+N45</f>
        <v>7371973842</v>
      </c>
      <c r="O46" s="98">
        <f t="shared" si="40"/>
        <v>1579761571</v>
      </c>
      <c r="P46" s="98">
        <f t="shared" si="40"/>
        <v>4601128848</v>
      </c>
      <c r="Q46" s="98">
        <f t="shared" si="40"/>
        <v>5229617174</v>
      </c>
      <c r="R46" s="98">
        <f t="shared" si="40"/>
        <v>1045990311</v>
      </c>
      <c r="S46" s="90">
        <f t="shared" si="40"/>
        <v>272192336</v>
      </c>
      <c r="T46" s="90">
        <f t="shared" si="40"/>
        <v>490033800</v>
      </c>
      <c r="U46" s="90">
        <f t="shared" si="40"/>
        <v>-5606296344</v>
      </c>
      <c r="V46" s="90">
        <f t="shared" si="40"/>
        <v>-5549465678</v>
      </c>
      <c r="W46" s="85">
        <f t="shared" si="40"/>
        <v>439962805</v>
      </c>
      <c r="X46" s="85">
        <f t="shared" si="40"/>
        <v>879010566</v>
      </c>
      <c r="Y46" s="85">
        <f t="shared" si="40"/>
        <v>1496447818</v>
      </c>
      <c r="Z46" s="85">
        <f t="shared" si="40"/>
        <v>-1283332109</v>
      </c>
      <c r="AA46" s="90">
        <f t="shared" ref="AA46:AC46" si="41">AA44+AA45</f>
        <v>684259789</v>
      </c>
      <c r="AB46" s="90">
        <f t="shared" si="41"/>
        <v>1041329012</v>
      </c>
      <c r="AC46" s="90">
        <f t="shared" si="41"/>
        <v>789633644</v>
      </c>
      <c r="AD46" s="90">
        <f>AD44+AD45</f>
        <v>-2256476497</v>
      </c>
      <c r="AE46" s="85">
        <f>AE44+AE45</f>
        <v>-2490515917</v>
      </c>
      <c r="AF46" s="85">
        <f>AF44+AF45</f>
        <v>2288117083</v>
      </c>
      <c r="AG46" s="85">
        <f>AG44+AG45</f>
        <v>5952084761</v>
      </c>
      <c r="AH46" s="85">
        <f>AH44+AH45</f>
        <v>0</v>
      </c>
    </row>
    <row r="47" spans="1:34" x14ac:dyDescent="0.2">
      <c r="A47" s="200" t="s">
        <v>21</v>
      </c>
      <c r="B47" s="200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95"/>
      <c r="O47" s="95"/>
      <c r="P47" s="95"/>
      <c r="Q47" s="95"/>
      <c r="R47" s="95"/>
      <c r="S47" s="87"/>
      <c r="T47" s="87"/>
      <c r="U47" s="87"/>
      <c r="V47" s="87"/>
      <c r="W47" s="82"/>
      <c r="X47" s="82"/>
      <c r="Y47" s="82"/>
      <c r="Z47" s="82"/>
      <c r="AA47" s="87"/>
      <c r="AB47" s="87"/>
      <c r="AC47" s="87"/>
      <c r="AD47" s="87"/>
      <c r="AE47" s="82"/>
      <c r="AF47" s="82"/>
      <c r="AG47" s="82"/>
      <c r="AH47" s="82"/>
    </row>
    <row r="48" spans="1:34" x14ac:dyDescent="0.2">
      <c r="A48" s="196" t="s">
        <v>22</v>
      </c>
      <c r="B48" s="196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</row>
    <row r="49" spans="1:34" ht="25.5" x14ac:dyDescent="0.2">
      <c r="B49" s="125" t="s">
        <v>23</v>
      </c>
      <c r="N49" s="97">
        <v>0</v>
      </c>
      <c r="R49" s="97">
        <v>0</v>
      </c>
      <c r="V49" s="89">
        <v>0</v>
      </c>
      <c r="Z49" s="84">
        <v>0</v>
      </c>
      <c r="AD49" s="89">
        <v>0</v>
      </c>
      <c r="AH49" s="84">
        <v>0</v>
      </c>
    </row>
    <row r="50" spans="1:34" ht="25.5" x14ac:dyDescent="0.2">
      <c r="B50" s="125" t="s">
        <v>24</v>
      </c>
      <c r="N50" s="97">
        <v>0</v>
      </c>
      <c r="R50" s="97">
        <v>0</v>
      </c>
      <c r="V50" s="89">
        <v>0</v>
      </c>
      <c r="Z50" s="84">
        <v>0</v>
      </c>
      <c r="AD50" s="89">
        <v>0</v>
      </c>
      <c r="AH50" s="84">
        <v>0</v>
      </c>
    </row>
    <row r="51" spans="1:34" x14ac:dyDescent="0.2">
      <c r="A51" s="200" t="s">
        <v>25</v>
      </c>
      <c r="B51" s="200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95">
        <f>N49+N50</f>
        <v>0</v>
      </c>
      <c r="O51" s="95"/>
      <c r="P51" s="95"/>
      <c r="Q51" s="95"/>
      <c r="R51" s="95">
        <f>R49+R50</f>
        <v>0</v>
      </c>
      <c r="S51" s="87"/>
      <c r="T51" s="87"/>
      <c r="U51" s="87"/>
      <c r="V51" s="87">
        <f t="shared" ref="V51:AD51" si="42">V49+V50</f>
        <v>0</v>
      </c>
      <c r="W51" s="82"/>
      <c r="X51" s="82"/>
      <c r="Y51" s="82"/>
      <c r="Z51" s="82">
        <f t="shared" si="42"/>
        <v>0</v>
      </c>
      <c r="AA51" s="87"/>
      <c r="AB51" s="87"/>
      <c r="AC51" s="87"/>
      <c r="AD51" s="87">
        <f t="shared" si="42"/>
        <v>0</v>
      </c>
      <c r="AE51" s="82"/>
      <c r="AF51" s="82"/>
      <c r="AG51" s="82"/>
      <c r="AH51" s="82">
        <f t="shared" ref="AH51" si="43">AH49+AH50</f>
        <v>0</v>
      </c>
    </row>
    <row r="52" spans="1:34" x14ac:dyDescent="0.2">
      <c r="A52" s="200" t="s">
        <v>26</v>
      </c>
      <c r="B52" s="200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95">
        <f>N46+N51</f>
        <v>7371973842</v>
      </c>
      <c r="O52" s="95"/>
      <c r="P52" s="95"/>
      <c r="Q52" s="95"/>
      <c r="R52" s="95">
        <f>R46+R51</f>
        <v>1045990311</v>
      </c>
      <c r="S52" s="87"/>
      <c r="T52" s="87"/>
      <c r="U52" s="87"/>
      <c r="V52" s="87">
        <f t="shared" ref="V52:AD52" si="44">V46+V51</f>
        <v>-5549465678</v>
      </c>
      <c r="W52" s="82"/>
      <c r="X52" s="82"/>
      <c r="Y52" s="82"/>
      <c r="Z52" s="82">
        <f t="shared" si="44"/>
        <v>-1283332109</v>
      </c>
      <c r="AA52" s="87"/>
      <c r="AB52" s="87"/>
      <c r="AC52" s="87"/>
      <c r="AD52" s="87">
        <f t="shared" si="44"/>
        <v>-2256476497</v>
      </c>
      <c r="AE52" s="82"/>
      <c r="AF52" s="82"/>
      <c r="AG52" s="82"/>
      <c r="AH52" s="82">
        <f t="shared" ref="AH52" si="45">AH46+AH51</f>
        <v>0</v>
      </c>
    </row>
    <row r="53" spans="1:34" x14ac:dyDescent="0.2">
      <c r="A53" s="201" t="s">
        <v>29</v>
      </c>
      <c r="B53" s="201"/>
      <c r="N53" s="97">
        <v>0</v>
      </c>
      <c r="R53" s="97">
        <v>0</v>
      </c>
      <c r="V53" s="89">
        <v>0</v>
      </c>
      <c r="Z53" s="84">
        <v>0</v>
      </c>
      <c r="AD53" s="89">
        <v>0</v>
      </c>
      <c r="AH53" s="84">
        <v>0</v>
      </c>
    </row>
    <row r="54" spans="1:34" x14ac:dyDescent="0.2">
      <c r="A54" s="200" t="s">
        <v>27</v>
      </c>
      <c r="B54" s="200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95">
        <v>17</v>
      </c>
      <c r="O54" s="95">
        <v>4</v>
      </c>
      <c r="P54" s="95">
        <v>11</v>
      </c>
      <c r="Q54" s="95">
        <v>12</v>
      </c>
      <c r="R54" s="95">
        <v>2</v>
      </c>
      <c r="S54" s="87">
        <v>1</v>
      </c>
      <c r="T54" s="87">
        <v>1</v>
      </c>
      <c r="U54" s="87">
        <v>-13</v>
      </c>
      <c r="V54" s="87">
        <v>-13</v>
      </c>
      <c r="W54" s="82">
        <v>1</v>
      </c>
      <c r="X54" s="82">
        <v>2</v>
      </c>
      <c r="Y54" s="82">
        <v>3</v>
      </c>
      <c r="Z54" s="82">
        <v>-3</v>
      </c>
      <c r="AA54" s="87">
        <v>2</v>
      </c>
      <c r="AB54" s="87">
        <v>2</v>
      </c>
      <c r="AC54" s="87">
        <v>2</v>
      </c>
      <c r="AD54" s="131">
        <v>-5.27</v>
      </c>
      <c r="AE54" s="82">
        <v>-6</v>
      </c>
      <c r="AF54" s="82">
        <v>5</v>
      </c>
      <c r="AG54" s="82"/>
      <c r="AH54" s="82">
        <v>-527</v>
      </c>
    </row>
    <row r="57" spans="1:34" x14ac:dyDescent="0.2">
      <c r="A57" s="109" t="s">
        <v>40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94"/>
      <c r="O57" s="94"/>
      <c r="P57" s="94"/>
      <c r="Q57" s="94"/>
      <c r="R57" s="94"/>
      <c r="S57" s="86"/>
      <c r="T57" s="86"/>
      <c r="U57" s="86"/>
      <c r="V57" s="86"/>
      <c r="W57" s="81"/>
      <c r="X57" s="81"/>
      <c r="Y57" s="81"/>
      <c r="Z57" s="81"/>
      <c r="AA57" s="86"/>
      <c r="AB57" s="86"/>
      <c r="AC57" s="86"/>
      <c r="AD57" s="86"/>
      <c r="AE57" s="81"/>
      <c r="AF57" s="81"/>
      <c r="AG57" s="81"/>
      <c r="AH57" s="81"/>
    </row>
    <row r="58" spans="1:34" x14ac:dyDescent="0.2">
      <c r="A58" s="109" t="s">
        <v>31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94"/>
      <c r="O58" s="94"/>
      <c r="P58" s="94"/>
      <c r="Q58" s="94"/>
      <c r="R58" s="94"/>
      <c r="S58" s="86"/>
      <c r="T58" s="86"/>
      <c r="U58" s="86"/>
      <c r="V58" s="86"/>
      <c r="W58" s="81"/>
      <c r="X58" s="81"/>
      <c r="Y58" s="81"/>
      <c r="Z58" s="81"/>
      <c r="AA58" s="86"/>
      <c r="AB58" s="86"/>
      <c r="AC58" s="86"/>
      <c r="AD58" s="86"/>
      <c r="AE58" s="81"/>
      <c r="AF58" s="81"/>
      <c r="AG58" s="81"/>
      <c r="AH58" s="81"/>
    </row>
    <row r="59" spans="1:34" x14ac:dyDescent="0.2">
      <c r="A59" s="111" t="s">
        <v>43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95"/>
      <c r="O59" s="95"/>
      <c r="P59" s="95"/>
      <c r="Q59" s="95"/>
      <c r="R59" s="95"/>
      <c r="S59" s="87"/>
      <c r="T59" s="87"/>
      <c r="U59" s="87"/>
      <c r="V59" s="87"/>
      <c r="W59" s="82"/>
      <c r="X59" s="82"/>
      <c r="Y59" s="82"/>
      <c r="Z59" s="82"/>
      <c r="AA59" s="87"/>
      <c r="AB59" s="87"/>
      <c r="AC59" s="87"/>
      <c r="AD59" s="87"/>
      <c r="AE59" s="82"/>
      <c r="AF59" s="82"/>
      <c r="AG59" s="82"/>
      <c r="AH59" s="82"/>
    </row>
    <row r="60" spans="1:34" s="17" customFormat="1" x14ac:dyDescent="0.2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96" t="s">
        <v>2</v>
      </c>
      <c r="O60" s="96" t="s">
        <v>62</v>
      </c>
      <c r="P60" s="96" t="s">
        <v>63</v>
      </c>
      <c r="Q60" s="96" t="s">
        <v>64</v>
      </c>
      <c r="R60" s="96" t="s">
        <v>3</v>
      </c>
      <c r="S60" s="88" t="s">
        <v>62</v>
      </c>
      <c r="T60" s="88" t="s">
        <v>63</v>
      </c>
      <c r="U60" s="88" t="s">
        <v>64</v>
      </c>
      <c r="V60" s="88" t="s">
        <v>4</v>
      </c>
      <c r="W60" s="83" t="s">
        <v>62</v>
      </c>
      <c r="X60" s="83" t="s">
        <v>63</v>
      </c>
      <c r="Y60" s="83" t="s">
        <v>64</v>
      </c>
      <c r="Z60" s="83" t="s">
        <v>5</v>
      </c>
      <c r="AA60" s="88" t="s">
        <v>62</v>
      </c>
      <c r="AB60" s="88" t="s">
        <v>63</v>
      </c>
      <c r="AC60" s="88" t="s">
        <v>64</v>
      </c>
      <c r="AD60" s="88" t="s">
        <v>6</v>
      </c>
      <c r="AE60" s="83" t="s">
        <v>62</v>
      </c>
      <c r="AF60" s="83" t="s">
        <v>63</v>
      </c>
      <c r="AG60" s="83" t="s">
        <v>64</v>
      </c>
      <c r="AH60" s="83" t="s">
        <v>65</v>
      </c>
    </row>
    <row r="61" spans="1:34" x14ac:dyDescent="0.2">
      <c r="A61" s="196" t="s">
        <v>9</v>
      </c>
      <c r="B61" s="196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97">
        <v>434747101600</v>
      </c>
      <c r="O61" s="97">
        <v>175191365035</v>
      </c>
      <c r="P61" s="97">
        <v>321677921216</v>
      </c>
      <c r="Q61" s="97">
        <v>483342326154</v>
      </c>
      <c r="R61" s="97">
        <v>428092732505</v>
      </c>
      <c r="S61" s="89">
        <v>181151704181</v>
      </c>
      <c r="T61" s="89">
        <v>333857178603</v>
      </c>
      <c r="U61" s="89">
        <v>490306512667</v>
      </c>
      <c r="V61" s="89">
        <v>344361345265</v>
      </c>
      <c r="W61" s="84">
        <v>132571960587</v>
      </c>
      <c r="X61" s="84">
        <v>299533825016</v>
      </c>
      <c r="Y61" s="84">
        <v>505016273259</v>
      </c>
      <c r="Z61" s="84">
        <v>344678666245</v>
      </c>
      <c r="AA61" s="89">
        <v>149529421785</v>
      </c>
      <c r="AB61" s="89">
        <v>277903424251</v>
      </c>
      <c r="AC61" s="89">
        <v>382632597407</v>
      </c>
      <c r="AD61" s="89">
        <v>300572751733</v>
      </c>
      <c r="AE61" s="84">
        <v>140868378479</v>
      </c>
      <c r="AF61" s="84">
        <v>242532928334</v>
      </c>
      <c r="AG61" s="84">
        <v>389645534055</v>
      </c>
      <c r="AH61" s="84">
        <v>537567605097</v>
      </c>
    </row>
    <row r="62" spans="1:34" x14ac:dyDescent="0.2">
      <c r="A62" s="196" t="s">
        <v>10</v>
      </c>
      <c r="B62" s="196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97">
        <v>-187750245429</v>
      </c>
      <c r="O62" s="97">
        <v>-88848554140</v>
      </c>
      <c r="P62" s="97">
        <v>-167924243836</v>
      </c>
      <c r="Q62" s="97">
        <v>-250079155859</v>
      </c>
      <c r="R62" s="97">
        <v>-181547126367</v>
      </c>
      <c r="S62" s="89">
        <v>-87700784503</v>
      </c>
      <c r="T62" s="89">
        <v>-162813843343</v>
      </c>
      <c r="U62" s="89">
        <v>-237379266853</v>
      </c>
      <c r="V62" s="89">
        <v>-142263034669</v>
      </c>
      <c r="W62" s="84">
        <v>-66153231051</v>
      </c>
      <c r="X62" s="84">
        <v>-145216635379</v>
      </c>
      <c r="Y62" s="84">
        <v>-246487017789</v>
      </c>
      <c r="Z62" s="84">
        <v>-145109272647</v>
      </c>
      <c r="AA62" s="89">
        <v>-76198410255</v>
      </c>
      <c r="AB62" s="89">
        <v>-147943152187</v>
      </c>
      <c r="AC62" s="89">
        <v>-212999822669</v>
      </c>
      <c r="AD62" s="89">
        <v>-126237236215</v>
      </c>
      <c r="AE62" s="84">
        <v>-73375667475</v>
      </c>
      <c r="AF62" s="84">
        <v>-137055646875</v>
      </c>
      <c r="AG62" s="84">
        <v>-218561164957</v>
      </c>
      <c r="AH62" s="84">
        <v>-305240878778</v>
      </c>
    </row>
    <row r="63" spans="1:34" x14ac:dyDescent="0.2">
      <c r="A63" s="121"/>
      <c r="B63" s="112" t="s">
        <v>11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95">
        <f>N61+N62</f>
        <v>246996856171</v>
      </c>
      <c r="O63" s="95">
        <f>O61+O62</f>
        <v>86342810895</v>
      </c>
      <c r="P63" s="95">
        <f>P61+P62</f>
        <v>153753677380</v>
      </c>
      <c r="Q63" s="95">
        <f>Q61+Q62</f>
        <v>233263170295</v>
      </c>
      <c r="R63" s="95">
        <f>R61+R62</f>
        <v>246545606138</v>
      </c>
      <c r="S63" s="87">
        <f>SUM(S61:S62)</f>
        <v>93450919678</v>
      </c>
      <c r="T63" s="87">
        <f>SUM(T61:T62)</f>
        <v>171043335260</v>
      </c>
      <c r="U63" s="87">
        <f>SUM(U61:U62)</f>
        <v>252927245814</v>
      </c>
      <c r="V63" s="87">
        <f>SUM(V61:V62)</f>
        <v>202098310596</v>
      </c>
      <c r="W63" s="82">
        <f>W61+W62</f>
        <v>66418729536</v>
      </c>
      <c r="X63" s="82">
        <f>X61+X62</f>
        <v>154317189637</v>
      </c>
      <c r="Y63" s="82">
        <f>Y61+Y62</f>
        <v>258529255470</v>
      </c>
      <c r="Z63" s="82">
        <f>Z61+Z62</f>
        <v>199569393598</v>
      </c>
      <c r="AA63" s="87">
        <f>SUM(AA61:AA62)</f>
        <v>73331011530</v>
      </c>
      <c r="AB63" s="87">
        <f>SUM(AB61:AB62)</f>
        <v>129960272064</v>
      </c>
      <c r="AC63" s="87">
        <f>SUM(AC61:AC62)</f>
        <v>169632774738</v>
      </c>
      <c r="AD63" s="87">
        <f>SUM(AD61:AD62)</f>
        <v>174335515518</v>
      </c>
      <c r="AE63" s="82">
        <f>AE61+AE62</f>
        <v>67492711004</v>
      </c>
      <c r="AF63" s="82">
        <f>AF61+AF62</f>
        <v>105477281459</v>
      </c>
      <c r="AG63" s="82">
        <f>AG61+AG62</f>
        <v>171084369098</v>
      </c>
      <c r="AH63" s="82">
        <f>AH61+AH62</f>
        <v>232326726319</v>
      </c>
    </row>
    <row r="64" spans="1:34" x14ac:dyDescent="0.2">
      <c r="A64" s="196" t="s">
        <v>12</v>
      </c>
      <c r="B64" s="196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97">
        <v>-187666642049</v>
      </c>
      <c r="O64" s="97">
        <v>-60943750735</v>
      </c>
      <c r="P64" s="97">
        <v>-100169845897</v>
      </c>
      <c r="Q64" s="97">
        <v>-159722705271</v>
      </c>
      <c r="R64" s="97">
        <v>-190379660433</v>
      </c>
      <c r="S64" s="89">
        <v>-63350849944</v>
      </c>
      <c r="T64" s="89">
        <v>-113042552504</v>
      </c>
      <c r="U64" s="89">
        <v>-169357404761</v>
      </c>
      <c r="V64" s="89">
        <v>-154870187331</v>
      </c>
      <c r="W64" s="84">
        <v>-38543675867</v>
      </c>
      <c r="X64" s="84">
        <v>-92257005161</v>
      </c>
      <c r="Y64" s="84">
        <v>-195300543916</v>
      </c>
      <c r="Z64" s="84">
        <v>-149895559375</v>
      </c>
      <c r="AA64" s="89">
        <v>-44860519929</v>
      </c>
      <c r="AB64" s="89">
        <v>-100356161506</v>
      </c>
      <c r="AC64" s="89">
        <v>-163439216967</v>
      </c>
      <c r="AD64" s="89">
        <v>-121854966846</v>
      </c>
      <c r="AE64" s="84">
        <v>-39584841468</v>
      </c>
      <c r="AF64" s="84">
        <v>-71344346345</v>
      </c>
      <c r="AG64" s="84">
        <v>-121373538462</v>
      </c>
      <c r="AH64" s="84">
        <v>-189091124023</v>
      </c>
    </row>
    <row r="65" spans="1:34" x14ac:dyDescent="0.2">
      <c r="A65" s="196" t="s">
        <v>13</v>
      </c>
      <c r="B65" s="196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97">
        <v>-41469242951</v>
      </c>
      <c r="O65" s="97">
        <v>-18441030903</v>
      </c>
      <c r="P65" s="97">
        <v>-40651604095</v>
      </c>
      <c r="Q65" s="97">
        <v>-60739568659</v>
      </c>
      <c r="R65" s="97">
        <v>-46045824750</v>
      </c>
      <c r="S65" s="89">
        <v>-20690829090</v>
      </c>
      <c r="T65" s="89">
        <v>-44316262940</v>
      </c>
      <c r="U65" s="89">
        <v>-65850433717</v>
      </c>
      <c r="V65" s="89">
        <v>-45750235747</v>
      </c>
      <c r="W65" s="84">
        <v>-23735912870</v>
      </c>
      <c r="X65" s="84">
        <v>-50767985261</v>
      </c>
      <c r="Y65" s="84">
        <v>-78059181453</v>
      </c>
      <c r="Z65" s="84">
        <v>-43984434952</v>
      </c>
      <c r="AA65" s="89">
        <v>-23618589170</v>
      </c>
      <c r="AB65" s="89">
        <v>-49587977915</v>
      </c>
      <c r="AC65" s="89">
        <v>-77144594038</v>
      </c>
      <c r="AD65" s="89">
        <v>-43793006242</v>
      </c>
      <c r="AE65" s="84">
        <v>-22122208855</v>
      </c>
      <c r="AF65" s="84">
        <v>-48017865276</v>
      </c>
      <c r="AG65" s="84">
        <v>-72284361879</v>
      </c>
      <c r="AH65" s="84">
        <v>-112216399677</v>
      </c>
    </row>
    <row r="66" spans="1:34" x14ac:dyDescent="0.2">
      <c r="A66" s="196" t="s">
        <v>91</v>
      </c>
      <c r="B66" s="196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97">
        <f>-648323373-5475379430</f>
        <v>-6123702803</v>
      </c>
      <c r="O66" s="97">
        <v>150794756</v>
      </c>
      <c r="P66" s="97">
        <v>381851594</v>
      </c>
      <c r="Q66" s="97">
        <v>354197689</v>
      </c>
      <c r="R66" s="97">
        <f>-266342637-4615022538</f>
        <v>-4881365175</v>
      </c>
      <c r="S66" s="89">
        <v>120060417</v>
      </c>
      <c r="T66" s="89">
        <v>366877924</v>
      </c>
      <c r="U66" s="89">
        <v>823040504</v>
      </c>
      <c r="V66" s="89">
        <f>-1309954850-167759452</f>
        <v>-1477714302</v>
      </c>
      <c r="W66" s="84">
        <v>329167339</v>
      </c>
      <c r="X66" s="84">
        <v>300568776</v>
      </c>
      <c r="Y66" s="84">
        <v>326018853</v>
      </c>
      <c r="Z66" s="84">
        <f>1834023590-3878361119</f>
        <v>-2044337529</v>
      </c>
      <c r="AA66" s="89">
        <v>503675027</v>
      </c>
      <c r="AB66" s="89">
        <v>418529203</v>
      </c>
      <c r="AC66" s="89">
        <v>1545940475</v>
      </c>
      <c r="AD66" s="89">
        <f>2293299533-3391029312</f>
        <v>-1097729779</v>
      </c>
      <c r="AE66" s="84">
        <v>265750914</v>
      </c>
      <c r="AF66" s="84">
        <v>985695373</v>
      </c>
      <c r="AG66" s="84">
        <v>1795741250</v>
      </c>
      <c r="AH66" s="84">
        <v>2267767047</v>
      </c>
    </row>
    <row r="67" spans="1:34" x14ac:dyDescent="0.2">
      <c r="A67" s="196" t="s">
        <v>92</v>
      </c>
      <c r="B67" s="196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97">
        <v>0</v>
      </c>
      <c r="O67" s="97">
        <v>-2247700577</v>
      </c>
      <c r="P67" s="97">
        <v>-2972833611</v>
      </c>
      <c r="Q67" s="97">
        <v>-4528952197</v>
      </c>
      <c r="S67" s="89">
        <v>-213291049</v>
      </c>
      <c r="T67" s="89">
        <v>-398861883</v>
      </c>
      <c r="U67" s="89">
        <v>-638807653</v>
      </c>
      <c r="W67" s="84">
        <f>-192799965+2451</f>
        <v>-192797514</v>
      </c>
      <c r="X67" s="84">
        <v>-328710622</v>
      </c>
      <c r="Y67" s="84">
        <v>-478954945</v>
      </c>
      <c r="AA67" s="89">
        <v>0</v>
      </c>
      <c r="AB67" s="89">
        <v>-205974547</v>
      </c>
      <c r="AC67" s="89">
        <v>-287254821</v>
      </c>
      <c r="AE67" s="84">
        <v>-67788021</v>
      </c>
      <c r="AF67" s="84">
        <v>-86588562</v>
      </c>
      <c r="AG67" s="84">
        <v>-234614942</v>
      </c>
      <c r="AH67" s="84">
        <v>-1161203754</v>
      </c>
    </row>
    <row r="68" spans="1:34" x14ac:dyDescent="0.2">
      <c r="A68" s="121"/>
      <c r="B68" s="112" t="s">
        <v>14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95">
        <f t="shared" ref="N68:V68" si="46">SUM(N63:N67)</f>
        <v>11737268368</v>
      </c>
      <c r="O68" s="95">
        <f t="shared" si="46"/>
        <v>4861123436</v>
      </c>
      <c r="P68" s="95">
        <f t="shared" si="46"/>
        <v>10341245371</v>
      </c>
      <c r="Q68" s="95">
        <f t="shared" si="46"/>
        <v>8626141857</v>
      </c>
      <c r="R68" s="95">
        <f t="shared" si="46"/>
        <v>5238755780</v>
      </c>
      <c r="S68" s="87">
        <f t="shared" si="46"/>
        <v>9316010012</v>
      </c>
      <c r="T68" s="87">
        <f t="shared" si="46"/>
        <v>13652535857</v>
      </c>
      <c r="U68" s="87">
        <f t="shared" si="46"/>
        <v>17903640187</v>
      </c>
      <c r="V68" s="87">
        <f t="shared" si="46"/>
        <v>173216</v>
      </c>
      <c r="W68" s="82">
        <f t="shared" ref="W68:Z68" si="47">SUM(W63:W67)</f>
        <v>4275510624</v>
      </c>
      <c r="X68" s="82">
        <f t="shared" si="47"/>
        <v>11264057369</v>
      </c>
      <c r="Y68" s="82">
        <f t="shared" si="47"/>
        <v>-14983405991</v>
      </c>
      <c r="Z68" s="82">
        <f t="shared" si="47"/>
        <v>3645061742</v>
      </c>
      <c r="AA68" s="87">
        <f>SUM(AA63:AA67)</f>
        <v>5355577458</v>
      </c>
      <c r="AB68" s="87">
        <f>SUM(AB63:AB67)</f>
        <v>-19771312701</v>
      </c>
      <c r="AC68" s="87">
        <f>SUM(AC63:AC67)</f>
        <v>-69692350613</v>
      </c>
      <c r="AD68" s="87">
        <f>SUM(AD63:AD67)</f>
        <v>7589812651</v>
      </c>
      <c r="AE68" s="82">
        <f>SUM(AE63:AE67)+10002000</f>
        <v>5993625574</v>
      </c>
      <c r="AF68" s="82">
        <f t="shared" ref="AF68" si="48">SUM(AF63:AF67)</f>
        <v>-12985823351</v>
      </c>
      <c r="AG68" s="82">
        <f t="shared" ref="AG68" si="49">SUM(AG63:AG67)</f>
        <v>-21012404935</v>
      </c>
      <c r="AH68" s="82">
        <f t="shared" ref="AH68" si="50">SUM(AH63:AH67)</f>
        <v>-67874234088</v>
      </c>
    </row>
    <row r="69" spans="1:34" x14ac:dyDescent="0.2">
      <c r="A69" s="196" t="s">
        <v>15</v>
      </c>
      <c r="B69" s="196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97">
        <v>991753907</v>
      </c>
      <c r="O69" s="97">
        <v>641682876</v>
      </c>
      <c r="P69" s="97">
        <v>1223204512</v>
      </c>
      <c r="Q69" s="97">
        <v>1664923152</v>
      </c>
      <c r="R69" s="97">
        <v>682631942</v>
      </c>
      <c r="S69" s="89">
        <v>80829945</v>
      </c>
      <c r="T69" s="89">
        <v>132601525</v>
      </c>
      <c r="U69" s="89">
        <v>193803214</v>
      </c>
      <c r="V69" s="89">
        <v>664733259</v>
      </c>
      <c r="W69" s="84">
        <v>55593609</v>
      </c>
      <c r="X69" s="84">
        <v>86053325</v>
      </c>
      <c r="Y69" s="84">
        <v>125319245</v>
      </c>
      <c r="Z69" s="84">
        <v>-5568603458</v>
      </c>
      <c r="AA69" s="89">
        <v>15150893</v>
      </c>
      <c r="AB69" s="89">
        <v>25472119</v>
      </c>
      <c r="AC69" s="89">
        <v>38363313</v>
      </c>
      <c r="AD69" s="89">
        <v>-6507057142</v>
      </c>
      <c r="AE69" s="84">
        <v>11191434</v>
      </c>
      <c r="AF69" s="84">
        <v>22174123</v>
      </c>
      <c r="AG69" s="84">
        <v>33032830</v>
      </c>
      <c r="AH69" s="84">
        <v>44959458</v>
      </c>
    </row>
    <row r="70" spans="1:34" x14ac:dyDescent="0.2">
      <c r="A70" s="196" t="s">
        <v>16</v>
      </c>
      <c r="B70" s="196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97">
        <v>-2688038171</v>
      </c>
      <c r="O70" s="97">
        <v>-1737528679</v>
      </c>
      <c r="P70" s="97">
        <v>-4190998717</v>
      </c>
      <c r="Q70" s="97">
        <v>-5753097113</v>
      </c>
      <c r="R70" s="97">
        <v>-3665411293</v>
      </c>
      <c r="S70" s="89">
        <v>-1960389307</v>
      </c>
      <c r="T70" s="89">
        <v>-5949750810</v>
      </c>
      <c r="U70" s="89">
        <v>-9793541162</v>
      </c>
      <c r="V70" s="89">
        <v>-4747208360</v>
      </c>
      <c r="W70" s="84">
        <v>-3067603691</v>
      </c>
      <c r="X70" s="84">
        <v>-6337701904</v>
      </c>
      <c r="Y70" s="84">
        <v>-10657337669</v>
      </c>
      <c r="Z70" s="84">
        <v>567970732</v>
      </c>
      <c r="AA70" s="89">
        <v>-4254585306</v>
      </c>
      <c r="AB70" s="89">
        <v>-8147962304</v>
      </c>
      <c r="AC70" s="89">
        <v>-13137647257</v>
      </c>
      <c r="AD70" s="89">
        <v>794345026</v>
      </c>
      <c r="AE70" s="84">
        <v>-4804206061</v>
      </c>
      <c r="AF70" s="84">
        <v>-9747998913</v>
      </c>
      <c r="AG70" s="84">
        <v>-15291566405</v>
      </c>
      <c r="AH70" s="84">
        <v>-20433763651</v>
      </c>
    </row>
    <row r="71" spans="1:34" x14ac:dyDescent="0.2">
      <c r="A71" s="121"/>
      <c r="B71" s="112" t="s">
        <v>17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95">
        <f>N68+N69+N70</f>
        <v>10040984104</v>
      </c>
      <c r="O71" s="95">
        <f>O68+O69+O70</f>
        <v>3765277633</v>
      </c>
      <c r="P71" s="95">
        <f>P68+P69+P70</f>
        <v>7373451166</v>
      </c>
      <c r="Q71" s="95">
        <f>Q68+Q69+Q70</f>
        <v>4537967896</v>
      </c>
      <c r="R71" s="95">
        <f>R68+R69+R70</f>
        <v>2255976429</v>
      </c>
      <c r="S71" s="87">
        <f t="shared" ref="S71:AH71" si="51">SUM(S68:S70)</f>
        <v>7436450650</v>
      </c>
      <c r="T71" s="87">
        <f t="shared" si="51"/>
        <v>7835386572</v>
      </c>
      <c r="U71" s="87">
        <f t="shared" si="51"/>
        <v>8303902239</v>
      </c>
      <c r="V71" s="87">
        <f t="shared" si="51"/>
        <v>-4082301885</v>
      </c>
      <c r="W71" s="82">
        <f t="shared" si="51"/>
        <v>1263500542</v>
      </c>
      <c r="X71" s="82">
        <f t="shared" si="51"/>
        <v>5012408790</v>
      </c>
      <c r="Y71" s="82">
        <f t="shared" si="51"/>
        <v>-25515424415</v>
      </c>
      <c r="Z71" s="82">
        <f t="shared" si="51"/>
        <v>-1355570984</v>
      </c>
      <c r="AA71" s="87">
        <f t="shared" si="51"/>
        <v>1116143045</v>
      </c>
      <c r="AB71" s="87">
        <f t="shared" si="51"/>
        <v>-27893802886</v>
      </c>
      <c r="AC71" s="87">
        <f t="shared" si="51"/>
        <v>-82791634557</v>
      </c>
      <c r="AD71" s="87">
        <f t="shared" si="51"/>
        <v>1877100535</v>
      </c>
      <c r="AE71" s="82">
        <f t="shared" si="51"/>
        <v>1200610947</v>
      </c>
      <c r="AF71" s="82">
        <f t="shared" si="51"/>
        <v>-22711648141</v>
      </c>
      <c r="AG71" s="82">
        <f t="shared" si="51"/>
        <v>-36270938510</v>
      </c>
      <c r="AH71" s="82">
        <f t="shared" si="51"/>
        <v>-88263038281</v>
      </c>
    </row>
    <row r="72" spans="1:34" x14ac:dyDescent="0.2">
      <c r="A72" s="196" t="s">
        <v>18</v>
      </c>
      <c r="B72" s="196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97">
        <v>-2669010262</v>
      </c>
      <c r="O72" s="97">
        <v>-1182713356</v>
      </c>
      <c r="P72" s="97">
        <v>-2122140386</v>
      </c>
      <c r="Q72" s="97">
        <v>-1779178936</v>
      </c>
      <c r="R72" s="97">
        <v>-1209986118</v>
      </c>
      <c r="S72" s="89">
        <v>189428362</v>
      </c>
      <c r="T72" s="89">
        <v>408892636</v>
      </c>
      <c r="U72" s="89">
        <v>401043426</v>
      </c>
      <c r="V72" s="89">
        <v>-1467163793</v>
      </c>
      <c r="W72" s="84">
        <v>-431069976</v>
      </c>
      <c r="X72" s="84">
        <v>-1581860871</v>
      </c>
      <c r="Y72" s="84">
        <v>-827285756</v>
      </c>
      <c r="Z72" s="84">
        <v>72238875</v>
      </c>
      <c r="AA72" s="89">
        <v>-636934135</v>
      </c>
      <c r="AB72" s="89">
        <v>6245116487</v>
      </c>
      <c r="AC72" s="89">
        <v>20521561517</v>
      </c>
      <c r="AD72" s="89">
        <v>-4133577032</v>
      </c>
      <c r="AE72" s="84">
        <v>-345680075</v>
      </c>
      <c r="AF72" s="84">
        <v>5534776120</v>
      </c>
      <c r="AG72" s="84">
        <v>8567266878</v>
      </c>
      <c r="AH72" s="84">
        <v>21317144171</v>
      </c>
    </row>
    <row r="73" spans="1:34" x14ac:dyDescent="0.2">
      <c r="A73" s="122"/>
      <c r="B73" s="123" t="s">
        <v>19</v>
      </c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98">
        <f t="shared" ref="N73:AH73" si="52">N71+N72</f>
        <v>7371973842</v>
      </c>
      <c r="O73" s="98">
        <f t="shared" si="52"/>
        <v>2582564277</v>
      </c>
      <c r="P73" s="98">
        <f t="shared" si="52"/>
        <v>5251310780</v>
      </c>
      <c r="Q73" s="98">
        <f t="shared" si="52"/>
        <v>2758788960</v>
      </c>
      <c r="R73" s="98">
        <f t="shared" si="52"/>
        <v>1045990311</v>
      </c>
      <c r="S73" s="90">
        <f t="shared" si="52"/>
        <v>7625879012</v>
      </c>
      <c r="T73" s="90">
        <f t="shared" si="52"/>
        <v>8244279208</v>
      </c>
      <c r="U73" s="90">
        <f t="shared" si="52"/>
        <v>8704945665</v>
      </c>
      <c r="V73" s="90">
        <f t="shared" si="52"/>
        <v>-5549465678</v>
      </c>
      <c r="W73" s="85">
        <f t="shared" si="52"/>
        <v>832430566</v>
      </c>
      <c r="X73" s="85">
        <f t="shared" si="52"/>
        <v>3430547919</v>
      </c>
      <c r="Y73" s="85">
        <f t="shared" si="52"/>
        <v>-26342710171</v>
      </c>
      <c r="Z73" s="85">
        <f t="shared" si="52"/>
        <v>-1283332109</v>
      </c>
      <c r="AA73" s="90">
        <f t="shared" si="52"/>
        <v>479208910</v>
      </c>
      <c r="AB73" s="90">
        <f t="shared" si="52"/>
        <v>-21648686399</v>
      </c>
      <c r="AC73" s="90">
        <f t="shared" si="52"/>
        <v>-62270073040</v>
      </c>
      <c r="AD73" s="90">
        <f t="shared" si="52"/>
        <v>-2256476497</v>
      </c>
      <c r="AE73" s="85">
        <f t="shared" si="52"/>
        <v>854930872</v>
      </c>
      <c r="AF73" s="85">
        <f t="shared" si="52"/>
        <v>-17176872021</v>
      </c>
      <c r="AG73" s="85">
        <f t="shared" si="52"/>
        <v>-27703671632</v>
      </c>
      <c r="AH73" s="85">
        <f t="shared" si="52"/>
        <v>-66945894110</v>
      </c>
    </row>
    <row r="74" spans="1:34" x14ac:dyDescent="0.2">
      <c r="A74" s="200" t="s">
        <v>21</v>
      </c>
      <c r="B74" s="200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95"/>
      <c r="O74" s="95"/>
      <c r="P74" s="95"/>
      <c r="Q74" s="95"/>
      <c r="R74" s="95"/>
      <c r="S74" s="87"/>
      <c r="T74" s="87"/>
      <c r="U74" s="87"/>
      <c r="V74" s="87"/>
      <c r="W74" s="82"/>
      <c r="X74" s="82"/>
      <c r="Y74" s="82"/>
      <c r="Z74" s="82"/>
      <c r="AA74" s="87"/>
      <c r="AB74" s="87"/>
      <c r="AC74" s="87"/>
      <c r="AD74" s="87"/>
      <c r="AE74" s="82"/>
      <c r="AF74" s="82"/>
      <c r="AG74" s="82"/>
      <c r="AH74" s="82"/>
    </row>
    <row r="75" spans="1:34" x14ac:dyDescent="0.2">
      <c r="A75" s="196" t="s">
        <v>22</v>
      </c>
      <c r="B75" s="196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</row>
    <row r="76" spans="1:34" ht="25.5" x14ac:dyDescent="0.2">
      <c r="B76" s="125" t="s">
        <v>23</v>
      </c>
      <c r="N76" s="97">
        <v>0</v>
      </c>
      <c r="R76" s="97">
        <v>0</v>
      </c>
      <c r="V76" s="89">
        <v>0</v>
      </c>
      <c r="Z76" s="84">
        <v>0</v>
      </c>
      <c r="AD76" s="89">
        <v>0</v>
      </c>
      <c r="AH76" s="84">
        <v>0</v>
      </c>
    </row>
    <row r="77" spans="1:34" ht="25.5" x14ac:dyDescent="0.2">
      <c r="B77" s="125" t="s">
        <v>24</v>
      </c>
      <c r="N77" s="97">
        <v>0</v>
      </c>
      <c r="R77" s="97">
        <v>0</v>
      </c>
      <c r="V77" s="89">
        <v>0</v>
      </c>
      <c r="Z77" s="84">
        <v>0</v>
      </c>
      <c r="AD77" s="89">
        <v>0</v>
      </c>
      <c r="AH77" s="84">
        <v>0</v>
      </c>
    </row>
    <row r="78" spans="1:34" x14ac:dyDescent="0.2">
      <c r="A78" s="200" t="s">
        <v>25</v>
      </c>
      <c r="B78" s="200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95">
        <f>N76+N77</f>
        <v>0</v>
      </c>
      <c r="O78" s="95"/>
      <c r="P78" s="95"/>
      <c r="Q78" s="95"/>
      <c r="R78" s="95">
        <f>R76+R77</f>
        <v>0</v>
      </c>
      <c r="S78" s="87"/>
      <c r="T78" s="87"/>
      <c r="U78" s="87"/>
      <c r="V78" s="87">
        <f t="shared" ref="V78:AD78" si="53">V76+V77</f>
        <v>0</v>
      </c>
      <c r="W78" s="82"/>
      <c r="X78" s="82"/>
      <c r="Y78" s="82"/>
      <c r="Z78" s="82">
        <f t="shared" si="53"/>
        <v>0</v>
      </c>
      <c r="AA78" s="87"/>
      <c r="AB78" s="87"/>
      <c r="AC78" s="87"/>
      <c r="AD78" s="87">
        <f t="shared" si="53"/>
        <v>0</v>
      </c>
      <c r="AE78" s="82"/>
      <c r="AF78" s="82"/>
      <c r="AG78" s="82"/>
      <c r="AH78" s="82">
        <f t="shared" ref="AH78" si="54">AH76+AH77</f>
        <v>0</v>
      </c>
    </row>
    <row r="79" spans="1:34" x14ac:dyDescent="0.2">
      <c r="A79" s="200" t="s">
        <v>26</v>
      </c>
      <c r="B79" s="200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95">
        <f>N73+N78</f>
        <v>7371973842</v>
      </c>
      <c r="O79" s="95"/>
      <c r="P79" s="95"/>
      <c r="Q79" s="95"/>
      <c r="R79" s="95">
        <f>R73+R78</f>
        <v>1045990311</v>
      </c>
      <c r="S79" s="87"/>
      <c r="T79" s="87"/>
      <c r="U79" s="87"/>
      <c r="V79" s="87">
        <f t="shared" ref="V79:AD79" si="55">V73+V78</f>
        <v>-5549465678</v>
      </c>
      <c r="W79" s="82"/>
      <c r="X79" s="82"/>
      <c r="Y79" s="82"/>
      <c r="Z79" s="82">
        <f t="shared" si="55"/>
        <v>-1283332109</v>
      </c>
      <c r="AA79" s="87"/>
      <c r="AB79" s="87"/>
      <c r="AC79" s="87"/>
      <c r="AD79" s="87">
        <f t="shared" si="55"/>
        <v>-2256476497</v>
      </c>
      <c r="AE79" s="82"/>
      <c r="AF79" s="82"/>
      <c r="AG79" s="82"/>
      <c r="AH79" s="82">
        <f t="shared" ref="AH79" si="56">AH73+AH78</f>
        <v>-66945894110</v>
      </c>
    </row>
    <row r="80" spans="1:34" x14ac:dyDescent="0.2">
      <c r="A80" s="201" t="s">
        <v>29</v>
      </c>
      <c r="B80" s="201"/>
      <c r="N80" s="97">
        <v>0</v>
      </c>
      <c r="R80" s="97">
        <v>0</v>
      </c>
      <c r="V80" s="89">
        <v>0</v>
      </c>
      <c r="Z80" s="84">
        <v>0</v>
      </c>
      <c r="AD80" s="89">
        <v>0</v>
      </c>
      <c r="AH80" s="84">
        <v>0</v>
      </c>
    </row>
    <row r="81" spans="1:34" s="136" customFormat="1" x14ac:dyDescent="0.2">
      <c r="A81" s="206" t="s">
        <v>27</v>
      </c>
      <c r="B81" s="206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33">
        <v>17</v>
      </c>
      <c r="O81" s="133">
        <v>2.41</v>
      </c>
      <c r="P81" s="133">
        <v>4.91</v>
      </c>
      <c r="Q81" s="133">
        <v>2.58</v>
      </c>
      <c r="R81" s="133">
        <v>2</v>
      </c>
      <c r="S81" s="134">
        <v>7.13</v>
      </c>
      <c r="T81" s="134">
        <v>7.7</v>
      </c>
      <c r="U81" s="134">
        <v>8.14</v>
      </c>
      <c r="V81" s="134">
        <v>8.24</v>
      </c>
      <c r="W81" s="135">
        <v>0.78</v>
      </c>
      <c r="X81" s="135">
        <v>3.21</v>
      </c>
      <c r="Y81" s="135">
        <v>-24.62</v>
      </c>
      <c r="Z81" s="135">
        <v>23.07</v>
      </c>
      <c r="AA81" s="134">
        <v>0.45</v>
      </c>
      <c r="AB81" s="134">
        <v>-20.23</v>
      </c>
      <c r="AC81" s="134">
        <v>-58.2</v>
      </c>
      <c r="AD81" s="134">
        <v>-106.66</v>
      </c>
      <c r="AE81" s="135">
        <v>0.8</v>
      </c>
      <c r="AF81" s="135">
        <v>-16.05</v>
      </c>
      <c r="AG81" s="135">
        <v>-25.89</v>
      </c>
      <c r="AH81" s="135">
        <v>-62.57</v>
      </c>
    </row>
    <row r="84" spans="1:34" x14ac:dyDescent="0.2">
      <c r="A84" s="109" t="s">
        <v>44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94"/>
      <c r="O84" s="94"/>
      <c r="P84" s="94"/>
      <c r="Q84" s="94"/>
      <c r="R84" s="94"/>
      <c r="S84" s="86"/>
      <c r="T84" s="86"/>
      <c r="U84" s="86"/>
      <c r="V84" s="86"/>
      <c r="W84" s="81"/>
      <c r="X84" s="81"/>
      <c r="Y84" s="81"/>
      <c r="Z84" s="81"/>
      <c r="AA84" s="86"/>
      <c r="AB84" s="86"/>
      <c r="AC84" s="86"/>
      <c r="AD84" s="86"/>
      <c r="AE84" s="81"/>
      <c r="AF84" s="81"/>
      <c r="AG84" s="81"/>
      <c r="AH84" s="81"/>
    </row>
    <row r="85" spans="1:34" x14ac:dyDescent="0.2">
      <c r="A85" s="109" t="s">
        <v>31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94"/>
      <c r="O85" s="94"/>
      <c r="P85" s="94"/>
      <c r="Q85" s="94"/>
      <c r="R85" s="94"/>
      <c r="S85" s="86"/>
      <c r="T85" s="86"/>
      <c r="U85" s="86"/>
      <c r="V85" s="86"/>
      <c r="W85" s="81"/>
      <c r="X85" s="81"/>
      <c r="Y85" s="81"/>
      <c r="Z85" s="81"/>
      <c r="AA85" s="86"/>
      <c r="AB85" s="86"/>
      <c r="AC85" s="86"/>
      <c r="AD85" s="86"/>
      <c r="AE85" s="81"/>
      <c r="AF85" s="81"/>
      <c r="AG85" s="81"/>
      <c r="AH85" s="81"/>
    </row>
    <row r="86" spans="1:34" x14ac:dyDescent="0.2">
      <c r="A86" s="111" t="s">
        <v>43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95"/>
      <c r="O86" s="95"/>
      <c r="P86" s="95"/>
      <c r="Q86" s="95"/>
      <c r="R86" s="95"/>
      <c r="S86" s="87"/>
      <c r="T86" s="87"/>
      <c r="U86" s="87"/>
      <c r="V86" s="87"/>
      <c r="W86" s="82"/>
      <c r="X86" s="82"/>
      <c r="Y86" s="82"/>
      <c r="Z86" s="82"/>
      <c r="AA86" s="87"/>
      <c r="AB86" s="87"/>
      <c r="AC86" s="87"/>
      <c r="AD86" s="87"/>
      <c r="AE86" s="82"/>
      <c r="AF86" s="82"/>
      <c r="AG86" s="82"/>
      <c r="AH86" s="82"/>
    </row>
    <row r="87" spans="1:34" s="18" customFormat="1" x14ac:dyDescent="0.2">
      <c r="A87" s="126"/>
      <c r="B87" s="127"/>
      <c r="C87" s="128" t="s">
        <v>62</v>
      </c>
      <c r="D87" s="128" t="s">
        <v>63</v>
      </c>
      <c r="E87" s="128" t="s">
        <v>64</v>
      </c>
      <c r="F87" s="128" t="s">
        <v>119</v>
      </c>
      <c r="G87" s="128" t="s">
        <v>62</v>
      </c>
      <c r="H87" s="128" t="s">
        <v>63</v>
      </c>
      <c r="I87" s="128" t="s">
        <v>64</v>
      </c>
      <c r="J87" s="128" t="s">
        <v>118</v>
      </c>
      <c r="K87" s="128" t="s">
        <v>62</v>
      </c>
      <c r="L87" s="128" t="s">
        <v>63</v>
      </c>
      <c r="M87" s="128" t="s">
        <v>64</v>
      </c>
      <c r="N87" s="128" t="s">
        <v>2</v>
      </c>
      <c r="O87" s="128" t="s">
        <v>62</v>
      </c>
      <c r="P87" s="128" t="s">
        <v>63</v>
      </c>
      <c r="Q87" s="128" t="s">
        <v>64</v>
      </c>
      <c r="R87" s="128" t="s">
        <v>3</v>
      </c>
      <c r="S87" s="129" t="s">
        <v>62</v>
      </c>
      <c r="T87" s="129" t="s">
        <v>63</v>
      </c>
      <c r="U87" s="129" t="s">
        <v>64</v>
      </c>
      <c r="V87" s="129" t="s">
        <v>4</v>
      </c>
      <c r="W87" s="130" t="s">
        <v>62</v>
      </c>
      <c r="X87" s="130" t="s">
        <v>63</v>
      </c>
      <c r="Y87" s="130" t="s">
        <v>64</v>
      </c>
      <c r="Z87" s="130" t="s">
        <v>5</v>
      </c>
      <c r="AA87" s="129" t="s">
        <v>62</v>
      </c>
      <c r="AB87" s="129" t="s">
        <v>63</v>
      </c>
      <c r="AC87" s="129" t="s">
        <v>64</v>
      </c>
      <c r="AD87" s="129" t="s">
        <v>6</v>
      </c>
      <c r="AE87" s="130" t="s">
        <v>62</v>
      </c>
      <c r="AF87" s="130" t="s">
        <v>63</v>
      </c>
      <c r="AG87" s="130" t="s">
        <v>64</v>
      </c>
      <c r="AH87" s="130" t="s">
        <v>65</v>
      </c>
    </row>
    <row r="88" spans="1:34" x14ac:dyDescent="0.2">
      <c r="A88" s="196" t="s">
        <v>9</v>
      </c>
      <c r="B88" s="196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97">
        <v>2308203551971</v>
      </c>
      <c r="O88" s="97">
        <v>653797043003</v>
      </c>
      <c r="P88" s="97">
        <v>1236088863607</v>
      </c>
      <c r="Q88" s="97">
        <v>1658791850187</v>
      </c>
      <c r="R88" s="97">
        <v>2314889854074</v>
      </c>
      <c r="S88" s="89">
        <v>611574761771</v>
      </c>
      <c r="T88" s="89">
        <v>1252403685433</v>
      </c>
      <c r="U88" s="89">
        <v>1908960427242</v>
      </c>
      <c r="V88" s="89">
        <v>2526776164168</v>
      </c>
      <c r="W88" s="84">
        <v>731353309901</v>
      </c>
      <c r="X88" s="84">
        <v>1367008481472</v>
      </c>
      <c r="Y88" s="84">
        <v>2076502535793</v>
      </c>
      <c r="Z88" s="84">
        <v>2706394847919</v>
      </c>
      <c r="AA88" s="89">
        <v>681156925951</v>
      </c>
      <c r="AB88" s="89">
        <v>1299310475173</v>
      </c>
      <c r="AC88" s="89">
        <v>2048794755418</v>
      </c>
      <c r="AD88" s="89">
        <v>2648754344347</v>
      </c>
      <c r="AE88" s="84">
        <v>722789536534</v>
      </c>
      <c r="AF88" s="84">
        <v>1411193661376</v>
      </c>
      <c r="AG88" s="84">
        <v>2166886251397</v>
      </c>
      <c r="AH88" s="84">
        <v>2804151670769</v>
      </c>
    </row>
    <row r="89" spans="1:34" x14ac:dyDescent="0.2">
      <c r="A89" s="196" t="s">
        <v>10</v>
      </c>
      <c r="B89" s="196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97">
        <v>-1411934917918</v>
      </c>
      <c r="O89" s="97">
        <v>-400478110794</v>
      </c>
      <c r="P89" s="97">
        <v>-780550992229</v>
      </c>
      <c r="Q89" s="97">
        <v>-1051326092124</v>
      </c>
      <c r="R89" s="97">
        <v>-1436977751396</v>
      </c>
      <c r="S89" s="89">
        <v>-372145634493</v>
      </c>
      <c r="T89" s="89">
        <v>-750418102958</v>
      </c>
      <c r="U89" s="89">
        <v>-1162250681257</v>
      </c>
      <c r="V89" s="89">
        <v>-1543337042469</v>
      </c>
      <c r="W89" s="84">
        <v>-444896306510</v>
      </c>
      <c r="X89" s="84">
        <v>-846844954926</v>
      </c>
      <c r="Y89" s="84">
        <v>-1298733986339</v>
      </c>
      <c r="Z89" s="84">
        <v>-1699417758295</v>
      </c>
      <c r="AA89" s="89">
        <v>-413871050117</v>
      </c>
      <c r="AB89" s="89">
        <v>-828316021698</v>
      </c>
      <c r="AC89" s="89">
        <v>-1317689942371</v>
      </c>
      <c r="AD89" s="89">
        <v>-1685791739001</v>
      </c>
      <c r="AE89" s="84">
        <v>-461728070641</v>
      </c>
      <c r="AF89" s="84">
        <v>-930610059019</v>
      </c>
      <c r="AG89" s="84">
        <v>-1445928133710</v>
      </c>
      <c r="AH89" s="84">
        <v>-1873937759675</v>
      </c>
    </row>
    <row r="90" spans="1:34" x14ac:dyDescent="0.2">
      <c r="A90" s="121"/>
      <c r="B90" s="112" t="s">
        <v>11</v>
      </c>
      <c r="C90" s="95"/>
      <c r="D90" s="95">
        <f t="shared" ref="D90:G90" si="57">D88+D89</f>
        <v>0</v>
      </c>
      <c r="E90" s="95">
        <f t="shared" si="57"/>
        <v>0</v>
      </c>
      <c r="F90" s="95">
        <f t="shared" si="57"/>
        <v>0</v>
      </c>
      <c r="G90" s="95">
        <f t="shared" si="57"/>
        <v>0</v>
      </c>
      <c r="H90" s="95">
        <f t="shared" ref="H90:AD90" si="58">H88+H89</f>
        <v>0</v>
      </c>
      <c r="I90" s="95">
        <f t="shared" si="58"/>
        <v>0</v>
      </c>
      <c r="J90" s="95">
        <f t="shared" si="58"/>
        <v>0</v>
      </c>
      <c r="K90" s="95">
        <f t="shared" si="58"/>
        <v>0</v>
      </c>
      <c r="L90" s="95">
        <f t="shared" si="58"/>
        <v>0</v>
      </c>
      <c r="M90" s="95">
        <f t="shared" si="58"/>
        <v>0</v>
      </c>
      <c r="N90" s="95">
        <f t="shared" si="58"/>
        <v>896268634053</v>
      </c>
      <c r="O90" s="95">
        <f t="shared" si="58"/>
        <v>253318932209</v>
      </c>
      <c r="P90" s="95">
        <f t="shared" si="58"/>
        <v>455537871378</v>
      </c>
      <c r="Q90" s="95">
        <f t="shared" si="58"/>
        <v>607465758063</v>
      </c>
      <c r="R90" s="95">
        <f t="shared" si="58"/>
        <v>877912102678</v>
      </c>
      <c r="S90" s="87">
        <f t="shared" si="58"/>
        <v>239429127278</v>
      </c>
      <c r="T90" s="87">
        <f t="shared" si="58"/>
        <v>501985582475</v>
      </c>
      <c r="U90" s="87">
        <f t="shared" si="58"/>
        <v>746709745985</v>
      </c>
      <c r="V90" s="87">
        <f t="shared" si="58"/>
        <v>983439121699</v>
      </c>
      <c r="W90" s="82">
        <f t="shared" si="58"/>
        <v>286457003391</v>
      </c>
      <c r="X90" s="82">
        <f t="shared" si="58"/>
        <v>520163526546</v>
      </c>
      <c r="Y90" s="82">
        <f t="shared" si="58"/>
        <v>777768549454</v>
      </c>
      <c r="Z90" s="82">
        <f t="shared" si="58"/>
        <v>1006977089624</v>
      </c>
      <c r="AA90" s="87">
        <f t="shared" si="58"/>
        <v>267285875834</v>
      </c>
      <c r="AB90" s="87">
        <f t="shared" si="58"/>
        <v>470994453475</v>
      </c>
      <c r="AC90" s="87">
        <f t="shared" si="58"/>
        <v>731104813047</v>
      </c>
      <c r="AD90" s="87">
        <f t="shared" si="58"/>
        <v>962962605346</v>
      </c>
      <c r="AE90" s="82">
        <f t="shared" ref="AE90:AG90" si="59">AE88+AE89</f>
        <v>261061465893</v>
      </c>
      <c r="AF90" s="82">
        <f t="shared" si="59"/>
        <v>480583602357</v>
      </c>
      <c r="AG90" s="82">
        <f t="shared" si="59"/>
        <v>720958117687</v>
      </c>
      <c r="AH90" s="82">
        <f>AH88+AH89</f>
        <v>930213911094</v>
      </c>
    </row>
    <row r="91" spans="1:34" x14ac:dyDescent="0.2">
      <c r="A91" s="196" t="s">
        <v>12</v>
      </c>
      <c r="B91" s="196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97">
        <v>-488014707377</v>
      </c>
      <c r="O91" s="97">
        <v>-110606495456</v>
      </c>
      <c r="P91" s="97">
        <v>-264799632124</v>
      </c>
      <c r="Q91" s="97">
        <v>-354617987827</v>
      </c>
      <c r="R91" s="97">
        <v>-486983280575</v>
      </c>
      <c r="S91" s="89">
        <v>-116244329023</v>
      </c>
      <c r="T91" s="89">
        <v>-293741293031</v>
      </c>
      <c r="U91" s="89">
        <v>-397683397702</v>
      </c>
      <c r="V91" s="89">
        <v>-557095829636</v>
      </c>
      <c r="W91" s="84">
        <v>-135096938334</v>
      </c>
      <c r="X91" s="84">
        <v>-300097903930</v>
      </c>
      <c r="Y91" s="84">
        <v>-422323360628</v>
      </c>
      <c r="Z91" s="84">
        <v>-568987731498</v>
      </c>
      <c r="AA91" s="89">
        <v>-126234958671</v>
      </c>
      <c r="AB91" s="89">
        <v>-251578257849</v>
      </c>
      <c r="AC91" s="89">
        <v>-389459445183</v>
      </c>
      <c r="AD91" s="89">
        <v>-548089824378</v>
      </c>
      <c r="AE91" s="84">
        <v>-109504487412</v>
      </c>
      <c r="AF91" s="84">
        <v>-247964810670</v>
      </c>
      <c r="AG91" s="84">
        <v>-379938471802</v>
      </c>
      <c r="AH91" s="84">
        <v>-510131022209</v>
      </c>
    </row>
    <row r="92" spans="1:34" x14ac:dyDescent="0.2">
      <c r="A92" s="196" t="s">
        <v>13</v>
      </c>
      <c r="B92" s="196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97">
        <v>-153757471107</v>
      </c>
      <c r="O92" s="97">
        <v>-41255896664</v>
      </c>
      <c r="P92" s="97">
        <v>-89604555680</v>
      </c>
      <c r="Q92" s="97">
        <v>-128692993005</v>
      </c>
      <c r="R92" s="97">
        <v>-172248605835</v>
      </c>
      <c r="S92" s="89">
        <v>-46743322545</v>
      </c>
      <c r="T92" s="89">
        <v>-100264670942</v>
      </c>
      <c r="U92" s="89">
        <v>-146105245052</v>
      </c>
      <c r="V92" s="89">
        <v>-190489640668</v>
      </c>
      <c r="W92" s="84">
        <v>-53717564655</v>
      </c>
      <c r="X92" s="84">
        <v>-107382427020</v>
      </c>
      <c r="Y92" s="84">
        <v>-159411328469</v>
      </c>
      <c r="Z92" s="84">
        <v>-212668813623</v>
      </c>
      <c r="AA92" s="89">
        <v>-56693981992</v>
      </c>
      <c r="AB92" s="89">
        <v>-112184576529</v>
      </c>
      <c r="AC92" s="89">
        <v>-166170815059</v>
      </c>
      <c r="AD92" s="89">
        <v>-229749812470</v>
      </c>
      <c r="AE92" s="84">
        <v>-61695359830</v>
      </c>
      <c r="AF92" s="84">
        <v>-119108714674</v>
      </c>
      <c r="AG92" s="84">
        <v>-176563727844</v>
      </c>
      <c r="AH92" s="84">
        <v>-229289192021</v>
      </c>
    </row>
    <row r="93" spans="1:34" x14ac:dyDescent="0.2">
      <c r="A93" s="196" t="s">
        <v>42</v>
      </c>
      <c r="B93" s="196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97">
        <v>0</v>
      </c>
      <c r="R93" s="97">
        <v>0</v>
      </c>
      <c r="V93" s="89">
        <v>0</v>
      </c>
      <c r="Z93" s="84">
        <v>0</v>
      </c>
      <c r="AD93" s="89">
        <v>0</v>
      </c>
      <c r="AH93" s="84">
        <v>0</v>
      </c>
    </row>
    <row r="94" spans="1:34" x14ac:dyDescent="0.2">
      <c r="A94" s="121"/>
      <c r="B94" s="112" t="s">
        <v>14</v>
      </c>
      <c r="C94" s="95"/>
      <c r="D94" s="95">
        <f t="shared" ref="D94:V94" si="60">D90+D91+D92+D93</f>
        <v>0</v>
      </c>
      <c r="E94" s="95">
        <f t="shared" si="60"/>
        <v>0</v>
      </c>
      <c r="F94" s="95">
        <f t="shared" si="60"/>
        <v>0</v>
      </c>
      <c r="G94" s="95">
        <f t="shared" si="60"/>
        <v>0</v>
      </c>
      <c r="H94" s="95">
        <f t="shared" si="60"/>
        <v>0</v>
      </c>
      <c r="I94" s="95">
        <f t="shared" si="60"/>
        <v>0</v>
      </c>
      <c r="J94" s="95">
        <f t="shared" si="60"/>
        <v>0</v>
      </c>
      <c r="K94" s="95">
        <f t="shared" si="60"/>
        <v>0</v>
      </c>
      <c r="L94" s="95">
        <f t="shared" si="60"/>
        <v>0</v>
      </c>
      <c r="M94" s="95">
        <f t="shared" si="60"/>
        <v>0</v>
      </c>
      <c r="N94" s="95">
        <f t="shared" si="60"/>
        <v>254496455569</v>
      </c>
      <c r="O94" s="95">
        <f t="shared" si="60"/>
        <v>101456540089</v>
      </c>
      <c r="P94" s="95">
        <f t="shared" si="60"/>
        <v>101133683574</v>
      </c>
      <c r="Q94" s="95">
        <f t="shared" si="60"/>
        <v>124154777231</v>
      </c>
      <c r="R94" s="95">
        <f t="shared" si="60"/>
        <v>218680216268</v>
      </c>
      <c r="S94" s="87">
        <f t="shared" si="60"/>
        <v>76441475710</v>
      </c>
      <c r="T94" s="87">
        <f t="shared" si="60"/>
        <v>107979618502</v>
      </c>
      <c r="U94" s="87">
        <f t="shared" si="60"/>
        <v>202921103231</v>
      </c>
      <c r="V94" s="87">
        <f t="shared" si="60"/>
        <v>235853651395</v>
      </c>
      <c r="W94" s="82">
        <f t="shared" ref="W94:AH94" si="61">W90+W91+W92+W93</f>
        <v>97642500402</v>
      </c>
      <c r="X94" s="82">
        <f t="shared" si="61"/>
        <v>112683195596</v>
      </c>
      <c r="Y94" s="82">
        <f t="shared" si="61"/>
        <v>196033860357</v>
      </c>
      <c r="Z94" s="82">
        <f t="shared" si="61"/>
        <v>225320544503</v>
      </c>
      <c r="AA94" s="87">
        <f t="shared" si="61"/>
        <v>84356935171</v>
      </c>
      <c r="AB94" s="87">
        <f t="shared" si="61"/>
        <v>107231619097</v>
      </c>
      <c r="AC94" s="87">
        <f t="shared" si="61"/>
        <v>175474552805</v>
      </c>
      <c r="AD94" s="87">
        <f t="shared" si="61"/>
        <v>185122968498</v>
      </c>
      <c r="AE94" s="82">
        <f t="shared" si="61"/>
        <v>89861618651</v>
      </c>
      <c r="AF94" s="82">
        <f t="shared" si="61"/>
        <v>113510077013</v>
      </c>
      <c r="AG94" s="82">
        <f t="shared" si="61"/>
        <v>164455918041</v>
      </c>
      <c r="AH94" s="82">
        <f t="shared" si="61"/>
        <v>190793696864</v>
      </c>
    </row>
    <row r="95" spans="1:34" x14ac:dyDescent="0.2">
      <c r="A95" s="201" t="s">
        <v>87</v>
      </c>
      <c r="B95" s="201"/>
      <c r="N95" s="97">
        <v>-15067625957</v>
      </c>
      <c r="O95" s="97">
        <v>-14465259196</v>
      </c>
      <c r="P95" s="97">
        <v>426469268159</v>
      </c>
      <c r="Q95" s="97">
        <f>428099263613+(-1*89762087077)</f>
        <v>338337176536</v>
      </c>
      <c r="R95" s="97">
        <v>364441731226</v>
      </c>
      <c r="S95" s="89">
        <v>-3289293640</v>
      </c>
      <c r="T95" s="89">
        <v>-3099796074</v>
      </c>
      <c r="U95" s="89">
        <f>-7018659682+1052564737</f>
        <v>-5966094945</v>
      </c>
      <c r="V95" s="89">
        <v>-14377793752</v>
      </c>
      <c r="W95" s="84">
        <v>-74838181</v>
      </c>
      <c r="X95" s="84">
        <v>17289223141</v>
      </c>
      <c r="Y95" s="84">
        <v>22790726607</v>
      </c>
      <c r="Z95" s="84">
        <v>17762501284</v>
      </c>
      <c r="AA95" s="89">
        <v>6880785924</v>
      </c>
      <c r="AB95" s="89">
        <v>18016144038</v>
      </c>
      <c r="AC95" s="89">
        <v>28552782144</v>
      </c>
      <c r="AD95" s="89">
        <v>49502986166</v>
      </c>
      <c r="AE95" s="84">
        <v>5482068398</v>
      </c>
      <c r="AF95" s="84">
        <v>14137476063</v>
      </c>
      <c r="AG95" s="84">
        <v>18495981569</v>
      </c>
      <c r="AH95" s="84">
        <v>10198661230</v>
      </c>
    </row>
    <row r="96" spans="1:34" x14ac:dyDescent="0.2">
      <c r="A96" s="121"/>
      <c r="B96" s="112" t="s">
        <v>17</v>
      </c>
      <c r="C96" s="95"/>
      <c r="D96" s="95">
        <f t="shared" ref="D96:AH96" si="62">D94+D95</f>
        <v>0</v>
      </c>
      <c r="E96" s="95">
        <f t="shared" si="62"/>
        <v>0</v>
      </c>
      <c r="F96" s="95">
        <f t="shared" si="62"/>
        <v>0</v>
      </c>
      <c r="G96" s="95">
        <f t="shared" si="62"/>
        <v>0</v>
      </c>
      <c r="H96" s="95">
        <f t="shared" si="62"/>
        <v>0</v>
      </c>
      <c r="I96" s="95">
        <f t="shared" si="62"/>
        <v>0</v>
      </c>
      <c r="J96" s="95">
        <f t="shared" si="62"/>
        <v>0</v>
      </c>
      <c r="K96" s="95">
        <f t="shared" si="62"/>
        <v>0</v>
      </c>
      <c r="L96" s="95">
        <f t="shared" si="62"/>
        <v>0</v>
      </c>
      <c r="M96" s="95">
        <f t="shared" si="62"/>
        <v>0</v>
      </c>
      <c r="N96" s="95">
        <f t="shared" si="62"/>
        <v>239428829612</v>
      </c>
      <c r="O96" s="95">
        <f t="shared" si="62"/>
        <v>86991280893</v>
      </c>
      <c r="P96" s="95">
        <f t="shared" si="62"/>
        <v>527602951733</v>
      </c>
      <c r="Q96" s="95">
        <f t="shared" si="62"/>
        <v>462491953767</v>
      </c>
      <c r="R96" s="95">
        <f t="shared" si="62"/>
        <v>583121947494</v>
      </c>
      <c r="S96" s="87">
        <f t="shared" si="62"/>
        <v>73152182070</v>
      </c>
      <c r="T96" s="87">
        <f t="shared" si="62"/>
        <v>104879822428</v>
      </c>
      <c r="U96" s="87">
        <f t="shared" si="62"/>
        <v>196955008286</v>
      </c>
      <c r="V96" s="87">
        <f t="shared" si="62"/>
        <v>221475857643</v>
      </c>
      <c r="W96" s="82">
        <f t="shared" si="62"/>
        <v>97567662221</v>
      </c>
      <c r="X96" s="82">
        <f t="shared" si="62"/>
        <v>129972418737</v>
      </c>
      <c r="Y96" s="82">
        <f t="shared" si="62"/>
        <v>218824586964</v>
      </c>
      <c r="Z96" s="82">
        <f t="shared" si="62"/>
        <v>243083045787</v>
      </c>
      <c r="AA96" s="87">
        <f t="shared" si="62"/>
        <v>91237721095</v>
      </c>
      <c r="AB96" s="87">
        <f t="shared" si="62"/>
        <v>125247763135</v>
      </c>
      <c r="AC96" s="87">
        <f t="shared" si="62"/>
        <v>204027334949</v>
      </c>
      <c r="AD96" s="87">
        <f t="shared" si="62"/>
        <v>234625954664</v>
      </c>
      <c r="AE96" s="82">
        <f t="shared" si="62"/>
        <v>95343687049</v>
      </c>
      <c r="AF96" s="82">
        <f t="shared" si="62"/>
        <v>127647553076</v>
      </c>
      <c r="AG96" s="82">
        <f t="shared" si="62"/>
        <v>182951899610</v>
      </c>
      <c r="AH96" s="82">
        <f t="shared" si="62"/>
        <v>200992358094</v>
      </c>
    </row>
    <row r="97" spans="1:34" x14ac:dyDescent="0.2">
      <c r="A97" s="196" t="s">
        <v>18</v>
      </c>
      <c r="B97" s="196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97">
        <v>-65114435511</v>
      </c>
      <c r="O97" s="97">
        <v>-24721344459</v>
      </c>
      <c r="P97" s="97">
        <v>-21627464927</v>
      </c>
      <c r="Q97" s="97">
        <v>-7344964595</v>
      </c>
      <c r="R97" s="97">
        <v>-38647669480</v>
      </c>
      <c r="S97" s="89">
        <v>-18370008988</v>
      </c>
      <c r="T97" s="89">
        <v>-27269770056</v>
      </c>
      <c r="U97" s="89">
        <v>-52681043356</v>
      </c>
      <c r="V97" s="89">
        <v>-59416261296</v>
      </c>
      <c r="W97" s="84">
        <v>-24520453140</v>
      </c>
      <c r="X97" s="84">
        <v>-31546918938</v>
      </c>
      <c r="Y97" s="84">
        <v>-57188883556</v>
      </c>
      <c r="Z97" s="84">
        <v>-63956663719</v>
      </c>
      <c r="AA97" s="89">
        <v>-23135474668</v>
      </c>
      <c r="AB97" s="89">
        <v>-31574270093</v>
      </c>
      <c r="AC97" s="89">
        <v>-53700581386</v>
      </c>
      <c r="AD97" s="89">
        <v>-61576511908</v>
      </c>
      <c r="AE97" s="84">
        <v>-23862941478</v>
      </c>
      <c r="AF97" s="84">
        <v>-32932952523</v>
      </c>
      <c r="AG97" s="84">
        <v>-48612826718</v>
      </c>
      <c r="AH97" s="84">
        <v>-55843013533</v>
      </c>
    </row>
    <row r="98" spans="1:34" x14ac:dyDescent="0.2">
      <c r="A98" s="122"/>
      <c r="B98" s="123" t="s">
        <v>19</v>
      </c>
      <c r="C98" s="98"/>
      <c r="D98" s="98">
        <f t="shared" ref="D98:AD98" si="63">D96+D97</f>
        <v>0</v>
      </c>
      <c r="E98" s="98">
        <f t="shared" si="63"/>
        <v>0</v>
      </c>
      <c r="F98" s="98">
        <f t="shared" si="63"/>
        <v>0</v>
      </c>
      <c r="G98" s="98">
        <f t="shared" si="63"/>
        <v>0</v>
      </c>
      <c r="H98" s="98">
        <f t="shared" si="63"/>
        <v>0</v>
      </c>
      <c r="I98" s="98">
        <f t="shared" si="63"/>
        <v>0</v>
      </c>
      <c r="J98" s="98">
        <f t="shared" si="63"/>
        <v>0</v>
      </c>
      <c r="K98" s="98">
        <f t="shared" si="63"/>
        <v>0</v>
      </c>
      <c r="L98" s="98">
        <f t="shared" si="63"/>
        <v>0</v>
      </c>
      <c r="M98" s="98">
        <f t="shared" si="63"/>
        <v>0</v>
      </c>
      <c r="N98" s="98">
        <f t="shared" si="63"/>
        <v>174314394101</v>
      </c>
      <c r="O98" s="98">
        <f t="shared" si="63"/>
        <v>62269936434</v>
      </c>
      <c r="P98" s="98">
        <f t="shared" si="63"/>
        <v>505975486806</v>
      </c>
      <c r="Q98" s="98">
        <f t="shared" si="63"/>
        <v>455146989172</v>
      </c>
      <c r="R98" s="98">
        <f t="shared" si="63"/>
        <v>544474278014</v>
      </c>
      <c r="S98" s="90">
        <f t="shared" si="63"/>
        <v>54782173082</v>
      </c>
      <c r="T98" s="90">
        <f t="shared" si="63"/>
        <v>77610052372</v>
      </c>
      <c r="U98" s="90">
        <f t="shared" si="63"/>
        <v>144273964930</v>
      </c>
      <c r="V98" s="90">
        <f t="shared" si="63"/>
        <v>162059596347</v>
      </c>
      <c r="W98" s="85">
        <f t="shared" si="63"/>
        <v>73047209081</v>
      </c>
      <c r="X98" s="85">
        <f t="shared" si="63"/>
        <v>98425499799</v>
      </c>
      <c r="Y98" s="85">
        <f t="shared" si="63"/>
        <v>161635703408</v>
      </c>
      <c r="Z98" s="85">
        <f t="shared" si="63"/>
        <v>179126382068</v>
      </c>
      <c r="AA98" s="90">
        <f t="shared" si="63"/>
        <v>68102246427</v>
      </c>
      <c r="AB98" s="90">
        <f t="shared" si="63"/>
        <v>93673493042</v>
      </c>
      <c r="AC98" s="90">
        <f t="shared" si="63"/>
        <v>150326753563</v>
      </c>
      <c r="AD98" s="90">
        <f t="shared" si="63"/>
        <v>173049442756</v>
      </c>
      <c r="AE98" s="85">
        <f t="shared" ref="AE98:AG98" si="64">AE96+AE97</f>
        <v>71480745571</v>
      </c>
      <c r="AF98" s="85">
        <f t="shared" si="64"/>
        <v>94714600553</v>
      </c>
      <c r="AG98" s="85">
        <f t="shared" si="64"/>
        <v>134339072892</v>
      </c>
      <c r="AH98" s="85">
        <f>AH96+AH97</f>
        <v>145149344561</v>
      </c>
    </row>
    <row r="99" spans="1:34" x14ac:dyDescent="0.2">
      <c r="A99" s="200" t="s">
        <v>21</v>
      </c>
      <c r="B99" s="200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95"/>
      <c r="O99" s="95"/>
      <c r="P99" s="95"/>
      <c r="Q99" s="95"/>
      <c r="R99" s="95"/>
      <c r="S99" s="87"/>
      <c r="T99" s="87"/>
      <c r="U99" s="87"/>
      <c r="V99" s="87"/>
      <c r="W99" s="82"/>
      <c r="X99" s="82"/>
      <c r="Y99" s="82"/>
      <c r="Z99" s="82"/>
      <c r="AA99" s="87"/>
      <c r="AB99" s="87"/>
      <c r="AC99" s="87"/>
      <c r="AD99" s="87"/>
      <c r="AE99" s="82"/>
      <c r="AF99" s="82"/>
      <c r="AG99" s="82"/>
      <c r="AH99" s="82"/>
    </row>
    <row r="100" spans="1:34" x14ac:dyDescent="0.2">
      <c r="A100" s="196" t="s">
        <v>22</v>
      </c>
      <c r="B100" s="196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</row>
    <row r="101" spans="1:34" ht="25.5" x14ac:dyDescent="0.2">
      <c r="B101" s="125" t="s">
        <v>23</v>
      </c>
      <c r="N101" s="97">
        <v>0</v>
      </c>
      <c r="R101" s="97">
        <v>0</v>
      </c>
      <c r="V101" s="89">
        <v>0</v>
      </c>
      <c r="Z101" s="84">
        <v>0</v>
      </c>
      <c r="AD101" s="89">
        <v>0</v>
      </c>
    </row>
    <row r="102" spans="1:34" ht="25.5" x14ac:dyDescent="0.2">
      <c r="B102" s="125" t="s">
        <v>24</v>
      </c>
      <c r="N102" s="97">
        <v>0</v>
      </c>
      <c r="R102" s="97">
        <v>0</v>
      </c>
      <c r="V102" s="89">
        <v>0</v>
      </c>
      <c r="Z102" s="84">
        <v>0</v>
      </c>
      <c r="AD102" s="89">
        <v>0</v>
      </c>
    </row>
    <row r="103" spans="1:34" x14ac:dyDescent="0.2">
      <c r="A103" s="200" t="s">
        <v>25</v>
      </c>
      <c r="B103" s="200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95">
        <f>N101+N102</f>
        <v>0</v>
      </c>
      <c r="O103" s="95"/>
      <c r="P103" s="95"/>
      <c r="Q103" s="95"/>
      <c r="R103" s="95">
        <f>R101+R102</f>
        <v>0</v>
      </c>
      <c r="S103" s="87"/>
      <c r="T103" s="87"/>
      <c r="U103" s="87"/>
      <c r="V103" s="87">
        <f t="shared" ref="V103:AD103" si="65">V101+V102</f>
        <v>0</v>
      </c>
      <c r="W103" s="82"/>
      <c r="X103" s="82"/>
      <c r="Y103" s="82"/>
      <c r="Z103" s="82">
        <f t="shared" si="65"/>
        <v>0</v>
      </c>
      <c r="AA103" s="87"/>
      <c r="AB103" s="87"/>
      <c r="AC103" s="87"/>
      <c r="AD103" s="87">
        <f t="shared" si="65"/>
        <v>0</v>
      </c>
      <c r="AE103" s="82"/>
      <c r="AF103" s="82"/>
      <c r="AG103" s="82"/>
      <c r="AH103" s="82"/>
    </row>
    <row r="104" spans="1:34" x14ac:dyDescent="0.2">
      <c r="A104" s="200" t="s">
        <v>26</v>
      </c>
      <c r="B104" s="200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95">
        <f>N98+N103</f>
        <v>174314394101</v>
      </c>
      <c r="O104" s="95"/>
      <c r="P104" s="95"/>
      <c r="Q104" s="95"/>
      <c r="R104" s="95">
        <f>R98+R103</f>
        <v>544474278014</v>
      </c>
      <c r="S104" s="87"/>
      <c r="T104" s="87"/>
      <c r="U104" s="87"/>
      <c r="V104" s="87">
        <f t="shared" ref="V104:AD104" si="66">V98+V103</f>
        <v>162059596347</v>
      </c>
      <c r="W104" s="82"/>
      <c r="X104" s="82"/>
      <c r="Y104" s="82"/>
      <c r="Z104" s="82">
        <f t="shared" si="66"/>
        <v>179126382068</v>
      </c>
      <c r="AA104" s="87"/>
      <c r="AB104" s="87"/>
      <c r="AC104" s="87"/>
      <c r="AD104" s="87">
        <f t="shared" si="66"/>
        <v>173049442756</v>
      </c>
      <c r="AE104" s="82"/>
      <c r="AF104" s="82"/>
      <c r="AG104" s="82"/>
      <c r="AH104" s="82"/>
    </row>
    <row r="105" spans="1:34" x14ac:dyDescent="0.2">
      <c r="A105" s="201" t="s">
        <v>29</v>
      </c>
      <c r="B105" s="201"/>
      <c r="N105" s="97">
        <v>0</v>
      </c>
      <c r="R105" s="97">
        <v>0</v>
      </c>
      <c r="V105" s="89">
        <v>0</v>
      </c>
      <c r="Z105" s="84">
        <v>0</v>
      </c>
      <c r="AD105" s="89">
        <v>0</v>
      </c>
    </row>
    <row r="106" spans="1:34" x14ac:dyDescent="0.2">
      <c r="A106" s="200" t="s">
        <v>27</v>
      </c>
      <c r="B106" s="200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95">
        <v>17</v>
      </c>
      <c r="O106" s="95">
        <v>310</v>
      </c>
      <c r="P106" s="95">
        <v>2516</v>
      </c>
      <c r="Q106" s="95">
        <v>2264</v>
      </c>
      <c r="R106" s="95">
        <v>2708</v>
      </c>
      <c r="S106" s="87">
        <v>272</v>
      </c>
      <c r="T106" s="87">
        <v>386</v>
      </c>
      <c r="U106" s="87">
        <v>718</v>
      </c>
      <c r="V106" s="87">
        <v>806</v>
      </c>
      <c r="W106" s="82">
        <v>363</v>
      </c>
      <c r="X106" s="82">
        <v>490</v>
      </c>
      <c r="Y106" s="82">
        <v>804</v>
      </c>
      <c r="Z106" s="82">
        <v>891</v>
      </c>
      <c r="AA106" s="87">
        <v>339</v>
      </c>
      <c r="AB106" s="87">
        <v>466</v>
      </c>
      <c r="AC106" s="87">
        <v>748</v>
      </c>
      <c r="AD106" s="87">
        <v>861</v>
      </c>
      <c r="AE106" s="82">
        <v>356</v>
      </c>
      <c r="AF106" s="82">
        <v>471</v>
      </c>
      <c r="AG106" s="82">
        <v>668</v>
      </c>
      <c r="AH106" s="82">
        <v>722</v>
      </c>
    </row>
  </sheetData>
  <mergeCells count="59">
    <mergeCell ref="A95:B95"/>
    <mergeCell ref="O1:R1"/>
    <mergeCell ref="S1:V1"/>
    <mergeCell ref="A105:B105"/>
    <mergeCell ref="A106:B106"/>
    <mergeCell ref="A97:B97"/>
    <mergeCell ref="A99:B99"/>
    <mergeCell ref="A100:B100"/>
    <mergeCell ref="A103:B103"/>
    <mergeCell ref="A104:B104"/>
    <mergeCell ref="A91:B91"/>
    <mergeCell ref="A92:B92"/>
    <mergeCell ref="A93:B93"/>
    <mergeCell ref="A79:B79"/>
    <mergeCell ref="A80:B80"/>
    <mergeCell ref="A81:B81"/>
    <mergeCell ref="A88:B88"/>
    <mergeCell ref="A89:B89"/>
    <mergeCell ref="A70:B70"/>
    <mergeCell ref="A72:B72"/>
    <mergeCell ref="A74:B74"/>
    <mergeCell ref="A75:B75"/>
    <mergeCell ref="A78:B78"/>
    <mergeCell ref="A62:B62"/>
    <mergeCell ref="A64:B64"/>
    <mergeCell ref="A65:B65"/>
    <mergeCell ref="A66:B66"/>
    <mergeCell ref="A69:B69"/>
    <mergeCell ref="A67:B67"/>
    <mergeCell ref="A51:B51"/>
    <mergeCell ref="A52:B52"/>
    <mergeCell ref="A53:B53"/>
    <mergeCell ref="A54:B54"/>
    <mergeCell ref="A61:B61"/>
    <mergeCell ref="A42:B42"/>
    <mergeCell ref="A43:B43"/>
    <mergeCell ref="A45:B45"/>
    <mergeCell ref="A47:B47"/>
    <mergeCell ref="A48:B48"/>
    <mergeCell ref="A34:B34"/>
    <mergeCell ref="A35:B35"/>
    <mergeCell ref="A37:B37"/>
    <mergeCell ref="A38:B38"/>
    <mergeCell ref="A40:B40"/>
    <mergeCell ref="A39:B39"/>
    <mergeCell ref="A20:B20"/>
    <mergeCell ref="A19:B19"/>
    <mergeCell ref="A23:B23"/>
    <mergeCell ref="A24:B24"/>
    <mergeCell ref="A26:B26"/>
    <mergeCell ref="A25:B25"/>
    <mergeCell ref="A7:B7"/>
    <mergeCell ref="A8:B8"/>
    <mergeCell ref="A10:B10"/>
    <mergeCell ref="A11:B11"/>
    <mergeCell ref="A17:B17"/>
    <mergeCell ref="A15:B15"/>
    <mergeCell ref="A14:B14"/>
    <mergeCell ref="A12: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zoomScale="85" zoomScaleNormal="85" workbookViewId="0">
      <selection activeCell="B7" sqref="B7"/>
    </sheetView>
  </sheetViews>
  <sheetFormatPr defaultRowHeight="15" x14ac:dyDescent="0.25"/>
  <cols>
    <col min="1" max="1" width="9.140625" style="137"/>
    <col min="2" max="13" width="7.140625" style="137" customWidth="1"/>
    <col min="14" max="17" width="7.140625" style="138" customWidth="1"/>
    <col min="18" max="33" width="7.140625" style="137" customWidth="1"/>
    <col min="34" max="16384" width="9.140625" style="137"/>
  </cols>
  <sheetData>
    <row r="2" spans="1:33" x14ac:dyDescent="0.25">
      <c r="A2" s="137" t="str">
        <f>BALANCE_SHEET!B5</f>
        <v>PT. UNILEVER INDONESIA Tbk</v>
      </c>
    </row>
    <row r="3" spans="1:33" x14ac:dyDescent="0.25">
      <c r="B3" s="207" t="s">
        <v>141</v>
      </c>
      <c r="C3" s="207"/>
      <c r="D3" s="207"/>
      <c r="E3" s="207"/>
      <c r="F3" s="207" t="s">
        <v>140</v>
      </c>
      <c r="G3" s="207"/>
      <c r="H3" s="207"/>
      <c r="I3" s="207"/>
      <c r="J3" s="207" t="s">
        <v>139</v>
      </c>
      <c r="K3" s="207"/>
      <c r="L3" s="207"/>
      <c r="M3" s="207"/>
      <c r="N3" s="207" t="s">
        <v>94</v>
      </c>
      <c r="O3" s="207"/>
      <c r="P3" s="207"/>
      <c r="Q3" s="207"/>
      <c r="R3" s="207" t="s">
        <v>98</v>
      </c>
      <c r="S3" s="207"/>
      <c r="T3" s="207"/>
      <c r="U3" s="207"/>
      <c r="V3" s="207" t="s">
        <v>97</v>
      </c>
      <c r="W3" s="207"/>
      <c r="X3" s="207"/>
      <c r="Y3" s="207"/>
      <c r="Z3" s="207" t="s">
        <v>96</v>
      </c>
      <c r="AA3" s="207"/>
      <c r="AB3" s="207"/>
      <c r="AC3" s="207"/>
      <c r="AD3" s="207" t="s">
        <v>95</v>
      </c>
      <c r="AE3" s="207"/>
      <c r="AF3" s="207"/>
      <c r="AG3" s="207"/>
    </row>
    <row r="4" spans="1:33" x14ac:dyDescent="0.25">
      <c r="A4" s="137" t="s">
        <v>56</v>
      </c>
      <c r="B4" s="138" t="s">
        <v>62</v>
      </c>
      <c r="C4" s="138" t="s">
        <v>63</v>
      </c>
      <c r="D4" s="138" t="s">
        <v>64</v>
      </c>
      <c r="E4" s="138" t="s">
        <v>93</v>
      </c>
      <c r="F4" s="138" t="s">
        <v>62</v>
      </c>
      <c r="G4" s="138" t="s">
        <v>63</v>
      </c>
      <c r="H4" s="138" t="s">
        <v>64</v>
      </c>
      <c r="I4" s="138" t="s">
        <v>93</v>
      </c>
      <c r="J4" s="138" t="s">
        <v>62</v>
      </c>
      <c r="K4" s="138" t="s">
        <v>63</v>
      </c>
      <c r="L4" s="138" t="s">
        <v>64</v>
      </c>
      <c r="M4" s="138" t="s">
        <v>93</v>
      </c>
      <c r="N4" s="138" t="s">
        <v>62</v>
      </c>
      <c r="O4" s="138" t="s">
        <v>63</v>
      </c>
      <c r="P4" s="138" t="s">
        <v>64</v>
      </c>
      <c r="Q4" s="138" t="s">
        <v>93</v>
      </c>
      <c r="R4" s="138" t="s">
        <v>62</v>
      </c>
      <c r="S4" s="138" t="s">
        <v>63</v>
      </c>
      <c r="T4" s="138" t="s">
        <v>64</v>
      </c>
      <c r="U4" s="138" t="s">
        <v>93</v>
      </c>
      <c r="V4" s="138" t="s">
        <v>62</v>
      </c>
      <c r="W4" s="138" t="s">
        <v>63</v>
      </c>
      <c r="X4" s="138" t="s">
        <v>64</v>
      </c>
      <c r="Y4" s="138" t="s">
        <v>93</v>
      </c>
      <c r="Z4" s="138" t="s">
        <v>62</v>
      </c>
      <c r="AA4" s="138" t="s">
        <v>63</v>
      </c>
      <c r="AB4" s="138" t="s">
        <v>64</v>
      </c>
      <c r="AC4" s="138" t="s">
        <v>93</v>
      </c>
      <c r="AD4" s="138" t="s">
        <v>62</v>
      </c>
      <c r="AE4" s="138" t="s">
        <v>63</v>
      </c>
      <c r="AF4" s="138" t="s">
        <v>64</v>
      </c>
      <c r="AG4" s="138" t="s">
        <v>93</v>
      </c>
    </row>
    <row r="5" spans="1:33" s="145" customFormat="1" x14ac:dyDescent="0.25">
      <c r="A5" s="145" t="s">
        <v>101</v>
      </c>
      <c r="N5" s="146">
        <f>BALANCE_SHEET!Q6/BALANCE_SHEET!Q10</f>
        <v>0.87285170251942668</v>
      </c>
      <c r="O5" s="146">
        <f>BALANCE_SHEET!R6/BALANCE_SHEET!R10</f>
        <v>0.73093128966474541</v>
      </c>
      <c r="P5" s="146">
        <f>BALANCE_SHEET!S6/BALANCE_SHEET!S10</f>
        <v>0.78966320748846219</v>
      </c>
      <c r="Q5" s="146">
        <f>BALANCE_SHEET!T6/BALANCE_SHEET!T10</f>
        <v>0.65397052907803299</v>
      </c>
      <c r="R5" s="146">
        <f>BALANCE_SHEET!U6/BALANCE_SHEET!U10</f>
        <v>0.77941499971483996</v>
      </c>
      <c r="S5" s="146">
        <f>BALANCE_SHEET!V6/BALANCE_SHEET!V10</f>
        <v>0.71692728822499285</v>
      </c>
      <c r="T5" s="146">
        <f>BALANCE_SHEET!W6/BALANCE_SHEET!W10</f>
        <v>0.71911636008450963</v>
      </c>
      <c r="U5" s="146">
        <f>BALANCE_SHEET!X6/BALANCE_SHEET!X10</f>
        <v>0.60563193447663621</v>
      </c>
      <c r="V5" s="146">
        <f>BALANCE_SHEET!Y6/BALANCE_SHEET!Y10</f>
        <v>0.74969968529888165</v>
      </c>
      <c r="W5" s="146">
        <f>BALANCE_SHEET!Z6/BALANCE_SHEET!Z10</f>
        <v>0.65460839150117744</v>
      </c>
      <c r="X5" s="146">
        <f>BALANCE_SHEET!AA6/BALANCE_SHEET!AA10</f>
        <v>0.71818365689588881</v>
      </c>
      <c r="Y5" s="146">
        <f>BALANCE_SHEET!AB6/BALANCE_SHEET!AB10</f>
        <v>0.60563193447663621</v>
      </c>
      <c r="Z5" s="146">
        <f>BALANCE_SHEET!AC6/BALANCE_SHEET!AC10</f>
        <v>0.77852802025203161</v>
      </c>
      <c r="AA5" s="146">
        <f>BALANCE_SHEET!AD6/BALANCE_SHEET!AD10</f>
        <v>0.65757449831692771</v>
      </c>
      <c r="AB5" s="146">
        <f>BALANCE_SHEET!AE6/BALANCE_SHEET!AE10</f>
        <v>0.89379785220920693</v>
      </c>
      <c r="AC5" s="146">
        <f>BALANCE_SHEET!AF6/BALANCE_SHEET!AF10</f>
        <v>0.63369313415952888</v>
      </c>
      <c r="AD5" s="146">
        <f>BALANCE_SHEET!AG6/BALANCE_SHEET!AG10</f>
        <v>0.66211614254259077</v>
      </c>
      <c r="AE5" s="146">
        <f>BALANCE_SHEET!AH6/BALANCE_SHEET!AH10</f>
        <v>0.91049193574714549</v>
      </c>
      <c r="AF5" s="146">
        <f>BALANCE_SHEET!AI6/BALANCE_SHEET!AI10</f>
        <v>0.74634873045609007</v>
      </c>
      <c r="AG5" s="146">
        <f>BALANCE_SHEET!AJ6/BALANCE_SHEET!AJ10</f>
        <v>0.65289957190446635</v>
      </c>
    </row>
    <row r="6" spans="1:33" s="145" customFormat="1" x14ac:dyDescent="0.25">
      <c r="A6" s="145" t="s">
        <v>103</v>
      </c>
      <c r="N6" s="146">
        <f>(BALANCE_SHEET!Q6-BALANCE_SHEET!Q10)/BALANCE_SHEET!Q8</f>
        <v>-6.632089481615705E-2</v>
      </c>
      <c r="O6" s="146">
        <f>(BALANCE_SHEET!R6-BALANCE_SHEET!R10)/BALANCE_SHEET!R8</f>
        <v>-0.18285742153214651</v>
      </c>
      <c r="P6" s="146">
        <f>(BALANCE_SHEET!S6-BALANCE_SHEET!S10)/BALANCE_SHEET!S8</f>
        <v>-0.12369842520734266</v>
      </c>
      <c r="Q6" s="146">
        <f>(BALANCE_SHEET!T6-BALANCE_SHEET!T10)/BALANCE_SHEET!T8</f>
        <v>-0.22278704725286708</v>
      </c>
      <c r="R6" s="146">
        <f>(BALANCE_SHEET!U6-BALANCE_SHEET!U10)/BALANCE_SHEET!U8</f>
        <v>-0.1251831168597215</v>
      </c>
      <c r="S6" s="146">
        <f>(BALANCE_SHEET!V6-BALANCE_SHEET!V10)/BALANCE_SHEET!V8</f>
        <v>-0.19708140575733704</v>
      </c>
      <c r="T6" s="146">
        <f>(BALANCE_SHEET!W6-BALANCE_SHEET!W10)/BALANCE_SHEET!W8</f>
        <v>-0.16041485794128288</v>
      </c>
      <c r="U6" s="146">
        <f>(BALANCE_SHEET!X6-BALANCE_SHEET!X10)/BALANCE_SHEET!X8</f>
        <v>-0.25618315632764121</v>
      </c>
      <c r="V6" s="146">
        <f>(BALANCE_SHEET!Y6-BALANCE_SHEET!Y10)/BALANCE_SHEET!Y8</f>
        <v>-0.14364161028674508</v>
      </c>
      <c r="W6" s="146">
        <f>(BALANCE_SHEET!Z6-BALANCE_SHEET!Z10)/BALANCE_SHEET!Z8</f>
        <v>-0.23595217704591326</v>
      </c>
      <c r="X6" s="146">
        <f>(BALANCE_SHEET!AA6-BALANCE_SHEET!AA10)/BALANCE_SHEET!AA8</f>
        <v>-0.16602959390757188</v>
      </c>
      <c r="Y6" s="146">
        <f>(BALANCE_SHEET!AB6-BALANCE_SHEET!AB10)/BALANCE_SHEET!AB8</f>
        <v>-0.25618315632764121</v>
      </c>
      <c r="Z6" s="146">
        <f>(BALANCE_SHEET!AC6-BALANCE_SHEET!AC10)/BALANCE_SHEET!AC8</f>
        <v>-0.13085468184099913</v>
      </c>
      <c r="AA6" s="146">
        <f>(BALANCE_SHEET!AD6-BALANCE_SHEET!AD10)/BALANCE_SHEET!AD8</f>
        <v>-0.24042769884720083</v>
      </c>
      <c r="AB6" s="146">
        <f>(BALANCE_SHEET!AE6-BALANCE_SHEET!AE10)/BALANCE_SHEET!AE8</f>
        <v>-5.3584944116791683E-2</v>
      </c>
      <c r="AC6" s="146">
        <f>(BALANCE_SHEET!AF6-BALANCE_SHEET!AF10)/BALANCE_SHEET!AF8</f>
        <v>-0.24281015124339028</v>
      </c>
      <c r="AD6" s="146">
        <f>(BALANCE_SHEET!AG6-BALANCE_SHEET!AG10)/BALANCE_SHEET!AG8</f>
        <v>-0.22883060179487899</v>
      </c>
      <c r="AE6" s="146">
        <f>(BALANCE_SHEET!AH6-BALANCE_SHEET!AH10)/BALANCE_SHEET!AH8</f>
        <v>-4.4659618081288467E-2</v>
      </c>
      <c r="AF6" s="146">
        <f>(BALANCE_SHEET!AI6-BALANCE_SHEET!AI10)/BALANCE_SHEET!AI8</f>
        <v>-0.14514374934719226</v>
      </c>
      <c r="AG6" s="146">
        <f>(BALANCE_SHEET!AJ6-BALANCE_SHEET!AJ10)/BALANCE_SHEET!AJ8</f>
        <v>-0.21961802129469221</v>
      </c>
    </row>
    <row r="7" spans="1:33" s="143" customFormat="1" x14ac:dyDescent="0.25">
      <c r="A7" s="155" t="s">
        <v>51</v>
      </c>
      <c r="B7" s="144">
        <f>((BALANCE_SHEET!E12)/(BALANCE_SHEET!E14))</f>
        <v>1.476542043012018</v>
      </c>
      <c r="C7" s="144">
        <f>((BALANCE_SHEET!F12)/(BALANCE_SHEET!F14))</f>
        <v>2.7137929692726157</v>
      </c>
      <c r="D7" s="144">
        <f>((BALANCE_SHEET!G12)/(BALANCE_SHEET!G14))</f>
        <v>1.4329847113752554</v>
      </c>
      <c r="E7" s="144">
        <f>((BALANCE_SHEET!H12)/(BALANCE_SHEET!H14))</f>
        <v>2.020130204756871</v>
      </c>
      <c r="F7" s="144">
        <f>((BALANCE_SHEET!I12)/(BALANCE_SHEET!I14))</f>
        <v>1.3898935772287266</v>
      </c>
      <c r="G7" s="144">
        <f>((BALANCE_SHEET!J12)/(BALANCE_SHEET!J14))</f>
        <v>2.3444123063219942</v>
      </c>
      <c r="H7" s="144">
        <f>((BALANCE_SHEET!K12)/(BALANCE_SHEET!K14))</f>
        <v>1.4208898593289396</v>
      </c>
      <c r="I7" s="144">
        <f>((BALANCE_SHEET!L12)/(BALANCE_SHEET!L14))</f>
        <v>2.1373027755384082</v>
      </c>
      <c r="J7" s="144">
        <f>((BALANCE_SHEET!M12)/(BALANCE_SHEET!M14))</f>
        <v>1.548979628541731</v>
      </c>
      <c r="K7" s="144">
        <f>((BALANCE_SHEET!N12)/(BALANCE_SHEET!N14))</f>
        <v>2.7353028407996289</v>
      </c>
      <c r="L7" s="144">
        <f>((BALANCE_SHEET!O12)/(BALANCE_SHEET!O14))</f>
        <v>1.7718754094059259</v>
      </c>
      <c r="M7" s="144">
        <f>((BALANCE_SHEET!P12)/(BALANCE_SHEET!P14))</f>
        <v>2.1053157118558783</v>
      </c>
      <c r="N7" s="144">
        <f>((BALANCE_SHEET!Q12)/(BALANCE_SHEET!Q14))</f>
        <v>1.3307127734583866</v>
      </c>
      <c r="O7" s="144">
        <f>((BALANCE_SHEET!R12)/(BALANCE_SHEET!R14))</f>
        <v>2.6610941769999781</v>
      </c>
      <c r="P7" s="144">
        <f>((BALANCE_SHEET!S12)/(BALANCE_SHEET!S14))</f>
        <v>1.7772519909715865</v>
      </c>
      <c r="Q7" s="144">
        <f>((BALANCE_SHEET!T12)/(BALANCE_SHEET!T14))</f>
        <v>2.2584984339266181</v>
      </c>
      <c r="R7" s="144">
        <f>((BALANCE_SHEET!U12)/(BALANCE_SHEET!U14))</f>
        <v>1.6031356488573483</v>
      </c>
      <c r="S7" s="144">
        <f>((BALANCE_SHEET!V12)/(BALANCE_SHEET!V14))</f>
        <v>2.8687948156886272</v>
      </c>
      <c r="T7" s="144">
        <f>((BALANCE_SHEET!W12)/(BALANCE_SHEET!W14))</f>
        <v>1.6405840898746309</v>
      </c>
      <c r="U7" s="144">
        <f>((BALANCE_SHEET!X12)/(BALANCE_SHEET!X14))</f>
        <v>2.5596889031171335</v>
      </c>
      <c r="V7" s="144">
        <f>((BALANCE_SHEET!Y12)/(BALANCE_SHEET!Y14))</f>
        <v>1.7886163431330877</v>
      </c>
      <c r="W7" s="144">
        <f>((BALANCE_SHEET!Z12)/(BALANCE_SHEET!Z14))</f>
        <v>2.9310923064568009</v>
      </c>
      <c r="X7" s="144">
        <f>((BALANCE_SHEET!AA12)/(BALANCE_SHEET!AA14))</f>
        <v>1.9289601357937862</v>
      </c>
      <c r="Y7" s="144">
        <f>((BALANCE_SHEET!AB12)/(BALANCE_SHEET!AB14))</f>
        <v>2.5596889031171335</v>
      </c>
      <c r="Z7" s="144">
        <f>((BALANCE_SHEET!AC12)/(BALANCE_SHEET!AC14))</f>
        <v>1.8865252272400259</v>
      </c>
      <c r="AA7" s="144">
        <f>((BALANCE_SHEET!AD12)/(BALANCE_SHEET!AD14))</f>
        <v>3.0955848124684118</v>
      </c>
      <c r="AB7" s="144">
        <f>((BALANCE_SHEET!AE12)/(BALANCE_SHEET!AE14))</f>
        <v>1.2294095672212357</v>
      </c>
      <c r="AC7" s="144">
        <f>((BALANCE_SHEET!AF12)/(BALANCE_SHEET!AF14))</f>
        <v>2.6545515240689466</v>
      </c>
      <c r="AD7" s="144">
        <f>((BALANCE_SHEET!AG12)/(BALANCE_SHEET!AG14))</f>
        <v>3.3007694455385419</v>
      </c>
      <c r="AE7" s="144">
        <f>((BALANCE_SHEET!AH12)/(BALANCE_SHEET!AH14))</f>
        <v>1.4320311176705887</v>
      </c>
      <c r="AF7" s="144">
        <f>((BALANCE_SHEET!AI12)/(BALANCE_SHEET!AI14))</f>
        <v>2.0219505126906618</v>
      </c>
      <c r="AG7" s="144">
        <f>((BALANCE_SHEET!AJ12)/(BALANCE_SHEET!AJ14))</f>
        <v>2.9094870331712568</v>
      </c>
    </row>
    <row r="8" spans="1:33" s="143" customFormat="1" x14ac:dyDescent="0.25">
      <c r="A8" s="143" t="s">
        <v>100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144">
        <f>BALANCE_SHEET!Q12/BALANCE_SHEET!Q8</f>
        <v>0.57094670291948157</v>
      </c>
      <c r="O8" s="144">
        <f>BALANCE_SHEET!R12/BALANCE_SHEET!R8</f>
        <v>0.72685761369311919</v>
      </c>
      <c r="P8" s="144">
        <f>BALANCE_SHEET!S12/BALANCE_SHEET!S8</f>
        <v>0.6399318451293422</v>
      </c>
      <c r="Q8" s="144">
        <f>BALANCE_SHEET!T12/BALANCE_SHEET!T8</f>
        <v>0.69311017934264874</v>
      </c>
      <c r="R8" s="144">
        <f>BALANCE_SHEET!U12/BALANCE_SHEET!U8</f>
        <v>0.6158479100238391</v>
      </c>
      <c r="S8" s="144">
        <f>BALANCE_SHEET!V12/BALANCE_SHEET!V8</f>
        <v>0.74152157257220563</v>
      </c>
      <c r="T8" s="144">
        <f>BALANCE_SHEET!W12/BALANCE_SHEET!W8</f>
        <v>0.62129590803999812</v>
      </c>
      <c r="U8" s="144">
        <f>BALANCE_SHEET!X12/BALANCE_SHEET!X8</f>
        <v>0.71907657460618979</v>
      </c>
      <c r="V8" s="144">
        <f>BALANCE_SHEET!Y12/BALANCE_SHEET!Y8</f>
        <v>0.64139921848249937</v>
      </c>
      <c r="W8" s="144">
        <f>BALANCE_SHEET!Z12/BALANCE_SHEET!Z8</f>
        <v>0.74561777693250686</v>
      </c>
      <c r="X8" s="144">
        <f>BALANCE_SHEET!AA12/BALANCE_SHEET!AA8</f>
        <v>0.65858190154951113</v>
      </c>
      <c r="Y8" s="144">
        <f>BALANCE_SHEET!AB12/BALANCE_SHEET!AB8</f>
        <v>0.71907657460618979</v>
      </c>
      <c r="Z8" s="144">
        <f>BALANCE_SHEET!AC12/BALANCE_SHEET!AC8</f>
        <v>0.65356270211566525</v>
      </c>
      <c r="AA8" s="144">
        <f>BALANCE_SHEET!AD12/BALANCE_SHEET!AD8</f>
        <v>0.75583462538594104</v>
      </c>
      <c r="AB8" s="144">
        <f>BALANCE_SHEET!AE12/BALANCE_SHEET!AE8</f>
        <v>0.55145074520945347</v>
      </c>
      <c r="AC8" s="144">
        <f>BALANCE_SHEET!AF12/BALANCE_SHEET!AF8</f>
        <v>0.72636861365505978</v>
      </c>
      <c r="AD8" s="144">
        <f>BALANCE_SHEET!AG12/BALANCE_SHEET!AG8</f>
        <v>0.7674834671648435</v>
      </c>
      <c r="AE8" s="144">
        <f>BALANCE_SHEET!AH12/BALANCE_SHEET!AH8</f>
        <v>0.58882105054732814</v>
      </c>
      <c r="AF8" s="144">
        <f>BALANCE_SHEET!AI12/BALANCE_SHEET!AI8</f>
        <v>0.66908789677378688</v>
      </c>
      <c r="AG8" s="144">
        <f>BALANCE_SHEET!AJ12/BALANCE_SHEET!AJ8</f>
        <v>0.74421196655336375</v>
      </c>
    </row>
    <row r="9" spans="1:33" s="141" customFormat="1" x14ac:dyDescent="0.25">
      <c r="A9" s="156" t="s">
        <v>49</v>
      </c>
      <c r="B9" s="142">
        <f>INCOME_STATEMENT!C18/BALANCE_SHEET!E8</f>
        <v>9.6927364707710503E-2</v>
      </c>
      <c r="C9" s="142">
        <f>INCOME_STATEMENT!D18/BALANCE_SHEET!F8</f>
        <v>0.16718656640691773</v>
      </c>
      <c r="D9" s="142">
        <f>INCOME_STATEMENT!E18/BALANCE_SHEET!G8</f>
        <v>0.29412288448394813</v>
      </c>
      <c r="E9" s="142">
        <f>INCOME_STATEMENT!F18/BALANCE_SHEET!H8</f>
        <v>0.40376749930058281</v>
      </c>
      <c r="F9" s="142">
        <f>INCOME_STATEMENT!G18/BALANCE_SHEET!I8</f>
        <v>0.76106116591355655</v>
      </c>
      <c r="G9" s="142">
        <f>INCOME_STATEMENT!H18/BALANCE_SHEET!J8</f>
        <v>0.19896169514076315</v>
      </c>
      <c r="H9" s="142">
        <f>INCOME_STATEMENT!I18/BALANCE_SHEET!K8</f>
        <v>0.30663001648103944</v>
      </c>
      <c r="I9" s="142">
        <f>INCOME_STATEMENT!J18/BALANCE_SHEET!L8</f>
        <v>0.40100012076545521</v>
      </c>
      <c r="J9" s="142">
        <f>INCOME_STATEMENT!K18/BALANCE_SHEET!M8</f>
        <v>9.5079215155880387E-2</v>
      </c>
      <c r="K9" s="142">
        <f>INCOME_STATEMENT!L18/BALANCE_SHEET!N8</f>
        <v>0.17847959222297788</v>
      </c>
      <c r="L9" s="142">
        <f>INCOME_STATEMENT!M18/BALANCE_SHEET!O8</f>
        <v>0.26690173855682403</v>
      </c>
      <c r="M9" s="142">
        <f>INCOME_STATEMENT!N18/BALANCE_SHEET!P8</f>
        <v>0.40183849917405834</v>
      </c>
      <c r="N9" s="142">
        <f>INCOME_STATEMENT!O18/BALANCE_SHEET!Q8</f>
        <v>0.10774704225146173</v>
      </c>
      <c r="O9" s="142">
        <f>INCOME_STATEMENT!P18/BALANCE_SHEET!R8</f>
        <v>0.17776345736410221</v>
      </c>
      <c r="P9" s="142">
        <f>INCOME_STATEMENT!Q18/BALANCE_SHEET!S8</f>
        <v>0.26169739935592445</v>
      </c>
      <c r="Q9" s="142">
        <f>INCOME_STATEMENT!R18/BALANCE_SHEET!T8</f>
        <v>0.37201687609206519</v>
      </c>
      <c r="R9" s="142">
        <f>INCOME_STATEMENT!S18/BALANCE_SHEET!U8</f>
        <v>9.4278010964793768E-2</v>
      </c>
      <c r="S9" s="142">
        <f>INCOME_STATEMENT!T18/BALANCE_SHEET!V8</f>
        <v>0.17432786952482793</v>
      </c>
      <c r="T9" s="142">
        <f>INCOME_STATEMENT!U18/BALANCE_SHEET!W8</f>
        <v>0.28363745593456868</v>
      </c>
      <c r="U9" s="142">
        <f>INCOME_STATEMENT!V18/BALANCE_SHEET!X8</f>
        <v>0.38163074151296794</v>
      </c>
      <c r="V9" s="142">
        <f>INCOME_STATEMENT!W18/BALANCE_SHEET!Y8</f>
        <v>0.10549867526822294</v>
      </c>
      <c r="W9" s="142">
        <f>INCOME_STATEMENT!X18/BALANCE_SHEET!Z8</f>
        <v>0.18790237901997922</v>
      </c>
      <c r="X9" s="142">
        <f>INCOME_STATEMENT!Y18/BALANCE_SHEET!AA8</f>
        <v>0.27793450665269781</v>
      </c>
      <c r="Y9" s="142">
        <f>INCOME_STATEMENT!Z18/BALANCE_SHEET!AB8</f>
        <v>0.41829031282368395</v>
      </c>
      <c r="Z9" s="142">
        <f>INCOME_STATEMENT!AA18/BALANCE_SHEET!AC8</f>
        <v>9.0858017510585642E-2</v>
      </c>
      <c r="AA9" s="142">
        <f>INCOME_STATEMENT!AB18/BALANCE_SHEET!AD8</f>
        <v>0.17196957535823248</v>
      </c>
      <c r="AB9" s="142">
        <f>INCOME_STATEMENT!AC18/BALANCE_SHEET!AE8</f>
        <v>0.36520868744967033</v>
      </c>
      <c r="AC9" s="142">
        <f>INCOME_STATEMENT!AD18/BALANCE_SHEET!AF8</f>
        <v>0.4818177303119317</v>
      </c>
      <c r="AD9" s="142">
        <f>INCOME_STATEMENT!AE18/BALANCE_SHEET!AG8</f>
        <v>8.0106944869688779E-2</v>
      </c>
      <c r="AE9" s="142">
        <f>INCOME_STATEMENT!AF18/BALANCE_SHEET!AH8</f>
        <v>0.16775116563183504</v>
      </c>
      <c r="AF9" s="142">
        <f>INCOME_STATEMENT!AG18/BALANCE_SHEET!AI8</f>
        <v>0.26470738021800583</v>
      </c>
      <c r="AG9" s="142">
        <f>INCOME_STATEMENT!AH18/BALANCE_SHEET!AJ8</f>
        <v>0.35801753961416066</v>
      </c>
    </row>
    <row r="10" spans="1:33" s="141" customFormat="1" x14ac:dyDescent="0.25">
      <c r="A10" s="141" t="s">
        <v>102</v>
      </c>
      <c r="N10" s="142">
        <f>INCOME_STATEMENT!O18/BALANCE_SHEET!Q14</f>
        <v>0.25112740767784231</v>
      </c>
      <c r="O10" s="142">
        <f>INCOME_STATEMENT!P18/BALANCE_SHEET!R14</f>
        <v>0.65080875863909848</v>
      </c>
      <c r="P10" s="142">
        <f>INCOME_STATEMENT!Q18/BALANCE_SHEET!S14</f>
        <v>0.7267996233933276</v>
      </c>
      <c r="Q10" s="142">
        <f>INCOME_STATEMENT!R18/BALANCE_SHEET!T14</f>
        <v>1.2122164081402671</v>
      </c>
      <c r="R10" s="142">
        <f>INCOME_STATEMENT!S18/BALANCE_SHEET!U14</f>
        <v>0.24541845124581863</v>
      </c>
      <c r="S10" s="142">
        <f>INCOME_STATEMENT!T18/BALANCE_SHEET!V14</f>
        <v>0.6744387578476978</v>
      </c>
      <c r="T10" s="142">
        <f>INCOME_STATEMENT!U18/BALANCE_SHEET!W14</f>
        <v>0.74896855343333868</v>
      </c>
      <c r="U10" s="142">
        <f>INCOME_STATEMENT!V18/BALANCE_SHEET!X14</f>
        <v>1.3584867156520752</v>
      </c>
      <c r="V10" s="142">
        <f>INCOME_STATEMENT!W18/BALANCE_SHEET!Y14</f>
        <v>0.29419533003185699</v>
      </c>
      <c r="W10" s="142">
        <f>INCOME_STATEMENT!X18/BALANCE_SHEET!Z14</f>
        <v>0.73866159653037011</v>
      </c>
      <c r="X10" s="142">
        <f>INCOME_STATEMENT!Y18/BALANCE_SHEET!AA14</f>
        <v>0.81405909034726487</v>
      </c>
      <c r="Y10" s="142">
        <f>INCOME_STATEMENT!Z18/BALANCE_SHEET!AB14</f>
        <v>1.4889833848398621</v>
      </c>
      <c r="Z10" s="142">
        <f>INCOME_STATEMENT!AA18/BALANCE_SHEET!AC14</f>
        <v>0.26226395964132149</v>
      </c>
      <c r="AA10" s="142">
        <f>INCOME_STATEMENT!AB18/BALANCE_SHEET!AD14</f>
        <v>0.70431598104381909</v>
      </c>
      <c r="AB10" s="142">
        <f>INCOME_STATEMENT!AC18/BALANCE_SHEET!AE14</f>
        <v>0.81419974183260502</v>
      </c>
      <c r="AC10" s="142">
        <f>INCOME_STATEMENT!AD18/BALANCE_SHEET!AF14</f>
        <v>1.7608277206349108</v>
      </c>
      <c r="AD10" s="142">
        <f>INCOME_STATEMENT!AE18/BALANCE_SHEET!AG14</f>
        <v>0.34452150087099792</v>
      </c>
      <c r="AE10" s="142">
        <f>INCOME_STATEMENT!AF18/BALANCE_SHEET!AH14</f>
        <v>0.40797605484213573</v>
      </c>
      <c r="AF10" s="142">
        <f>INCOME_STATEMENT!AG18/BALANCE_SHEET!AI14</f>
        <v>0.7999326033628047</v>
      </c>
      <c r="AG10" s="142">
        <f>INCOME_STATEMENT!AH18/BALANCE_SHEET!AJ14</f>
        <v>1.3996649287694378</v>
      </c>
    </row>
    <row r="11" spans="1:33" s="141" customFormat="1" x14ac:dyDescent="0.25"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</row>
    <row r="12" spans="1:33" s="141" customFormat="1" x14ac:dyDescent="0.25"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</row>
    <row r="14" spans="1:33" x14ac:dyDescent="0.25">
      <c r="A14" s="137" t="str">
        <f>BALANCE_SHEET!B20</f>
        <v>PT. MUSTIKA RATU Tbk</v>
      </c>
    </row>
    <row r="15" spans="1:33" s="139" customFormat="1" x14ac:dyDescent="0.25">
      <c r="A15" s="139" t="s">
        <v>101</v>
      </c>
      <c r="N15" s="140">
        <f>BALANCE_SHEET!Q21/BALANCE_SHEET!Q25</f>
        <v>4.0794514462803422</v>
      </c>
      <c r="O15" s="140">
        <f>BALANCE_SHEET!R21/BALANCE_SHEET!R25</f>
        <v>3.8355076412964921</v>
      </c>
      <c r="P15" s="140">
        <f>BALANCE_SHEET!S21/BALANCE_SHEET!S25</f>
        <v>4.0497426281180262</v>
      </c>
      <c r="Q15" s="140">
        <f>BALANCE_SHEET!T21/BALANCE_SHEET!T25</f>
        <v>3.7025686657062269</v>
      </c>
      <c r="R15" s="140">
        <f>BALANCE_SHEET!U21/BALANCE_SHEET!U25</f>
        <v>4.1784730651142246</v>
      </c>
      <c r="S15" s="140">
        <f>BALANCE_SHEET!V21/BALANCE_SHEET!V25</f>
        <v>3.8147176181610787</v>
      </c>
      <c r="T15" s="140">
        <f>BALANCE_SHEET!W21/BALANCE_SHEET!W25</f>
        <v>3.7477993335338509</v>
      </c>
      <c r="U15" s="140">
        <f>BALANCE_SHEET!X21/BALANCE_SHEET!X25</f>
        <v>3.9706375792217719</v>
      </c>
      <c r="V15" s="140">
        <f>BALANCE_SHEET!Y21/BALANCE_SHEET!Y25</f>
        <v>3.8906921984113274</v>
      </c>
      <c r="W15" s="140">
        <f>BALANCE_SHEET!Z21/BALANCE_SHEET!Z25</f>
        <v>3.8364025315612054</v>
      </c>
      <c r="X15" s="140">
        <f>BALANCE_SHEET!AA21/BALANCE_SHEET!AA25</f>
        <v>3.5779219946939724</v>
      </c>
      <c r="Y15" s="140">
        <f>BALANCE_SHEET!AB21/BALANCE_SHEET!AB25</f>
        <v>3.5974983239770051</v>
      </c>
      <c r="Z15" s="140">
        <f>BALANCE_SHEET!AC21/BALANCE_SHEET!AC25</f>
        <v>3.4902717898939284</v>
      </c>
      <c r="AA15" s="140">
        <f>BALANCE_SHEET!AD21/BALANCE_SHEET!AD25</f>
        <v>3.459350484995845</v>
      </c>
      <c r="AB15" s="140">
        <f>BALANCE_SHEET!AE21/BALANCE_SHEET!AE25</f>
        <v>3.1072777698575504</v>
      </c>
      <c r="AC15" s="140">
        <f>BALANCE_SHEET!AF21/BALANCE_SHEET!AF25</f>
        <v>3.1101717587460187</v>
      </c>
      <c r="AD15" s="140">
        <f>BALANCE_SHEET!AG21/BALANCE_SHEET!AG25</f>
        <v>3.0792589214878667</v>
      </c>
      <c r="AE15" s="140">
        <f>BALANCE_SHEET!AH21/BALANCE_SHEET!AH25</f>
        <v>3.1390098523523839</v>
      </c>
      <c r="AF15" s="140">
        <f>BALANCE_SHEET!AI21/BALANCE_SHEET!AI25</f>
        <v>3.1354141987693525</v>
      </c>
      <c r="AG15" s="140"/>
    </row>
    <row r="16" spans="1:33" s="139" customFormat="1" x14ac:dyDescent="0.25">
      <c r="A16" s="139" t="s">
        <v>103</v>
      </c>
      <c r="N16" s="140">
        <f>(BALANCE_SHEET!Q21-BALANCE_SHEET!Q25)/BALANCE_SHEET!Q23</f>
        <v>0.56773559535376728</v>
      </c>
      <c r="O16" s="140">
        <f>(BALANCE_SHEET!R21-BALANCE_SHEET!R25)/BALANCE_SHEET!R23</f>
        <v>0.56968580648233325</v>
      </c>
      <c r="P16" s="140">
        <f>(BALANCE_SHEET!S21-BALANCE_SHEET!S25)/BALANCE_SHEET!S23</f>
        <v>0.58149251025198589</v>
      </c>
      <c r="Q16" s="140">
        <f>(BALANCE_SHEET!T21-BALANCE_SHEET!T25)/BALANCE_SHEET!T23</f>
        <v>0.5594355297874245</v>
      </c>
      <c r="R16" s="140">
        <f>(BALANCE_SHEET!U21-BALANCE_SHEET!U25)/BALANCE_SHEET!U23</f>
        <v>0.57209142531376656</v>
      </c>
      <c r="S16" s="140">
        <f>(BALANCE_SHEET!V21-BALANCE_SHEET!V25)/BALANCE_SHEET!V23</f>
        <v>0.55924739674369717</v>
      </c>
      <c r="T16" s="140">
        <f>(BALANCE_SHEET!W21-BALANCE_SHEET!W25)/BALANCE_SHEET!W23</f>
        <v>0.55848697933636948</v>
      </c>
      <c r="U16" s="140">
        <f>(BALANCE_SHEET!X21-BALANCE_SHEET!X25)/BALANCE_SHEET!X23</f>
        <v>0.57730453111154012</v>
      </c>
      <c r="V16" s="140">
        <f>(BALANCE_SHEET!Y21-BALANCE_SHEET!Y25)/BALANCE_SHEET!Y23</f>
        <v>0.5797502239563942</v>
      </c>
      <c r="W16" s="140">
        <f>(BALANCE_SHEET!Z21-BALANCE_SHEET!Z25)/BALANCE_SHEET!Z23</f>
        <v>0.57403387452274035</v>
      </c>
      <c r="X16" s="140">
        <f>(BALANCE_SHEET!AA21-BALANCE_SHEET!AA25)/BALANCE_SHEET!AA23</f>
        <v>0.56378130811580063</v>
      </c>
      <c r="Y16" s="140">
        <f>(BALANCE_SHEET!AB21-BALANCE_SHEET!AB25)/BALANCE_SHEET!AB23</f>
        <v>0.55784964115167812</v>
      </c>
      <c r="Z16" s="140">
        <f>(BALANCE_SHEET!AC21-BALANCE_SHEET!AC25)/BALANCE_SHEET!AC23</f>
        <v>0.55268451486536463</v>
      </c>
      <c r="AA16" s="140">
        <f>(BALANCE_SHEET!AD21-BALANCE_SHEET!AD25)/BALANCE_SHEET!AD23</f>
        <v>0.55351372421302369</v>
      </c>
      <c r="AB16" s="140">
        <f>(BALANCE_SHEET!AE21-BALANCE_SHEET!AE25)/BALANCE_SHEET!AE23</f>
        <v>0.53306614600155311</v>
      </c>
      <c r="AC16" s="140">
        <f>(BALANCE_SHEET!AF21-BALANCE_SHEET!AF25)/BALANCE_SHEET!AF23</f>
        <v>0.50675496361600691</v>
      </c>
      <c r="AD16" s="140">
        <f>(BALANCE_SHEET!AG21-BALANCE_SHEET!AG25)/BALANCE_SHEET!AG23</f>
        <v>0.50739861859782354</v>
      </c>
      <c r="AE16" s="140">
        <f>(BALANCE_SHEET!AH21-BALANCE_SHEET!AH25)/BALANCE_SHEET!AH23</f>
        <v>0.516188266578546</v>
      </c>
      <c r="AF16" s="140">
        <f>(BALANCE_SHEET!AI21-BALANCE_SHEET!AI25)/BALANCE_SHEET!AI23</f>
        <v>0.52015558922242766</v>
      </c>
    </row>
    <row r="17" spans="1:33" s="143" customFormat="1" x14ac:dyDescent="0.25">
      <c r="A17" s="143" t="s">
        <v>51</v>
      </c>
      <c r="N17" s="144">
        <f>BALANCE_SHEET!Q27/BALANCE_SHEET!Q29</f>
        <v>0.25807163173394915</v>
      </c>
      <c r="O17" s="144">
        <f>BALANCE_SHEET!R27/BALANCE_SHEET!R29</f>
        <v>0.28769542147555199</v>
      </c>
      <c r="P17" s="144">
        <f>BALANCE_SHEET!S27/BALANCE_SHEET!S29</f>
        <v>0.27136905892588037</v>
      </c>
      <c r="Q17" s="144">
        <f>BALANCE_SHEET!T27/BALANCE_SHEET!T29</f>
        <v>0.31845021826298353</v>
      </c>
      <c r="R17" s="144">
        <f>BALANCE_SHEET!U27/BALANCE_SHEET!U29</f>
        <v>0.27356293754013777</v>
      </c>
      <c r="S17" s="144">
        <f>BALANCE_SHEET!V27/BALANCE_SHEET!V29</f>
        <v>0.30421280438993364</v>
      </c>
      <c r="T17" s="144">
        <f>BALANCE_SHEET!W27/BALANCE_SHEET!W29</f>
        <v>0.30776635920115003</v>
      </c>
      <c r="U17" s="144">
        <f>BALANCE_SHEET!X27/BALANCE_SHEET!X29</f>
        <v>0.30872746722667094</v>
      </c>
      <c r="V17" s="144">
        <f>BALANCE_SHEET!Y27/BALANCE_SHEET!Y29</f>
        <v>0.32100143834978084</v>
      </c>
      <c r="W17" s="144">
        <f>BALANCE_SHEET!Z27/BALANCE_SHEET!Z29</f>
        <v>0.32733444708520676</v>
      </c>
      <c r="X17" s="144">
        <f>BALANCE_SHEET!AA27/BALANCE_SHEET!AA29</f>
        <v>0.35706814050719399</v>
      </c>
      <c r="Y17" s="144">
        <f>BALANCE_SHEET!AB27/BALANCE_SHEET!AB29</f>
        <v>0.35618166346550084</v>
      </c>
      <c r="Z17" s="144">
        <f>BALANCE_SHEET!AC27/BALANCE_SHEET!AC29</f>
        <v>0.36465252669312942</v>
      </c>
      <c r="AA17" s="144">
        <f>BALANCE_SHEET!AD27/BALANCE_SHEET!AD29</f>
        <v>0.37445126942133478</v>
      </c>
      <c r="AB17" s="144">
        <f>BALANCE_SHEET!AE27/BALANCE_SHEET!AE29</f>
        <v>0.42908812096735754</v>
      </c>
      <c r="AC17" s="144">
        <f>BALANCE_SHEET!AF27/BALANCE_SHEET!AF29</f>
        <v>0.39109770893143164</v>
      </c>
      <c r="AD17" s="144">
        <f>BALANCE_SHEET!AG27/BALANCE_SHEET!AG29</f>
        <v>0.39961907210727776</v>
      </c>
      <c r="AE17" s="144">
        <f>BALANCE_SHEET!AH27/BALANCE_SHEET!AH29</f>
        <v>0.38451347609132697</v>
      </c>
      <c r="AF17" s="144">
        <f>BALANCE_SHEET!AI27/BALANCE_SHEET!AI29</f>
        <v>0.38308817681492247</v>
      </c>
    </row>
    <row r="18" spans="1:33" s="143" customFormat="1" x14ac:dyDescent="0.25">
      <c r="A18" s="143" t="s">
        <v>100</v>
      </c>
      <c r="N18" s="144">
        <f>BALANCE_SHEET!Q27/BALANCE_SHEET!Q23</f>
        <v>0.20513270089260296</v>
      </c>
      <c r="O18" s="144">
        <f>BALANCE_SHEET!R27/BALANCE_SHEET!R23</f>
        <v>0.22341884321207409</v>
      </c>
      <c r="P18" s="144">
        <f>BALANCE_SHEET!S27/BALANCE_SHEET!S23</f>
        <v>0.21344632938853117</v>
      </c>
      <c r="Q18" s="144">
        <f>BALANCE_SHEET!T27/BALANCE_SHEET!T23</f>
        <v>0.24153374458273563</v>
      </c>
      <c r="R18" s="144">
        <f>BALANCE_SHEET!U27/BALANCE_SHEET!U23</f>
        <v>0.2148012708885195</v>
      </c>
      <c r="S18" s="144">
        <f>BALANCE_SHEET!V27/BALANCE_SHEET!V23</f>
        <v>0.23325396236408982</v>
      </c>
      <c r="T18" s="144">
        <f>BALANCE_SHEET!W27/BALANCE_SHEET!W23</f>
        <v>0.23533741867251373</v>
      </c>
      <c r="U18" s="144">
        <f>BALANCE_SHEET!X27/BALANCE_SHEET!X23</f>
        <v>0.2358989743532291</v>
      </c>
      <c r="V18" s="144">
        <f>BALANCE_SHEET!Y27/BALANCE_SHEET!Y23</f>
        <v>0.24299855324213857</v>
      </c>
      <c r="W18" s="144">
        <f>BALANCE_SHEET!Z27/BALANCE_SHEET!Z23</f>
        <v>0.24661037600886876</v>
      </c>
      <c r="X18" s="144">
        <f>BALANCE_SHEET!AA27/BALANCE_SHEET!AA23</f>
        <v>0.2631173261305379</v>
      </c>
      <c r="Y18" s="144">
        <f>BALANCE_SHEET!AB27/BALANCE_SHEET!AB23</f>
        <v>0.26263565793636878</v>
      </c>
      <c r="Z18" s="144">
        <f>BALANCE_SHEET!AC27/BALANCE_SHEET!AC23</f>
        <v>0.26721272965856541</v>
      </c>
      <c r="AA18" s="144">
        <f>BALANCE_SHEET!AD27/BALANCE_SHEET!AD23</f>
        <v>0.27243691919247492</v>
      </c>
      <c r="AB18" s="144">
        <f>BALANCE_SHEET!AE27/BALANCE_SHEET!AE23</f>
        <v>0.30025308773604908</v>
      </c>
      <c r="AC18" s="144">
        <f>BALANCE_SHEET!AF27/BALANCE_SHEET!AF23</f>
        <v>0.28114323416710418</v>
      </c>
      <c r="AD18" s="144">
        <f>BALANCE_SHEET!AG27/BALANCE_SHEET!AG23</f>
        <v>0.28551988185300164</v>
      </c>
      <c r="AE18" s="144">
        <f>BALANCE_SHEET!AH27/BALANCE_SHEET!AH23</f>
        <v>0.27772461787577662</v>
      </c>
      <c r="AF18" s="144">
        <f>BALANCE_SHEET!AI27/BALANCE_SHEET!AI23</f>
        <v>0.27698029904147264</v>
      </c>
    </row>
    <row r="19" spans="1:33" s="141" customFormat="1" x14ac:dyDescent="0.25">
      <c r="A19" s="141" t="s">
        <v>49</v>
      </c>
      <c r="N19" s="142">
        <f>INCOME_STATEMENT!O46/BALANCE_SHEET!Q23</f>
        <v>3.2528179517984763E-3</v>
      </c>
      <c r="O19" s="142">
        <f>INCOME_STATEMENT!P46/BALANCE_SHEET!R23</f>
        <v>9.1844118941054927E-3</v>
      </c>
      <c r="P19" s="142">
        <f>INCOME_STATEMENT!Q46/BALANCE_SHEET!S23</f>
        <v>1.0685000520562787E-2</v>
      </c>
      <c r="Q19" s="142">
        <f>INCOME_STATEMENT!R46/BALANCE_SHEET!T23</f>
        <v>2.1042270631316563E-3</v>
      </c>
      <c r="R19" s="142">
        <f>INCOME_STATEMENT!S46/BALANCE_SHEET!U23</f>
        <v>5.6380829599592922E-4</v>
      </c>
      <c r="S19" s="142">
        <f>INCOME_STATEMENT!T46/BALANCE_SHEET!V23</f>
        <v>9.9459705460891771E-4</v>
      </c>
      <c r="T19" s="142">
        <f>INCOME_STATEMENT!U46/BALANCE_SHEET!W23</f>
        <v>-1.1560453764614178E-2</v>
      </c>
      <c r="U19" s="142">
        <f>INCOME_STATEMENT!V46/BALANCE_SHEET!X23</f>
        <v>-1.1488692751341871E-2</v>
      </c>
      <c r="V19" s="142">
        <f>INCOME_STATEMENT!W46/BALANCE_SHEET!Y23</f>
        <v>9.0116901441521029E-4</v>
      </c>
      <c r="W19" s="142">
        <f>INCOME_STATEMENT!X46/BALANCE_SHEET!Z23</f>
        <v>1.7865799426649601E-3</v>
      </c>
      <c r="X19" s="142">
        <f>INCOME_STATEMENT!Y46/BALANCE_SHEET!AA23</f>
        <v>2.9638425969458235E-3</v>
      </c>
      <c r="Y19" s="142">
        <f>INCOME_STATEMENT!Z46/BALANCE_SHEET!AB23</f>
        <v>-2.5803170932926843E-3</v>
      </c>
      <c r="Z19" s="142">
        <f>INCOME_STATEMENT!AA46/BALANCE_SHEET!AC23</f>
        <v>1.3587665064270921E-3</v>
      </c>
      <c r="AA19" s="142">
        <f>INCOME_STATEMENT!AB46/BALANCE_SHEET!AD23</f>
        <v>2.0524971996602687E-3</v>
      </c>
      <c r="AB19" s="142">
        <f>INCOME_STATEMENT!AC46/BALANCE_SHEET!AE23</f>
        <v>1.4956741452230649E-3</v>
      </c>
      <c r="AC19" s="142">
        <f>INCOME_STATEMENT!AD46/BALANCE_SHEET!AF23</f>
        <v>-4.4081468011478928E-3</v>
      </c>
      <c r="AD19" s="142">
        <f>INCOME_STATEMENT!AE46/BALANCE_SHEET!AG23</f>
        <v>-4.8702890120509825E-3</v>
      </c>
      <c r="AE19" s="142">
        <f>INCOME_STATEMENT!AF46/BALANCE_SHEET!AH23</f>
        <v>4.4718886161683796E-3</v>
      </c>
      <c r="AF19" s="142">
        <f>INCOME_STATEMENT!AG46/BALANCE_SHEET!AI23</f>
        <v>1.1652067536923001E-2</v>
      </c>
    </row>
    <row r="20" spans="1:33" s="141" customFormat="1" x14ac:dyDescent="0.25">
      <c r="A20" s="141" t="s">
        <v>102</v>
      </c>
      <c r="N20" s="142">
        <f>INCOME_STATEMENT!O46/BALANCE_SHEET!Q29</f>
        <v>4.0922779883525908E-3</v>
      </c>
      <c r="O20" s="142">
        <f>INCOME_STATEMENT!P46/BALANCE_SHEET!R29</f>
        <v>1.1826725144985246E-2</v>
      </c>
      <c r="P20" s="142">
        <f>INCOME_STATEMENT!Q46/BALANCE_SHEET!S29</f>
        <v>1.3584579056450453E-2</v>
      </c>
      <c r="Q20" s="142">
        <f>INCOME_STATEMENT!R46/BALANCE_SHEET!T29</f>
        <v>2.7743186306608092E-3</v>
      </c>
      <c r="R20" s="142">
        <f>INCOME_STATEMENT!S46/BALANCE_SHEET!U29</f>
        <v>7.1804534965807501E-4</v>
      </c>
      <c r="S20" s="142">
        <f>INCOME_STATEMENT!T46/BALANCE_SHEET!V29</f>
        <v>1.2971662138294645E-3</v>
      </c>
      <c r="T20" s="142">
        <f>INCOME_STATEMENT!U46/BALANCE_SHEET!W29</f>
        <v>-1.5118372530462712E-2</v>
      </c>
      <c r="U20" s="142">
        <f>INCOME_STATEMENT!V46/BALANCE_SHEET!X29</f>
        <v>-1.5035567766209061E-2</v>
      </c>
      <c r="V20" s="142">
        <f>INCOME_STATEMENT!W46/BALANCE_SHEET!Y29</f>
        <v>1.1904455642387471E-3</v>
      </c>
      <c r="W20" s="142">
        <f>INCOME_STATEMENT!X46/BALANCE_SHEET!Z29</f>
        <v>2.3713891003707154E-3</v>
      </c>
      <c r="X20" s="142">
        <f>INCOME_STATEMENT!Y46/BALANCE_SHEET!AA29</f>
        <v>4.022136361793281E-3</v>
      </c>
      <c r="Y20" s="142">
        <f>INCOME_STATEMENT!Z46/BALANCE_SHEET!AB29</f>
        <v>-3.4993787278501387E-3</v>
      </c>
      <c r="Z20" s="142">
        <f>INCOME_STATEMENT!AA46/BALANCE_SHEET!AC29</f>
        <v>1.8542441461817274E-3</v>
      </c>
      <c r="AA20" s="142">
        <f>INCOME_STATEMENT!AB46/BALANCE_SHEET!AD29</f>
        <v>2.821057381556791E-3</v>
      </c>
      <c r="AB20" s="142">
        <f>INCOME_STATEMENT!AC46/BALANCE_SHEET!AE29</f>
        <v>2.1374501537762885E-3</v>
      </c>
      <c r="AC20" s="142">
        <f>INCOME_STATEMENT!AD46/BALANCE_SHEET!AF29</f>
        <v>-6.1321629157102524E-3</v>
      </c>
      <c r="AD20" s="142">
        <f>INCOME_STATEMENT!AE46/BALANCE_SHEET!AG29</f>
        <v>-6.8165493879410672E-3</v>
      </c>
      <c r="AE20" s="142">
        <f>INCOME_STATEMENT!AF46/BALANCE_SHEET!AH29</f>
        <v>6.1913900526645166E-3</v>
      </c>
      <c r="AF20" s="142">
        <f>INCOME_STATEMENT!AG46/BALANCE_SHEET!AI29</f>
        <v>1.6115836845767176E-2</v>
      </c>
    </row>
    <row r="21" spans="1:33" s="141" customFormat="1" x14ac:dyDescent="0.25"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</row>
    <row r="22" spans="1:33" s="141" customFormat="1" x14ac:dyDescent="0.25"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</row>
    <row r="24" spans="1:33" x14ac:dyDescent="0.25">
      <c r="A24" s="137" t="str">
        <f>BALANCE_SHEET!B35</f>
        <v>PT. MARTINA BERTO Tbk</v>
      </c>
    </row>
    <row r="25" spans="1:33" x14ac:dyDescent="0.25">
      <c r="A25" s="145" t="s">
        <v>101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6">
        <f>BALANCE_SHEET!Q36/BALANCE_SHEET!Q40</f>
        <v>3.5494433918911987</v>
      </c>
      <c r="O25" s="146">
        <f>BALANCE_SHEET!R36/BALANCE_SHEET!R40</f>
        <v>4.3021006329614968</v>
      </c>
      <c r="P25" s="146">
        <f>BALANCE_SHEET!S36/BALANCE_SHEET!S40</f>
        <v>4.8820213778726353</v>
      </c>
      <c r="Q25" s="146">
        <f>BALANCE_SHEET!T36/BALANCE_SHEET!T40</f>
        <v>3.1349856741912481</v>
      </c>
      <c r="R25" s="146">
        <f>BALANCE_SHEET!U36/BALANCE_SHEET!U40</f>
        <v>2.2249561813218155</v>
      </c>
      <c r="S25" s="146">
        <f>BALANCE_SHEET!V36/BALANCE_SHEET!V40</f>
        <v>2.8148974691807109</v>
      </c>
      <c r="T25" s="146">
        <f>BALANCE_SHEET!W36/BALANCE_SHEET!W40</f>
        <v>3.4017694279200961</v>
      </c>
      <c r="U25" s="146">
        <f>BALANCE_SHEET!X36/BALANCE_SHEET!X40</f>
        <v>3.0444882698758948</v>
      </c>
      <c r="V25" s="146">
        <f>BALANCE_SHEET!Y36/BALANCE_SHEET!Y40</f>
        <v>3.0134915370648976</v>
      </c>
      <c r="W25" s="146">
        <f>BALANCE_SHEET!Z36/BALANCE_SHEET!Z40</f>
        <v>2.7304351997398602</v>
      </c>
      <c r="X25" s="146">
        <f>BALANCE_SHEET!AA36/BALANCE_SHEET!AA40</f>
        <v>2.3058054198001581</v>
      </c>
      <c r="Y25" s="146">
        <f>BALANCE_SHEET!AB36/BALANCE_SHEET!AB40</f>
        <v>2.0629871224066565</v>
      </c>
      <c r="Z25" s="146">
        <f>BALANCE_SHEET!AC36/BALANCE_SHEET!AC40</f>
        <v>2.1181036065401968</v>
      </c>
      <c r="AA25" s="146">
        <f>BALANCE_SHEET!AD36/BALANCE_SHEET!AD40</f>
        <v>2.02378648232532</v>
      </c>
      <c r="AB25" s="146">
        <f>BALANCE_SHEET!AE36/BALANCE_SHEET!AE40</f>
        <v>2.1121713685865275</v>
      </c>
      <c r="AC25" s="146">
        <f>BALANCE_SHEET!AF36/BALANCE_SHEET!AF40</f>
        <v>1.6334389027151532</v>
      </c>
      <c r="AD25" s="146">
        <f>BALANCE_SHEET!AG36/BALANCE_SHEET!AG40</f>
        <v>1.6337076404614779</v>
      </c>
      <c r="AE25" s="146">
        <f>BALANCE_SHEET!AH36/BALANCE_SHEET!AH40</f>
        <v>1.5701248377749544</v>
      </c>
      <c r="AF25" s="146">
        <f>BALANCE_SHEET!AI36/BALANCE_SHEET!AI40</f>
        <v>1.5602306711621203</v>
      </c>
      <c r="AG25" s="146">
        <f>BALANCE_SHEET!AJ36/BALANCE_SHEET!AJ40</f>
        <v>1.2478442605378297</v>
      </c>
    </row>
    <row r="26" spans="1:33" x14ac:dyDescent="0.25">
      <c r="A26" s="145" t="s">
        <v>103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6">
        <f>(BALANCE_SHEET!Q36-BALANCE_SHEET!Q40)/BALANCE_SHEET!Q38</f>
        <v>0.52075315654230669</v>
      </c>
      <c r="O26" s="146">
        <f>(BALANCE_SHEET!R36-BALANCE_SHEET!R40)/BALANCE_SHEET!R38</f>
        <v>0.54725472007172093</v>
      </c>
      <c r="P26" s="146">
        <f>(BALANCE_SHEET!S36-BALANCE_SHEET!S40)/BALANCE_SHEET!S38</f>
        <v>0.56206349703563785</v>
      </c>
      <c r="Q26" s="146">
        <f>(BALANCE_SHEET!T36-BALANCE_SHEET!T40)/BALANCE_SHEET!T38</f>
        <v>0.49043516706642726</v>
      </c>
      <c r="R26" s="146">
        <f>(BALANCE_SHEET!U36-BALANCE_SHEET!U40)/BALANCE_SHEET!U38</f>
        <v>0.37081049411542544</v>
      </c>
      <c r="S26" s="146">
        <f>(BALANCE_SHEET!V36-BALANCE_SHEET!V40)/BALANCE_SHEET!V38</f>
        <v>0.43078724945528096</v>
      </c>
      <c r="T26" s="146">
        <f>(BALANCE_SHEET!W36-BALANCE_SHEET!W40)/BALANCE_SHEET!W38</f>
        <v>0.46128601728782137</v>
      </c>
      <c r="U26" s="146">
        <f>(BALANCE_SHEET!X36-BALANCE_SHEET!X40)/BALANCE_SHEET!X38</f>
        <v>0.44717706415708741</v>
      </c>
      <c r="V26" s="146">
        <f>(BALANCE_SHEET!Y36-BALANCE_SHEET!Y40)/BALANCE_SHEET!Y38</f>
        <v>0.44601407301688162</v>
      </c>
      <c r="W26" s="146">
        <f>(BALANCE_SHEET!Z36-BALANCE_SHEET!Z40)/BALANCE_SHEET!Z38</f>
        <v>0.43366625854197005</v>
      </c>
      <c r="X26" s="146">
        <f>(BALANCE_SHEET!AA36-BALANCE_SHEET!AA40)/BALANCE_SHEET!AA38</f>
        <v>0.3900149724616731</v>
      </c>
      <c r="Y26" s="146">
        <f>(BALANCE_SHEET!AB36-BALANCE_SHEET!AB40)/BALANCE_SHEET!AB38</f>
        <v>0.34346946450342852</v>
      </c>
      <c r="Z26" s="146">
        <f>(BALANCE_SHEET!AC36-BALANCE_SHEET!AC40)/BALANCE_SHEET!AC38</f>
        <v>0.35455653481555099</v>
      </c>
      <c r="AA26" s="146">
        <f>(BALANCE_SHEET!AD36-BALANCE_SHEET!AD40)/BALANCE_SHEET!AD38</f>
        <v>0.33253126750785239</v>
      </c>
      <c r="AB26" s="146">
        <f>(BALANCE_SHEET!AE36-BALANCE_SHEET!AE40)/BALANCE_SHEET!AE38</f>
        <v>0.3281411201084653</v>
      </c>
      <c r="AC26" s="146">
        <f>(BALANCE_SHEET!AF36-BALANCE_SHEET!AF40)/BALANCE_SHEET!AF38</f>
        <v>0.23479987119732135</v>
      </c>
      <c r="AD26" s="146">
        <f>(BALANCE_SHEET!AG36-BALANCE_SHEET!AG40)/BALANCE_SHEET!AG38</f>
        <v>0.23987669336274686</v>
      </c>
      <c r="AE26" s="146">
        <f>(BALANCE_SHEET!AH36-BALANCE_SHEET!AH40)/BALANCE_SHEET!AH38</f>
        <v>0.20855436726080634</v>
      </c>
      <c r="AF26" s="146">
        <f>(BALANCE_SHEET!AI36-BALANCE_SHEET!AI40)/BALANCE_SHEET!AI38</f>
        <v>0.20113687675835129</v>
      </c>
      <c r="AG26" s="146">
        <f>(BALANCE_SHEET!AJ36-BALANCE_SHEET!AJ40)/BALANCE_SHEET!AJ38</f>
        <v>0.1066188961967158</v>
      </c>
    </row>
    <row r="27" spans="1:33" x14ac:dyDescent="0.25">
      <c r="A27" s="143" t="s">
        <v>51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4">
        <f>BALANCE_SHEET!Q42/BALANCE_SHEET!Q44</f>
        <v>0.40778245386297679</v>
      </c>
      <c r="O27" s="144">
        <f>BALANCE_SHEET!R42/BALANCE_SHEET!R44</f>
        <v>0.34849100647069314</v>
      </c>
      <c r="P27" s="144">
        <f>BALANCE_SHEET!S42/BALANCE_SHEET!S44</f>
        <v>0.31987696439011981</v>
      </c>
      <c r="Q27" s="144">
        <f>BALANCE_SHEET!T42/BALANCE_SHEET!T44</f>
        <v>0.49442436457197075</v>
      </c>
      <c r="R27" s="144">
        <f>BALANCE_SHEET!U42/BALANCE_SHEET!U44</f>
        <v>0.65064825828083184</v>
      </c>
      <c r="S27" s="144">
        <f>BALANCE_SHEET!V42/BALANCE_SHEET!V44</f>
        <v>0.64046885173715706</v>
      </c>
      <c r="T27" s="144">
        <f>BALANCE_SHEET!W42/BALANCE_SHEET!W44</f>
        <v>0.55273121161124739</v>
      </c>
      <c r="U27" s="144">
        <f>BALANCE_SHEET!X42/BALANCE_SHEET!X44</f>
        <v>0.61015164140277467</v>
      </c>
      <c r="V27" s="144">
        <f>BALANCE_SHEET!Y42/BALANCE_SHEET!Y44</f>
        <v>0.62022098129218517</v>
      </c>
      <c r="W27" s="144">
        <f>BALANCE_SHEET!Z42/BALANCE_SHEET!Z44</f>
        <v>0.68212924246207729</v>
      </c>
      <c r="X27" s="144">
        <f>BALANCE_SHEET!AA42/BALANCE_SHEET!AA44</f>
        <v>0.83534669284792162</v>
      </c>
      <c r="Y27" s="144">
        <f>BALANCE_SHEET!AB42/BALANCE_SHEET!AB44</f>
        <v>0.89142026810102204</v>
      </c>
      <c r="Z27" s="144">
        <f>BALANCE_SHEET!AC42/BALANCE_SHEET!AC44</f>
        <v>0.87823585024964712</v>
      </c>
      <c r="AA27" s="144">
        <f>BALANCE_SHEET!AD42/BALANCE_SHEET!AD44</f>
        <v>0.92829138617044604</v>
      </c>
      <c r="AB27" s="144">
        <f>BALANCE_SHEET!AE42/BALANCE_SHEET!AE44</f>
        <v>0.90043503390805146</v>
      </c>
      <c r="AC27" s="144">
        <f>BALANCE_SHEET!AF42/BALANCE_SHEET!AF44</f>
        <v>1.1564639088838629</v>
      </c>
      <c r="AD27" s="144">
        <f>BALANCE_SHEET!AG42/BALANCE_SHEET!AG44</f>
        <v>1.187326414783624</v>
      </c>
      <c r="AE27" s="144">
        <f>BALANCE_SHEET!AH42/BALANCE_SHEET!AH44</f>
        <v>1.1705132351624927</v>
      </c>
      <c r="AF27" s="144">
        <f>BALANCE_SHEET!AI42/BALANCE_SHEET!AI44</f>
        <v>1.2111771990958899</v>
      </c>
      <c r="AG27" s="144">
        <f>BALANCE_SHEET!AJ42/BALANCE_SHEET!AJ44</f>
        <v>1.5133346415985931</v>
      </c>
    </row>
    <row r="28" spans="1:33" x14ac:dyDescent="0.25">
      <c r="A28" s="143" t="s">
        <v>100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4">
        <f>BALANCE_SHEET!Q42/BALANCE_SHEET!Q38</f>
        <v>0.28966297508824279</v>
      </c>
      <c r="O28" s="144">
        <f>BALANCE_SHEET!R42/BALANCE_SHEET!R38</f>
        <v>0.25843035274130094</v>
      </c>
      <c r="P28" s="144">
        <f>BALANCE_SHEET!S42/BALANCE_SHEET!S38</f>
        <v>0.24235362311814154</v>
      </c>
      <c r="Q28" s="144">
        <f>BALANCE_SHEET!T42/BALANCE_SHEET!T38</f>
        <v>0.3308460276031317</v>
      </c>
      <c r="R28" s="144">
        <f>BALANCE_SHEET!U42/BALANCE_SHEET!U38</f>
        <v>0.39417741182393945</v>
      </c>
      <c r="S28" s="144">
        <f>BALANCE_SHEET!V42/BALANCE_SHEET!V38</f>
        <v>0.39041817286499492</v>
      </c>
      <c r="T28" s="144">
        <f>BALANCE_SHEET!W42/BALANCE_SHEET!W38</f>
        <v>0.35597353069092103</v>
      </c>
      <c r="U28" s="144">
        <f>BALANCE_SHEET!X42/BALANCE_SHEET!X38</f>
        <v>0.37894048343869435</v>
      </c>
      <c r="V28" s="144">
        <f>BALANCE_SHEET!Y42/BALANCE_SHEET!Y38</f>
        <v>0.38280024049406913</v>
      </c>
      <c r="W28" s="144">
        <f>BALANCE_SHEET!Z42/BALANCE_SHEET!Z38</f>
        <v>0.40551535829890639</v>
      </c>
      <c r="X28" s="144">
        <f>BALANCE_SHEET!AA42/BALANCE_SHEET!AA38</f>
        <v>0.45514381348392968</v>
      </c>
      <c r="Y28" s="144">
        <f>BALANCE_SHEET!AB42/BALANCE_SHEET!AB38</f>
        <v>0.47129677266068648</v>
      </c>
      <c r="Z28" s="144">
        <f>BALANCE_SHEET!AC42/BALANCE_SHEET!AC38</f>
        <v>0.46758550058179105</v>
      </c>
      <c r="AA28" s="144">
        <f>BALANCE_SHEET!AD42/BALANCE_SHEET!AD38</f>
        <v>0.48140617793974438</v>
      </c>
      <c r="AB28" s="144">
        <f>BALANCE_SHEET!AE42/BALANCE_SHEET!AE38</f>
        <v>0.47380469094826061</v>
      </c>
      <c r="AC28" s="144">
        <f>BALANCE_SHEET!AF42/BALANCE_SHEET!AF38</f>
        <v>0.53627788720211989</v>
      </c>
      <c r="AD28" s="144">
        <f>BALANCE_SHEET!AG42/BALANCE_SHEET!AG38</f>
        <v>0.54282086421064746</v>
      </c>
      <c r="AE28" s="144">
        <f>BALANCE_SHEET!AH42/BALANCE_SHEET!AH38</f>
        <v>0.53927947372081508</v>
      </c>
      <c r="AF28" s="144">
        <f>BALANCE_SHEET!AI42/BALANCE_SHEET!AI38</f>
        <v>0.54775221071885072</v>
      </c>
      <c r="AG28" s="144">
        <f>BALANCE_SHEET!AJ42/BALANCE_SHEET!AJ38</f>
        <v>0.60212222302241647</v>
      </c>
    </row>
    <row r="29" spans="1:33" x14ac:dyDescent="0.25">
      <c r="A29" s="141" t="s">
        <v>49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2">
        <f>INCOME_STATEMENT!O73/BALANCE_SHEET!Q38</f>
        <v>4.0200241013051471E-3</v>
      </c>
      <c r="O29" s="142">
        <f>INCOME_STATEMENT!P73/BALANCE_SHEET!R38</f>
        <v>8.4830980706337364E-3</v>
      </c>
      <c r="P29" s="142">
        <f>INCOME_STATEMENT!Q73/BALANCE_SHEET!S38</f>
        <v>4.5778298465706194E-3</v>
      </c>
      <c r="Q29" s="142">
        <f>INCOME_STATEMENT!R73/BALANCE_SHEET!T38</f>
        <v>1.6119453149253573E-3</v>
      </c>
      <c r="R29" s="142">
        <f>INCOME_STATEMENT!S73/BALANCE_SHEET!U38</f>
        <v>1.0456298880413358E-2</v>
      </c>
      <c r="S29" s="142">
        <f>INCOME_STATEMENT!T73/BALANCE_SHEET!V38</f>
        <v>1.1359705316194183E-2</v>
      </c>
      <c r="T29" s="142">
        <f>INCOME_STATEMENT!U73/BALANCE_SHEET!W38</f>
        <v>1.264935538507282E-2</v>
      </c>
      <c r="U29" s="142">
        <f>INCOME_STATEMENT!V73/BALANCE_SHEET!X38</f>
        <v>-7.8165983727561915E-3</v>
      </c>
      <c r="V29" s="142">
        <f>INCOME_STATEMENT!W73/BALANCE_SHEET!Y38</f>
        <v>1.1630143177601515E-3</v>
      </c>
      <c r="W29" s="142">
        <f>INCOME_STATEMENT!X73/BALANCE_SHEET!Z38</f>
        <v>4.5908968535667369E-3</v>
      </c>
      <c r="X29" s="142">
        <f>INCOME_STATEMENT!Y73/BALANCE_SHEET!AA38</f>
        <v>-3.4630398221911031E-2</v>
      </c>
      <c r="Y29" s="142">
        <f>INCOME_STATEMENT!Z73/BALANCE_SHEET!AB38</f>
        <v>-1.6438860217441696E-3</v>
      </c>
      <c r="Z29" s="142">
        <f>INCOME_STATEMENT!AA73/BALANCE_SHEET!AC38</f>
        <v>6.1756364619032424E-4</v>
      </c>
      <c r="AA29" s="142">
        <f>INCOME_STATEMENT!AB73/BALANCE_SHEET!AD38</f>
        <v>-2.8713024631987737E-2</v>
      </c>
      <c r="AB29" s="142">
        <f>INCOME_STATEMENT!AC73/BALANCE_SHEET!AE38</f>
        <v>-9.3516571564061499E-2</v>
      </c>
      <c r="AC29" s="142">
        <f>INCOME_STATEMENT!AD73/BALANCE_SHEET!AF38</f>
        <v>-3.4821261073759513E-3</v>
      </c>
      <c r="AD29" s="142">
        <f>INCOME_STATEMENT!AE73/BALANCE_SHEET!AG38</f>
        <v>1.2964697847046827E-3</v>
      </c>
      <c r="AE29" s="142">
        <f>INCOME_STATEMENT!AF73/BALANCE_SHEET!AH38</f>
        <v>-2.791975923713795E-2</v>
      </c>
      <c r="AF29" s="142">
        <f>INCOME_STATEMENT!AG73/BALANCE_SHEET!AI38</f>
        <v>-4.5907093269727847E-2</v>
      </c>
      <c r="AG29" s="142">
        <f>INCOME_STATEMENT!AH73/BALANCE_SHEET!AJ38</f>
        <v>-0.11326337293554016</v>
      </c>
    </row>
    <row r="30" spans="1:33" x14ac:dyDescent="0.25">
      <c r="A30" s="141" t="s">
        <v>102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2">
        <f>INCOME_STATEMENT!O73/BALANCE_SHEET!Q44</f>
        <v>5.6593193939236675E-3</v>
      </c>
      <c r="O30" s="142">
        <f>INCOME_STATEMENT!P73/BALANCE_SHEET!R44</f>
        <v>1.1439381455258482E-2</v>
      </c>
      <c r="P30" s="142">
        <f>INCOME_STATEMENT!Q73/BALANCE_SHEET!S44</f>
        <v>6.0421721613861173E-3</v>
      </c>
      <c r="Q30" s="142">
        <f>INCOME_STATEMENT!R73/BALANCE_SHEET!T44</f>
        <v>2.4089303529820924E-3</v>
      </c>
      <c r="R30" s="142">
        <f>INCOME_STATEMENT!S73/BALANCE_SHEET!U44</f>
        <v>1.7259671535018121E-2</v>
      </c>
      <c r="S30" s="142">
        <f>INCOME_STATEMENT!T73/BALANCE_SHEET!V44</f>
        <v>1.8635242736129553E-2</v>
      </c>
      <c r="T30" s="142">
        <f>INCOME_STATEMENT!U73/BALANCE_SHEET!W44</f>
        <v>1.9641048913165378E-2</v>
      </c>
      <c r="U30" s="142">
        <f>INCOME_STATEMENT!V73/BALANCE_SHEET!X44</f>
        <v>-1.258590870007964E-2</v>
      </c>
      <c r="V30" s="142">
        <f>INCOME_STATEMENT!W73/BALANCE_SHEET!Y44</f>
        <v>1.8843401991782136E-3</v>
      </c>
      <c r="W30" s="142">
        <f>INCOME_STATEMENT!X73/BALANCE_SHEET!Z44</f>
        <v>7.7224818465117494E-3</v>
      </c>
      <c r="X30" s="142">
        <f>INCOME_STATEMENT!Y73/BALANCE_SHEET!AA44</f>
        <v>-6.3558786848590954E-2</v>
      </c>
      <c r="Y30" s="142">
        <f>INCOME_STATEMENT!Z73/BALANCE_SHEET!AB44</f>
        <v>-3.1092793399748798E-3</v>
      </c>
      <c r="Z30" s="142">
        <f>INCOME_STATEMENT!AA73/BALANCE_SHEET!AC44</f>
        <v>1.159930180085556E-3</v>
      </c>
      <c r="AA30" s="142">
        <f>INCOME_STATEMENT!AB73/BALANCE_SHEET!AD44</f>
        <v>-5.5367078068761795E-2</v>
      </c>
      <c r="AB30" s="142">
        <f>INCOME_STATEMENT!AC73/BALANCE_SHEET!AE44</f>
        <v>-0.17772216885131195</v>
      </c>
      <c r="AC30" s="142">
        <f>INCOME_STATEMENT!AD73/BALANCE_SHEET!AF44</f>
        <v>-7.5090792767384933E-3</v>
      </c>
      <c r="AD30" s="142">
        <f>INCOME_STATEMENT!AE73/BALANCE_SHEET!AG44</f>
        <v>2.8358026060533907E-3</v>
      </c>
      <c r="AE30" s="142">
        <f>INCOME_STATEMENT!AF73/BALANCE_SHEET!AH44</f>
        <v>-6.0600206946758182E-2</v>
      </c>
      <c r="AF30" s="142">
        <f>INCOME_STATEMENT!AG73/BALANCE_SHEET!AI44</f>
        <v>-0.1015087179147906</v>
      </c>
      <c r="AG30" s="142">
        <f>INCOME_STATEMENT!AH73/BALANCE_SHEET!AJ44</f>
        <v>-0.28466875882319359</v>
      </c>
    </row>
    <row r="31" spans="1:33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</row>
    <row r="32" spans="1:33" x14ac:dyDescent="0.2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</row>
    <row r="34" spans="1:33" x14ac:dyDescent="0.25">
      <c r="A34" s="137" t="str">
        <f>BALANCE_SHEET!B50</f>
        <v>PT. MANDOM INDONESIA Tbk</v>
      </c>
    </row>
    <row r="35" spans="1:33" x14ac:dyDescent="0.25">
      <c r="A35" s="145" t="s">
        <v>101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6">
        <f>BALANCE_SHEET!Q51/BALANCE_SHEET!Q55</f>
        <v>1.7965078140199344</v>
      </c>
      <c r="O35" s="146">
        <f>BALANCE_SHEET!R51/BALANCE_SHEET!R55</f>
        <v>4.1016038868613833</v>
      </c>
      <c r="P35" s="146">
        <f>BALANCE_SHEET!S51/BALANCE_SHEET!S55</f>
        <v>4.7532225909733645</v>
      </c>
      <c r="Q35" s="146">
        <f>BALANCE_SHEET!T51/BALANCE_SHEET!T55</f>
        <v>4.991115761556653</v>
      </c>
      <c r="R35" s="146">
        <f>BALANCE_SHEET!U51/BALANCE_SHEET!U55</f>
        <v>4.5779988813266117</v>
      </c>
      <c r="S35" s="146">
        <f>BALANCE_SHEET!V51/BALANCE_SHEET!V55</f>
        <v>5.1699023783888816</v>
      </c>
      <c r="T35" s="146">
        <f>BALANCE_SHEET!W51/BALANCE_SHEET!W55</f>
        <v>5.0914234843484252</v>
      </c>
      <c r="U35" s="146">
        <f>BALANCE_SHEET!X51/BALANCE_SHEET!X55</f>
        <v>5.2595401165722286</v>
      </c>
      <c r="V35" s="146">
        <f>BALANCE_SHEET!Y51/BALANCE_SHEET!Y55</f>
        <v>4.8129583684171742</v>
      </c>
      <c r="W35" s="146">
        <f>BALANCE_SHEET!Z51/BALANCE_SHEET!Z55</f>
        <v>5.0089949040633357</v>
      </c>
      <c r="X35" s="146">
        <f>BALANCE_SHEET!AA51/BALANCE_SHEET!AA55</f>
        <v>4.6791010829993134</v>
      </c>
      <c r="Y35" s="146">
        <f>BALANCE_SHEET!AB51/BALANCE_SHEET!AB55</f>
        <v>4.9131830510477377</v>
      </c>
      <c r="Z35" s="146">
        <f>BALANCE_SHEET!AC51/BALANCE_SHEET!AC55</f>
        <v>5.268028812535956</v>
      </c>
      <c r="AA35" s="146">
        <f>BALANCE_SHEET!AD51/BALANCE_SHEET!AD55</f>
        <v>6.3715279405338263</v>
      </c>
      <c r="AB35" s="146">
        <f>BALANCE_SHEET!AE51/BALANCE_SHEET!AE55</f>
        <v>5.3031980088510373</v>
      </c>
      <c r="AC35" s="146">
        <f>BALANCE_SHEET!AF51/BALANCE_SHEET!AF55</f>
        <v>5.75910758935008</v>
      </c>
      <c r="AD35" s="146">
        <f>BALANCE_SHEET!AG51/BALANCE_SHEET!AG55</f>
        <v>4.3471986723496165</v>
      </c>
      <c r="AE35" s="146">
        <f>BALANCE_SHEET!AH51/BALANCE_SHEET!AH55</f>
        <v>4.9305777924870364</v>
      </c>
      <c r="AF35" s="146">
        <f>BALANCE_SHEET!AI51/BALANCE_SHEET!AI55</f>
        <v>5.3711644047636433</v>
      </c>
      <c r="AG35" s="146">
        <f>BALANCE_SHEET!AJ51/BALANCE_SHEET!AJ55</f>
        <v>5.5820846345824346</v>
      </c>
    </row>
    <row r="36" spans="1:33" x14ac:dyDescent="0.25">
      <c r="A36" s="145" t="s">
        <v>103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>
        <f>(BALANCE_SHEET!Q51-BALANCE_SHEET!Q55)/BALANCE_SHEET!Q53</f>
        <v>0.21203463747595069</v>
      </c>
      <c r="O36" s="146">
        <f>(BALANCE_SHEET!R51-BALANCE_SHEET!R55)/BALANCE_SHEET!R53</f>
        <v>0.38204237523744461</v>
      </c>
      <c r="P36" s="146">
        <f>(BALANCE_SHEET!S51-BALANCE_SHEET!S55)/BALANCE_SHEET!S53</f>
        <v>0.40280753040469824</v>
      </c>
      <c r="Q36" s="146">
        <f>(BALANCE_SHEET!T51-BALANCE_SHEET!T55)/BALANCE_SHEET!T53</f>
        <v>0.42732974612936314</v>
      </c>
      <c r="R36" s="146">
        <f>(BALANCE_SHEET!U51-BALANCE_SHEET!U55)/BALANCE_SHEET!U53</f>
        <v>0.43273123386894052</v>
      </c>
      <c r="S36" s="146">
        <f>(BALANCE_SHEET!V51-BALANCE_SHEET!V55)/BALANCE_SHEET!V53</f>
        <v>0.42852311923062963</v>
      </c>
      <c r="T36" s="146">
        <f>(BALANCE_SHEET!W51-BALANCE_SHEET!W55)/BALANCE_SHEET!W53</f>
        <v>0.43921294561588331</v>
      </c>
      <c r="U36" s="146">
        <f>(BALANCE_SHEET!X51-BALANCE_SHEET!X55)/BALANCE_SHEET!X53</f>
        <v>0.43530126801167834</v>
      </c>
      <c r="V36" s="146">
        <f>(BALANCE_SHEET!Y51-BALANCE_SHEET!Y55)/BALANCE_SHEET!Y53</f>
        <v>0.4383679087198345</v>
      </c>
      <c r="W36" s="146">
        <f>(BALANCE_SHEET!Z51-BALANCE_SHEET!Z55)/BALANCE_SHEET!Z53</f>
        <v>0.43203158792319135</v>
      </c>
      <c r="X36" s="146">
        <f>(BALANCE_SHEET!AA51-BALANCE_SHEET!AA55)/BALANCE_SHEET!AA53</f>
        <v>0.42924158045745203</v>
      </c>
      <c r="Y36" s="146">
        <f>(BALANCE_SHEET!AB51-BALANCE_SHEET!AB55)/BALANCE_SHEET!AB53</f>
        <v>0.4304634816292367</v>
      </c>
      <c r="Z36" s="146">
        <f>(BALANCE_SHEET!AC51-BALANCE_SHEET!AC55)/BALANCE_SHEET!AC53</f>
        <v>0.45036164665140882</v>
      </c>
      <c r="AA36" s="146">
        <f>(BALANCE_SHEET!AD51-BALANCE_SHEET!AD55)/BALANCE_SHEET!AD53</f>
        <v>0.44865253819045625</v>
      </c>
      <c r="AB36" s="146">
        <f>(BALANCE_SHEET!AE51-BALANCE_SHEET!AE55)/BALANCE_SHEET!AE53</f>
        <v>0.44573355132464715</v>
      </c>
      <c r="AC36" s="146">
        <f>(BALANCE_SHEET!AF51-BALANCE_SHEET!AF55)/BALANCE_SHEET!AF53</f>
        <v>0.45064613307191376</v>
      </c>
      <c r="AD36" s="146">
        <f>(BALANCE_SHEET!AG51-BALANCE_SHEET!AG55)/BALANCE_SHEET!AG53</f>
        <v>0.4451359670118441</v>
      </c>
      <c r="AE36" s="146">
        <f>(BALANCE_SHEET!AH51-BALANCE_SHEET!AH55)/BALANCE_SHEET!AH53</f>
        <v>0.43709129210632847</v>
      </c>
      <c r="AF36" s="146">
        <f>(BALANCE_SHEET!AI51-BALANCE_SHEET!AI55)/BALANCE_SHEET!AI53</f>
        <v>0.4564468911856977</v>
      </c>
      <c r="AG36" s="146">
        <f>(BALANCE_SHEET!AJ51-BALANCE_SHEET!AJ55)/BALANCE_SHEET!AJ53</f>
        <v>0.45952585031133603</v>
      </c>
    </row>
    <row r="37" spans="1:33" x14ac:dyDescent="0.25">
      <c r="A37" s="143" t="s">
        <v>51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4">
        <f>BALANCE_SHEET!Q57/BALANCE_SHEET!Q59</f>
        <v>0.5236158742073409</v>
      </c>
      <c r="O37" s="144">
        <f>BALANCE_SHEET!R57/BALANCE_SHEET!R59</f>
        <v>0.24017243333806806</v>
      </c>
      <c r="P37" s="144">
        <f>BALANCE_SHEET!S57/BALANCE_SHEET!S59</f>
        <v>0.20629335702330601</v>
      </c>
      <c r="Q37" s="144">
        <f>BALANCE_SHEET!T57/BALANCE_SHEET!T59</f>
        <v>0.21414162832261727</v>
      </c>
      <c r="R37" s="144">
        <f>BALANCE_SHEET!U57/BALANCE_SHEET!U59</f>
        <v>0.24943115002987779</v>
      </c>
      <c r="S37" s="144">
        <f>BALANCE_SHEET!V57/BALANCE_SHEET!V59</f>
        <v>0.23532336870845502</v>
      </c>
      <c r="T37" s="144">
        <f>BALANCE_SHEET!W57/BALANCE_SHEET!W59</f>
        <v>0.24755886508343147</v>
      </c>
      <c r="U37" s="144">
        <f>BALANCE_SHEET!X57/BALANCE_SHEET!X59</f>
        <v>0.22541043273767788</v>
      </c>
      <c r="V37" s="144">
        <f>BALANCE_SHEET!Y57/BALANCE_SHEET!Y59</f>
        <v>0.25773296536732643</v>
      </c>
      <c r="W37" s="144">
        <f>BALANCE_SHEET!Z57/BALANCE_SHEET!Z59</f>
        <v>0.25570249615416385</v>
      </c>
      <c r="X37" s="144">
        <f>BALANCE_SHEET!AA57/BALANCE_SHEET!AA59</f>
        <v>0.27636853257977301</v>
      </c>
      <c r="Y37" s="144">
        <f>BALANCE_SHEET!AB57/BALANCE_SHEET!AB59</f>
        <v>0.27093242082273578</v>
      </c>
      <c r="Z37" s="144">
        <f>BALANCE_SHEET!AC57/BALANCE_SHEET!AC59</f>
        <v>0.26738376021919791</v>
      </c>
      <c r="AA37" s="144">
        <f>BALANCE_SHEET!AD57/BALANCE_SHEET!AD59</f>
        <v>0.23880501672593038</v>
      </c>
      <c r="AB37" s="144">
        <f>BALANCE_SHEET!AE57/BALANCE_SHEET!AE59</f>
        <v>0.24366542516402986</v>
      </c>
      <c r="AC37" s="144">
        <f>BALANCE_SHEET!AF57/BALANCE_SHEET!AF59</f>
        <v>0.23963963181471634</v>
      </c>
      <c r="AD37" s="144">
        <f>BALANCE_SHEET!AG57/BALANCE_SHEET!AG59</f>
        <v>0.28462768066239597</v>
      </c>
      <c r="AE37" s="144">
        <f>BALANCE_SHEET!AH57/BALANCE_SHEET!AH59</f>
        <v>0.27218427384669236</v>
      </c>
      <c r="AF37" s="144">
        <f>BALANCE_SHEET!AI57/BALANCE_SHEET!AI59</f>
        <v>0.26255709094007695</v>
      </c>
      <c r="AG37" s="144">
        <f>BALANCE_SHEET!AJ57/BALANCE_SHEET!AJ59</f>
        <v>0.26350218308115325</v>
      </c>
    </row>
    <row r="38" spans="1:33" x14ac:dyDescent="0.25">
      <c r="A38" s="143" t="s">
        <v>100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4">
        <f>BALANCE_SHEET!Q57/BALANCE_SHEET!Q53</f>
        <v>0.34366659147585438</v>
      </c>
      <c r="O38" s="144">
        <f>BALANCE_SHEET!R57/BALANCE_SHEET!R53</f>
        <v>0.19366051597487624</v>
      </c>
      <c r="P38" s="144">
        <f>BALANCE_SHEET!S57/BALANCE_SHEET!S53</f>
        <v>0.17101425272900708</v>
      </c>
      <c r="Q38" s="144">
        <f>BALANCE_SHEET!T57/BALANCE_SHEET!T53</f>
        <v>0.17637285743876688</v>
      </c>
      <c r="R38" s="144">
        <f>BALANCE_SHEET!U57/BALANCE_SHEET!U53</f>
        <v>0.19963577026546289</v>
      </c>
      <c r="S38" s="144">
        <f>BALANCE_SHEET!V57/BALANCE_SHEET!V53</f>
        <v>0.19049535908519916</v>
      </c>
      <c r="T38" s="144">
        <f>BALANCE_SHEET!W57/BALANCE_SHEET!W53</f>
        <v>0.19843461660374301</v>
      </c>
      <c r="U38" s="144">
        <f>BALANCE_SHEET!X57/BALANCE_SHEET!X53</f>
        <v>0.18394688564393119</v>
      </c>
      <c r="V38" s="144">
        <f>BALANCE_SHEET!Y57/BALANCE_SHEET!Y53</f>
        <v>0.20491866911674242</v>
      </c>
      <c r="W38" s="144">
        <f>BALANCE_SHEET!Z57/BALANCE_SHEET!Z53</f>
        <v>0.20363302369574252</v>
      </c>
      <c r="X38" s="144">
        <f>BALANCE_SHEET!AA57/BALANCE_SHEET!AA53</f>
        <v>0.21652722197810842</v>
      </c>
      <c r="Y38" s="144">
        <f>BALANCE_SHEET!AB57/BALANCE_SHEET!AB53</f>
        <v>0.21317610313800017</v>
      </c>
      <c r="Z38" s="144">
        <f>BALANCE_SHEET!AC57/BALANCE_SHEET!AC53</f>
        <v>0.21097300487182594</v>
      </c>
      <c r="AA38" s="144">
        <f>BALANCE_SHEET!AD57/BALANCE_SHEET!AD53</f>
        <v>0.19277046306857418</v>
      </c>
      <c r="AB38" s="144">
        <f>BALANCE_SHEET!AE57/BALANCE_SHEET!AE53</f>
        <v>0.19592522251866276</v>
      </c>
      <c r="AC38" s="144">
        <f>BALANCE_SHEET!AF57/BALANCE_SHEET!AF53</f>
        <v>0.19331394839636287</v>
      </c>
      <c r="AD38" s="144">
        <f>BALANCE_SHEET!AG57/BALANCE_SHEET!AG53</f>
        <v>0.22156433723709942</v>
      </c>
      <c r="AE38" s="144">
        <f>BALANCE_SHEET!AH57/BALANCE_SHEET!AH53</f>
        <v>0.21395035250961808</v>
      </c>
      <c r="AF38" s="144">
        <f>BALANCE_SHEET!AI57/BALANCE_SHEET!AI53</f>
        <v>0.20795660871428928</v>
      </c>
      <c r="AG38" s="144">
        <f>BALANCE_SHEET!AJ57/BALANCE_SHEET!AJ53</f>
        <v>0.20854905247459224</v>
      </c>
    </row>
    <row r="39" spans="1:33" x14ac:dyDescent="0.25">
      <c r="A39" s="141" t="s">
        <v>49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2">
        <f>INCOME_STATEMENT!O98/BALANCE_SHEET!Q53</f>
        <v>3.1584426602032985E-2</v>
      </c>
      <c r="O39" s="142">
        <f>INCOME_STATEMENT!P98/BALANCE_SHEET!R53</f>
        <v>0.24427868563903371</v>
      </c>
      <c r="P39" s="142">
        <f>INCOME_STATEMENT!Q98/BALANCE_SHEET!S53</f>
        <v>0.23064796046700586</v>
      </c>
      <c r="Q39" s="142">
        <f>INCOME_STATEMENT!R98/BALANCE_SHEET!T53</f>
        <v>0.26150285869419054</v>
      </c>
      <c r="R39" s="142">
        <f>INCOME_STATEMENT!S98/BALANCE_SHEET!U53</f>
        <v>2.5013896558275493E-2</v>
      </c>
      <c r="S39" s="142">
        <f>INCOME_STATEMENT!T98/BALANCE_SHEET!V53</f>
        <v>3.7203843532810157E-2</v>
      </c>
      <c r="T39" s="142">
        <f>INCOME_STATEMENT!U98/BALANCE_SHEET!W53</f>
        <v>6.6194476132799482E-2</v>
      </c>
      <c r="U39" s="142">
        <f>INCOME_STATEMENT!V98/BALANCE_SHEET!X53</f>
        <v>7.4165722097610964E-2</v>
      </c>
      <c r="V39" s="142">
        <f>INCOME_STATEMENT!W98/BALANCE_SHEET!Y53</f>
        <v>3.1439558497692269E-2</v>
      </c>
      <c r="W39" s="142">
        <f>INCOME_STATEMENT!X98/BALANCE_SHEET!Z53</f>
        <v>4.3871285765530017E-2</v>
      </c>
      <c r="X39" s="142">
        <f>INCOME_STATEMENT!Y98/BALANCE_SHEET!AA53</f>
        <v>6.8799771605535007E-2</v>
      </c>
      <c r="Y39" s="142">
        <f>INCOME_STATEMENT!Z98/BALANCE_SHEET!AB53</f>
        <v>7.5842932001248781E-2</v>
      </c>
      <c r="Z39" s="142">
        <f>INCOME_STATEMENT!AA98/BALANCE_SHEET!AC53</f>
        <v>2.7945713389479515E-2</v>
      </c>
      <c r="AA39" s="142">
        <f>INCOME_STATEMENT!AB98/BALANCE_SHEET!AD53</f>
        <v>4.0371417447941087E-2</v>
      </c>
      <c r="AB39" s="142">
        <f>INCOME_STATEMENT!AC98/BALANCE_SHEET!AE53</f>
        <v>6.1770194415133144E-2</v>
      </c>
      <c r="AC39" s="142">
        <f>INCOME_STATEMENT!AD98/BALANCE_SHEET!AF53</f>
        <v>7.077271412529007E-2</v>
      </c>
      <c r="AD39" s="142">
        <f>INCOME_STATEMENT!AE98/BALANCE_SHEET!AG53</f>
        <v>2.7082493463877522E-2</v>
      </c>
      <c r="AE39" s="142">
        <f>INCOME_STATEMENT!AF98/BALANCE_SHEET!AH53</f>
        <v>3.7735944762018213E-2</v>
      </c>
      <c r="AF39" s="142">
        <f>INCOME_STATEMENT!AG98/BALANCE_SHEET!AI53</f>
        <v>5.2859712111798261E-2</v>
      </c>
      <c r="AG39" s="142">
        <f>INCOME_STATEMENT!AH98/BALANCE_SHEET!AJ53</f>
        <v>5.6894702254028894E-2</v>
      </c>
    </row>
    <row r="40" spans="1:33" x14ac:dyDescent="0.25">
      <c r="A40" s="141" t="s">
        <v>102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2">
        <f>INCOME_STATEMENT!O98/BALANCE_SHEET!Q59</f>
        <v>4.8122533748594078E-2</v>
      </c>
      <c r="O40" s="142">
        <f>INCOME_STATEMENT!P98/BALANCE_SHEET!R59</f>
        <v>0.30294769198158544</v>
      </c>
      <c r="P40" s="142">
        <f>INCOME_STATEMENT!Q98/BALANCE_SHEET!S59</f>
        <v>0.27822910252232325</v>
      </c>
      <c r="Q40" s="142">
        <f>INCOME_STATEMENT!R98/BALANCE_SHEET!T59</f>
        <v>0.31750150666598376</v>
      </c>
      <c r="R40" s="142">
        <f>INCOME_STATEMENT!S98/BALANCE_SHEET!U59</f>
        <v>3.1253141543534556E-2</v>
      </c>
      <c r="S40" s="142">
        <f>INCOME_STATEMENT!T98/BALANCE_SHEET!V59</f>
        <v>4.5958777321853314E-2</v>
      </c>
      <c r="T40" s="142">
        <f>INCOME_STATEMENT!U98/BALANCE_SHEET!W59</f>
        <v>8.2581505519027612E-2</v>
      </c>
      <c r="U40" s="142">
        <f>INCOME_STATEMENT!V98/BALANCE_SHEET!X59</f>
        <v>9.0883449609935815E-2</v>
      </c>
      <c r="V40" s="142">
        <f>INCOME_STATEMENT!W98/BALANCE_SHEET!Y59</f>
        <v>3.9542569139142024E-2</v>
      </c>
      <c r="W40" s="142">
        <f>INCOME_STATEMENT!X98/BALANCE_SHEET!Z59</f>
        <v>5.508928304526868E-2</v>
      </c>
      <c r="X40" s="142">
        <f>INCOME_STATEMENT!Y98/BALANCE_SHEET!AA59</f>
        <v>8.7813863525980251E-2</v>
      </c>
      <c r="Y40" s="142">
        <f>INCOME_STATEMENT!Z98/BALANCE_SHEET!AB59</f>
        <v>9.6391241170641254E-2</v>
      </c>
      <c r="Z40" s="142">
        <f>INCOME_STATEMENT!AA98/BALANCE_SHEET!AC59</f>
        <v>3.5417943317566536E-2</v>
      </c>
      <c r="AA40" s="142">
        <f>INCOME_STATEMENT!AB98/BALANCE_SHEET!AD59</f>
        <v>5.0012314466846175E-2</v>
      </c>
      <c r="AB40" s="142">
        <f>INCOME_STATEMENT!AC98/BALANCE_SHEET!AE59</f>
        <v>7.6821455099761349E-2</v>
      </c>
      <c r="AC40" s="142">
        <f>INCOME_STATEMENT!AD98/BALANCE_SHEET!AF59</f>
        <v>8.7732661280802759E-2</v>
      </c>
      <c r="AD40" s="142">
        <f>INCOME_STATEMENT!AE98/BALANCE_SHEET!AG59</f>
        <v>3.479092076505548E-2</v>
      </c>
      <c r="AE40" s="142">
        <f>INCOME_STATEMENT!AF98/BALANCE_SHEET!AH59</f>
        <v>4.8007075484987026E-2</v>
      </c>
      <c r="AF40" s="142">
        <f>INCOME_STATEMENT!AG98/BALANCE_SHEET!AI59</f>
        <v>6.6738404351801964E-2</v>
      </c>
      <c r="AG40" s="142">
        <f>INCOME_STATEMENT!AH98/BALANCE_SHEET!AJ59</f>
        <v>7.1886580503717712E-2</v>
      </c>
    </row>
  </sheetData>
  <mergeCells count="8">
    <mergeCell ref="J3:M3"/>
    <mergeCell ref="F3:I3"/>
    <mergeCell ref="B3:E3"/>
    <mergeCell ref="N3:Q3"/>
    <mergeCell ref="R3:U3"/>
    <mergeCell ref="V3:Y3"/>
    <mergeCell ref="Z3:AC3"/>
    <mergeCell ref="AD3:A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9" workbookViewId="0">
      <selection activeCell="F3" sqref="F3:N35"/>
    </sheetView>
  </sheetViews>
  <sheetFormatPr defaultRowHeight="15" x14ac:dyDescent="0.25"/>
  <cols>
    <col min="1" max="3" width="9.140625" style="158"/>
    <col min="4" max="5" width="9.140625" style="171"/>
    <col min="6" max="6" width="11.5703125" style="223" bestFit="1" customWidth="1"/>
    <col min="7" max="7" width="13.7109375" style="223" bestFit="1" customWidth="1"/>
    <col min="8" max="9" width="9.140625" style="225"/>
    <col min="10" max="11" width="9.140625" style="173"/>
    <col min="12" max="12" width="10.5703125" style="217" bestFit="1" customWidth="1"/>
    <col min="13" max="13" width="14.85546875" style="217" bestFit="1" customWidth="1"/>
    <col min="14" max="15" width="9.140625" style="214"/>
  </cols>
  <sheetData>
    <row r="1" spans="1:16" x14ac:dyDescent="0.25">
      <c r="A1" s="158" t="s">
        <v>115</v>
      </c>
    </row>
    <row r="3" spans="1:16" s="169" customFormat="1" x14ac:dyDescent="0.25">
      <c r="A3" s="169" t="s">
        <v>116</v>
      </c>
      <c r="B3" s="169" t="s">
        <v>117</v>
      </c>
      <c r="C3" s="169" t="s">
        <v>120</v>
      </c>
      <c r="D3" s="172" t="s">
        <v>101</v>
      </c>
      <c r="E3" s="172" t="s">
        <v>103</v>
      </c>
      <c r="F3" s="224" t="s">
        <v>145</v>
      </c>
      <c r="G3" s="224" t="s">
        <v>146</v>
      </c>
      <c r="H3" s="226" t="s">
        <v>51</v>
      </c>
      <c r="I3" s="226"/>
      <c r="J3" s="174"/>
      <c r="K3" s="174"/>
      <c r="L3" s="218" t="s">
        <v>142</v>
      </c>
      <c r="M3" s="218" t="s">
        <v>143</v>
      </c>
      <c r="N3" s="215" t="s">
        <v>49</v>
      </c>
      <c r="P3" s="215" t="s">
        <v>102</v>
      </c>
    </row>
    <row r="4" spans="1:16" x14ac:dyDescent="0.25">
      <c r="A4" s="170" t="s">
        <v>119</v>
      </c>
      <c r="B4" s="158" t="s">
        <v>62</v>
      </c>
      <c r="F4" s="223">
        <f>(BALANCE_SHEET!E$12)</f>
        <v>7151813</v>
      </c>
      <c r="G4" s="223">
        <f>(BALANCE_SHEET!E$14)</f>
        <v>4843623</v>
      </c>
      <c r="H4" s="225">
        <f>((BALANCE_SHEET!E$12)/(BALANCE_SHEET!E$14))</f>
        <v>1.476542043012018</v>
      </c>
      <c r="L4" s="217">
        <f>INCOME_STATEMENT!C18</f>
        <v>1162686</v>
      </c>
      <c r="M4" s="217">
        <f>BALANCE_SHEET!E8</f>
        <v>11995436</v>
      </c>
      <c r="N4" s="214">
        <f>INCOME_STATEMENT!C18/BALANCE_SHEET!E8</f>
        <v>9.6927364707710503E-2</v>
      </c>
      <c r="P4" s="216"/>
    </row>
    <row r="5" spans="1:16" x14ac:dyDescent="0.25">
      <c r="B5" s="158" t="s">
        <v>63</v>
      </c>
      <c r="F5" s="223">
        <f>(BALANCE_SHEET!F$12)</f>
        <v>10182580</v>
      </c>
      <c r="G5" s="223">
        <f>(BALANCE_SHEET!F$14)</f>
        <v>3752158</v>
      </c>
      <c r="H5" s="225">
        <f>((BALANCE_SHEET!F$12)/(BALANCE_SHEET!F$14))</f>
        <v>2.7137929692726157</v>
      </c>
      <c r="L5" s="217">
        <f>INCOME_STATEMENT!D18</f>
        <v>2329701</v>
      </c>
      <c r="M5" s="217">
        <f>BALANCE_SHEET!F8</f>
        <v>13934738</v>
      </c>
      <c r="N5" s="214">
        <f>INCOME_STATEMENT!D18/BALANCE_SHEET!F8</f>
        <v>0.16718656640691773</v>
      </c>
      <c r="P5" s="216"/>
    </row>
    <row r="6" spans="1:16" x14ac:dyDescent="0.25">
      <c r="B6" s="158" t="s">
        <v>64</v>
      </c>
      <c r="F6" s="223">
        <f>(BALANCE_SHEET!G$12)</f>
        <v>7316284</v>
      </c>
      <c r="G6" s="223">
        <f>(BALANCE_SHEET!G$14)</f>
        <v>5105626</v>
      </c>
      <c r="H6" s="225">
        <f>((BALANCE_SHEET!G$12)/(BALANCE_SHEET!G$14))</f>
        <v>1.4329847113752554</v>
      </c>
      <c r="L6" s="217">
        <f>INCOME_STATEMENT!E18</f>
        <v>3653568</v>
      </c>
      <c r="M6" s="217">
        <f>BALANCE_SHEET!G8</f>
        <v>12421910</v>
      </c>
      <c r="N6" s="214">
        <f>INCOME_STATEMENT!E18/BALANCE_SHEET!G8</f>
        <v>0.29412288448394813</v>
      </c>
      <c r="P6" s="216"/>
    </row>
    <row r="7" spans="1:16" x14ac:dyDescent="0.25">
      <c r="B7" s="158" t="s">
        <v>93</v>
      </c>
      <c r="F7" s="223">
        <f>(BALANCE_SHEET!H$12)</f>
        <v>8016614</v>
      </c>
      <c r="G7" s="223">
        <f>(BALANCE_SHEET!H$14)</f>
        <v>3968365</v>
      </c>
      <c r="H7" s="225">
        <f>((BALANCE_SHEET!H$12)/(BALANCE_SHEET!H$14))</f>
        <v>2.020130204756871</v>
      </c>
      <c r="L7" s="217">
        <f>INCOME_STATEMENT!F18</f>
        <v>4839145</v>
      </c>
      <c r="M7" s="217">
        <f>BALANCE_SHEET!H8</f>
        <v>11984979</v>
      </c>
      <c r="N7" s="214">
        <f>INCOME_STATEMENT!F18/BALANCE_SHEET!H8</f>
        <v>0.40376749930058281</v>
      </c>
      <c r="P7" s="216"/>
    </row>
    <row r="8" spans="1:16" x14ac:dyDescent="0.25">
      <c r="A8" s="170" t="s">
        <v>118</v>
      </c>
      <c r="B8" s="158" t="s">
        <v>62</v>
      </c>
      <c r="F8" s="223">
        <f>(BALANCE_SHEET!I$12)</f>
        <v>7505909</v>
      </c>
      <c r="G8" s="223">
        <f>(BALANCE_SHEET!I$14)</f>
        <v>5400348</v>
      </c>
      <c r="H8" s="225">
        <f>((BALANCE_SHEET!I$12)/(BALANCE_SHEET!I$14))</f>
        <v>1.3898935772287266</v>
      </c>
      <c r="L8" s="217">
        <f>INCOME_STATEMENT!G18</f>
        <v>9822451</v>
      </c>
      <c r="M8" s="217">
        <f>BALANCE_SHEET!I8</f>
        <v>12906257</v>
      </c>
      <c r="N8" s="214">
        <f>INCOME_STATEMENT!G18/BALANCE_SHEET!I8</f>
        <v>0.76106116591355655</v>
      </c>
      <c r="P8" s="216"/>
    </row>
    <row r="9" spans="1:16" x14ac:dyDescent="0.25">
      <c r="B9" s="158" t="s">
        <v>63</v>
      </c>
      <c r="F9" s="223">
        <f>(BALANCE_SHEET!J$12)</f>
        <v>9949299</v>
      </c>
      <c r="G9" s="223">
        <f>(BALANCE_SHEET!J$14)</f>
        <v>4243835</v>
      </c>
      <c r="H9" s="225">
        <f>((BALANCE_SHEET!J$12)/(BALANCE_SHEET!J$14))</f>
        <v>2.3444123063219942</v>
      </c>
      <c r="L9" s="217">
        <f>INCOME_STATEMENT!H18</f>
        <v>2823890</v>
      </c>
      <c r="M9" s="217">
        <f>BALANCE_SHEET!J8</f>
        <v>14193134</v>
      </c>
      <c r="N9" s="214">
        <f>INCOME_STATEMENT!H18/BALANCE_SHEET!J8</f>
        <v>0.19896169514076315</v>
      </c>
      <c r="P9" s="216"/>
    </row>
    <row r="10" spans="1:16" x14ac:dyDescent="0.25">
      <c r="B10" s="158" t="s">
        <v>64</v>
      </c>
      <c r="F10" s="223">
        <f>(BALANCE_SHEET!K$12)</f>
        <v>7829734</v>
      </c>
      <c r="G10" s="223">
        <f>(BALANCE_SHEET!K$14)</f>
        <v>5510444</v>
      </c>
      <c r="H10" s="225">
        <f>((BALANCE_SHEET!K$12)/(BALANCE_SHEET!K$14))</f>
        <v>1.4208898593289396</v>
      </c>
      <c r="L10" s="217">
        <f>INCOME_STATEMENT!I18</f>
        <v>4090499</v>
      </c>
      <c r="M10" s="217">
        <f>BALANCE_SHEET!K8</f>
        <v>13340178</v>
      </c>
      <c r="N10" s="214">
        <f>INCOME_STATEMENT!I18/BALANCE_SHEET!K8</f>
        <v>0.30663001648103944</v>
      </c>
      <c r="P10" s="216"/>
    </row>
    <row r="11" spans="1:16" x14ac:dyDescent="0.25">
      <c r="B11" s="158" t="s">
        <v>93</v>
      </c>
      <c r="F11" s="223">
        <f>(BALANCE_SHEET!L$12)</f>
        <v>9093518</v>
      </c>
      <c r="G11" s="223">
        <f>(BALANCE_SHEET!L$14)</f>
        <v>4254670</v>
      </c>
      <c r="H11" s="225">
        <f>((BALANCE_SHEET!L$12)/(BALANCE_SHEET!L$14))</f>
        <v>2.1373027755384082</v>
      </c>
      <c r="L11" s="217">
        <f>INCOME_STATEMENT!J18</f>
        <v>5352625</v>
      </c>
      <c r="M11" s="217">
        <f>BALANCE_SHEET!L8</f>
        <v>13348188</v>
      </c>
      <c r="N11" s="214">
        <f>INCOME_STATEMENT!J18/BALANCE_SHEET!L8</f>
        <v>0.40100012076545521</v>
      </c>
      <c r="P11" s="216"/>
    </row>
    <row r="12" spans="1:16" x14ac:dyDescent="0.25">
      <c r="A12" s="170" t="s">
        <v>2</v>
      </c>
      <c r="B12" s="158" t="s">
        <v>62</v>
      </c>
      <c r="F12" s="223">
        <f>(BALANCE_SHEET!M$12)</f>
        <v>8698529</v>
      </c>
      <c r="G12" s="223">
        <f>(BALANCE_SHEET!M$14)</f>
        <v>5615651</v>
      </c>
      <c r="H12" s="225">
        <f>((BALANCE_SHEET!M12)/(BALANCE_SHEET!M$14))</f>
        <v>1.548979628541731</v>
      </c>
      <c r="L12" s="217">
        <f>INCOME_STATEMENT!K18</f>
        <v>1360981</v>
      </c>
      <c r="M12" s="217">
        <f>BALANCE_SHEET!M8</f>
        <v>14314180</v>
      </c>
      <c r="N12" s="214">
        <f>INCOME_STATEMENT!K18/BALANCE_SHEET!M8</f>
        <v>9.5079215155880387E-2</v>
      </c>
      <c r="P12" s="216"/>
    </row>
    <row r="13" spans="1:16" x14ac:dyDescent="0.25">
      <c r="B13" s="158" t="s">
        <v>63</v>
      </c>
      <c r="F13" s="223">
        <f>(BALANCE_SHEET!N$12)</f>
        <v>11685025</v>
      </c>
      <c r="G13" s="223">
        <f>(BALANCE_SHEET!N$14)</f>
        <v>4271931</v>
      </c>
      <c r="H13" s="225">
        <f>((BALANCE_SHEET!N$12)/(BALANCE_SHEET!N$14))</f>
        <v>2.7353028407996289</v>
      </c>
      <c r="L13" s="217">
        <f>INCOME_STATEMENT!L18</f>
        <v>2847991</v>
      </c>
      <c r="M13" s="217">
        <f>BALANCE_SHEET!N8</f>
        <v>15956956</v>
      </c>
      <c r="N13" s="214">
        <f>INCOME_STATEMENT!L18/BALANCE_SHEET!N8</f>
        <v>0.17847959222297788</v>
      </c>
      <c r="P13" s="216"/>
    </row>
    <row r="14" spans="1:16" x14ac:dyDescent="0.25">
      <c r="B14" s="158" t="s">
        <v>64</v>
      </c>
      <c r="F14" s="223">
        <f>(BALANCE_SHEET!O$12)</f>
        <v>9697242</v>
      </c>
      <c r="G14" s="223">
        <f>(BALANCE_SHEET!O$14)</f>
        <v>5472869</v>
      </c>
      <c r="H14" s="225">
        <f>((BALANCE_SHEET!O$12)/(BALANCE_SHEET!O$14))</f>
        <v>1.7718754094059259</v>
      </c>
      <c r="L14" s="217">
        <f>INCOME_STATEMENT!M18</f>
        <v>4048929</v>
      </c>
      <c r="M14" s="217">
        <f>BALANCE_SHEET!O8</f>
        <v>15170111</v>
      </c>
      <c r="N14" s="214">
        <f>INCOME_STATEMENT!M18/BALANCE_SHEET!O8</f>
        <v>0.26690173855682403</v>
      </c>
      <c r="P14" s="216"/>
    </row>
    <row r="15" spans="1:16" x14ac:dyDescent="0.25">
      <c r="B15" s="158" t="s">
        <v>93</v>
      </c>
      <c r="F15" s="223">
        <f>(BALANCE_SHEET!P$12)</f>
        <v>9681888</v>
      </c>
      <c r="G15" s="223">
        <f>(BALANCE_SHEET!P$14)</f>
        <v>4598782</v>
      </c>
      <c r="H15" s="225">
        <f>((BALANCE_SHEET!P$12)/(BALANCE_SHEET!P$14))</f>
        <v>2.1053157118558783</v>
      </c>
      <c r="L15" s="217">
        <f>INCOME_STATEMENT!N18</f>
        <v>5738523</v>
      </c>
      <c r="M15" s="217">
        <f>BALANCE_SHEET!P8</f>
        <v>14280670</v>
      </c>
      <c r="N15" s="214">
        <f>INCOME_STATEMENT!N18/BALANCE_SHEET!P8</f>
        <v>0.40183849917405834</v>
      </c>
      <c r="P15" s="216"/>
    </row>
    <row r="16" spans="1:16" x14ac:dyDescent="0.25">
      <c r="A16" s="170" t="s">
        <v>3</v>
      </c>
      <c r="B16" s="158" t="s">
        <v>62</v>
      </c>
      <c r="F16" s="223">
        <f>(BALANCE_SHEET!Q$12)</f>
        <v>8434341</v>
      </c>
      <c r="G16" s="223">
        <f>(BALANCE_SHEET!Q$14)</f>
        <v>6338213</v>
      </c>
      <c r="H16" s="225">
        <f>((BALANCE_SHEET!Q$12)/(BALANCE_SHEET!Q$14))</f>
        <v>1.3307127734583866</v>
      </c>
      <c r="L16" s="217">
        <f>INCOME_STATEMENT!O18</f>
        <v>1591699</v>
      </c>
      <c r="M16" s="217">
        <f>BALANCE_SHEET!Q8</f>
        <v>14772554</v>
      </c>
      <c r="N16" s="214">
        <f>INCOME_STATEMENT!O18/BALANCE_SHEET!Q8</f>
        <v>0.10774704225146173</v>
      </c>
    </row>
    <row r="17" spans="1:14" x14ac:dyDescent="0.25">
      <c r="B17" s="158" t="s">
        <v>63</v>
      </c>
      <c r="F17" s="223">
        <f>(BALANCE_SHEET!R$12)</f>
        <v>11983104</v>
      </c>
      <c r="G17" s="223">
        <f>(BALANCE_SHEET!R$14)</f>
        <v>4503074</v>
      </c>
      <c r="H17" s="225">
        <f>((BALANCE_SHEET!R$12)/(BALANCE_SHEET!R$14))</f>
        <v>2.6610941769999781</v>
      </c>
      <c r="L17" s="217">
        <f>INCOME_STATEMENT!P18</f>
        <v>2930640</v>
      </c>
      <c r="M17" s="217">
        <f>BALANCE_SHEET!R8</f>
        <v>16486178</v>
      </c>
      <c r="N17" s="214">
        <f>INCOME_STATEMENT!P18/BALANCE_SHEET!R8</f>
        <v>0.17776345736410221</v>
      </c>
    </row>
    <row r="18" spans="1:14" x14ac:dyDescent="0.25">
      <c r="B18" s="158" t="s">
        <v>64</v>
      </c>
      <c r="F18" s="223">
        <f>(BALANCE_SHEET!S$12)</f>
        <v>10229164</v>
      </c>
      <c r="G18" s="223">
        <f>(BALANCE_SHEET!S$14)</f>
        <v>5755607</v>
      </c>
      <c r="H18" s="225">
        <f>((BALANCE_SHEET!S$12)/(BALANCE_SHEET!S$14))</f>
        <v>1.7772519909715865</v>
      </c>
      <c r="L18" s="217">
        <f>INCOME_STATEMENT!Q18</f>
        <v>4183173</v>
      </c>
      <c r="M18" s="217">
        <f>BALANCE_SHEET!S8</f>
        <v>15984771</v>
      </c>
      <c r="N18" s="214">
        <f>INCOME_STATEMENT!Q18/BALANCE_SHEET!S8</f>
        <v>0.26169739935592445</v>
      </c>
    </row>
    <row r="19" spans="1:14" x14ac:dyDescent="0.25">
      <c r="B19" s="158" t="s">
        <v>93</v>
      </c>
      <c r="F19" s="223">
        <f>(BALANCE_SHEET!T$12)</f>
        <v>10902585</v>
      </c>
      <c r="G19" s="223">
        <f>(BALANCE_SHEET!T$14)</f>
        <v>4827360</v>
      </c>
      <c r="H19" s="225">
        <f>((BALANCE_SHEET!T$12)/(BALANCE_SHEET!T$14))</f>
        <v>2.2584984339266181</v>
      </c>
      <c r="L19" s="217">
        <f>INCOME_STATEMENT!R18</f>
        <v>5851805</v>
      </c>
      <c r="M19" s="217">
        <f>BALANCE_SHEET!T8</f>
        <v>15729945</v>
      </c>
      <c r="N19" s="214">
        <f>INCOME_STATEMENT!R18/BALANCE_SHEET!T8</f>
        <v>0.37201687609206519</v>
      </c>
    </row>
    <row r="20" spans="1:14" x14ac:dyDescent="0.25">
      <c r="A20" s="170" t="s">
        <v>4</v>
      </c>
      <c r="B20" s="158" t="s">
        <v>62</v>
      </c>
      <c r="F20" s="223">
        <f>(BALANCE_SHEET!U$12)</f>
        <v>10255900</v>
      </c>
      <c r="G20" s="223">
        <f>(BALANCE_SHEET!U$14)</f>
        <v>6397400</v>
      </c>
      <c r="H20" s="225">
        <f>((BALANCE_SHEET!U$12)/(BALANCE_SHEET!U$14))</f>
        <v>1.6031356488573483</v>
      </c>
      <c r="L20" s="217">
        <f>INCOME_STATEMENT!S18</f>
        <v>1570040</v>
      </c>
      <c r="M20" s="217">
        <f>BALANCE_SHEET!U8</f>
        <v>16653300</v>
      </c>
      <c r="N20" s="214">
        <f>INCOME_STATEMENT!S18/BALANCE_SHEET!U8</f>
        <v>9.4278010964793768E-2</v>
      </c>
    </row>
    <row r="21" spans="1:14" x14ac:dyDescent="0.25">
      <c r="B21" s="158" t="s">
        <v>63</v>
      </c>
      <c r="F21" s="223">
        <f>(BALANCE_SHEET!V$12)</f>
        <v>14029689</v>
      </c>
      <c r="G21" s="223">
        <f>(BALANCE_SHEET!V$14)</f>
        <v>4890447</v>
      </c>
      <c r="H21" s="225">
        <f>((BALANCE_SHEET!V$12)/(BALANCE_SHEET!V$14))</f>
        <v>2.8687948156886272</v>
      </c>
      <c r="L21" s="217">
        <f>INCOME_STATEMENT!T18</f>
        <v>3298307</v>
      </c>
      <c r="M21" s="217">
        <f>BALANCE_SHEET!V8</f>
        <v>18920136</v>
      </c>
      <c r="N21" s="214">
        <f>INCOME_STATEMENT!T18/BALANCE_SHEET!V8</f>
        <v>0.17432786952482793</v>
      </c>
    </row>
    <row r="22" spans="1:14" x14ac:dyDescent="0.25">
      <c r="B22" s="158" t="s">
        <v>64</v>
      </c>
      <c r="F22" s="223">
        <f>(BALANCE_SHEET!W$12)</f>
        <v>10405882</v>
      </c>
      <c r="G22" s="223">
        <f>(BALANCE_SHEET!W$14)</f>
        <v>6342791</v>
      </c>
      <c r="H22" s="225">
        <f>((BALANCE_SHEET!W$12)/(BALANCE_SHEET!W$14))</f>
        <v>1.6405840898746309</v>
      </c>
      <c r="L22" s="217">
        <f>INCOME_STATEMENT!U18</f>
        <v>4750551</v>
      </c>
      <c r="M22" s="217">
        <f>BALANCE_SHEET!W8</f>
        <v>16748673</v>
      </c>
      <c r="N22" s="214">
        <f>INCOME_STATEMENT!U18/BALANCE_SHEET!W8</f>
        <v>0.28363745593456868</v>
      </c>
    </row>
    <row r="23" spans="1:14" x14ac:dyDescent="0.25">
      <c r="B23" s="158" t="s">
        <v>93</v>
      </c>
      <c r="F23" s="223">
        <f>(BALANCE_SHEET!X$12)</f>
        <v>12041437</v>
      </c>
      <c r="G23" s="223">
        <f>(BALANCE_SHEET!X$14)</f>
        <v>4704258</v>
      </c>
      <c r="H23" s="225">
        <f>((BALANCE_SHEET!X$12)/(BALANCE_SHEET!X$14))</f>
        <v>2.5596889031171335</v>
      </c>
      <c r="L23" s="217">
        <f>INCOME_STATEMENT!V18</f>
        <v>6390672</v>
      </c>
      <c r="M23" s="217">
        <f>BALANCE_SHEET!X8</f>
        <v>16745695</v>
      </c>
      <c r="N23" s="214">
        <f>INCOME_STATEMENT!V18/BALANCE_SHEET!X8</f>
        <v>0.38163074151296794</v>
      </c>
    </row>
    <row r="24" spans="1:14" x14ac:dyDescent="0.25">
      <c r="A24" s="170" t="s">
        <v>5</v>
      </c>
      <c r="B24" s="158" t="s">
        <v>62</v>
      </c>
      <c r="F24" s="223">
        <f>(BALANCE_SHEET!Y$12)</f>
        <v>11921305</v>
      </c>
      <c r="G24" s="223">
        <f>(BALANCE_SHEET!Y$14)</f>
        <v>6665099</v>
      </c>
      <c r="H24" s="225">
        <f>((BALANCE_SHEET!Y$12)/(BALANCE_SHEET!Y$14))</f>
        <v>1.7886163431330877</v>
      </c>
      <c r="L24" s="217">
        <f>INCOME_STATEMENT!W18</f>
        <v>1960841</v>
      </c>
      <c r="M24" s="217">
        <f>BALANCE_SHEET!Y8</f>
        <v>18586404</v>
      </c>
      <c r="N24" s="214">
        <f>INCOME_STATEMENT!W18/BALANCE_SHEET!Y8</f>
        <v>0.10549867526822294</v>
      </c>
    </row>
    <row r="25" spans="1:14" x14ac:dyDescent="0.25">
      <c r="B25" s="158" t="s">
        <v>63</v>
      </c>
      <c r="F25" s="223">
        <f>(BALANCE_SHEET!Z$12)</f>
        <v>14380273</v>
      </c>
      <c r="G25" s="223">
        <f>(BALANCE_SHEET!Z$14)</f>
        <v>4906114</v>
      </c>
      <c r="H25" s="225">
        <f>((BALANCE_SHEET!Z$12)/(BALANCE_SHEET!Z$14))</f>
        <v>2.9310923064568009</v>
      </c>
      <c r="L25" s="217">
        <f>INCOME_STATEMENT!X18</f>
        <v>3623958</v>
      </c>
      <c r="M25" s="217">
        <f>BALANCE_SHEET!Z8</f>
        <v>19286387</v>
      </c>
      <c r="N25" s="214">
        <f>INCOME_STATEMENT!X18/BALANCE_SHEET!Z8</f>
        <v>0.18790237901997922</v>
      </c>
    </row>
    <row r="26" spans="1:14" x14ac:dyDescent="0.25">
      <c r="B26" s="158" t="s">
        <v>64</v>
      </c>
      <c r="F26" s="223">
        <f>(BALANCE_SHEET!AA$12)</f>
        <v>12391366</v>
      </c>
      <c r="G26" s="223">
        <f>(BALANCE_SHEET!AA$14)</f>
        <v>6423858</v>
      </c>
      <c r="H26" s="225">
        <f>((BALANCE_SHEET!AA$12)/(BALANCE_SHEET!AA$14))</f>
        <v>1.9289601357937862</v>
      </c>
      <c r="L26" s="217">
        <f>INCOME_STATEMENT!Y18</f>
        <v>5229400</v>
      </c>
      <c r="M26" s="217">
        <f>BALANCE_SHEET!AA8</f>
        <v>18815224</v>
      </c>
      <c r="N26" s="214">
        <f>INCOME_STATEMENT!Y18/BALANCE_SHEET!AA8</f>
        <v>0.27793450665269781</v>
      </c>
    </row>
    <row r="27" spans="1:14" x14ac:dyDescent="0.25">
      <c r="B27" s="158" t="s">
        <v>93</v>
      </c>
      <c r="F27" s="223">
        <f>(BALANCE_SHEET!AB$12)</f>
        <v>12041437</v>
      </c>
      <c r="G27" s="223">
        <f>(BALANCE_SHEET!AB$14)</f>
        <v>4704258</v>
      </c>
      <c r="H27" s="225">
        <f>((BALANCE_SHEET!AB$12)/(BALANCE_SHEET!AB$14))</f>
        <v>2.5596889031171335</v>
      </c>
      <c r="L27" s="217">
        <f>INCOME_STATEMENT!Z18</f>
        <v>7004562</v>
      </c>
      <c r="M27" s="217">
        <f>BALANCE_SHEET!AB8</f>
        <v>16745695</v>
      </c>
      <c r="N27" s="214">
        <f>INCOME_STATEMENT!Z18/BALANCE_SHEET!AB8</f>
        <v>0.41829031282368395</v>
      </c>
    </row>
    <row r="28" spans="1:14" x14ac:dyDescent="0.25">
      <c r="A28" s="170" t="s">
        <v>6</v>
      </c>
      <c r="B28" s="158" t="s">
        <v>62</v>
      </c>
      <c r="F28" s="223">
        <f>(BALANCE_SHEET!AC$12)</f>
        <v>13229294</v>
      </c>
      <c r="G28" s="223">
        <f>(BALANCE_SHEET!AC$14)</f>
        <v>7012519</v>
      </c>
      <c r="H28" s="225">
        <f>((BALANCE_SHEET!AC$12)/(BALANCE_SHEET!AC$14))</f>
        <v>1.8865252272400259</v>
      </c>
      <c r="L28" s="217">
        <f>INCOME_STATEMENT!AA18</f>
        <v>1839131</v>
      </c>
      <c r="M28" s="217">
        <f>BALANCE_SHEET!AC8</f>
        <v>20241813</v>
      </c>
      <c r="N28" s="214">
        <f>INCOME_STATEMENT!AA18/BALANCE_SHEET!AC8</f>
        <v>9.0858017510585642E-2</v>
      </c>
    </row>
    <row r="29" spans="1:14" x14ac:dyDescent="0.25">
      <c r="B29" s="158" t="s">
        <v>63</v>
      </c>
      <c r="F29" s="223">
        <f>(BALANCE_SHEET!AD$12)</f>
        <v>15514356</v>
      </c>
      <c r="G29" s="223">
        <f>(BALANCE_SHEET!AD$14)</f>
        <v>5011769</v>
      </c>
      <c r="H29" s="225">
        <f>((BALANCE_SHEET!AD$12)/(BALANCE_SHEET!AD$14))</f>
        <v>3.0955848124684118</v>
      </c>
      <c r="L29" s="217">
        <f>INCOME_STATEMENT!AB18</f>
        <v>3529869</v>
      </c>
      <c r="M29" s="217">
        <f>BALANCE_SHEET!AD8</f>
        <v>20526125</v>
      </c>
      <c r="N29" s="214">
        <f>INCOME_STATEMENT!AB18/BALANCE_SHEET!AD8</f>
        <v>0.17196957535823248</v>
      </c>
    </row>
    <row r="30" spans="1:14" x14ac:dyDescent="0.25">
      <c r="B30" s="158" t="s">
        <v>64</v>
      </c>
      <c r="F30" s="223">
        <f>(BALANCE_SHEET!AE$12)</f>
        <v>11027987</v>
      </c>
      <c r="G30" s="223">
        <f>(BALANCE_SHEET!AE$14)</f>
        <v>8970149</v>
      </c>
      <c r="H30" s="225">
        <f>((BALANCE_SHEET!AE$12)/(BALANCE_SHEET!AE$14))</f>
        <v>1.2294095672212357</v>
      </c>
      <c r="L30" s="217">
        <f>INCOME_STATEMENT!AC18</f>
        <v>7303493</v>
      </c>
      <c r="M30" s="217">
        <f>BALANCE_SHEET!AE8</f>
        <v>19998136</v>
      </c>
      <c r="N30" s="214">
        <f>INCOME_STATEMENT!AC18/BALANCE_SHEET!AE8</f>
        <v>0.36520868744967033</v>
      </c>
    </row>
    <row r="31" spans="1:14" x14ac:dyDescent="0.25">
      <c r="B31" s="158" t="s">
        <v>93</v>
      </c>
      <c r="F31" s="223">
        <f>(BALANCE_SHEET!AF$12)</f>
        <v>13733025</v>
      </c>
      <c r="G31" s="223">
        <f>(BALANCE_SHEET!AF$14)</f>
        <v>5173388</v>
      </c>
      <c r="H31" s="225">
        <f>((BALANCE_SHEET!AF$12)/(BALANCE_SHEET!AF$14))</f>
        <v>2.6545515240689466</v>
      </c>
      <c r="L31" s="217">
        <f>INCOME_STATEMENT!AD18</f>
        <v>9109445</v>
      </c>
      <c r="M31" s="217">
        <f>BALANCE_SHEET!AF8</f>
        <v>18906413</v>
      </c>
      <c r="N31" s="214">
        <f>INCOME_STATEMENT!AD18/BALANCE_SHEET!AF8</f>
        <v>0.4818177303119317</v>
      </c>
    </row>
    <row r="32" spans="1:14" x14ac:dyDescent="0.25">
      <c r="A32" s="170" t="s">
        <v>65</v>
      </c>
      <c r="B32" s="158" t="s">
        <v>62</v>
      </c>
      <c r="F32" s="223">
        <f>(BALANCE_SHEET!AG$12)</f>
        <v>16752108</v>
      </c>
      <c r="G32" s="223">
        <f>(BALANCE_SHEET!AG$14)</f>
        <v>5075213</v>
      </c>
      <c r="H32" s="225">
        <f>((BALANCE_SHEET!AG$12)/(BALANCE_SHEET!AG$14))</f>
        <v>3.3007694455385419</v>
      </c>
      <c r="L32" s="217">
        <f>INCOME_STATEMENT!AE18</f>
        <v>1748520</v>
      </c>
      <c r="M32" s="217">
        <f>BALANCE_SHEET!AG8</f>
        <v>21827321</v>
      </c>
      <c r="N32" s="214">
        <f>INCOME_STATEMENT!AE18/BALANCE_SHEET!AG8</f>
        <v>8.0106944869688779E-2</v>
      </c>
    </row>
    <row r="33" spans="2:14" x14ac:dyDescent="0.25">
      <c r="B33" s="158" t="s">
        <v>63</v>
      </c>
      <c r="F33" s="223">
        <f>(BALANCE_SHEET!AH$12)</f>
        <v>12977603</v>
      </c>
      <c r="G33" s="223">
        <f>(BALANCE_SHEET!AH$14)</f>
        <v>9062375</v>
      </c>
      <c r="H33" s="225">
        <f>((BALANCE_SHEET!AH$12)/(BALANCE_SHEET!AH$14))</f>
        <v>1.4320311176705887</v>
      </c>
      <c r="L33" s="217">
        <f>INCOME_STATEMENT!AF18</f>
        <v>3697232</v>
      </c>
      <c r="M33" s="217">
        <f>BALANCE_SHEET!AH8</f>
        <v>22039978</v>
      </c>
      <c r="N33" s="214">
        <f>INCOME_STATEMENT!AF18/BALANCE_SHEET!AH8</f>
        <v>0.16775116563183504</v>
      </c>
    </row>
    <row r="34" spans="2:14" x14ac:dyDescent="0.25">
      <c r="B34" s="158" t="s">
        <v>64</v>
      </c>
      <c r="F34" s="223">
        <f>(BALANCE_SHEET!AI$12)</f>
        <v>13926354</v>
      </c>
      <c r="G34" s="223">
        <f>(BALANCE_SHEET!AI$14)</f>
        <v>6887584</v>
      </c>
      <c r="H34" s="225">
        <f>((BALANCE_SHEET!AI$12)/(BALANCE_SHEET!AI$14))</f>
        <v>2.0219505126906618</v>
      </c>
      <c r="L34" s="217">
        <f>INCOME_STATEMENT!AG18</f>
        <v>5509603</v>
      </c>
      <c r="M34" s="217">
        <f>BALANCE_SHEET!AI8</f>
        <v>20813938</v>
      </c>
      <c r="N34" s="214">
        <f>INCOME_STATEMENT!AG18/BALANCE_SHEET!AI8</f>
        <v>0.26470738021800583</v>
      </c>
    </row>
    <row r="35" spans="2:14" x14ac:dyDescent="0.25">
      <c r="B35" s="158" t="s">
        <v>93</v>
      </c>
      <c r="F35" s="223">
        <f>(BALANCE_SHEET!AJ$12)</f>
        <v>15367509</v>
      </c>
      <c r="G35" s="223">
        <f>(BALANCE_SHEET!AJ$14)</f>
        <v>5281862</v>
      </c>
      <c r="H35" s="225">
        <f>((BALANCE_SHEET!AJ$12)/(BALANCE_SHEET!AJ$14))</f>
        <v>2.9094870331712568</v>
      </c>
      <c r="L35" s="217">
        <f>INCOME_STATEMENT!AH18</f>
        <v>7392837</v>
      </c>
      <c r="M35" s="217">
        <f>BALANCE_SHEET!AJ8</f>
        <v>20649371</v>
      </c>
      <c r="N35" s="214">
        <f>INCOME_STATEMENT!AH18/BALANCE_SHEET!AJ8</f>
        <v>0.35801753961416066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33"/>
  <sheetViews>
    <sheetView workbookViewId="0">
      <selection activeCell="I8" sqref="I8"/>
    </sheetView>
  </sheetViews>
  <sheetFormatPr defaultRowHeight="15" x14ac:dyDescent="0.25"/>
  <cols>
    <col min="6" max="6" width="8" bestFit="1" customWidth="1"/>
    <col min="7" max="7" width="13.42578125" bestFit="1" customWidth="1"/>
    <col min="8" max="8" width="7" bestFit="1" customWidth="1"/>
  </cols>
  <sheetData>
    <row r="1" spans="6:8" x14ac:dyDescent="0.25">
      <c r="F1" s="219" t="s">
        <v>142</v>
      </c>
      <c r="G1" s="219" t="s">
        <v>143</v>
      </c>
      <c r="H1" s="220" t="s">
        <v>144</v>
      </c>
    </row>
    <row r="2" spans="6:8" x14ac:dyDescent="0.25">
      <c r="F2" s="221">
        <v>1162686</v>
      </c>
      <c r="G2" s="221">
        <v>11995436</v>
      </c>
      <c r="H2" s="222">
        <v>9.69E-2</v>
      </c>
    </row>
    <row r="3" spans="6:8" x14ac:dyDescent="0.25">
      <c r="F3" s="221">
        <v>2329701</v>
      </c>
      <c r="G3" s="221">
        <v>13934738</v>
      </c>
      <c r="H3" s="222">
        <v>0.16719999999999999</v>
      </c>
    </row>
    <row r="4" spans="6:8" x14ac:dyDescent="0.25">
      <c r="F4" s="221">
        <v>3653568</v>
      </c>
      <c r="G4" s="221">
        <v>12421910</v>
      </c>
      <c r="H4" s="222">
        <v>0.29409999999999997</v>
      </c>
    </row>
    <row r="5" spans="6:8" x14ac:dyDescent="0.25">
      <c r="F5" s="221">
        <v>4839145</v>
      </c>
      <c r="G5" s="221">
        <v>11984979</v>
      </c>
      <c r="H5" s="222">
        <v>0.40379999999999999</v>
      </c>
    </row>
    <row r="6" spans="6:8" x14ac:dyDescent="0.25">
      <c r="F6" s="221">
        <v>9822451</v>
      </c>
      <c r="G6" s="221">
        <v>12906257</v>
      </c>
      <c r="H6" s="222">
        <v>0.7611</v>
      </c>
    </row>
    <row r="7" spans="6:8" x14ac:dyDescent="0.25">
      <c r="F7" s="221">
        <v>2823890</v>
      </c>
      <c r="G7" s="221">
        <v>14193134</v>
      </c>
      <c r="H7" s="222">
        <v>0.19900000000000001</v>
      </c>
    </row>
    <row r="8" spans="6:8" x14ac:dyDescent="0.25">
      <c r="F8" s="221">
        <v>4090499</v>
      </c>
      <c r="G8" s="221">
        <v>13340178</v>
      </c>
      <c r="H8" s="222">
        <v>0.30659999999999998</v>
      </c>
    </row>
    <row r="9" spans="6:8" x14ac:dyDescent="0.25">
      <c r="F9" s="221">
        <v>5352625</v>
      </c>
      <c r="G9" s="221">
        <v>13348188</v>
      </c>
      <c r="H9" s="222">
        <v>0.40100000000000002</v>
      </c>
    </row>
    <row r="10" spans="6:8" x14ac:dyDescent="0.25">
      <c r="F10" s="221">
        <v>1360981</v>
      </c>
      <c r="G10" s="221">
        <v>14314180</v>
      </c>
      <c r="H10" s="222">
        <v>9.5100000000000004E-2</v>
      </c>
    </row>
    <row r="11" spans="6:8" x14ac:dyDescent="0.25">
      <c r="F11" s="221">
        <v>2847991</v>
      </c>
      <c r="G11" s="221">
        <v>15956956</v>
      </c>
      <c r="H11" s="222">
        <v>0.17849999999999999</v>
      </c>
    </row>
    <row r="12" spans="6:8" x14ac:dyDescent="0.25">
      <c r="F12" s="221">
        <v>4048929</v>
      </c>
      <c r="G12" s="221">
        <v>15170111</v>
      </c>
      <c r="H12" s="222">
        <v>0.26690000000000003</v>
      </c>
    </row>
    <row r="13" spans="6:8" x14ac:dyDescent="0.25">
      <c r="F13" s="221">
        <v>5738523</v>
      </c>
      <c r="G13" s="221">
        <v>14280670</v>
      </c>
      <c r="H13" s="222">
        <v>0.40179999999999999</v>
      </c>
    </row>
    <row r="14" spans="6:8" x14ac:dyDescent="0.25">
      <c r="F14" s="221">
        <v>1591699</v>
      </c>
      <c r="G14" s="221">
        <v>14772554</v>
      </c>
      <c r="H14" s="222">
        <v>0.1077</v>
      </c>
    </row>
    <row r="15" spans="6:8" x14ac:dyDescent="0.25">
      <c r="F15" s="221">
        <v>2930640</v>
      </c>
      <c r="G15" s="221">
        <v>16486178</v>
      </c>
      <c r="H15" s="222">
        <v>0.17780000000000001</v>
      </c>
    </row>
    <row r="16" spans="6:8" x14ac:dyDescent="0.25">
      <c r="F16" s="221">
        <v>4183173</v>
      </c>
      <c r="G16" s="221">
        <v>15984771</v>
      </c>
      <c r="H16" s="222">
        <v>0.26169999999999999</v>
      </c>
    </row>
    <row r="17" spans="6:8" x14ac:dyDescent="0.25">
      <c r="F17" s="221">
        <v>5851805</v>
      </c>
      <c r="G17" s="221">
        <v>15729945</v>
      </c>
      <c r="H17" s="222">
        <v>0.372</v>
      </c>
    </row>
    <row r="18" spans="6:8" x14ac:dyDescent="0.25">
      <c r="F18" s="221">
        <v>1570040</v>
      </c>
      <c r="G18" s="221">
        <v>16653300</v>
      </c>
      <c r="H18" s="222">
        <v>9.4299999999999995E-2</v>
      </c>
    </row>
    <row r="19" spans="6:8" x14ac:dyDescent="0.25">
      <c r="F19" s="221">
        <v>3298307</v>
      </c>
      <c r="G19" s="221">
        <v>18920136</v>
      </c>
      <c r="H19" s="222">
        <v>0.17430000000000001</v>
      </c>
    </row>
    <row r="20" spans="6:8" x14ac:dyDescent="0.25">
      <c r="F20" s="221">
        <v>4750551</v>
      </c>
      <c r="G20" s="221">
        <v>16748673</v>
      </c>
      <c r="H20" s="222">
        <v>0.28360000000000002</v>
      </c>
    </row>
    <row r="21" spans="6:8" x14ac:dyDescent="0.25">
      <c r="F21" s="221">
        <v>6390672</v>
      </c>
      <c r="G21" s="221">
        <v>16745695</v>
      </c>
      <c r="H21" s="222">
        <v>0.38159999999999999</v>
      </c>
    </row>
    <row r="22" spans="6:8" x14ac:dyDescent="0.25">
      <c r="F22" s="221">
        <v>1960841</v>
      </c>
      <c r="G22" s="221">
        <v>18586404</v>
      </c>
      <c r="H22" s="222">
        <v>0.1055</v>
      </c>
    </row>
    <row r="23" spans="6:8" x14ac:dyDescent="0.25">
      <c r="F23" s="221">
        <v>3623958</v>
      </c>
      <c r="G23" s="221">
        <v>19286387</v>
      </c>
      <c r="H23" s="222">
        <v>0.18790000000000001</v>
      </c>
    </row>
    <row r="24" spans="6:8" x14ac:dyDescent="0.25">
      <c r="F24" s="221">
        <v>5229400</v>
      </c>
      <c r="G24" s="221">
        <v>18815224</v>
      </c>
      <c r="H24" s="222">
        <v>0.27789999999999998</v>
      </c>
    </row>
    <row r="25" spans="6:8" x14ac:dyDescent="0.25">
      <c r="F25" s="221">
        <v>7004562</v>
      </c>
      <c r="G25" s="221">
        <v>16745695</v>
      </c>
      <c r="H25" s="222">
        <v>0.41830000000000001</v>
      </c>
    </row>
    <row r="26" spans="6:8" x14ac:dyDescent="0.25">
      <c r="F26" s="221">
        <v>1839131</v>
      </c>
      <c r="G26" s="221">
        <v>20241813</v>
      </c>
      <c r="H26" s="222">
        <v>9.0899999999999995E-2</v>
      </c>
    </row>
    <row r="27" spans="6:8" x14ac:dyDescent="0.25">
      <c r="F27" s="221">
        <v>3529869</v>
      </c>
      <c r="G27" s="221">
        <v>20526125</v>
      </c>
      <c r="H27" s="222">
        <v>0.17199999999999999</v>
      </c>
    </row>
    <row r="28" spans="6:8" x14ac:dyDescent="0.25">
      <c r="F28" s="221">
        <v>7303493</v>
      </c>
      <c r="G28" s="221">
        <v>19998136</v>
      </c>
      <c r="H28" s="222">
        <v>0.36520000000000002</v>
      </c>
    </row>
    <row r="29" spans="6:8" x14ac:dyDescent="0.25">
      <c r="F29" s="221">
        <v>9109445</v>
      </c>
      <c r="G29" s="221">
        <v>18906413</v>
      </c>
      <c r="H29" s="222">
        <v>0.48180000000000001</v>
      </c>
    </row>
    <row r="30" spans="6:8" x14ac:dyDescent="0.25">
      <c r="F30" s="221">
        <v>1748520</v>
      </c>
      <c r="G30" s="221">
        <v>21827321</v>
      </c>
      <c r="H30" s="222">
        <v>8.0100000000000005E-2</v>
      </c>
    </row>
    <row r="31" spans="6:8" x14ac:dyDescent="0.25">
      <c r="F31" s="221">
        <v>3697232</v>
      </c>
      <c r="G31" s="221">
        <v>22039978</v>
      </c>
      <c r="H31" s="222">
        <v>0.1678</v>
      </c>
    </row>
    <row r="32" spans="6:8" x14ac:dyDescent="0.25">
      <c r="F32" s="221">
        <v>5509603</v>
      </c>
      <c r="G32" s="221">
        <v>20813938</v>
      </c>
      <c r="H32" s="222">
        <v>0.26469999999999999</v>
      </c>
    </row>
    <row r="33" spans="6:8" x14ac:dyDescent="0.25">
      <c r="F33" s="221">
        <v>7392837</v>
      </c>
      <c r="G33" s="221">
        <v>20649371</v>
      </c>
      <c r="H33" s="222">
        <v>0.35799999999999998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70" zoomScaleNormal="70" workbookViewId="0">
      <selection activeCell="K17" sqref="K17"/>
    </sheetView>
  </sheetViews>
  <sheetFormatPr defaultColWidth="15.140625" defaultRowHeight="15" x14ac:dyDescent="0.25"/>
  <cols>
    <col min="1" max="3" width="15.140625" style="182"/>
    <col min="4" max="5" width="15.140625" style="189"/>
    <col min="6" max="6" width="8.28515625" style="190" customWidth="1"/>
    <col min="7" max="8" width="15.140625" style="190"/>
    <col min="9" max="9" width="8.28515625" style="190" customWidth="1"/>
    <col min="10" max="11" width="15.140625" style="190"/>
    <col min="12" max="12" width="8.28515625" style="190" customWidth="1"/>
    <col min="13" max="14" width="15.140625" style="190"/>
    <col min="15" max="15" width="8.28515625" style="190" customWidth="1"/>
    <col min="16" max="17" width="15.140625" style="190"/>
    <col min="18" max="18" width="8.28515625" style="190" customWidth="1"/>
    <col min="19" max="16384" width="15.140625" style="190"/>
  </cols>
  <sheetData>
    <row r="1" spans="2:18" s="182" customFormat="1" x14ac:dyDescent="0.25">
      <c r="D1" s="191"/>
      <c r="E1" s="191"/>
      <c r="F1" s="188"/>
      <c r="G1" s="186"/>
      <c r="H1" s="186"/>
      <c r="I1" s="186"/>
      <c r="J1" s="188"/>
      <c r="K1" s="188"/>
      <c r="L1" s="188"/>
      <c r="M1" s="186"/>
      <c r="N1" s="186"/>
      <c r="O1" s="186"/>
      <c r="P1" s="188"/>
      <c r="Q1" s="188"/>
      <c r="R1" s="188"/>
    </row>
    <row r="2" spans="2:18" s="183" customFormat="1" x14ac:dyDescent="0.25">
      <c r="D2" s="192" t="s">
        <v>133</v>
      </c>
      <c r="E2" s="192" t="s">
        <v>134</v>
      </c>
      <c r="F2" s="187" t="s">
        <v>101</v>
      </c>
      <c r="G2" s="185" t="s">
        <v>135</v>
      </c>
      <c r="H2" s="185" t="s">
        <v>136</v>
      </c>
      <c r="I2" s="185" t="s">
        <v>51</v>
      </c>
      <c r="J2" s="187" t="s">
        <v>135</v>
      </c>
      <c r="K2" s="187" t="s">
        <v>137</v>
      </c>
      <c r="L2" s="187" t="s">
        <v>100</v>
      </c>
      <c r="M2" s="185" t="s">
        <v>138</v>
      </c>
      <c r="N2" s="185" t="s">
        <v>137</v>
      </c>
      <c r="O2" s="185" t="s">
        <v>49</v>
      </c>
      <c r="P2" s="187" t="s">
        <v>138</v>
      </c>
      <c r="Q2" s="187" t="s">
        <v>136</v>
      </c>
      <c r="R2" s="187" t="s">
        <v>102</v>
      </c>
    </row>
    <row r="3" spans="2:18" s="182" customFormat="1" x14ac:dyDescent="0.25">
      <c r="B3" s="184" t="s">
        <v>119</v>
      </c>
      <c r="C3" s="182" t="s">
        <v>62</v>
      </c>
      <c r="D3" s="191">
        <f>BALANCE_SHEET!E6</f>
        <v>5698982</v>
      </c>
      <c r="E3" s="191">
        <f>BALANCE_SHEET!E12</f>
        <v>7151813</v>
      </c>
      <c r="F3" s="188">
        <f>D3/E3</f>
        <v>0.79685836304724411</v>
      </c>
      <c r="G3" s="186">
        <f>BALANCE_SHEET!E$12</f>
        <v>7151813</v>
      </c>
      <c r="H3" s="186">
        <f>BALANCE_SHEET!E$14</f>
        <v>4843623</v>
      </c>
      <c r="I3" s="186">
        <f>G3/H3</f>
        <v>1.476542043012018</v>
      </c>
      <c r="J3" s="188">
        <f>G3</f>
        <v>7151813</v>
      </c>
      <c r="K3" s="188">
        <f>BALANCE_SHEET!E$8</f>
        <v>11995436</v>
      </c>
      <c r="L3" s="188">
        <f>J3/K3</f>
        <v>0.59621117565047244</v>
      </c>
      <c r="M3" s="186">
        <f>INCOME_STATEMENT!C$18</f>
        <v>1162686</v>
      </c>
      <c r="N3" s="186">
        <f>K3</f>
        <v>11995436</v>
      </c>
      <c r="O3" s="186">
        <f>M3/N3</f>
        <v>9.6927364707710503E-2</v>
      </c>
      <c r="P3" s="188">
        <f>M3</f>
        <v>1162686</v>
      </c>
      <c r="Q3" s="188">
        <f>H3</f>
        <v>4843623</v>
      </c>
      <c r="R3" s="188">
        <f>P3/Q3</f>
        <v>0.24004469381700433</v>
      </c>
    </row>
    <row r="4" spans="2:18" s="182" customFormat="1" x14ac:dyDescent="0.25">
      <c r="C4" s="182" t="s">
        <v>63</v>
      </c>
      <c r="D4" s="191">
        <f>BALANCE_SHEET!F$6</f>
        <v>7474079</v>
      </c>
      <c r="E4" s="191">
        <f>BALANCE_SHEET!F$12</f>
        <v>10182580</v>
      </c>
      <c r="F4" s="188">
        <f>D4/E4</f>
        <v>0.73400641094889507</v>
      </c>
      <c r="G4" s="186">
        <f>BALANCE_SHEET!F$12</f>
        <v>10182580</v>
      </c>
      <c r="H4" s="186">
        <f>BALANCE_SHEET!F$14</f>
        <v>3752158</v>
      </c>
      <c r="I4" s="186">
        <f t="shared" ref="I4:I34" si="0">G4/H4</f>
        <v>2.7137929692726157</v>
      </c>
      <c r="J4" s="188">
        <f t="shared" ref="J4:J34" si="1">G4</f>
        <v>10182580</v>
      </c>
      <c r="K4" s="188">
        <f>BALANCE_SHEET!F$8</f>
        <v>13934738</v>
      </c>
      <c r="L4" s="188">
        <f t="shared" ref="L4:L34" si="2">J4/K4</f>
        <v>0.73073350930602354</v>
      </c>
      <c r="M4" s="186">
        <f>INCOME_STATEMENT!D$18</f>
        <v>2329701</v>
      </c>
      <c r="N4" s="186">
        <f t="shared" ref="N4:N34" si="3">K4</f>
        <v>13934738</v>
      </c>
      <c r="O4" s="186">
        <f t="shared" ref="O4:O34" si="4">M4/N4</f>
        <v>0.16718656640691773</v>
      </c>
      <c r="P4" s="188">
        <f t="shared" ref="P4:P34" si="5">M4</f>
        <v>2329701</v>
      </c>
      <c r="Q4" s="188">
        <f t="shared" ref="Q4:Q34" si="6">H4</f>
        <v>3752158</v>
      </c>
      <c r="R4" s="188">
        <f t="shared" ref="R4:R34" si="7">P4/Q4</f>
        <v>0.62089629487884035</v>
      </c>
    </row>
    <row r="5" spans="2:18" s="182" customFormat="1" x14ac:dyDescent="0.25">
      <c r="C5" s="182" t="s">
        <v>64</v>
      </c>
      <c r="D5" s="191">
        <f>BALANCE_SHEET!G$6</f>
        <v>5771516</v>
      </c>
      <c r="E5" s="191">
        <f>BALANCE_SHEET!G$12</f>
        <v>7316284</v>
      </c>
      <c r="F5" s="188">
        <f t="shared" ref="F5:F34" si="8">D5/E5</f>
        <v>0.78885893439893806</v>
      </c>
      <c r="G5" s="186">
        <f>BALANCE_SHEET!G$12</f>
        <v>7316284</v>
      </c>
      <c r="H5" s="186">
        <f>BALANCE_SHEET!G$14</f>
        <v>5105626</v>
      </c>
      <c r="I5" s="186">
        <f t="shared" si="0"/>
        <v>1.4329847113752554</v>
      </c>
      <c r="J5" s="188">
        <f t="shared" si="1"/>
        <v>7316284</v>
      </c>
      <c r="K5" s="188">
        <f>BALANCE_SHEET!G$8</f>
        <v>12421910</v>
      </c>
      <c r="L5" s="188">
        <f t="shared" si="2"/>
        <v>0.5889822096601891</v>
      </c>
      <c r="M5" s="186">
        <f>INCOME_STATEMENT!E$18</f>
        <v>3653568</v>
      </c>
      <c r="N5" s="186">
        <f t="shared" si="3"/>
        <v>12421910</v>
      </c>
      <c r="O5" s="186">
        <f t="shared" si="4"/>
        <v>0.29412288448394813</v>
      </c>
      <c r="P5" s="188">
        <f t="shared" si="5"/>
        <v>3653568</v>
      </c>
      <c r="Q5" s="188">
        <f t="shared" si="6"/>
        <v>5105626</v>
      </c>
      <c r="R5" s="188">
        <f t="shared" si="7"/>
        <v>0.71559648121503616</v>
      </c>
    </row>
    <row r="6" spans="2:18" s="182" customFormat="1" x14ac:dyDescent="0.25">
      <c r="C6" s="182" t="s">
        <v>93</v>
      </c>
      <c r="D6" s="191">
        <f>BALANCE_SHEET!H$6</f>
        <v>5035962</v>
      </c>
      <c r="E6" s="191">
        <f>BALANCE_SHEET!H$12</f>
        <v>8016614</v>
      </c>
      <c r="F6" s="188">
        <f t="shared" si="8"/>
        <v>0.62819065505711014</v>
      </c>
      <c r="G6" s="186">
        <f>BALANCE_SHEET!H$12</f>
        <v>8016614</v>
      </c>
      <c r="H6" s="186">
        <f>BALANCE_SHEET!H$14</f>
        <v>3968365</v>
      </c>
      <c r="I6" s="186">
        <f t="shared" si="0"/>
        <v>2.020130204756871</v>
      </c>
      <c r="J6" s="188">
        <f t="shared" si="1"/>
        <v>8016614</v>
      </c>
      <c r="K6" s="188">
        <f>BALANCE_SHEET!H$8</f>
        <v>11984979</v>
      </c>
      <c r="L6" s="188">
        <f t="shared" si="2"/>
        <v>0.66888844778117673</v>
      </c>
      <c r="M6" s="186">
        <f>INCOME_STATEMENT!F$18</f>
        <v>4839145</v>
      </c>
      <c r="N6" s="186">
        <f t="shared" si="3"/>
        <v>11984979</v>
      </c>
      <c r="O6" s="186">
        <f t="shared" si="4"/>
        <v>0.40376749930058281</v>
      </c>
      <c r="P6" s="188">
        <f t="shared" si="5"/>
        <v>4839145</v>
      </c>
      <c r="Q6" s="188">
        <f t="shared" si="6"/>
        <v>3968365</v>
      </c>
      <c r="R6" s="188">
        <f t="shared" si="7"/>
        <v>1.2194304203368389</v>
      </c>
    </row>
    <row r="7" spans="2:18" s="182" customFormat="1" x14ac:dyDescent="0.25">
      <c r="B7" s="184" t="s">
        <v>118</v>
      </c>
      <c r="C7" s="182" t="s">
        <v>62</v>
      </c>
      <c r="D7" s="191">
        <f>BALANCE_SHEET!I$6</f>
        <v>5828057</v>
      </c>
      <c r="E7" s="191">
        <f>BALANCE_SHEET!I$12</f>
        <v>7505909</v>
      </c>
      <c r="F7" s="188">
        <f t="shared" si="8"/>
        <v>0.77646251773103037</v>
      </c>
      <c r="G7" s="186">
        <f>BALANCE_SHEET!I$12</f>
        <v>7505909</v>
      </c>
      <c r="H7" s="186">
        <f>BALANCE_SHEET!I$14</f>
        <v>5400348</v>
      </c>
      <c r="I7" s="186">
        <f t="shared" si="0"/>
        <v>1.3898935772287266</v>
      </c>
      <c r="J7" s="188">
        <f t="shared" si="1"/>
        <v>7505909</v>
      </c>
      <c r="K7" s="188">
        <f>BALANCE_SHEET!I$8</f>
        <v>12906257</v>
      </c>
      <c r="L7" s="188">
        <f t="shared" si="2"/>
        <v>0.58157132621797314</v>
      </c>
      <c r="M7" s="186">
        <f>INCOME_STATEMENT!G$18</f>
        <v>9822451</v>
      </c>
      <c r="N7" s="186">
        <f t="shared" si="3"/>
        <v>12906257</v>
      </c>
      <c r="O7" s="186">
        <f t="shared" si="4"/>
        <v>0.76106116591355655</v>
      </c>
      <c r="P7" s="188">
        <f t="shared" si="5"/>
        <v>9822451</v>
      </c>
      <c r="Q7" s="188">
        <f t="shared" si="6"/>
        <v>5400348</v>
      </c>
      <c r="R7" s="188">
        <f t="shared" si="7"/>
        <v>1.8188551922950151</v>
      </c>
    </row>
    <row r="8" spans="2:18" s="182" customFormat="1" x14ac:dyDescent="0.25">
      <c r="C8" s="182" t="s">
        <v>63</v>
      </c>
      <c r="D8" s="191">
        <f>BALANCE_SHEET!J$6</f>
        <v>7071858</v>
      </c>
      <c r="E8" s="191">
        <f>BALANCE_SHEET!J$12</f>
        <v>9949299</v>
      </c>
      <c r="F8" s="188">
        <f t="shared" si="8"/>
        <v>0.71078957422025413</v>
      </c>
      <c r="G8" s="186">
        <f>BALANCE_SHEET!J$12</f>
        <v>9949299</v>
      </c>
      <c r="H8" s="186">
        <f>BALANCE_SHEET!J$14</f>
        <v>4243835</v>
      </c>
      <c r="I8" s="186">
        <f t="shared" si="0"/>
        <v>2.3444123063219942</v>
      </c>
      <c r="J8" s="188">
        <f t="shared" si="1"/>
        <v>9949299</v>
      </c>
      <c r="K8" s="188">
        <f>BALANCE_SHEET!J$8</f>
        <v>14193134</v>
      </c>
      <c r="L8" s="188">
        <f t="shared" si="2"/>
        <v>0.70099380446911863</v>
      </c>
      <c r="M8" s="186">
        <f>INCOME_STATEMENT!H$18</f>
        <v>2823890</v>
      </c>
      <c r="N8" s="186">
        <f t="shared" si="3"/>
        <v>14193134</v>
      </c>
      <c r="O8" s="186">
        <f t="shared" si="4"/>
        <v>0.19896169514076315</v>
      </c>
      <c r="P8" s="188">
        <f t="shared" si="5"/>
        <v>2823890</v>
      </c>
      <c r="Q8" s="188">
        <f t="shared" si="6"/>
        <v>4243835</v>
      </c>
      <c r="R8" s="188">
        <f t="shared" si="7"/>
        <v>0.66540994171545309</v>
      </c>
    </row>
    <row r="9" spans="2:18" s="182" customFormat="1" x14ac:dyDescent="0.25">
      <c r="C9" s="182" t="s">
        <v>64</v>
      </c>
      <c r="D9" s="191">
        <f>BALANCE_SHEET!K$6</f>
        <v>6118018</v>
      </c>
      <c r="E9" s="191">
        <f>BALANCE_SHEET!K$12</f>
        <v>7829734</v>
      </c>
      <c r="F9" s="188">
        <f t="shared" si="8"/>
        <v>0.7813826114654725</v>
      </c>
      <c r="G9" s="186">
        <f>BALANCE_SHEET!K$12</f>
        <v>7829734</v>
      </c>
      <c r="H9" s="186">
        <f>BALANCE_SHEET!K$14</f>
        <v>5510444</v>
      </c>
      <c r="I9" s="186">
        <f t="shared" si="0"/>
        <v>1.4208898593289396</v>
      </c>
      <c r="J9" s="188">
        <f t="shared" si="1"/>
        <v>7829734</v>
      </c>
      <c r="K9" s="188">
        <f>BALANCE_SHEET!K$8</f>
        <v>13340178</v>
      </c>
      <c r="L9" s="188">
        <f t="shared" si="2"/>
        <v>0.58692875012612278</v>
      </c>
      <c r="M9" s="186">
        <f>INCOME_STATEMENT!I$18</f>
        <v>4090499</v>
      </c>
      <c r="N9" s="186">
        <f t="shared" si="3"/>
        <v>13340178</v>
      </c>
      <c r="O9" s="186">
        <f t="shared" si="4"/>
        <v>0.30663001648103944</v>
      </c>
      <c r="P9" s="188">
        <f t="shared" si="5"/>
        <v>4090499</v>
      </c>
      <c r="Q9" s="188">
        <f t="shared" si="6"/>
        <v>5510444</v>
      </c>
      <c r="R9" s="188">
        <f t="shared" si="7"/>
        <v>0.74231749746481412</v>
      </c>
    </row>
    <row r="10" spans="2:18" s="182" customFormat="1" x14ac:dyDescent="0.25">
      <c r="C10" s="182" t="s">
        <v>93</v>
      </c>
      <c r="D10" s="191">
        <f>BALANCE_SHEET!L$6</f>
        <v>5862939</v>
      </c>
      <c r="E10" s="191">
        <f>BALANCE_SHEET!L$12</f>
        <v>9093518</v>
      </c>
      <c r="F10" s="188">
        <f t="shared" si="8"/>
        <v>0.64473826301328041</v>
      </c>
      <c r="G10" s="186">
        <f>BALANCE_SHEET!L$12</f>
        <v>9093518</v>
      </c>
      <c r="H10" s="186">
        <f>BALANCE_SHEET!L$14</f>
        <v>4254670</v>
      </c>
      <c r="I10" s="186">
        <f t="shared" si="0"/>
        <v>2.1373027755384082</v>
      </c>
      <c r="J10" s="188">
        <f t="shared" si="1"/>
        <v>9093518</v>
      </c>
      <c r="K10" s="188">
        <f>BALANCE_SHEET!L$8</f>
        <v>13348188</v>
      </c>
      <c r="L10" s="188">
        <f t="shared" si="2"/>
        <v>0.68125486395606649</v>
      </c>
      <c r="M10" s="186">
        <f>INCOME_STATEMENT!J$18</f>
        <v>5352625</v>
      </c>
      <c r="N10" s="186">
        <f t="shared" si="3"/>
        <v>13348188</v>
      </c>
      <c r="O10" s="186">
        <f t="shared" si="4"/>
        <v>0.40100012076545521</v>
      </c>
      <c r="P10" s="188">
        <f t="shared" si="5"/>
        <v>5352625</v>
      </c>
      <c r="Q10" s="188">
        <f t="shared" si="6"/>
        <v>4254670</v>
      </c>
      <c r="R10" s="188">
        <f t="shared" si="7"/>
        <v>1.2580587918686996</v>
      </c>
    </row>
    <row r="11" spans="2:18" s="182" customFormat="1" x14ac:dyDescent="0.25">
      <c r="B11" s="184" t="s">
        <v>2</v>
      </c>
      <c r="C11" s="182" t="s">
        <v>62</v>
      </c>
      <c r="D11" s="191">
        <f>BALANCE_SHEET!M$6</f>
        <v>6956716</v>
      </c>
      <c r="E11" s="191">
        <f>BALANCE_SHEET!M$12</f>
        <v>8698529</v>
      </c>
      <c r="F11" s="188">
        <f t="shared" si="8"/>
        <v>0.79975775214406941</v>
      </c>
      <c r="G11" s="186">
        <f>BALANCE_SHEET!M$12</f>
        <v>8698529</v>
      </c>
      <c r="H11" s="186">
        <f>BALANCE_SHEET!M$14</f>
        <v>5615651</v>
      </c>
      <c r="I11" s="186">
        <f t="shared" si="0"/>
        <v>1.548979628541731</v>
      </c>
      <c r="J11" s="188">
        <f t="shared" si="1"/>
        <v>8698529</v>
      </c>
      <c r="K11" s="188">
        <f>BALANCE_SHEET!M$8</f>
        <v>14314180</v>
      </c>
      <c r="L11" s="188">
        <f t="shared" si="2"/>
        <v>0.60768615456840702</v>
      </c>
      <c r="M11" s="186">
        <f>INCOME_STATEMENT!K$18</f>
        <v>1360981</v>
      </c>
      <c r="N11" s="186">
        <f t="shared" si="3"/>
        <v>14314180</v>
      </c>
      <c r="O11" s="186">
        <f t="shared" si="4"/>
        <v>9.5079215155880387E-2</v>
      </c>
      <c r="P11" s="188">
        <f t="shared" si="5"/>
        <v>1360981</v>
      </c>
      <c r="Q11" s="188">
        <f t="shared" si="6"/>
        <v>5615651</v>
      </c>
      <c r="R11" s="188">
        <f t="shared" si="7"/>
        <v>0.24235498253007531</v>
      </c>
    </row>
    <row r="12" spans="2:18" s="182" customFormat="1" x14ac:dyDescent="0.25">
      <c r="C12" s="182" t="s">
        <v>63</v>
      </c>
      <c r="D12" s="191">
        <f>BALANCE_SHEET!N$6</f>
        <v>8505223</v>
      </c>
      <c r="E12" s="191">
        <f>BALANCE_SHEET!N$12</f>
        <v>11685025</v>
      </c>
      <c r="F12" s="188">
        <f t="shared" si="8"/>
        <v>0.72787375294447376</v>
      </c>
      <c r="G12" s="186">
        <f>BALANCE_SHEET!N$12</f>
        <v>11685025</v>
      </c>
      <c r="H12" s="186">
        <f>BALANCE_SHEET!N$14</f>
        <v>4271931</v>
      </c>
      <c r="I12" s="186">
        <f t="shared" si="0"/>
        <v>2.7353028407996289</v>
      </c>
      <c r="J12" s="188">
        <f t="shared" si="1"/>
        <v>11685025</v>
      </c>
      <c r="K12" s="188">
        <f>BALANCE_SHEET!N$8</f>
        <v>15956956</v>
      </c>
      <c r="L12" s="188">
        <f t="shared" si="2"/>
        <v>0.73228408977251047</v>
      </c>
      <c r="M12" s="186">
        <f>INCOME_STATEMENT!L$18</f>
        <v>2847991</v>
      </c>
      <c r="N12" s="186">
        <f t="shared" si="3"/>
        <v>15956956</v>
      </c>
      <c r="O12" s="186">
        <f t="shared" si="4"/>
        <v>0.17847959222297788</v>
      </c>
      <c r="P12" s="188">
        <f t="shared" si="5"/>
        <v>2847991</v>
      </c>
      <c r="Q12" s="188">
        <f t="shared" si="6"/>
        <v>4271931</v>
      </c>
      <c r="R12" s="188">
        <f t="shared" si="7"/>
        <v>0.66667532785524863</v>
      </c>
    </row>
    <row r="13" spans="2:18" s="182" customFormat="1" x14ac:dyDescent="0.25">
      <c r="C13" s="182" t="s">
        <v>64</v>
      </c>
      <c r="D13" s="191">
        <f>BALANCE_SHEET!O$6</f>
        <v>7520219</v>
      </c>
      <c r="E13" s="191">
        <f>BALANCE_SHEET!O$12</f>
        <v>9697242</v>
      </c>
      <c r="F13" s="188">
        <f t="shared" si="8"/>
        <v>0.77550080734295379</v>
      </c>
      <c r="G13" s="186">
        <f>BALANCE_SHEET!O$12</f>
        <v>9697242</v>
      </c>
      <c r="H13" s="186">
        <f>BALANCE_SHEET!O$14</f>
        <v>5472869</v>
      </c>
      <c r="I13" s="186">
        <f t="shared" si="0"/>
        <v>1.7718754094059259</v>
      </c>
      <c r="J13" s="188">
        <f t="shared" si="1"/>
        <v>9697242</v>
      </c>
      <c r="K13" s="188">
        <f>BALANCE_SHEET!O$8</f>
        <v>15170111</v>
      </c>
      <c r="L13" s="188">
        <f t="shared" si="2"/>
        <v>0.63923342419841223</v>
      </c>
      <c r="M13" s="186">
        <f>INCOME_STATEMENT!M$18</f>
        <v>4048929</v>
      </c>
      <c r="N13" s="186">
        <f t="shared" si="3"/>
        <v>15170111</v>
      </c>
      <c r="O13" s="186">
        <f t="shared" si="4"/>
        <v>0.26690173855682403</v>
      </c>
      <c r="P13" s="188">
        <f t="shared" si="5"/>
        <v>4048929</v>
      </c>
      <c r="Q13" s="188">
        <f t="shared" si="6"/>
        <v>5472869</v>
      </c>
      <c r="R13" s="188">
        <f t="shared" si="7"/>
        <v>0.73981836583334992</v>
      </c>
    </row>
    <row r="14" spans="2:18" s="182" customFormat="1" x14ac:dyDescent="0.25">
      <c r="C14" s="182" t="s">
        <v>93</v>
      </c>
      <c r="D14" s="191">
        <f>BALANCE_SHEET!P$6</f>
        <v>6337170</v>
      </c>
      <c r="E14" s="191">
        <f>BALANCE_SHEET!P$12</f>
        <v>9681888</v>
      </c>
      <c r="F14" s="188">
        <f t="shared" si="8"/>
        <v>0.65453866022825302</v>
      </c>
      <c r="G14" s="186">
        <f>BALANCE_SHEET!P$12</f>
        <v>9681888</v>
      </c>
      <c r="H14" s="186">
        <f>BALANCE_SHEET!P$14</f>
        <v>4598782</v>
      </c>
      <c r="I14" s="186">
        <f t="shared" si="0"/>
        <v>2.1053157118558783</v>
      </c>
      <c r="J14" s="188">
        <f t="shared" si="1"/>
        <v>9681888</v>
      </c>
      <c r="K14" s="188">
        <f>BALANCE_SHEET!P$8</f>
        <v>14280670</v>
      </c>
      <c r="L14" s="188">
        <f t="shared" si="2"/>
        <v>0.67797155175492463</v>
      </c>
      <c r="M14" s="186">
        <f>INCOME_STATEMENT!N$18</f>
        <v>5738523</v>
      </c>
      <c r="N14" s="186">
        <f t="shared" si="3"/>
        <v>14280670</v>
      </c>
      <c r="O14" s="186">
        <f t="shared" si="4"/>
        <v>0.40183849917405834</v>
      </c>
      <c r="P14" s="188">
        <f t="shared" si="5"/>
        <v>5738523</v>
      </c>
      <c r="Q14" s="188">
        <f t="shared" si="6"/>
        <v>4598782</v>
      </c>
      <c r="R14" s="188">
        <f t="shared" si="7"/>
        <v>1.2478354051137888</v>
      </c>
    </row>
    <row r="15" spans="2:18" s="182" customFormat="1" x14ac:dyDescent="0.25">
      <c r="B15" s="184" t="s">
        <v>3</v>
      </c>
      <c r="C15" s="182" t="s">
        <v>62</v>
      </c>
      <c r="D15" s="191">
        <f>BALANCE_SHEET!Q$6</f>
        <v>6725675</v>
      </c>
      <c r="E15" s="191">
        <f>BALANCE_SHEET!Q$12</f>
        <v>8434341</v>
      </c>
      <c r="F15" s="188">
        <f t="shared" si="8"/>
        <v>0.79741558943372104</v>
      </c>
      <c r="G15" s="186">
        <f>BALANCE_SHEET!Q$12</f>
        <v>8434341</v>
      </c>
      <c r="H15" s="186">
        <f>BALANCE_SHEET!Q$14</f>
        <v>6338213</v>
      </c>
      <c r="I15" s="186">
        <f t="shared" si="0"/>
        <v>1.3307127734583866</v>
      </c>
      <c r="J15" s="188">
        <f t="shared" si="1"/>
        <v>8434341</v>
      </c>
      <c r="K15" s="188">
        <f>BALANCE_SHEET!Q$8</f>
        <v>14772554</v>
      </c>
      <c r="L15" s="188">
        <f t="shared" si="2"/>
        <v>0.57094670291948157</v>
      </c>
      <c r="M15" s="186">
        <f>INCOME_STATEMENT!O$18</f>
        <v>1591699</v>
      </c>
      <c r="N15" s="186">
        <f t="shared" si="3"/>
        <v>14772554</v>
      </c>
      <c r="O15" s="186">
        <f t="shared" si="4"/>
        <v>0.10774704225146173</v>
      </c>
      <c r="P15" s="188">
        <f t="shared" si="5"/>
        <v>1591699</v>
      </c>
      <c r="Q15" s="188">
        <f t="shared" si="6"/>
        <v>6338213</v>
      </c>
      <c r="R15" s="188">
        <f t="shared" si="7"/>
        <v>0.25112740767784231</v>
      </c>
    </row>
    <row r="16" spans="2:18" s="182" customFormat="1" x14ac:dyDescent="0.25">
      <c r="C16" s="182" t="s">
        <v>63</v>
      </c>
      <c r="D16" s="191">
        <f>BALANCE_SHEET!R$6</f>
        <v>8189284</v>
      </c>
      <c r="E16" s="191">
        <f>BALANCE_SHEET!R$12</f>
        <v>11983104</v>
      </c>
      <c r="F16" s="188">
        <f t="shared" si="8"/>
        <v>0.68340256414364764</v>
      </c>
      <c r="G16" s="186">
        <f>BALANCE_SHEET!R$12</f>
        <v>11983104</v>
      </c>
      <c r="H16" s="186">
        <f>BALANCE_SHEET!R$14</f>
        <v>4503074</v>
      </c>
      <c r="I16" s="186">
        <f t="shared" si="0"/>
        <v>2.6610941769999781</v>
      </c>
      <c r="J16" s="188">
        <f t="shared" si="1"/>
        <v>11983104</v>
      </c>
      <c r="K16" s="188">
        <f>BALANCE_SHEET!R$8</f>
        <v>16486178</v>
      </c>
      <c r="L16" s="188">
        <f t="shared" si="2"/>
        <v>0.72685761369311919</v>
      </c>
      <c r="M16" s="186">
        <f>INCOME_STATEMENT!P$18</f>
        <v>2930640</v>
      </c>
      <c r="N16" s="186">
        <f t="shared" si="3"/>
        <v>16486178</v>
      </c>
      <c r="O16" s="186">
        <f t="shared" si="4"/>
        <v>0.17776345736410221</v>
      </c>
      <c r="P16" s="188">
        <f t="shared" si="5"/>
        <v>2930640</v>
      </c>
      <c r="Q16" s="188">
        <f t="shared" si="6"/>
        <v>4503074</v>
      </c>
      <c r="R16" s="188">
        <f t="shared" si="7"/>
        <v>0.65080875863909848</v>
      </c>
    </row>
    <row r="17" spans="2:18" s="182" customFormat="1" x14ac:dyDescent="0.25">
      <c r="C17" s="182" t="s">
        <v>64</v>
      </c>
      <c r="D17" s="191">
        <f>BALANCE_SHEET!S$6</f>
        <v>7423304</v>
      </c>
      <c r="E17" s="191">
        <f>BALANCE_SHEET!S$12</f>
        <v>10229164</v>
      </c>
      <c r="F17" s="188">
        <f t="shared" si="8"/>
        <v>0.7256999692252466</v>
      </c>
      <c r="G17" s="186">
        <f>BALANCE_SHEET!S$12</f>
        <v>10229164</v>
      </c>
      <c r="H17" s="186">
        <f>BALANCE_SHEET!S$14</f>
        <v>5755607</v>
      </c>
      <c r="I17" s="186">
        <f t="shared" si="0"/>
        <v>1.7772519909715865</v>
      </c>
      <c r="J17" s="188">
        <f t="shared" si="1"/>
        <v>10229164</v>
      </c>
      <c r="K17" s="188">
        <f>BALANCE_SHEET!S$8</f>
        <v>15984771</v>
      </c>
      <c r="L17" s="188">
        <f t="shared" si="2"/>
        <v>0.6399318451293422</v>
      </c>
      <c r="M17" s="186">
        <f>INCOME_STATEMENT!Q$18</f>
        <v>4183173</v>
      </c>
      <c r="N17" s="186">
        <f t="shared" si="3"/>
        <v>15984771</v>
      </c>
      <c r="O17" s="186">
        <f t="shared" si="4"/>
        <v>0.26169739935592445</v>
      </c>
      <c r="P17" s="188">
        <f t="shared" si="5"/>
        <v>4183173</v>
      </c>
      <c r="Q17" s="188">
        <f t="shared" si="6"/>
        <v>5755607</v>
      </c>
      <c r="R17" s="188">
        <f t="shared" si="7"/>
        <v>0.7267996233933276</v>
      </c>
    </row>
    <row r="18" spans="2:18" s="182" customFormat="1" x14ac:dyDescent="0.25">
      <c r="C18" s="182" t="s">
        <v>93</v>
      </c>
      <c r="D18" s="191">
        <f>BALANCE_SHEET!T$6</f>
        <v>6623114</v>
      </c>
      <c r="E18" s="191">
        <f>BALANCE_SHEET!T$12</f>
        <v>10902585</v>
      </c>
      <c r="F18" s="188">
        <f t="shared" si="8"/>
        <v>0.60748106985636896</v>
      </c>
      <c r="G18" s="186">
        <f>BALANCE_SHEET!T$12</f>
        <v>10902585</v>
      </c>
      <c r="H18" s="186">
        <f>BALANCE_SHEET!T$14</f>
        <v>4827360</v>
      </c>
      <c r="I18" s="186">
        <f t="shared" si="0"/>
        <v>2.2584984339266181</v>
      </c>
      <c r="J18" s="188">
        <f t="shared" si="1"/>
        <v>10902585</v>
      </c>
      <c r="K18" s="188">
        <f>BALANCE_SHEET!T$8</f>
        <v>15729945</v>
      </c>
      <c r="L18" s="188">
        <f t="shared" si="2"/>
        <v>0.69311017934264874</v>
      </c>
      <c r="M18" s="186">
        <f>INCOME_STATEMENT!R$18</f>
        <v>5851805</v>
      </c>
      <c r="N18" s="186">
        <f t="shared" si="3"/>
        <v>15729945</v>
      </c>
      <c r="O18" s="186">
        <f t="shared" si="4"/>
        <v>0.37201687609206519</v>
      </c>
      <c r="P18" s="188">
        <f t="shared" si="5"/>
        <v>5851805</v>
      </c>
      <c r="Q18" s="188">
        <f t="shared" si="6"/>
        <v>4827360</v>
      </c>
      <c r="R18" s="188">
        <f t="shared" si="7"/>
        <v>1.2122164081402671</v>
      </c>
    </row>
    <row r="19" spans="2:18" s="182" customFormat="1" x14ac:dyDescent="0.25">
      <c r="B19" s="184" t="s">
        <v>4</v>
      </c>
      <c r="C19" s="182" t="s">
        <v>62</v>
      </c>
      <c r="D19" s="191">
        <f>BALANCE_SHEET!U$6</f>
        <v>7366121</v>
      </c>
      <c r="E19" s="191">
        <f>BALANCE_SHEET!U$12</f>
        <v>10255900</v>
      </c>
      <c r="F19" s="188">
        <f t="shared" si="8"/>
        <v>0.71823252956834605</v>
      </c>
      <c r="G19" s="186">
        <f>BALANCE_SHEET!U$12</f>
        <v>10255900</v>
      </c>
      <c r="H19" s="186">
        <f>BALANCE_SHEET!U$14</f>
        <v>6397400</v>
      </c>
      <c r="I19" s="186">
        <f t="shared" si="0"/>
        <v>1.6031356488573483</v>
      </c>
      <c r="J19" s="188">
        <f t="shared" si="1"/>
        <v>10255900</v>
      </c>
      <c r="K19" s="188">
        <f>BALANCE_SHEET!U$8</f>
        <v>16653300</v>
      </c>
      <c r="L19" s="188">
        <f t="shared" si="2"/>
        <v>0.6158479100238391</v>
      </c>
      <c r="M19" s="186">
        <f>INCOME_STATEMENT!S$18</f>
        <v>1570040</v>
      </c>
      <c r="N19" s="186">
        <f t="shared" si="3"/>
        <v>16653300</v>
      </c>
      <c r="O19" s="186">
        <f t="shared" si="4"/>
        <v>9.4278010964793768E-2</v>
      </c>
      <c r="P19" s="188">
        <f t="shared" si="5"/>
        <v>1570040</v>
      </c>
      <c r="Q19" s="188">
        <f t="shared" si="6"/>
        <v>6397400</v>
      </c>
      <c r="R19" s="188">
        <f t="shared" si="7"/>
        <v>0.24541845124581863</v>
      </c>
    </row>
    <row r="20" spans="2:18" s="182" customFormat="1" x14ac:dyDescent="0.25">
      <c r="C20" s="182" t="s">
        <v>63</v>
      </c>
      <c r="D20" s="191">
        <f>BALANCE_SHEET!V$6</f>
        <v>9443805</v>
      </c>
      <c r="E20" s="191">
        <f>BALANCE_SHEET!V$12</f>
        <v>14029689</v>
      </c>
      <c r="F20" s="188">
        <f t="shared" si="8"/>
        <v>0.67313003160654528</v>
      </c>
      <c r="G20" s="186">
        <f>BALANCE_SHEET!V$12</f>
        <v>14029689</v>
      </c>
      <c r="H20" s="186">
        <f>BALANCE_SHEET!V$14</f>
        <v>4890447</v>
      </c>
      <c r="I20" s="186">
        <f t="shared" si="0"/>
        <v>2.8687948156886272</v>
      </c>
      <c r="J20" s="188">
        <f t="shared" si="1"/>
        <v>14029689</v>
      </c>
      <c r="K20" s="188">
        <f>BALANCE_SHEET!V$8</f>
        <v>18920136</v>
      </c>
      <c r="L20" s="188">
        <f t="shared" si="2"/>
        <v>0.74152157257220563</v>
      </c>
      <c r="M20" s="186">
        <f>INCOME_STATEMENT!T$18</f>
        <v>3298307</v>
      </c>
      <c r="N20" s="186">
        <f t="shared" si="3"/>
        <v>18920136</v>
      </c>
      <c r="O20" s="186">
        <f t="shared" si="4"/>
        <v>0.17432786952482793</v>
      </c>
      <c r="P20" s="188">
        <f t="shared" si="5"/>
        <v>3298307</v>
      </c>
      <c r="Q20" s="188">
        <f t="shared" si="6"/>
        <v>4890447</v>
      </c>
      <c r="R20" s="188">
        <f t="shared" si="7"/>
        <v>0.6744387578476978</v>
      </c>
    </row>
    <row r="21" spans="2:18" s="182" customFormat="1" x14ac:dyDescent="0.25">
      <c r="C21" s="182" t="s">
        <v>64</v>
      </c>
      <c r="D21" s="191">
        <f>BALANCE_SHEET!W$6</f>
        <v>6878563</v>
      </c>
      <c r="E21" s="191">
        <f>BALANCE_SHEET!W$12</f>
        <v>10405882</v>
      </c>
      <c r="F21" s="188">
        <f t="shared" si="8"/>
        <v>0.66102642716878779</v>
      </c>
      <c r="G21" s="186">
        <f>BALANCE_SHEET!W$12</f>
        <v>10405882</v>
      </c>
      <c r="H21" s="186">
        <f>BALANCE_SHEET!W$14</f>
        <v>6342791</v>
      </c>
      <c r="I21" s="186">
        <f t="shared" si="0"/>
        <v>1.6405840898746309</v>
      </c>
      <c r="J21" s="188">
        <f t="shared" si="1"/>
        <v>10405882</v>
      </c>
      <c r="K21" s="188">
        <f>BALANCE_SHEET!W$8</f>
        <v>16748673</v>
      </c>
      <c r="L21" s="188">
        <f t="shared" si="2"/>
        <v>0.62129590803999812</v>
      </c>
      <c r="M21" s="186">
        <f>INCOME_STATEMENT!U$18</f>
        <v>4750551</v>
      </c>
      <c r="N21" s="186">
        <f t="shared" si="3"/>
        <v>16748673</v>
      </c>
      <c r="O21" s="186">
        <f t="shared" si="4"/>
        <v>0.28363745593456868</v>
      </c>
      <c r="P21" s="188">
        <f t="shared" si="5"/>
        <v>4750551</v>
      </c>
      <c r="Q21" s="188">
        <f t="shared" si="6"/>
        <v>6342791</v>
      </c>
      <c r="R21" s="188">
        <f t="shared" si="7"/>
        <v>0.74896855343333868</v>
      </c>
    </row>
    <row r="22" spans="2:18" s="182" customFormat="1" x14ac:dyDescent="0.25">
      <c r="C22" s="182" t="s">
        <v>93</v>
      </c>
      <c r="D22" s="191">
        <f>BALANCE_SHEET!X$6</f>
        <v>6588109</v>
      </c>
      <c r="E22" s="191">
        <f>BALANCE_SHEET!X$12</f>
        <v>12041437</v>
      </c>
      <c r="F22" s="188">
        <f t="shared" si="8"/>
        <v>0.54711983295681399</v>
      </c>
      <c r="G22" s="186">
        <f>BALANCE_SHEET!X$12</f>
        <v>12041437</v>
      </c>
      <c r="H22" s="186">
        <f>BALANCE_SHEET!X$14</f>
        <v>4704258</v>
      </c>
      <c r="I22" s="186">
        <f t="shared" si="0"/>
        <v>2.5596889031171335</v>
      </c>
      <c r="J22" s="188">
        <f t="shared" si="1"/>
        <v>12041437</v>
      </c>
      <c r="K22" s="188">
        <f>BALANCE_SHEET!X$8</f>
        <v>16745695</v>
      </c>
      <c r="L22" s="188">
        <f t="shared" si="2"/>
        <v>0.71907657460618979</v>
      </c>
      <c r="M22" s="186">
        <f>INCOME_STATEMENT!V$18</f>
        <v>6390672</v>
      </c>
      <c r="N22" s="186">
        <f t="shared" si="3"/>
        <v>16745695</v>
      </c>
      <c r="O22" s="186">
        <f t="shared" si="4"/>
        <v>0.38163074151296794</v>
      </c>
      <c r="P22" s="188">
        <f t="shared" si="5"/>
        <v>6390672</v>
      </c>
      <c r="Q22" s="188">
        <f t="shared" si="6"/>
        <v>4704258</v>
      </c>
      <c r="R22" s="188">
        <f t="shared" si="7"/>
        <v>1.3584867156520752</v>
      </c>
    </row>
    <row r="23" spans="2:18" s="182" customFormat="1" x14ac:dyDescent="0.25">
      <c r="B23" s="184" t="s">
        <v>5</v>
      </c>
      <c r="C23" s="182" t="s">
        <v>62</v>
      </c>
      <c r="D23" s="191">
        <f>BALANCE_SHEET!Y$6</f>
        <v>7996530</v>
      </c>
      <c r="E23" s="191">
        <f>BALANCE_SHEET!Y$12</f>
        <v>11921305</v>
      </c>
      <c r="F23" s="188">
        <f t="shared" si="8"/>
        <v>0.67077639570500047</v>
      </c>
      <c r="G23" s="186">
        <f>BALANCE_SHEET!Y$12</f>
        <v>11921305</v>
      </c>
      <c r="H23" s="186">
        <f>BALANCE_SHEET!Y$14</f>
        <v>6665099</v>
      </c>
      <c r="I23" s="186">
        <f t="shared" si="0"/>
        <v>1.7886163431330877</v>
      </c>
      <c r="J23" s="188">
        <f t="shared" si="1"/>
        <v>11921305</v>
      </c>
      <c r="K23" s="188">
        <f>BALANCE_SHEET!Y$8</f>
        <v>18586404</v>
      </c>
      <c r="L23" s="188">
        <f t="shared" si="2"/>
        <v>0.64139921848249937</v>
      </c>
      <c r="M23" s="186">
        <f>INCOME_STATEMENT!W$18</f>
        <v>1960841</v>
      </c>
      <c r="N23" s="186">
        <f t="shared" si="3"/>
        <v>18586404</v>
      </c>
      <c r="O23" s="186">
        <f t="shared" si="4"/>
        <v>0.10549867526822294</v>
      </c>
      <c r="P23" s="188">
        <f t="shared" si="5"/>
        <v>1960841</v>
      </c>
      <c r="Q23" s="188">
        <f t="shared" si="6"/>
        <v>6665099</v>
      </c>
      <c r="R23" s="188">
        <f t="shared" si="7"/>
        <v>0.29419533003185699</v>
      </c>
    </row>
    <row r="24" spans="2:18" s="182" customFormat="1" x14ac:dyDescent="0.25">
      <c r="C24" s="182" t="s">
        <v>63</v>
      </c>
      <c r="D24" s="191">
        <f>BALANCE_SHEET!Z$6</f>
        <v>8624713</v>
      </c>
      <c r="E24" s="191">
        <f>BALANCE_SHEET!Z$12</f>
        <v>14380273</v>
      </c>
      <c r="F24" s="188">
        <f t="shared" si="8"/>
        <v>0.59976003237212538</v>
      </c>
      <c r="G24" s="186">
        <f>BALANCE_SHEET!Z$12</f>
        <v>14380273</v>
      </c>
      <c r="H24" s="186">
        <f>BALANCE_SHEET!Z$14</f>
        <v>4906114</v>
      </c>
      <c r="I24" s="186">
        <f t="shared" si="0"/>
        <v>2.9310923064568009</v>
      </c>
      <c r="J24" s="188">
        <f t="shared" si="1"/>
        <v>14380273</v>
      </c>
      <c r="K24" s="188">
        <f>BALANCE_SHEET!Z$8</f>
        <v>19286387</v>
      </c>
      <c r="L24" s="188">
        <f t="shared" si="2"/>
        <v>0.74561777693250686</v>
      </c>
      <c r="M24" s="186">
        <f>INCOME_STATEMENT!X$18</f>
        <v>3623958</v>
      </c>
      <c r="N24" s="186">
        <f t="shared" si="3"/>
        <v>19286387</v>
      </c>
      <c r="O24" s="186">
        <f t="shared" si="4"/>
        <v>0.18790237901997922</v>
      </c>
      <c r="P24" s="188">
        <f t="shared" si="5"/>
        <v>3623958</v>
      </c>
      <c r="Q24" s="188">
        <f t="shared" si="6"/>
        <v>4906114</v>
      </c>
      <c r="R24" s="188">
        <f t="shared" si="7"/>
        <v>0.73866159653037011</v>
      </c>
    </row>
    <row r="25" spans="2:18" s="182" customFormat="1" x14ac:dyDescent="0.25">
      <c r="C25" s="182" t="s">
        <v>64</v>
      </c>
      <c r="D25" s="191">
        <f>BALANCE_SHEET!AA$6</f>
        <v>7960938</v>
      </c>
      <c r="E25" s="191">
        <f>BALANCE_SHEET!AA$12</f>
        <v>12391366</v>
      </c>
      <c r="F25" s="188">
        <f t="shared" si="8"/>
        <v>0.6424584666452432</v>
      </c>
      <c r="G25" s="186">
        <f>BALANCE_SHEET!AA$12</f>
        <v>12391366</v>
      </c>
      <c r="H25" s="186">
        <f>BALANCE_SHEET!AA$14</f>
        <v>6423858</v>
      </c>
      <c r="I25" s="186">
        <f t="shared" si="0"/>
        <v>1.9289601357937862</v>
      </c>
      <c r="J25" s="188">
        <f t="shared" si="1"/>
        <v>12391366</v>
      </c>
      <c r="K25" s="188">
        <f>BALANCE_SHEET!AA$8</f>
        <v>18815224</v>
      </c>
      <c r="L25" s="188">
        <f t="shared" si="2"/>
        <v>0.65858190154951113</v>
      </c>
      <c r="M25" s="186">
        <f>INCOME_STATEMENT!Y$18</f>
        <v>5229400</v>
      </c>
      <c r="N25" s="186">
        <f t="shared" si="3"/>
        <v>18815224</v>
      </c>
      <c r="O25" s="186">
        <f t="shared" si="4"/>
        <v>0.27793450665269781</v>
      </c>
      <c r="P25" s="188">
        <f t="shared" si="5"/>
        <v>5229400</v>
      </c>
      <c r="Q25" s="188">
        <f t="shared" si="6"/>
        <v>6423858</v>
      </c>
      <c r="R25" s="188">
        <f t="shared" si="7"/>
        <v>0.81405909034726487</v>
      </c>
    </row>
    <row r="26" spans="2:18" s="182" customFormat="1" x14ac:dyDescent="0.25">
      <c r="C26" s="182" t="s">
        <v>93</v>
      </c>
      <c r="D26" s="191">
        <f>BALANCE_SHEET!AB$6</f>
        <v>6588109</v>
      </c>
      <c r="E26" s="191">
        <f>BALANCE_SHEET!AB$12</f>
        <v>12041437</v>
      </c>
      <c r="F26" s="188">
        <f t="shared" si="8"/>
        <v>0.54711983295681399</v>
      </c>
      <c r="G26" s="186">
        <f>BALANCE_SHEET!AB$12</f>
        <v>12041437</v>
      </c>
      <c r="H26" s="186">
        <f>BALANCE_SHEET!AB$14</f>
        <v>4704258</v>
      </c>
      <c r="I26" s="186">
        <f t="shared" si="0"/>
        <v>2.5596889031171335</v>
      </c>
      <c r="J26" s="188">
        <f t="shared" si="1"/>
        <v>12041437</v>
      </c>
      <c r="K26" s="188">
        <f>BALANCE_SHEET!AB$8</f>
        <v>16745695</v>
      </c>
      <c r="L26" s="188">
        <f t="shared" si="2"/>
        <v>0.71907657460618979</v>
      </c>
      <c r="M26" s="186">
        <f>INCOME_STATEMENT!Z$18</f>
        <v>7004562</v>
      </c>
      <c r="N26" s="186">
        <f t="shared" si="3"/>
        <v>16745695</v>
      </c>
      <c r="O26" s="186">
        <f t="shared" si="4"/>
        <v>0.41829031282368395</v>
      </c>
      <c r="P26" s="188">
        <f t="shared" si="5"/>
        <v>7004562</v>
      </c>
      <c r="Q26" s="188">
        <f t="shared" si="6"/>
        <v>4704258</v>
      </c>
      <c r="R26" s="188">
        <f t="shared" si="7"/>
        <v>1.4889833848398621</v>
      </c>
    </row>
    <row r="27" spans="2:18" s="182" customFormat="1" x14ac:dyDescent="0.25">
      <c r="B27" s="184" t="s">
        <v>6</v>
      </c>
      <c r="C27" s="182" t="s">
        <v>62</v>
      </c>
      <c r="D27" s="191">
        <f>BALANCE_SHEET!AC$6</f>
        <v>9310953</v>
      </c>
      <c r="E27" s="191">
        <f>BALANCE_SHEET!AC$12</f>
        <v>13229294</v>
      </c>
      <c r="F27" s="188">
        <f t="shared" si="8"/>
        <v>0.7038132949498288</v>
      </c>
      <c r="G27" s="186">
        <f>BALANCE_SHEET!AC$12</f>
        <v>13229294</v>
      </c>
      <c r="H27" s="186">
        <f>BALANCE_SHEET!AC$14</f>
        <v>7012519</v>
      </c>
      <c r="I27" s="186">
        <f t="shared" si="0"/>
        <v>1.8865252272400259</v>
      </c>
      <c r="J27" s="188">
        <f t="shared" si="1"/>
        <v>13229294</v>
      </c>
      <c r="K27" s="188">
        <f>BALANCE_SHEET!AC$8</f>
        <v>20241813</v>
      </c>
      <c r="L27" s="188">
        <f t="shared" si="2"/>
        <v>0.65356270211566525</v>
      </c>
      <c r="M27" s="186">
        <f>INCOME_STATEMENT!AA$18</f>
        <v>1839131</v>
      </c>
      <c r="N27" s="186">
        <f t="shared" si="3"/>
        <v>20241813</v>
      </c>
      <c r="O27" s="186">
        <f t="shared" si="4"/>
        <v>9.0858017510585642E-2</v>
      </c>
      <c r="P27" s="188">
        <f t="shared" si="5"/>
        <v>1839131</v>
      </c>
      <c r="Q27" s="188">
        <f t="shared" si="6"/>
        <v>7012519</v>
      </c>
      <c r="R27" s="188">
        <f t="shared" si="7"/>
        <v>0.26226395964132149</v>
      </c>
    </row>
    <row r="28" spans="2:18" s="182" customFormat="1" x14ac:dyDescent="0.25">
      <c r="C28" s="182" t="s">
        <v>63</v>
      </c>
      <c r="D28" s="191">
        <f>BALANCE_SHEET!AD$6</f>
        <v>9476988</v>
      </c>
      <c r="E28" s="191">
        <f>BALANCE_SHEET!AD$12</f>
        <v>15514356</v>
      </c>
      <c r="F28" s="188">
        <f t="shared" si="8"/>
        <v>0.61085281271101421</v>
      </c>
      <c r="G28" s="186">
        <f>BALANCE_SHEET!AD$12</f>
        <v>15514356</v>
      </c>
      <c r="H28" s="186">
        <f>BALANCE_SHEET!AD$14</f>
        <v>5011769</v>
      </c>
      <c r="I28" s="186">
        <f t="shared" si="0"/>
        <v>3.0955848124684118</v>
      </c>
      <c r="J28" s="188">
        <f t="shared" si="1"/>
        <v>15514356</v>
      </c>
      <c r="K28" s="188">
        <f>BALANCE_SHEET!AD$8</f>
        <v>20526125</v>
      </c>
      <c r="L28" s="188">
        <f t="shared" si="2"/>
        <v>0.75583462538594104</v>
      </c>
      <c r="M28" s="186">
        <f>INCOME_STATEMENT!AB$18</f>
        <v>3529869</v>
      </c>
      <c r="N28" s="186">
        <f t="shared" si="3"/>
        <v>20526125</v>
      </c>
      <c r="O28" s="186">
        <f t="shared" si="4"/>
        <v>0.17196957535823248</v>
      </c>
      <c r="P28" s="188">
        <f t="shared" si="5"/>
        <v>3529869</v>
      </c>
      <c r="Q28" s="188">
        <f t="shared" si="6"/>
        <v>5011769</v>
      </c>
      <c r="R28" s="188">
        <f t="shared" si="7"/>
        <v>0.70431598104381909</v>
      </c>
    </row>
    <row r="29" spans="2:18" s="182" customFormat="1" x14ac:dyDescent="0.25">
      <c r="C29" s="182" t="s">
        <v>64</v>
      </c>
      <c r="D29" s="191">
        <f>BALANCE_SHEET!AE$6</f>
        <v>9018583</v>
      </c>
      <c r="E29" s="191">
        <f>BALANCE_SHEET!AE$12</f>
        <v>11027987</v>
      </c>
      <c r="F29" s="188">
        <f t="shared" si="8"/>
        <v>0.81779049975303741</v>
      </c>
      <c r="G29" s="186">
        <f>BALANCE_SHEET!AE$12</f>
        <v>11027987</v>
      </c>
      <c r="H29" s="186">
        <f>BALANCE_SHEET!AE$14</f>
        <v>8970149</v>
      </c>
      <c r="I29" s="186">
        <f t="shared" si="0"/>
        <v>1.2294095672212357</v>
      </c>
      <c r="J29" s="188">
        <f t="shared" si="1"/>
        <v>11027987</v>
      </c>
      <c r="K29" s="188">
        <f>BALANCE_SHEET!AE$8</f>
        <v>19998136</v>
      </c>
      <c r="L29" s="188">
        <f t="shared" si="2"/>
        <v>0.55145074520945347</v>
      </c>
      <c r="M29" s="186">
        <f>INCOME_STATEMENT!AC$18</f>
        <v>7303493</v>
      </c>
      <c r="N29" s="186">
        <f t="shared" si="3"/>
        <v>19998136</v>
      </c>
      <c r="O29" s="186">
        <f t="shared" si="4"/>
        <v>0.36520868744967033</v>
      </c>
      <c r="P29" s="188">
        <f t="shared" si="5"/>
        <v>7303493</v>
      </c>
      <c r="Q29" s="188">
        <f t="shared" si="6"/>
        <v>8970149</v>
      </c>
      <c r="R29" s="188">
        <f t="shared" si="7"/>
        <v>0.81419974183260502</v>
      </c>
    </row>
    <row r="30" spans="2:18" s="182" customFormat="1" x14ac:dyDescent="0.25">
      <c r="C30" s="182" t="s">
        <v>93</v>
      </c>
      <c r="D30" s="191">
        <f>BALANCE_SHEET!AF$6</f>
        <v>7941635</v>
      </c>
      <c r="E30" s="191">
        <f>BALANCE_SHEET!AF$12</f>
        <v>13733025</v>
      </c>
      <c r="F30" s="188">
        <f t="shared" si="8"/>
        <v>0.57828737659765417</v>
      </c>
      <c r="G30" s="186">
        <f>BALANCE_SHEET!AF$12</f>
        <v>13733025</v>
      </c>
      <c r="H30" s="186">
        <f>BALANCE_SHEET!AF$14</f>
        <v>5173388</v>
      </c>
      <c r="I30" s="186">
        <f t="shared" si="0"/>
        <v>2.6545515240689466</v>
      </c>
      <c r="J30" s="188">
        <f t="shared" si="1"/>
        <v>13733025</v>
      </c>
      <c r="K30" s="188">
        <f>BALANCE_SHEET!AF$8</f>
        <v>18906413</v>
      </c>
      <c r="L30" s="188">
        <f t="shared" si="2"/>
        <v>0.72636861365505978</v>
      </c>
      <c r="M30" s="186">
        <f>INCOME_STATEMENT!AD$18</f>
        <v>9109445</v>
      </c>
      <c r="N30" s="186">
        <f t="shared" si="3"/>
        <v>18906413</v>
      </c>
      <c r="O30" s="186">
        <f t="shared" si="4"/>
        <v>0.4818177303119317</v>
      </c>
      <c r="P30" s="188">
        <f t="shared" si="5"/>
        <v>9109445</v>
      </c>
      <c r="Q30" s="188">
        <f t="shared" si="6"/>
        <v>5173388</v>
      </c>
      <c r="R30" s="188">
        <f t="shared" si="7"/>
        <v>1.7608277206349108</v>
      </c>
    </row>
    <row r="31" spans="2:18" s="182" customFormat="1" x14ac:dyDescent="0.25">
      <c r="B31" s="184" t="s">
        <v>65</v>
      </c>
      <c r="C31" s="182" t="s">
        <v>62</v>
      </c>
      <c r="D31" s="191">
        <f>BALANCE_SHEET!AG$6</f>
        <v>9787714</v>
      </c>
      <c r="E31" s="191">
        <f>BALANCE_SHEET!AG$12</f>
        <v>16752108</v>
      </c>
      <c r="F31" s="188">
        <f t="shared" si="8"/>
        <v>0.58426760381439757</v>
      </c>
      <c r="G31" s="186">
        <f>BALANCE_SHEET!AG$12</f>
        <v>16752108</v>
      </c>
      <c r="H31" s="186">
        <f>BALANCE_SHEET!AG$14</f>
        <v>5075213</v>
      </c>
      <c r="I31" s="186">
        <f t="shared" si="0"/>
        <v>3.3007694455385419</v>
      </c>
      <c r="J31" s="188">
        <f t="shared" si="1"/>
        <v>16752108</v>
      </c>
      <c r="K31" s="188">
        <f>BALANCE_SHEET!AG$8</f>
        <v>21827321</v>
      </c>
      <c r="L31" s="188">
        <f t="shared" si="2"/>
        <v>0.7674834671648435</v>
      </c>
      <c r="M31" s="186">
        <f>INCOME_STATEMENT!AE$18</f>
        <v>1748520</v>
      </c>
      <c r="N31" s="186">
        <f t="shared" si="3"/>
        <v>21827321</v>
      </c>
      <c r="O31" s="186">
        <f t="shared" si="4"/>
        <v>8.0106944869688779E-2</v>
      </c>
      <c r="P31" s="188">
        <f t="shared" si="5"/>
        <v>1748520</v>
      </c>
      <c r="Q31" s="188">
        <f t="shared" si="6"/>
        <v>5075213</v>
      </c>
      <c r="R31" s="188">
        <f t="shared" si="7"/>
        <v>0.34452150087099792</v>
      </c>
    </row>
    <row r="32" spans="2:18" s="182" customFormat="1" x14ac:dyDescent="0.25">
      <c r="C32" s="182" t="s">
        <v>63</v>
      </c>
      <c r="D32" s="191">
        <f>BALANCE_SHEET!AH$6</f>
        <v>10012444</v>
      </c>
      <c r="E32" s="191">
        <f>BALANCE_SHEET!AH$12</f>
        <v>12977603</v>
      </c>
      <c r="F32" s="188">
        <f t="shared" si="8"/>
        <v>0.77151720545003577</v>
      </c>
      <c r="G32" s="186">
        <f>BALANCE_SHEET!AH$12</f>
        <v>12977603</v>
      </c>
      <c r="H32" s="186">
        <f>BALANCE_SHEET!AH$14</f>
        <v>9062375</v>
      </c>
      <c r="I32" s="186">
        <f t="shared" si="0"/>
        <v>1.4320311176705887</v>
      </c>
      <c r="J32" s="188">
        <f t="shared" si="1"/>
        <v>12977603</v>
      </c>
      <c r="K32" s="188">
        <f>BALANCE_SHEET!AH$8</f>
        <v>22039978</v>
      </c>
      <c r="L32" s="188">
        <f t="shared" si="2"/>
        <v>0.58882105054732814</v>
      </c>
      <c r="M32" s="186">
        <f>INCOME_STATEMENT!AF$18</f>
        <v>3697232</v>
      </c>
      <c r="N32" s="186">
        <f t="shared" si="3"/>
        <v>22039978</v>
      </c>
      <c r="O32" s="186">
        <f t="shared" si="4"/>
        <v>0.16775116563183504</v>
      </c>
      <c r="P32" s="188">
        <f t="shared" si="5"/>
        <v>3697232</v>
      </c>
      <c r="Q32" s="188">
        <f t="shared" si="6"/>
        <v>9062375</v>
      </c>
      <c r="R32" s="188">
        <f t="shared" si="7"/>
        <v>0.40797605484213573</v>
      </c>
    </row>
    <row r="33" spans="3:18" s="182" customFormat="1" x14ac:dyDescent="0.25">
      <c r="C33" s="182" t="s">
        <v>64</v>
      </c>
      <c r="D33" s="191">
        <f>BALANCE_SHEET!AI$6</f>
        <v>8889091</v>
      </c>
      <c r="E33" s="191">
        <f>BALANCE_SHEET!AI$12</f>
        <v>13926354</v>
      </c>
      <c r="F33" s="188">
        <f t="shared" si="8"/>
        <v>0.63829276492612497</v>
      </c>
      <c r="G33" s="186">
        <f>BALANCE_SHEET!AI$12</f>
        <v>13926354</v>
      </c>
      <c r="H33" s="186">
        <f>BALANCE_SHEET!AI$14</f>
        <v>6887584</v>
      </c>
      <c r="I33" s="186">
        <f t="shared" si="0"/>
        <v>2.0219505126906618</v>
      </c>
      <c r="J33" s="188">
        <f t="shared" si="1"/>
        <v>13926354</v>
      </c>
      <c r="K33" s="188">
        <f>BALANCE_SHEET!AI$8</f>
        <v>20813938</v>
      </c>
      <c r="L33" s="188">
        <f t="shared" si="2"/>
        <v>0.66908789677378688</v>
      </c>
      <c r="M33" s="186">
        <f>INCOME_STATEMENT!AG$18</f>
        <v>5509603</v>
      </c>
      <c r="N33" s="186">
        <f t="shared" si="3"/>
        <v>20813938</v>
      </c>
      <c r="O33" s="186">
        <f t="shared" si="4"/>
        <v>0.26470738021800583</v>
      </c>
      <c r="P33" s="188">
        <f t="shared" si="5"/>
        <v>5509603</v>
      </c>
      <c r="Q33" s="188">
        <f t="shared" si="6"/>
        <v>6887584</v>
      </c>
      <c r="R33" s="188">
        <f t="shared" si="7"/>
        <v>0.7999326033628047</v>
      </c>
    </row>
    <row r="34" spans="3:18" s="182" customFormat="1" x14ac:dyDescent="0.25">
      <c r="C34" s="182" t="s">
        <v>93</v>
      </c>
      <c r="D34" s="191">
        <f>BALANCE_SHEET!AJ$6</f>
        <v>8530334</v>
      </c>
      <c r="E34" s="191">
        <f>BALANCE_SHEET!AJ$12</f>
        <v>15367509</v>
      </c>
      <c r="F34" s="188">
        <f t="shared" si="8"/>
        <v>0.55508892169837021</v>
      </c>
      <c r="G34" s="186">
        <f>BALANCE_SHEET!AJ$12</f>
        <v>15367509</v>
      </c>
      <c r="H34" s="186">
        <f>BALANCE_SHEET!AJ$14</f>
        <v>5281862</v>
      </c>
      <c r="I34" s="186">
        <f t="shared" si="0"/>
        <v>2.9094870331712568</v>
      </c>
      <c r="J34" s="188">
        <f t="shared" si="1"/>
        <v>15367509</v>
      </c>
      <c r="K34" s="188">
        <f>BALANCE_SHEET!AJ$8</f>
        <v>20649371</v>
      </c>
      <c r="L34" s="188">
        <f t="shared" si="2"/>
        <v>0.74421196655336375</v>
      </c>
      <c r="M34" s="186">
        <f>INCOME_STATEMENT!AH$18</f>
        <v>7392837</v>
      </c>
      <c r="N34" s="186">
        <f t="shared" si="3"/>
        <v>20649371</v>
      </c>
      <c r="O34" s="186">
        <f t="shared" si="4"/>
        <v>0.35801753961416066</v>
      </c>
      <c r="P34" s="188">
        <f t="shared" si="5"/>
        <v>7392837</v>
      </c>
      <c r="Q34" s="188">
        <f t="shared" si="6"/>
        <v>5281862</v>
      </c>
      <c r="R34" s="188">
        <f t="shared" si="7"/>
        <v>1.3996649287694378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zoomScale="85" zoomScaleNormal="85" workbookViewId="0">
      <selection activeCell="H14" sqref="H14"/>
    </sheetView>
  </sheetViews>
  <sheetFormatPr defaultRowHeight="15" x14ac:dyDescent="0.25"/>
  <cols>
    <col min="1" max="1" width="9.140625" style="1"/>
    <col min="2" max="2" width="8.140625" style="32" bestFit="1" customWidth="1"/>
    <col min="3" max="3" width="11.28515625" style="66" bestFit="1" customWidth="1"/>
    <col min="4" max="8" width="18" style="36" bestFit="1" customWidth="1"/>
    <col min="9" max="9" width="11.140625" style="60" bestFit="1" customWidth="1"/>
    <col min="10" max="14" width="18" style="36" bestFit="1" customWidth="1"/>
    <col min="15" max="15" width="12.5703125" style="53" bestFit="1" customWidth="1"/>
    <col min="16" max="20" width="18" style="36" bestFit="1" customWidth="1"/>
  </cols>
  <sheetData>
    <row r="2" spans="1:21" x14ac:dyDescent="0.25">
      <c r="B2" s="30"/>
      <c r="C2" s="61"/>
      <c r="D2" s="33"/>
      <c r="E2" s="33"/>
      <c r="F2" s="33"/>
      <c r="G2" s="33"/>
      <c r="H2" s="33"/>
      <c r="I2" s="54"/>
      <c r="J2" s="33"/>
      <c r="K2" s="33"/>
      <c r="L2" s="33"/>
      <c r="M2" s="33"/>
      <c r="N2" s="33"/>
      <c r="O2" s="49"/>
      <c r="P2" s="33"/>
      <c r="Q2" s="33"/>
      <c r="R2" s="33"/>
      <c r="S2" s="33"/>
      <c r="T2" s="33"/>
      <c r="U2" s="23"/>
    </row>
    <row r="3" spans="1:21" s="26" customFormat="1" x14ac:dyDescent="0.25">
      <c r="A3" s="27"/>
      <c r="B3" s="31"/>
      <c r="C3" s="61"/>
      <c r="D3" s="209" t="s">
        <v>49</v>
      </c>
      <c r="E3" s="210"/>
      <c r="F3" s="210"/>
      <c r="G3" s="210"/>
      <c r="H3" s="211"/>
      <c r="I3" s="55"/>
      <c r="J3" s="210" t="s">
        <v>50</v>
      </c>
      <c r="K3" s="210"/>
      <c r="L3" s="210"/>
      <c r="M3" s="210"/>
      <c r="N3" s="211"/>
      <c r="O3" s="34"/>
      <c r="P3" s="210" t="s">
        <v>51</v>
      </c>
      <c r="Q3" s="210"/>
      <c r="R3" s="210"/>
      <c r="S3" s="210"/>
      <c r="T3" s="210"/>
      <c r="U3" s="29"/>
    </row>
    <row r="4" spans="1:21" s="26" customFormat="1" x14ac:dyDescent="0.25">
      <c r="A4" s="27"/>
      <c r="B4" s="31"/>
      <c r="C4" s="62"/>
      <c r="D4" s="43" t="s">
        <v>2</v>
      </c>
      <c r="E4" s="44" t="s">
        <v>3</v>
      </c>
      <c r="F4" s="44" t="s">
        <v>4</v>
      </c>
      <c r="G4" s="44" t="s">
        <v>5</v>
      </c>
      <c r="H4" s="45" t="s">
        <v>6</v>
      </c>
      <c r="I4" s="56"/>
      <c r="J4" s="44" t="s">
        <v>2</v>
      </c>
      <c r="K4" s="44" t="s">
        <v>3</v>
      </c>
      <c r="L4" s="44" t="s">
        <v>4</v>
      </c>
      <c r="M4" s="44" t="s">
        <v>5</v>
      </c>
      <c r="N4" s="45" t="s">
        <v>6</v>
      </c>
      <c r="O4" s="44"/>
      <c r="P4" s="44" t="s">
        <v>2</v>
      </c>
      <c r="Q4" s="44" t="s">
        <v>3</v>
      </c>
      <c r="R4" s="44" t="s">
        <v>4</v>
      </c>
      <c r="S4" s="44" t="s">
        <v>5</v>
      </c>
      <c r="T4" s="44" t="s">
        <v>6</v>
      </c>
      <c r="U4" s="29"/>
    </row>
    <row r="5" spans="1:21" x14ac:dyDescent="0.25">
      <c r="B5" s="30"/>
      <c r="C5" s="61" t="s">
        <v>46</v>
      </c>
      <c r="D5" s="41">
        <f>INCOME_STATEMENT!N18/BALANCE_SHEET!P8</f>
        <v>0.40183849917405834</v>
      </c>
      <c r="E5" s="25">
        <f>INCOME_STATEMENT!R18/BALANCE_SHEET!T8</f>
        <v>0.37201687609206519</v>
      </c>
      <c r="F5" s="25">
        <f>INCOME_STATEMENT!V18/BALANCE_SHEET!X8</f>
        <v>0.38163074151296794</v>
      </c>
      <c r="G5" s="25">
        <f>INCOME_STATEMENT!Z18/BALANCE_SHEET!AB8</f>
        <v>0.41829031282368395</v>
      </c>
      <c r="H5" s="42">
        <f>INCOME_STATEMENT!AD18/BALANCE_SHEET!AF8</f>
        <v>0.4818177303119317</v>
      </c>
      <c r="I5" s="61" t="s">
        <v>46</v>
      </c>
      <c r="J5" s="25">
        <f>INCOME_STATEMENT!N18/INCOME_STATEMENT!N7</f>
        <v>0.16627840999475713</v>
      </c>
      <c r="K5" s="25">
        <f>INCOME_STATEMENT!R18/INCOME_STATEMENT!R7</f>
        <v>0.16039360235149461</v>
      </c>
      <c r="L5" s="25">
        <f>INCOME_STATEMENT!V18/INCOME_STATEMENT!V7</f>
        <v>0.15955247316280041</v>
      </c>
      <c r="M5" s="25">
        <f>INCOME_STATEMENT!Z18/INCOME_STATEMENT!Z7</f>
        <v>0.16999503209721459</v>
      </c>
      <c r="N5" s="42">
        <f>INCOME_STATEMENT!AD18/INCOME_STATEMENT!AD7</f>
        <v>0.21791849892229029</v>
      </c>
      <c r="O5" s="61" t="s">
        <v>46</v>
      </c>
      <c r="P5" s="25">
        <f>BALANCE_SHEET!P12/BALANCE_SHEET!P14</f>
        <v>2.1053157118558783</v>
      </c>
      <c r="Q5" s="25">
        <f>BALANCE_SHEET!T12/BALANCE_SHEET!T14</f>
        <v>2.2584984339266181</v>
      </c>
      <c r="R5" s="25">
        <f>BALANCE_SHEET!X12/BALANCE_SHEET!X14</f>
        <v>2.5596889031171335</v>
      </c>
      <c r="S5" s="25">
        <f>BALANCE_SHEET!AB12/BALANCE_SHEET!AB14</f>
        <v>2.5596889031171335</v>
      </c>
      <c r="T5" s="25">
        <f>BALANCE_SHEET!AF12/BALANCE_SHEET!AF14</f>
        <v>2.6545515240689466</v>
      </c>
      <c r="U5" s="23"/>
    </row>
    <row r="6" spans="1:21" x14ac:dyDescent="0.25">
      <c r="B6" s="30"/>
      <c r="C6" s="61" t="s">
        <v>47</v>
      </c>
      <c r="D6" s="41">
        <f>INCOME_STATEMENT!N46/BALANCE_SHEET!P23</f>
        <v>1.4779821955259325E-2</v>
      </c>
      <c r="E6" s="25">
        <f>INCOME_STATEMENT!R46/BALANCE_SHEET!T23</f>
        <v>2.1042270631316563E-3</v>
      </c>
      <c r="F6" s="25">
        <f>INCOME_STATEMENT!V46/BALANCE_SHEET!X23</f>
        <v>-1.1488692751341871E-2</v>
      </c>
      <c r="G6" s="25">
        <f>INCOME_STATEMENT!Z46/BALANCE_SHEET!AB23</f>
        <v>-2.5803170932926843E-3</v>
      </c>
      <c r="H6" s="42">
        <f>INCOME_STATEMENT!AD46/BALANCE_SHEET!AF23</f>
        <v>-4.4081468011478928E-3</v>
      </c>
      <c r="I6" s="61" t="s">
        <v>47</v>
      </c>
      <c r="J6" s="25">
        <f>INCOME_STATEMENT!N46/INCOME_STATEMENT!N34</f>
        <v>1.6956924646234377E-2</v>
      </c>
      <c r="K6" s="25">
        <f>INCOME_STATEMENT!R46/INCOME_STATEMENT!R34</f>
        <v>2.4433732029958792E-3</v>
      </c>
      <c r="L6" s="25">
        <f>INCOME_STATEMENT!V46/INCOME_STATEMENT!V34</f>
        <v>-1.6115239861574652E-2</v>
      </c>
      <c r="M6" s="25">
        <f>INCOME_STATEMENT!Z46/INCOME_STATEMENT!Z34</f>
        <v>-3.7232710773221996E-3</v>
      </c>
      <c r="N6" s="42">
        <f>INCOME_STATEMENT!AD46/INCOME_STATEMENT!AD34</f>
        <v>-7.5072556776684708E-3</v>
      </c>
      <c r="O6" s="61" t="s">
        <v>47</v>
      </c>
      <c r="P6" s="25">
        <f>BALANCE_SHEET!P27/BALANCE_SHEET!P29</f>
        <v>0.29911035126036056</v>
      </c>
      <c r="Q6" s="25">
        <f>BALANCE_SHEET!T27/BALANCE_SHEET!T29</f>
        <v>0.31845021826298353</v>
      </c>
      <c r="R6" s="25">
        <f>BALANCE_SHEET!X27/BALANCE_SHEET!X29</f>
        <v>0.30872746722667094</v>
      </c>
      <c r="S6" s="25">
        <f>BALANCE_SHEET!AB27/BALANCE_SHEET!AB29</f>
        <v>0.35618166346550084</v>
      </c>
      <c r="T6" s="25">
        <f>BALANCE_SHEET!AF27/BALANCE_SHEET!AF29</f>
        <v>0.39109770893143164</v>
      </c>
      <c r="U6" s="23"/>
    </row>
    <row r="7" spans="1:21" x14ac:dyDescent="0.25">
      <c r="B7" s="30"/>
      <c r="C7" s="61" t="s">
        <v>48</v>
      </c>
      <c r="D7" s="41">
        <f>INCOME_STATEMENT!N73/BALANCE_SHEET!P38</f>
        <v>1.1902123347331692E-2</v>
      </c>
      <c r="E7" s="25">
        <f>INCOME_STATEMENT!R73/BALANCE_SHEET!T38</f>
        <v>1.6119453149253573E-3</v>
      </c>
      <c r="F7" s="25">
        <f>INCOME_STATEMENT!V73/BALANCE_SHEET!X38</f>
        <v>-7.8165983727561915E-3</v>
      </c>
      <c r="G7" s="25">
        <f>INCOME_STATEMENT!Z73/BALANCE_SHEET!AB38</f>
        <v>-1.6438860217441696E-3</v>
      </c>
      <c r="H7" s="42">
        <f>INCOME_STATEMENT!AD73/BALANCE_SHEET!AF38</f>
        <v>-3.4821261073759513E-3</v>
      </c>
      <c r="I7" s="61" t="s">
        <v>48</v>
      </c>
      <c r="J7" s="25">
        <f>INCOME_STATEMENT!N73/INCOME_STATEMENT!N61</f>
        <v>1.6956924646234377E-2</v>
      </c>
      <c r="K7" s="25">
        <f>INCOME_STATEMENT!R73/INCOME_STATEMENT!R61</f>
        <v>2.4433732029958792E-3</v>
      </c>
      <c r="L7" s="25">
        <f>INCOME_STATEMENT!V73/INCOME_STATEMENT!V61</f>
        <v>-1.6115239861574652E-2</v>
      </c>
      <c r="M7" s="25">
        <f>INCOME_STATEMENT!Z73/INCOME_STATEMENT!Z61</f>
        <v>-3.7232710773221996E-3</v>
      </c>
      <c r="N7" s="42">
        <f>INCOME_STATEMENT!AD73/INCOME_STATEMENT!AD61</f>
        <v>-7.5072556776684708E-3</v>
      </c>
      <c r="O7" s="61" t="s">
        <v>48</v>
      </c>
      <c r="P7" s="25">
        <f>BALANCE_SHEET!P42/BALANCE_SHEET!P44</f>
        <v>0.36503419133146664</v>
      </c>
      <c r="Q7" s="25">
        <f>BALANCE_SHEET!T42/BALANCE_SHEET!T44</f>
        <v>0.49442436457197075</v>
      </c>
      <c r="R7" s="25">
        <f>BALANCE_SHEET!X42/BALANCE_SHEET!X44</f>
        <v>0.61015164140277467</v>
      </c>
      <c r="S7" s="25">
        <f>BALANCE_SHEET!AB42/BALANCE_SHEET!AB44</f>
        <v>0.89142026810102204</v>
      </c>
      <c r="T7" s="25">
        <f>BALANCE_SHEET!AF42/BALANCE_SHEET!AF44</f>
        <v>1.1564639088838629</v>
      </c>
      <c r="U7" s="23"/>
    </row>
    <row r="8" spans="1:21" x14ac:dyDescent="0.25">
      <c r="B8" s="30"/>
      <c r="C8" s="61" t="s">
        <v>52</v>
      </c>
      <c r="D8" s="41">
        <f>INCOME_STATEMENT!N98/BALANCE_SHEET!P53</f>
        <v>9.4059502318253677E-2</v>
      </c>
      <c r="E8" s="25">
        <f>INCOME_STATEMENT!R98/BALANCE_SHEET!T53</f>
        <v>0.26150285869419054</v>
      </c>
      <c r="F8" s="25">
        <f>INCOME_STATEMENT!V98/BALANCE_SHEET!X53</f>
        <v>7.4165722097610964E-2</v>
      </c>
      <c r="G8" s="25">
        <f>INCOME_STATEMENT!Z98/BALANCE_SHEET!AB53</f>
        <v>7.5842932001248781E-2</v>
      </c>
      <c r="H8" s="42" t="e">
        <f>INCOME_STATEMENT!AD98/BALANCE_SHEET!#REF!</f>
        <v>#REF!</v>
      </c>
      <c r="I8" s="61" t="s">
        <v>52</v>
      </c>
      <c r="J8" s="25">
        <f>INCOME_STATEMENT!N98/INCOME_STATEMENT!N88</f>
        <v>7.5519506913569664E-2</v>
      </c>
      <c r="K8" s="25">
        <f>INCOME_STATEMENT!R98/INCOME_STATEMENT!R88</f>
        <v>0.23520526346243809</v>
      </c>
      <c r="L8" s="25">
        <f>INCOME_STATEMENT!V98/INCOME_STATEMENT!V88</f>
        <v>6.4136902447139363E-2</v>
      </c>
      <c r="M8" s="25">
        <f>INCOME_STATEMENT!Z98/INCOME_STATEMENT!Z88</f>
        <v>6.6186344614768161E-2</v>
      </c>
      <c r="N8" s="42">
        <f>INCOME_STATEMENT!AD98/INCOME_STATEMENT!AD88</f>
        <v>6.5332386570813555E-2</v>
      </c>
      <c r="O8" s="61" t="s">
        <v>52</v>
      </c>
      <c r="P8" s="25">
        <f>BALANCE_SHEET!P57/BALANCE_SHEET!P59</f>
        <v>0.44388697273323369</v>
      </c>
      <c r="Q8" s="25">
        <f>BALANCE_SHEET!T57/BALANCE_SHEET!T59</f>
        <v>0.21414162832261727</v>
      </c>
      <c r="R8" s="25">
        <f>BALANCE_SHEET!X57/BALANCE_SHEET!X59</f>
        <v>0.22541043273767788</v>
      </c>
      <c r="S8" s="25">
        <f>BALANCE_SHEET!AB57/BALANCE_SHEET!AB59</f>
        <v>0.27093242082273578</v>
      </c>
      <c r="T8" s="25" t="e">
        <f>BALANCE_SHEET!#REF!/BALANCE_SHEET!#REF!</f>
        <v>#REF!</v>
      </c>
      <c r="U8" s="23"/>
    </row>
    <row r="9" spans="1:21" x14ac:dyDescent="0.25">
      <c r="B9" s="30"/>
      <c r="C9" s="63" t="s">
        <v>60</v>
      </c>
      <c r="D9" s="46">
        <f>SUM(D5:D8)/COUNT(D5:D8)</f>
        <v>0.13064498669872576</v>
      </c>
      <c r="E9" s="47">
        <f t="shared" ref="E9:H9" si="0">SUM(E5:E8)/COUNT(E5:E8)</f>
        <v>0.15930897679107819</v>
      </c>
      <c r="F9" s="47">
        <f t="shared" si="0"/>
        <v>0.10912279312162022</v>
      </c>
      <c r="G9" s="47">
        <f t="shared" si="0"/>
        <v>0.12247726042747398</v>
      </c>
      <c r="H9" s="48" t="e">
        <f t="shared" si="0"/>
        <v>#REF!</v>
      </c>
      <c r="I9" s="63" t="s">
        <v>60</v>
      </c>
      <c r="J9" s="47">
        <f>SUM(J5:J8)/COUNT(J5:J8)</f>
        <v>6.8927941550198893E-2</v>
      </c>
      <c r="K9" s="47">
        <f t="shared" ref="K9:M9" si="1">SUM(K5:K8)/COUNT(K5:K8)</f>
        <v>0.1001214030549811</v>
      </c>
      <c r="L9" s="47">
        <f t="shared" si="1"/>
        <v>4.7864723971697623E-2</v>
      </c>
      <c r="M9" s="47">
        <f t="shared" si="1"/>
        <v>5.7183708639334585E-2</v>
      </c>
      <c r="N9" s="48">
        <f>SUM(N5:N8)/COUNT(N5:N8)</f>
        <v>6.7059093534441727E-2</v>
      </c>
      <c r="O9" s="63" t="s">
        <v>60</v>
      </c>
      <c r="P9" s="47">
        <f>SUM(P5:P8)/COUNT(P5:P8)</f>
        <v>0.80333680679523478</v>
      </c>
      <c r="Q9" s="47">
        <f t="shared" ref="Q9:T9" si="2">SUM(Q5:Q8)/COUNT(Q5:Q8)</f>
        <v>0.82137866127104742</v>
      </c>
      <c r="R9" s="47">
        <f t="shared" si="2"/>
        <v>0.92599461112106418</v>
      </c>
      <c r="S9" s="47">
        <f t="shared" si="2"/>
        <v>1.0195558138765979</v>
      </c>
      <c r="T9" s="47" t="e">
        <f t="shared" si="2"/>
        <v>#REF!</v>
      </c>
      <c r="U9" s="23"/>
    </row>
    <row r="10" spans="1:21" x14ac:dyDescent="0.25">
      <c r="B10" s="30"/>
      <c r="C10" s="61"/>
      <c r="D10" s="25"/>
      <c r="E10" s="25"/>
      <c r="F10" s="25"/>
      <c r="G10" s="25"/>
      <c r="H10" s="25"/>
      <c r="I10" s="74"/>
      <c r="J10" s="25"/>
      <c r="K10" s="25"/>
      <c r="L10" s="25"/>
      <c r="M10" s="25"/>
      <c r="N10" s="25"/>
      <c r="O10" s="67"/>
      <c r="P10" s="25"/>
      <c r="Q10" s="25"/>
      <c r="R10" s="25"/>
      <c r="S10" s="25"/>
      <c r="T10" s="25"/>
      <c r="U10" s="23"/>
    </row>
    <row r="11" spans="1:21" s="23" customFormat="1" x14ac:dyDescent="0.25">
      <c r="A11" s="75"/>
      <c r="B11" s="30"/>
      <c r="C11" s="61"/>
      <c r="D11" s="210" t="s">
        <v>49</v>
      </c>
      <c r="E11" s="210"/>
      <c r="F11" s="210"/>
      <c r="G11" s="210"/>
      <c r="H11" s="210"/>
      <c r="I11" s="54"/>
      <c r="J11" s="210" t="s">
        <v>50</v>
      </c>
      <c r="K11" s="210"/>
      <c r="L11" s="210"/>
      <c r="M11" s="210"/>
      <c r="N11" s="210"/>
      <c r="O11" s="34"/>
      <c r="P11" s="210" t="s">
        <v>51</v>
      </c>
      <c r="Q11" s="210"/>
      <c r="R11" s="210"/>
      <c r="S11" s="210"/>
      <c r="T11" s="210"/>
    </row>
    <row r="12" spans="1:21" s="23" customFormat="1" x14ac:dyDescent="0.25">
      <c r="A12" s="75"/>
      <c r="B12" s="30"/>
      <c r="C12" s="61"/>
      <c r="D12" s="35" t="s">
        <v>2</v>
      </c>
      <c r="E12" s="35" t="s">
        <v>3</v>
      </c>
      <c r="F12" s="35" t="s">
        <v>4</v>
      </c>
      <c r="G12" s="35" t="s">
        <v>5</v>
      </c>
      <c r="H12" s="35" t="s">
        <v>6</v>
      </c>
      <c r="I12" s="76"/>
      <c r="J12" s="35" t="s">
        <v>2</v>
      </c>
      <c r="K12" s="35" t="s">
        <v>3</v>
      </c>
      <c r="L12" s="35" t="s">
        <v>4</v>
      </c>
      <c r="M12" s="35" t="s">
        <v>5</v>
      </c>
      <c r="N12" s="35" t="s">
        <v>6</v>
      </c>
      <c r="O12" s="35"/>
      <c r="P12" s="35" t="s">
        <v>2</v>
      </c>
      <c r="Q12" s="35" t="s">
        <v>3</v>
      </c>
      <c r="R12" s="35" t="s">
        <v>4</v>
      </c>
      <c r="S12" s="35" t="s">
        <v>5</v>
      </c>
      <c r="T12" s="35" t="s">
        <v>6</v>
      </c>
    </row>
    <row r="13" spans="1:21" s="73" customFormat="1" x14ac:dyDescent="0.25">
      <c r="A13" s="68"/>
      <c r="B13" s="208" t="s">
        <v>46</v>
      </c>
      <c r="C13" s="69" t="s">
        <v>54</v>
      </c>
      <c r="D13" s="70">
        <f>INCOME_STATEMENT!N18</f>
        <v>5738523</v>
      </c>
      <c r="E13" s="70">
        <f>INCOME_STATEMENT!R18</f>
        <v>5851805</v>
      </c>
      <c r="F13" s="70">
        <f>INCOME_STATEMENT!V18</f>
        <v>6390672</v>
      </c>
      <c r="G13" s="70">
        <f>INCOME_STATEMENT!Z18</f>
        <v>7004562</v>
      </c>
      <c r="H13" s="70">
        <f>INCOME_STATEMENT!AD18</f>
        <v>9109445</v>
      </c>
      <c r="I13" s="69" t="s">
        <v>57</v>
      </c>
      <c r="J13" s="70">
        <f>INCOME_STATEMENT!N18</f>
        <v>5738523</v>
      </c>
      <c r="K13" s="70">
        <f>INCOME_STATEMENT!R18</f>
        <v>5851805</v>
      </c>
      <c r="L13" s="70">
        <f>INCOME_STATEMENT!V18</f>
        <v>6390672</v>
      </c>
      <c r="M13" s="70">
        <f>INCOME_STATEMENT!Z18</f>
        <v>7004562</v>
      </c>
      <c r="N13" s="70">
        <f>INCOME_STATEMENT!AD18</f>
        <v>9109445</v>
      </c>
      <c r="O13" s="71" t="s">
        <v>59</v>
      </c>
      <c r="P13" s="70">
        <f>BALANCE_SHEET!P12</f>
        <v>9681888</v>
      </c>
      <c r="Q13" s="70">
        <f>BALANCE_SHEET!T12</f>
        <v>10902585</v>
      </c>
      <c r="R13" s="70">
        <f>BALANCE_SHEET!X12</f>
        <v>12041437</v>
      </c>
      <c r="S13" s="70">
        <f>BALANCE_SHEET!AB12</f>
        <v>12041437</v>
      </c>
      <c r="T13" s="70">
        <f>BALANCE_SHEET!AF12</f>
        <v>13733025</v>
      </c>
      <c r="U13" s="72"/>
    </row>
    <row r="14" spans="1:21" s="73" customFormat="1" x14ac:dyDescent="0.25">
      <c r="A14" s="68"/>
      <c r="B14" s="208"/>
      <c r="C14" s="69" t="s">
        <v>55</v>
      </c>
      <c r="D14" s="70">
        <f>BALANCE_SHEET!P8</f>
        <v>14280670</v>
      </c>
      <c r="E14" s="70">
        <f>BALANCE_SHEET!T8</f>
        <v>15729945</v>
      </c>
      <c r="F14" s="70">
        <f>BALANCE_SHEET!X8</f>
        <v>16745695</v>
      </c>
      <c r="G14" s="70">
        <f>BALANCE_SHEET!AB8</f>
        <v>16745695</v>
      </c>
      <c r="H14" s="70">
        <f>BALANCE_SHEET!AF8</f>
        <v>18906413</v>
      </c>
      <c r="I14" s="69" t="s">
        <v>58</v>
      </c>
      <c r="J14" s="70">
        <f>INCOME_STATEMENT!N7</f>
        <v>34511534</v>
      </c>
      <c r="K14" s="70">
        <f>INCOME_STATEMENT!R7</f>
        <v>36484030</v>
      </c>
      <c r="L14" s="70">
        <f>INCOME_STATEMENT!V7</f>
        <v>40053732</v>
      </c>
      <c r="M14" s="70">
        <f>INCOME_STATEMENT!Z7</f>
        <v>41204510</v>
      </c>
      <c r="N14" s="70">
        <f>INCOME_STATEMENT!AD7</f>
        <v>41802073</v>
      </c>
      <c r="O14" s="71" t="s">
        <v>55</v>
      </c>
      <c r="P14" s="70">
        <f>BALANCE_SHEET!P14</f>
        <v>4598782</v>
      </c>
      <c r="Q14" s="70">
        <f>BALANCE_SHEET!T14</f>
        <v>4827360</v>
      </c>
      <c r="R14" s="70">
        <f>BALANCE_SHEET!X14</f>
        <v>4704258</v>
      </c>
      <c r="S14" s="70">
        <f>BALANCE_SHEET!AB14</f>
        <v>4704258</v>
      </c>
      <c r="T14" s="70">
        <f>BALANCE_SHEET!AF14</f>
        <v>5173388</v>
      </c>
      <c r="U14" s="72"/>
    </row>
    <row r="15" spans="1:21" x14ac:dyDescent="0.25">
      <c r="B15" s="208"/>
      <c r="C15" s="61" t="s">
        <v>56</v>
      </c>
      <c r="D15" s="24">
        <f>D13/D14</f>
        <v>0.40183849917405834</v>
      </c>
      <c r="E15" s="24">
        <f t="shared" ref="E15:H15" si="3">E13/E14</f>
        <v>0.37201687609206519</v>
      </c>
      <c r="F15" s="24">
        <f t="shared" si="3"/>
        <v>0.38163074151296794</v>
      </c>
      <c r="G15" s="24">
        <f t="shared" si="3"/>
        <v>0.41829031282368395</v>
      </c>
      <c r="H15" s="24">
        <f t="shared" si="3"/>
        <v>0.4818177303119317</v>
      </c>
      <c r="I15" s="57" t="s">
        <v>56</v>
      </c>
      <c r="J15" s="24">
        <f t="shared" ref="J15" si="4">J13/J14</f>
        <v>0.16627840999475713</v>
      </c>
      <c r="K15" s="24">
        <f t="shared" ref="K15" si="5">K13/K14</f>
        <v>0.16039360235149461</v>
      </c>
      <c r="L15" s="24">
        <f t="shared" ref="L15" si="6">L13/L14</f>
        <v>0.15955247316280041</v>
      </c>
      <c r="M15" s="24">
        <f t="shared" ref="M15" si="7">M13/M14</f>
        <v>0.16999503209721459</v>
      </c>
      <c r="N15" s="24">
        <f t="shared" ref="N15:T15" si="8">N13/N14</f>
        <v>0.21791849892229029</v>
      </c>
      <c r="O15" s="50" t="s">
        <v>56</v>
      </c>
      <c r="P15" s="24">
        <f t="shared" si="8"/>
        <v>2.1053157118558783</v>
      </c>
      <c r="Q15" s="24">
        <f>Q13/Q14</f>
        <v>2.2584984339266181</v>
      </c>
      <c r="R15" s="24">
        <f t="shared" si="8"/>
        <v>2.5596889031171335</v>
      </c>
      <c r="S15" s="24">
        <f t="shared" si="8"/>
        <v>2.5596889031171335</v>
      </c>
      <c r="T15" s="24">
        <f t="shared" si="8"/>
        <v>2.6545515240689466</v>
      </c>
    </row>
    <row r="16" spans="1:21" x14ac:dyDescent="0.25">
      <c r="B16" s="208"/>
      <c r="C16" s="61"/>
      <c r="D16" s="24" t="str">
        <f>IF(D15=D$30,"S",IF(D15&lt;D$30,"B",IF(D15&gt;D$30,"A")))</f>
        <v>A</v>
      </c>
      <c r="E16" s="24" t="str">
        <f t="shared" ref="E16:T16" si="9">IF(E15=E$30,"S",IF(E15&lt;E$30,"B",IF(E15&gt;E$30,"A")))</f>
        <v>A</v>
      </c>
      <c r="F16" s="24" t="str">
        <f t="shared" si="9"/>
        <v>A</v>
      </c>
      <c r="G16" s="24" t="str">
        <f t="shared" si="9"/>
        <v>A</v>
      </c>
      <c r="H16" s="24" t="e">
        <f t="shared" si="9"/>
        <v>#REF!</v>
      </c>
      <c r="I16" s="57"/>
      <c r="J16" s="24" t="str">
        <f t="shared" si="9"/>
        <v>A</v>
      </c>
      <c r="K16" s="24" t="str">
        <f t="shared" si="9"/>
        <v>A</v>
      </c>
      <c r="L16" s="24" t="str">
        <f t="shared" si="9"/>
        <v>A</v>
      </c>
      <c r="M16" s="24" t="str">
        <f t="shared" si="9"/>
        <v>A</v>
      </c>
      <c r="N16" s="24" t="str">
        <f t="shared" si="9"/>
        <v>A</v>
      </c>
      <c r="O16" s="50"/>
      <c r="P16" s="24" t="str">
        <f>IF(P15=P$30,"S",IF(P15&lt;P$30,"B",IF(P15&gt;P$30,"A")))</f>
        <v>A</v>
      </c>
      <c r="Q16" s="24" t="str">
        <f t="shared" si="9"/>
        <v>A</v>
      </c>
      <c r="R16" s="24" t="str">
        <f t="shared" si="9"/>
        <v>A</v>
      </c>
      <c r="S16" s="24" t="str">
        <f>IF(S15=S$30,"S",IF(S15&lt;S$30,"B",IF(S15&gt;S$30,"A")))</f>
        <v>A</v>
      </c>
      <c r="T16" s="24" t="e">
        <f t="shared" si="9"/>
        <v>#REF!</v>
      </c>
    </row>
    <row r="17" spans="1:20" s="73" customFormat="1" x14ac:dyDescent="0.25">
      <c r="A17" s="68"/>
      <c r="B17" s="208" t="s">
        <v>47</v>
      </c>
      <c r="C17" s="69" t="s">
        <v>54</v>
      </c>
      <c r="D17" s="70">
        <f>INCOME_STATEMENT!N46</f>
        <v>7371973842</v>
      </c>
      <c r="E17" s="70">
        <f>INCOME_STATEMENT!R46</f>
        <v>1045990311</v>
      </c>
      <c r="F17" s="70">
        <f>INCOME_STATEMENT!V46</f>
        <v>-5549465678</v>
      </c>
      <c r="G17" s="70">
        <f>INCOME_STATEMENT!Z46</f>
        <v>-1283332109</v>
      </c>
      <c r="H17" s="70">
        <f>INCOME_STATEMENT!AD46</f>
        <v>-2256476497</v>
      </c>
      <c r="I17" s="69" t="s">
        <v>57</v>
      </c>
      <c r="J17" s="68">
        <f>INCOME_STATEMENT!N46</f>
        <v>7371973842</v>
      </c>
      <c r="K17" s="68">
        <f>INCOME_STATEMENT!R46</f>
        <v>1045990311</v>
      </c>
      <c r="L17" s="68">
        <f>INCOME_STATEMENT!V46</f>
        <v>-5549465678</v>
      </c>
      <c r="M17" s="68">
        <f>INCOME_STATEMENT!Z46</f>
        <v>-1283332109</v>
      </c>
      <c r="N17" s="68">
        <f>INCOME_STATEMENT!AD46</f>
        <v>-2256476497</v>
      </c>
      <c r="O17" s="71" t="s">
        <v>59</v>
      </c>
      <c r="P17" s="68">
        <f>BALANCE_SHEET!P27</f>
        <v>114841797856</v>
      </c>
      <c r="Q17" s="68">
        <f>BALANCE_SHEET!T27</f>
        <v>120064018299</v>
      </c>
      <c r="R17" s="68">
        <f>BALANCE_SHEET!X27</f>
        <v>113947973889</v>
      </c>
      <c r="S17" s="68">
        <f>BALANCE_SHEET!AB27</f>
        <v>130623005085</v>
      </c>
      <c r="T17" s="68">
        <f>BALANCE_SHEET!AF27</f>
        <v>143913787087</v>
      </c>
    </row>
    <row r="18" spans="1:20" s="73" customFormat="1" x14ac:dyDescent="0.25">
      <c r="A18" s="68"/>
      <c r="B18" s="208"/>
      <c r="C18" s="69" t="s">
        <v>55</v>
      </c>
      <c r="D18" s="70">
        <f>BALANCE_SHEET!P23</f>
        <v>498786376745</v>
      </c>
      <c r="E18" s="70">
        <f>BALANCE_SHEET!T23</f>
        <v>497090038108</v>
      </c>
      <c r="F18" s="70">
        <f>BALANCE_SHEET!X23</f>
        <v>483037173864</v>
      </c>
      <c r="G18" s="70">
        <f>BALANCE_SHEET!AB23</f>
        <v>497354419089</v>
      </c>
      <c r="H18" s="70">
        <f>BALANCE_SHEET!AF23</f>
        <v>511887783867</v>
      </c>
      <c r="I18" s="69" t="s">
        <v>58</v>
      </c>
      <c r="J18" s="68">
        <f>INCOME_STATEMENT!N34</f>
        <v>434747101600</v>
      </c>
      <c r="K18" s="68">
        <f>INCOME_STATEMENT!R34</f>
        <v>428092732505</v>
      </c>
      <c r="L18" s="68">
        <f>INCOME_STATEMENT!V34</f>
        <v>344361345265</v>
      </c>
      <c r="M18" s="68">
        <f>INCOME_STATEMENT!Z34</f>
        <v>344678666245</v>
      </c>
      <c r="N18" s="68">
        <f>INCOME_STATEMENT!AD34</f>
        <v>300572751733</v>
      </c>
      <c r="O18" s="71" t="s">
        <v>55</v>
      </c>
      <c r="P18" s="68">
        <f>BALANCE_SHEET!P29</f>
        <v>383944578889</v>
      </c>
      <c r="Q18" s="68">
        <f>BALANCE_SHEET!T29</f>
        <v>377026019809</v>
      </c>
      <c r="R18" s="68">
        <f>BALANCE_SHEET!X29</f>
        <v>369089199975</v>
      </c>
      <c r="S18" s="68">
        <f>BALANCE_SHEET!AB29</f>
        <v>366731414004</v>
      </c>
      <c r="T18" s="68">
        <f>BALANCE_SHEET!AF29</f>
        <v>367973996780</v>
      </c>
    </row>
    <row r="19" spans="1:20" x14ac:dyDescent="0.25">
      <c r="B19" s="208"/>
      <c r="C19" s="61" t="s">
        <v>56</v>
      </c>
      <c r="D19" s="24">
        <f>D17/D18</f>
        <v>1.4779821955259325E-2</v>
      </c>
      <c r="E19" s="24">
        <f>E17/E18</f>
        <v>2.1042270631316563E-3</v>
      </c>
      <c r="F19" s="24">
        <f>F17/F18</f>
        <v>-1.1488692751341871E-2</v>
      </c>
      <c r="G19" s="24">
        <f>G17/G18</f>
        <v>-2.5803170932926843E-3</v>
      </c>
      <c r="H19" s="24">
        <f>H17/H18</f>
        <v>-4.4081468011478928E-3</v>
      </c>
      <c r="I19" s="57" t="s">
        <v>56</v>
      </c>
      <c r="J19" s="24">
        <f t="shared" ref="J19:N19" si="10">J17/J18</f>
        <v>1.6956924646234377E-2</v>
      </c>
      <c r="K19" s="24">
        <f t="shared" si="10"/>
        <v>2.4433732029958792E-3</v>
      </c>
      <c r="L19" s="24">
        <f t="shared" si="10"/>
        <v>-1.6115239861574652E-2</v>
      </c>
      <c r="M19" s="24">
        <f t="shared" si="10"/>
        <v>-3.7232710773221996E-3</v>
      </c>
      <c r="N19" s="24">
        <f t="shared" si="10"/>
        <v>-7.5072556776684708E-3</v>
      </c>
      <c r="O19" s="50" t="s">
        <v>56</v>
      </c>
      <c r="P19" s="24">
        <f t="shared" ref="P19" si="11">P17/P18</f>
        <v>0.29911035126036056</v>
      </c>
      <c r="Q19" s="24">
        <f t="shared" ref="Q19" si="12">Q17/Q18</f>
        <v>0.31845021826298353</v>
      </c>
      <c r="R19" s="24">
        <f t="shared" ref="R19" si="13">R17/R18</f>
        <v>0.30872746722667094</v>
      </c>
      <c r="S19" s="24">
        <f t="shared" ref="S19" si="14">S17/S18</f>
        <v>0.35618166346550084</v>
      </c>
      <c r="T19" s="24">
        <f t="shared" ref="T19" si="15">T17/T18</f>
        <v>0.39109770893143164</v>
      </c>
    </row>
    <row r="20" spans="1:20" x14ac:dyDescent="0.25">
      <c r="B20" s="208"/>
      <c r="C20" s="61"/>
      <c r="D20" s="24" t="str">
        <f>IF(D19=D$30,"S",IF(D19&lt;D$30,"B",IF(D19&gt;D$30,"A")))</f>
        <v>B</v>
      </c>
      <c r="E20" s="24" t="str">
        <f t="shared" ref="E20:T20" si="16">IF(E19=E$30,"S",IF(E19&lt;E$30,"B",IF(E19&gt;E$30,"A")))</f>
        <v>B</v>
      </c>
      <c r="F20" s="24" t="str">
        <f t="shared" si="16"/>
        <v>B</v>
      </c>
      <c r="G20" s="24" t="str">
        <f t="shared" si="16"/>
        <v>B</v>
      </c>
      <c r="H20" s="24" t="e">
        <f t="shared" si="16"/>
        <v>#REF!</v>
      </c>
      <c r="I20" s="57"/>
      <c r="J20" s="24" t="str">
        <f t="shared" si="16"/>
        <v>B</v>
      </c>
      <c r="K20" s="24" t="str">
        <f t="shared" si="16"/>
        <v>B</v>
      </c>
      <c r="L20" s="24" t="str">
        <f t="shared" si="16"/>
        <v>B</v>
      </c>
      <c r="M20" s="24" t="str">
        <f t="shared" si="16"/>
        <v>B</v>
      </c>
      <c r="N20" s="24" t="str">
        <f t="shared" si="16"/>
        <v>B</v>
      </c>
      <c r="O20" s="50"/>
      <c r="P20" s="24" t="str">
        <f>IF(P19=P$30,"S",IF(P19&lt;P$30,"B",IF(P19&gt;P$30,"A")))</f>
        <v>B</v>
      </c>
      <c r="Q20" s="24" t="str">
        <f t="shared" si="16"/>
        <v>B</v>
      </c>
      <c r="R20" s="24" t="str">
        <f t="shared" si="16"/>
        <v>B</v>
      </c>
      <c r="S20" s="24" t="str">
        <f t="shared" si="16"/>
        <v>B</v>
      </c>
      <c r="T20" s="24" t="e">
        <f t="shared" si="16"/>
        <v>#REF!</v>
      </c>
    </row>
    <row r="21" spans="1:20" s="73" customFormat="1" x14ac:dyDescent="0.25">
      <c r="A21" s="68"/>
      <c r="B21" s="208" t="s">
        <v>48</v>
      </c>
      <c r="C21" s="69" t="s">
        <v>54</v>
      </c>
      <c r="D21" s="70">
        <f>INCOME_STATEMENT!N73</f>
        <v>7371973842</v>
      </c>
      <c r="E21" s="70">
        <f>INCOME_STATEMENT!R73</f>
        <v>1045990311</v>
      </c>
      <c r="F21" s="70">
        <f>INCOME_STATEMENT!V73</f>
        <v>-5549465678</v>
      </c>
      <c r="G21" s="70">
        <f>INCOME_STATEMENT!Z73</f>
        <v>-1283332109</v>
      </c>
      <c r="H21" s="70">
        <f>INCOME_STATEMENT!AD73</f>
        <v>-2256476497</v>
      </c>
      <c r="I21" s="69" t="s">
        <v>57</v>
      </c>
      <c r="J21" s="68">
        <f>INCOME_STATEMENT!N73</f>
        <v>7371973842</v>
      </c>
      <c r="K21" s="68">
        <f>INCOME_STATEMENT!R73</f>
        <v>1045990311</v>
      </c>
      <c r="L21" s="68">
        <f>INCOME_STATEMENT!V73</f>
        <v>-5549465678</v>
      </c>
      <c r="M21" s="68">
        <f>INCOME_STATEMENT!Z73</f>
        <v>-1283332109</v>
      </c>
      <c r="N21" s="68">
        <f>INCOME_STATEMENT!AD73</f>
        <v>-2256476497</v>
      </c>
      <c r="O21" s="71" t="s">
        <v>59</v>
      </c>
      <c r="P21" s="68">
        <f>BALANCE_SHEET!P42</f>
        <v>165633948162</v>
      </c>
      <c r="Q21" s="68">
        <f>BALANCE_SHEET!T42</f>
        <v>214685781274</v>
      </c>
      <c r="R21" s="68">
        <f>BALANCE_SHEET!X42</f>
        <v>269032270377</v>
      </c>
      <c r="S21" s="68">
        <f>BALANCE_SHEET!AB42</f>
        <v>367927139244</v>
      </c>
      <c r="T21" s="68">
        <f>BALANCE_SHEET!AF42</f>
        <v>347517123452</v>
      </c>
    </row>
    <row r="22" spans="1:20" s="73" customFormat="1" x14ac:dyDescent="0.25">
      <c r="A22" s="68"/>
      <c r="B22" s="208"/>
      <c r="C22" s="69" t="s">
        <v>55</v>
      </c>
      <c r="D22" s="70">
        <f>BALANCE_SHEET!P38</f>
        <v>619383082066</v>
      </c>
      <c r="E22" s="70">
        <f>BALANCE_SHEET!T38</f>
        <v>648899377240</v>
      </c>
      <c r="F22" s="70">
        <f>BALANCE_SHEET!X38</f>
        <v>709959168088</v>
      </c>
      <c r="G22" s="70">
        <f>BALANCE_SHEET!AB38</f>
        <v>780669761787</v>
      </c>
      <c r="H22" s="70">
        <f>BALANCE_SHEET!AF38</f>
        <v>648016880325</v>
      </c>
      <c r="I22" s="69" t="s">
        <v>58</v>
      </c>
      <c r="J22" s="68">
        <f>INCOME_STATEMENT!N61</f>
        <v>434747101600</v>
      </c>
      <c r="K22" s="68">
        <f>INCOME_STATEMENT!R61</f>
        <v>428092732505</v>
      </c>
      <c r="L22" s="68">
        <f>INCOME_STATEMENT!V61</f>
        <v>344361345265</v>
      </c>
      <c r="M22" s="68">
        <f>INCOME_STATEMENT!Z61</f>
        <v>344678666245</v>
      </c>
      <c r="N22" s="68">
        <f>INCOME_STATEMENT!AD61</f>
        <v>300572751733</v>
      </c>
      <c r="O22" s="71" t="s">
        <v>55</v>
      </c>
      <c r="P22" s="68">
        <f>BALANCE_SHEET!P44</f>
        <v>453749133904</v>
      </c>
      <c r="Q22" s="68">
        <f>BALANCE_SHEET!T44</f>
        <v>434213595966</v>
      </c>
      <c r="R22" s="68">
        <f>BALANCE_SHEET!X44</f>
        <v>440926897711</v>
      </c>
      <c r="S22" s="68">
        <f>BALANCE_SHEET!AB44</f>
        <v>412742622543</v>
      </c>
      <c r="T22" s="68">
        <f>BALANCE_SHEET!AF44</f>
        <v>300499756873</v>
      </c>
    </row>
    <row r="23" spans="1:20" x14ac:dyDescent="0.25">
      <c r="B23" s="208"/>
      <c r="C23" s="61" t="s">
        <v>56</v>
      </c>
      <c r="D23" s="24">
        <f>D21/D22</f>
        <v>1.1902123347331692E-2</v>
      </c>
      <c r="E23" s="24">
        <f>E21/E22</f>
        <v>1.6119453149253573E-3</v>
      </c>
      <c r="F23" s="24">
        <f>F21/F22</f>
        <v>-7.8165983727561915E-3</v>
      </c>
      <c r="G23" s="24">
        <f>G21/G22</f>
        <v>-1.6438860217441696E-3</v>
      </c>
      <c r="H23" s="24">
        <f>H21/H22</f>
        <v>-3.4821261073759513E-3</v>
      </c>
      <c r="I23" s="57" t="s">
        <v>56</v>
      </c>
      <c r="J23" s="24">
        <f t="shared" ref="J23:N23" si="17">J21/J22</f>
        <v>1.6956924646234377E-2</v>
      </c>
      <c r="K23" s="24">
        <f t="shared" si="17"/>
        <v>2.4433732029958792E-3</v>
      </c>
      <c r="L23" s="24">
        <f t="shared" si="17"/>
        <v>-1.6115239861574652E-2</v>
      </c>
      <c r="M23" s="24">
        <f t="shared" si="17"/>
        <v>-3.7232710773221996E-3</v>
      </c>
      <c r="N23" s="24">
        <f t="shared" si="17"/>
        <v>-7.5072556776684708E-3</v>
      </c>
      <c r="O23" s="50" t="s">
        <v>56</v>
      </c>
      <c r="P23" s="24">
        <f t="shared" ref="P23" si="18">P21/P22</f>
        <v>0.36503419133146664</v>
      </c>
      <c r="Q23" s="24">
        <f t="shared" ref="Q23" si="19">Q21/Q22</f>
        <v>0.49442436457197075</v>
      </c>
      <c r="R23" s="24">
        <f t="shared" ref="R23" si="20">R21/R22</f>
        <v>0.61015164140277467</v>
      </c>
      <c r="S23" s="24">
        <f t="shared" ref="S23" si="21">S21/S22</f>
        <v>0.89142026810102204</v>
      </c>
      <c r="T23" s="24">
        <f t="shared" ref="T23" si="22">T21/T22</f>
        <v>1.1564639088838629</v>
      </c>
    </row>
    <row r="24" spans="1:20" x14ac:dyDescent="0.25">
      <c r="B24" s="208"/>
      <c r="C24" s="61"/>
      <c r="D24" s="24" t="str">
        <f>IF(D23=D$30,"S",IF(D23&lt;D$30,"B",IF(D23&gt;D$30,"A")))</f>
        <v>B</v>
      </c>
      <c r="E24" s="24" t="str">
        <f t="shared" ref="E24:T24" si="23">IF(E23=E$30,"S",IF(E23&lt;E$30,"B",IF(E23&gt;E$30,"A")))</f>
        <v>B</v>
      </c>
      <c r="F24" s="24" t="str">
        <f t="shared" si="23"/>
        <v>B</v>
      </c>
      <c r="G24" s="24" t="str">
        <f t="shared" si="23"/>
        <v>B</v>
      </c>
      <c r="H24" s="24" t="e">
        <f t="shared" si="23"/>
        <v>#REF!</v>
      </c>
      <c r="I24" s="57"/>
      <c r="J24" s="24" t="str">
        <f t="shared" si="23"/>
        <v>B</v>
      </c>
      <c r="K24" s="24" t="str">
        <f t="shared" si="23"/>
        <v>B</v>
      </c>
      <c r="L24" s="24" t="str">
        <f t="shared" si="23"/>
        <v>B</v>
      </c>
      <c r="M24" s="24" t="str">
        <f t="shared" si="23"/>
        <v>B</v>
      </c>
      <c r="N24" s="24" t="str">
        <f t="shared" si="23"/>
        <v>B</v>
      </c>
      <c r="O24" s="50"/>
      <c r="P24" s="24" t="str">
        <f t="shared" si="23"/>
        <v>B</v>
      </c>
      <c r="Q24" s="24" t="str">
        <f t="shared" si="23"/>
        <v>B</v>
      </c>
      <c r="R24" s="24" t="str">
        <f t="shared" si="23"/>
        <v>B</v>
      </c>
      <c r="S24" s="24" t="str">
        <f t="shared" si="23"/>
        <v>B</v>
      </c>
      <c r="T24" s="24" t="e">
        <f t="shared" si="23"/>
        <v>#REF!</v>
      </c>
    </row>
    <row r="25" spans="1:20" s="73" customFormat="1" x14ac:dyDescent="0.25">
      <c r="A25" s="68"/>
      <c r="B25" s="208" t="s">
        <v>52</v>
      </c>
      <c r="C25" s="69" t="s">
        <v>54</v>
      </c>
      <c r="D25" s="70">
        <f>INCOME_STATEMENT!N98</f>
        <v>174314394101</v>
      </c>
      <c r="E25" s="70">
        <f>INCOME_STATEMENT!R98</f>
        <v>544474278014</v>
      </c>
      <c r="F25" s="70">
        <f>INCOME_STATEMENT!V98</f>
        <v>162059596347</v>
      </c>
      <c r="G25" s="70">
        <f>INCOME_STATEMENT!Z98</f>
        <v>179126382068</v>
      </c>
      <c r="H25" s="70">
        <f>INCOME_STATEMENT!AD98</f>
        <v>173049442756</v>
      </c>
      <c r="I25" s="69" t="s">
        <v>57</v>
      </c>
      <c r="J25" s="68">
        <f>INCOME_STATEMENT!N98</f>
        <v>174314394101</v>
      </c>
      <c r="K25" s="68">
        <f>INCOME_STATEMENT!R98</f>
        <v>544474278014</v>
      </c>
      <c r="L25" s="68">
        <f>INCOME_STATEMENT!V98</f>
        <v>162059596347</v>
      </c>
      <c r="M25" s="68">
        <f>INCOME_STATEMENT!Z98</f>
        <v>179126382068</v>
      </c>
      <c r="N25" s="68">
        <f>INCOME_STATEMENT!AD98</f>
        <v>173049442756</v>
      </c>
      <c r="O25" s="71" t="s">
        <v>59</v>
      </c>
      <c r="P25" s="68">
        <f>BALANCE_SHEET!P57</f>
        <v>569730901368</v>
      </c>
      <c r="Q25" s="68">
        <f>BALANCE_SHEET!T57</f>
        <v>367225370670</v>
      </c>
      <c r="R25" s="68">
        <f>BALANCE_SHEET!X57</f>
        <v>401942530776</v>
      </c>
      <c r="S25" s="68">
        <f>BALANCE_SHEET!AB57</f>
        <v>503480853006</v>
      </c>
      <c r="T25" s="68" t="e">
        <f>BALANCE_SHEET!#REF!</f>
        <v>#REF!</v>
      </c>
    </row>
    <row r="26" spans="1:20" s="73" customFormat="1" x14ac:dyDescent="0.25">
      <c r="A26" s="68"/>
      <c r="B26" s="208"/>
      <c r="C26" s="69" t="s">
        <v>55</v>
      </c>
      <c r="D26" s="70">
        <f>BALANCE_SHEET!P53</f>
        <v>1853235343636</v>
      </c>
      <c r="E26" s="70">
        <f>BALANCE_SHEET!T53</f>
        <v>2082096848703</v>
      </c>
      <c r="F26" s="70">
        <f>BALANCE_SHEET!X53</f>
        <v>2185101038101</v>
      </c>
      <c r="G26" s="70">
        <f>BALANCE_SHEET!AB53</f>
        <v>2361807189430</v>
      </c>
      <c r="H26" s="70" t="e">
        <f>BALANCE_SHEET!#REF!</f>
        <v>#REF!</v>
      </c>
      <c r="I26" s="69" t="s">
        <v>58</v>
      </c>
      <c r="J26" s="68">
        <f>INCOME_STATEMENT!N88</f>
        <v>2308203551971</v>
      </c>
      <c r="K26" s="68">
        <f>INCOME_STATEMENT!R88</f>
        <v>2314889854074</v>
      </c>
      <c r="L26" s="68">
        <f>INCOME_STATEMENT!V88</f>
        <v>2526776164168</v>
      </c>
      <c r="M26" s="68">
        <f>INCOME_STATEMENT!Z88</f>
        <v>2706394847919</v>
      </c>
      <c r="N26" s="68">
        <f>INCOME_STATEMENT!AD88</f>
        <v>2648754344347</v>
      </c>
      <c r="O26" s="71" t="s">
        <v>55</v>
      </c>
      <c r="P26" s="68">
        <f>BALANCE_SHEET!P59</f>
        <v>1283504442268</v>
      </c>
      <c r="Q26" s="68">
        <f>BALANCE_SHEET!T59</f>
        <v>1714871478033</v>
      </c>
      <c r="R26" s="68">
        <f>BALANCE_SHEET!X59</f>
        <v>1783158507325</v>
      </c>
      <c r="S26" s="68">
        <f>BALANCE_SHEET!AB59</f>
        <v>1858326336424</v>
      </c>
      <c r="T26" s="68" t="e">
        <f>BALANCE_SHEET!#REF!</f>
        <v>#REF!</v>
      </c>
    </row>
    <row r="27" spans="1:20" x14ac:dyDescent="0.25">
      <c r="B27" s="208"/>
      <c r="C27" s="61" t="s">
        <v>56</v>
      </c>
      <c r="D27" s="24">
        <f>D25/D26</f>
        <v>9.4059502318253677E-2</v>
      </c>
      <c r="E27" s="24">
        <f>E25/E26</f>
        <v>0.26150285869419054</v>
      </c>
      <c r="F27" s="24">
        <f>F25/F26</f>
        <v>7.4165722097610964E-2</v>
      </c>
      <c r="G27" s="24">
        <f>G25/G26</f>
        <v>7.5842932001248781E-2</v>
      </c>
      <c r="H27" s="24" t="e">
        <f>H25/H26</f>
        <v>#REF!</v>
      </c>
      <c r="I27" s="57" t="s">
        <v>56</v>
      </c>
      <c r="J27" s="24">
        <f t="shared" ref="J27:N27" si="24">J25/J26</f>
        <v>7.5519506913569664E-2</v>
      </c>
      <c r="K27" s="24">
        <f t="shared" si="24"/>
        <v>0.23520526346243809</v>
      </c>
      <c r="L27" s="24">
        <f t="shared" si="24"/>
        <v>6.4136902447139363E-2</v>
      </c>
      <c r="M27" s="24">
        <f t="shared" si="24"/>
        <v>6.6186344614768161E-2</v>
      </c>
      <c r="N27" s="24">
        <f t="shared" si="24"/>
        <v>6.5332386570813555E-2</v>
      </c>
      <c r="O27" s="50" t="s">
        <v>56</v>
      </c>
      <c r="P27" s="24">
        <f t="shared" ref="P27" si="25">P25/P26</f>
        <v>0.44388697273323369</v>
      </c>
      <c r="Q27" s="24">
        <f t="shared" ref="Q27" si="26">Q25/Q26</f>
        <v>0.21414162832261727</v>
      </c>
      <c r="R27" s="24">
        <f t="shared" ref="R27" si="27">R25/R26</f>
        <v>0.22541043273767788</v>
      </c>
      <c r="S27" s="24">
        <f t="shared" ref="S27" si="28">S25/S26</f>
        <v>0.27093242082273578</v>
      </c>
      <c r="T27" s="24" t="e">
        <f t="shared" ref="T27" si="29">T25/T26</f>
        <v>#REF!</v>
      </c>
    </row>
    <row r="28" spans="1:20" x14ac:dyDescent="0.25">
      <c r="B28" s="208"/>
      <c r="C28" s="61"/>
      <c r="D28" s="24" t="str">
        <f>IF(D27=D$30,"S",IF(D27&lt;D$30,"B",IF(D27&gt;D$30,"A")))</f>
        <v>B</v>
      </c>
      <c r="E28" s="24" t="str">
        <f t="shared" ref="E28:T28" si="30">IF(E27=E$30,"S",IF(E27&lt;E$30,"B",IF(E27&gt;E$30,"A")))</f>
        <v>A</v>
      </c>
      <c r="F28" s="24" t="str">
        <f t="shared" si="30"/>
        <v>B</v>
      </c>
      <c r="G28" s="24" t="str">
        <f t="shared" si="30"/>
        <v>B</v>
      </c>
      <c r="H28" s="24" t="e">
        <f t="shared" si="30"/>
        <v>#REF!</v>
      </c>
      <c r="I28" s="57"/>
      <c r="J28" s="24" t="str">
        <f t="shared" si="30"/>
        <v>A</v>
      </c>
      <c r="K28" s="24" t="str">
        <f t="shared" si="30"/>
        <v>A</v>
      </c>
      <c r="L28" s="24" t="str">
        <f t="shared" si="30"/>
        <v>A</v>
      </c>
      <c r="M28" s="24" t="str">
        <f t="shared" si="30"/>
        <v>A</v>
      </c>
      <c r="N28" s="24" t="str">
        <f t="shared" si="30"/>
        <v>B</v>
      </c>
      <c r="O28" s="50"/>
      <c r="P28" s="24" t="str">
        <f t="shared" si="30"/>
        <v>B</v>
      </c>
      <c r="Q28" s="24" t="str">
        <f t="shared" si="30"/>
        <v>B</v>
      </c>
      <c r="R28" s="24" t="str">
        <f t="shared" si="30"/>
        <v>B</v>
      </c>
      <c r="S28" s="24" t="str">
        <f t="shared" si="30"/>
        <v>B</v>
      </c>
      <c r="T28" s="24" t="e">
        <f t="shared" si="30"/>
        <v>#REF!</v>
      </c>
    </row>
    <row r="29" spans="1:20" x14ac:dyDescent="0.25">
      <c r="B29" s="28"/>
      <c r="C29" s="61"/>
      <c r="D29" s="24"/>
      <c r="E29" s="24"/>
      <c r="F29" s="24"/>
      <c r="G29" s="24"/>
      <c r="H29" s="24"/>
      <c r="I29" s="57"/>
      <c r="J29" s="24"/>
      <c r="K29" s="24"/>
      <c r="L29" s="24"/>
      <c r="M29" s="24"/>
      <c r="N29" s="24"/>
      <c r="O29" s="50"/>
    </row>
    <row r="30" spans="1:20" x14ac:dyDescent="0.25">
      <c r="B30" s="37" t="s">
        <v>53</v>
      </c>
      <c r="C30" s="64"/>
      <c r="D30" s="38">
        <f>(D15+D19+D23+D27)/4</f>
        <v>0.13064498669872576</v>
      </c>
      <c r="E30" s="38">
        <f>(E15+E19+E23+E27)/4</f>
        <v>0.15930897679107819</v>
      </c>
      <c r="F30" s="38">
        <f>(F15+F19+F23+F27)/4</f>
        <v>0.10912279312162022</v>
      </c>
      <c r="G30" s="38">
        <f>(G15+G19+G23+G27)/4</f>
        <v>0.12247726042747398</v>
      </c>
      <c r="H30" s="38" t="e">
        <f>(H15+H19+H23+H27)/4</f>
        <v>#REF!</v>
      </c>
      <c r="I30" s="58"/>
      <c r="J30" s="38">
        <f t="shared" ref="J30:T30" si="31">(J15+J19+J23+J27)/4</f>
        <v>6.8927941550198893E-2</v>
      </c>
      <c r="K30" s="38">
        <f t="shared" si="31"/>
        <v>0.1001214030549811</v>
      </c>
      <c r="L30" s="38">
        <f t="shared" si="31"/>
        <v>4.7864723971697623E-2</v>
      </c>
      <c r="M30" s="38">
        <f t="shared" si="31"/>
        <v>5.7183708639334585E-2</v>
      </c>
      <c r="N30" s="38">
        <f t="shared" si="31"/>
        <v>6.7059093534441727E-2</v>
      </c>
      <c r="O30" s="51"/>
      <c r="P30" s="38">
        <f>(P15+P19+P23+P27)/4</f>
        <v>0.80333680679523478</v>
      </c>
      <c r="Q30" s="38">
        <f t="shared" si="31"/>
        <v>0.82137866127104742</v>
      </c>
      <c r="R30" s="38">
        <f t="shared" si="31"/>
        <v>0.92599461112106418</v>
      </c>
      <c r="S30" s="38">
        <f t="shared" si="31"/>
        <v>1.0195558138765979</v>
      </c>
      <c r="T30" s="38" t="e">
        <f t="shared" si="31"/>
        <v>#REF!</v>
      </c>
    </row>
    <row r="32" spans="1:20" x14ac:dyDescent="0.25">
      <c r="B32" s="39"/>
      <c r="C32" s="65"/>
      <c r="D32" s="40" t="str">
        <f t="shared" ref="D32:N32" si="32">IF(D5-D15=0,"","X")</f>
        <v/>
      </c>
      <c r="E32" s="40" t="str">
        <f t="shared" si="32"/>
        <v/>
      </c>
      <c r="F32" s="40" t="str">
        <f t="shared" si="32"/>
        <v/>
      </c>
      <c r="G32" s="40" t="str">
        <f t="shared" si="32"/>
        <v/>
      </c>
      <c r="H32" s="40" t="str">
        <f t="shared" si="32"/>
        <v/>
      </c>
      <c r="I32" s="59"/>
      <c r="J32" s="40" t="str">
        <f t="shared" si="32"/>
        <v/>
      </c>
      <c r="K32" s="40" t="str">
        <f t="shared" si="32"/>
        <v/>
      </c>
      <c r="L32" s="40" t="str">
        <f t="shared" si="32"/>
        <v/>
      </c>
      <c r="M32" s="40" t="str">
        <f t="shared" si="32"/>
        <v/>
      </c>
      <c r="N32" s="40" t="str">
        <f t="shared" si="32"/>
        <v/>
      </c>
      <c r="O32" s="52"/>
      <c r="P32" s="40" t="str">
        <f t="shared" ref="P32:T32" si="33">IF(P5-P15=0,"","X")</f>
        <v/>
      </c>
      <c r="Q32" s="40" t="str">
        <f t="shared" si="33"/>
        <v/>
      </c>
      <c r="R32" s="40" t="str">
        <f t="shared" si="33"/>
        <v/>
      </c>
      <c r="S32" s="40" t="str">
        <f t="shared" si="33"/>
        <v/>
      </c>
      <c r="T32" s="40" t="str">
        <f t="shared" si="33"/>
        <v/>
      </c>
    </row>
    <row r="33" spans="2:20" x14ac:dyDescent="0.25">
      <c r="B33" s="39"/>
      <c r="C33" s="65"/>
      <c r="D33" s="40" t="str">
        <f>IF(D6=D19,"","X")</f>
        <v/>
      </c>
      <c r="E33" s="40" t="str">
        <f t="shared" ref="E33:N33" si="34">IF(E6=E19,"","X")</f>
        <v/>
      </c>
      <c r="F33" s="40" t="str">
        <f t="shared" si="34"/>
        <v/>
      </c>
      <c r="G33" s="40" t="str">
        <f t="shared" si="34"/>
        <v/>
      </c>
      <c r="H33" s="40" t="str">
        <f t="shared" si="34"/>
        <v/>
      </c>
      <c r="I33" s="59"/>
      <c r="J33" s="40" t="str">
        <f t="shared" si="34"/>
        <v/>
      </c>
      <c r="K33" s="40" t="str">
        <f t="shared" si="34"/>
        <v/>
      </c>
      <c r="L33" s="40" t="str">
        <f t="shared" si="34"/>
        <v/>
      </c>
      <c r="M33" s="40" t="str">
        <f t="shared" si="34"/>
        <v/>
      </c>
      <c r="N33" s="40" t="str">
        <f t="shared" si="34"/>
        <v/>
      </c>
      <c r="O33" s="52"/>
      <c r="P33" s="40" t="str">
        <f t="shared" ref="P33:T33" si="35">IF(P6=P19,"","X")</f>
        <v/>
      </c>
      <c r="Q33" s="40" t="str">
        <f t="shared" si="35"/>
        <v/>
      </c>
      <c r="R33" s="40" t="str">
        <f t="shared" si="35"/>
        <v/>
      </c>
      <c r="S33" s="40" t="str">
        <f t="shared" si="35"/>
        <v/>
      </c>
      <c r="T33" s="40" t="str">
        <f t="shared" si="35"/>
        <v/>
      </c>
    </row>
    <row r="34" spans="2:20" x14ac:dyDescent="0.25">
      <c r="B34" s="39"/>
      <c r="C34" s="65"/>
      <c r="D34" s="40" t="str">
        <f>IF(D7=D23,"","X")</f>
        <v/>
      </c>
      <c r="E34" s="40" t="str">
        <f t="shared" ref="E34:N34" si="36">IF(E7=E23,"","X")</f>
        <v/>
      </c>
      <c r="F34" s="40" t="str">
        <f t="shared" si="36"/>
        <v/>
      </c>
      <c r="G34" s="40" t="str">
        <f t="shared" si="36"/>
        <v/>
      </c>
      <c r="H34" s="40" t="str">
        <f t="shared" si="36"/>
        <v/>
      </c>
      <c r="I34" s="59"/>
      <c r="J34" s="40" t="str">
        <f t="shared" si="36"/>
        <v/>
      </c>
      <c r="K34" s="40" t="str">
        <f t="shared" si="36"/>
        <v/>
      </c>
      <c r="L34" s="40" t="str">
        <f t="shared" si="36"/>
        <v/>
      </c>
      <c r="M34" s="40" t="str">
        <f t="shared" si="36"/>
        <v/>
      </c>
      <c r="N34" s="40" t="str">
        <f t="shared" si="36"/>
        <v/>
      </c>
      <c r="O34" s="52"/>
      <c r="P34" s="40" t="str">
        <f t="shared" ref="P34:T34" si="37">IF(P7=P23,"","X")</f>
        <v/>
      </c>
      <c r="Q34" s="40" t="str">
        <f t="shared" si="37"/>
        <v/>
      </c>
      <c r="R34" s="40" t="str">
        <f t="shared" si="37"/>
        <v/>
      </c>
      <c r="S34" s="40" t="str">
        <f t="shared" si="37"/>
        <v/>
      </c>
      <c r="T34" s="40" t="str">
        <f t="shared" si="37"/>
        <v/>
      </c>
    </row>
    <row r="35" spans="2:20" x14ac:dyDescent="0.25">
      <c r="B35" s="39"/>
      <c r="C35" s="65"/>
      <c r="D35" s="40" t="str">
        <f>IF(D8=D27,"","X")</f>
        <v/>
      </c>
      <c r="E35" s="40" t="str">
        <f t="shared" ref="E35:N35" si="38">IF(E8=E27,"","X")</f>
        <v/>
      </c>
      <c r="F35" s="40" t="str">
        <f t="shared" si="38"/>
        <v/>
      </c>
      <c r="G35" s="40" t="str">
        <f t="shared" si="38"/>
        <v/>
      </c>
      <c r="H35" s="40" t="e">
        <f t="shared" si="38"/>
        <v>#REF!</v>
      </c>
      <c r="I35" s="59"/>
      <c r="J35" s="40" t="str">
        <f t="shared" si="38"/>
        <v/>
      </c>
      <c r="K35" s="40" t="str">
        <f t="shared" si="38"/>
        <v/>
      </c>
      <c r="L35" s="40" t="str">
        <f t="shared" si="38"/>
        <v/>
      </c>
      <c r="M35" s="40" t="str">
        <f t="shared" si="38"/>
        <v/>
      </c>
      <c r="N35" s="40" t="str">
        <f t="shared" si="38"/>
        <v/>
      </c>
      <c r="O35" s="52"/>
      <c r="P35" s="40" t="str">
        <f t="shared" ref="P35:T35" si="39">IF(P8=P27,"","X")</f>
        <v/>
      </c>
      <c r="Q35" s="40" t="str">
        <f t="shared" si="39"/>
        <v/>
      </c>
      <c r="R35" s="40" t="str">
        <f t="shared" si="39"/>
        <v/>
      </c>
      <c r="S35" s="40" t="str">
        <f t="shared" si="39"/>
        <v/>
      </c>
      <c r="T35" s="40" t="e">
        <f t="shared" si="39"/>
        <v>#REF!</v>
      </c>
    </row>
  </sheetData>
  <mergeCells count="10">
    <mergeCell ref="J3:N3"/>
    <mergeCell ref="P3:T3"/>
    <mergeCell ref="D11:H11"/>
    <mergeCell ref="J11:N11"/>
    <mergeCell ref="P11:T11"/>
    <mergeCell ref="B17:B20"/>
    <mergeCell ref="B21:B24"/>
    <mergeCell ref="B25:B28"/>
    <mergeCell ref="B13:B16"/>
    <mergeCell ref="D3:H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7" sqref="I7"/>
    </sheetView>
  </sheetViews>
  <sheetFormatPr defaultColWidth="15.140625" defaultRowHeight="15" x14ac:dyDescent="0.25"/>
  <sheetData>
    <row r="1" spans="1:8" x14ac:dyDescent="0.25">
      <c r="A1" s="227" t="s">
        <v>145</v>
      </c>
      <c r="B1" s="227" t="s">
        <v>146</v>
      </c>
      <c r="C1" s="219" t="s">
        <v>147</v>
      </c>
      <c r="F1" s="219" t="s">
        <v>142</v>
      </c>
      <c r="G1" s="219" t="s">
        <v>143</v>
      </c>
      <c r="H1" s="220" t="s">
        <v>144</v>
      </c>
    </row>
    <row r="2" spans="1:8" x14ac:dyDescent="0.25">
      <c r="A2" s="228">
        <v>7151813</v>
      </c>
      <c r="B2" s="228">
        <v>4843623</v>
      </c>
      <c r="C2" s="229">
        <v>1.47654</v>
      </c>
      <c r="F2" s="221">
        <v>1162686</v>
      </c>
      <c r="G2" s="221">
        <v>11995436</v>
      </c>
      <c r="H2" s="222">
        <v>9.6930000000000002E-2</v>
      </c>
    </row>
    <row r="3" spans="1:8" x14ac:dyDescent="0.25">
      <c r="A3" s="228">
        <v>10182580</v>
      </c>
      <c r="B3" s="228">
        <v>3752158</v>
      </c>
      <c r="C3" s="229">
        <v>2.7137899999999999</v>
      </c>
      <c r="F3" s="221">
        <v>2329701</v>
      </c>
      <c r="G3" s="221">
        <v>13934738</v>
      </c>
      <c r="H3" s="222">
        <v>0.16719000000000001</v>
      </c>
    </row>
    <row r="4" spans="1:8" x14ac:dyDescent="0.25">
      <c r="A4" s="228">
        <v>7316284</v>
      </c>
      <c r="B4" s="228">
        <v>5105626</v>
      </c>
      <c r="C4" s="229">
        <v>1.4329799999999999</v>
      </c>
      <c r="F4" s="221">
        <v>3653568</v>
      </c>
      <c r="G4" s="221">
        <v>12421910</v>
      </c>
      <c r="H4" s="222">
        <v>0.29411999999999999</v>
      </c>
    </row>
    <row r="5" spans="1:8" x14ac:dyDescent="0.25">
      <c r="A5" s="228">
        <v>8016614</v>
      </c>
      <c r="B5" s="228">
        <v>3968365</v>
      </c>
      <c r="C5" s="229">
        <v>2.02013</v>
      </c>
      <c r="F5" s="221">
        <v>4839145</v>
      </c>
      <c r="G5" s="221">
        <v>11984979</v>
      </c>
      <c r="H5" s="222">
        <v>0.40377000000000002</v>
      </c>
    </row>
    <row r="6" spans="1:8" x14ac:dyDescent="0.25">
      <c r="A6" s="228">
        <v>7505909</v>
      </c>
      <c r="B6" s="228">
        <v>5400348</v>
      </c>
      <c r="C6" s="229">
        <v>1.3898900000000001</v>
      </c>
      <c r="F6" s="221">
        <v>9822451</v>
      </c>
      <c r="G6" s="221">
        <v>12906257</v>
      </c>
      <c r="H6" s="222">
        <v>0.76105999999999996</v>
      </c>
    </row>
    <row r="7" spans="1:8" x14ac:dyDescent="0.25">
      <c r="A7" s="228">
        <v>9949299</v>
      </c>
      <c r="B7" s="228">
        <v>4243835</v>
      </c>
      <c r="C7" s="229">
        <v>2.3444099999999999</v>
      </c>
      <c r="F7" s="221">
        <v>2823890</v>
      </c>
      <c r="G7" s="221">
        <v>14193134</v>
      </c>
      <c r="H7" s="222">
        <v>0.19896</v>
      </c>
    </row>
    <row r="8" spans="1:8" x14ac:dyDescent="0.25">
      <c r="A8" s="228">
        <v>7829734</v>
      </c>
      <c r="B8" s="228">
        <v>5510444</v>
      </c>
      <c r="C8" s="229">
        <v>1.42089</v>
      </c>
      <c r="F8" s="221">
        <v>4090499</v>
      </c>
      <c r="G8" s="221">
        <v>13340178</v>
      </c>
      <c r="H8" s="222">
        <v>0.30663000000000001</v>
      </c>
    </row>
    <row r="9" spans="1:8" x14ac:dyDescent="0.25">
      <c r="A9" s="228">
        <v>9093518</v>
      </c>
      <c r="B9" s="228">
        <v>4254670</v>
      </c>
      <c r="C9" s="229">
        <v>2.1373000000000002</v>
      </c>
      <c r="F9" s="221">
        <v>5352625</v>
      </c>
      <c r="G9" s="221">
        <v>13348188</v>
      </c>
      <c r="H9" s="222">
        <v>0.40100000000000002</v>
      </c>
    </row>
    <row r="10" spans="1:8" x14ac:dyDescent="0.25">
      <c r="A10" s="228">
        <v>8698529</v>
      </c>
      <c r="B10" s="228">
        <v>5615651</v>
      </c>
      <c r="C10" s="229">
        <v>1.54898</v>
      </c>
      <c r="F10" s="221">
        <v>1360981</v>
      </c>
      <c r="G10" s="221">
        <v>14314180</v>
      </c>
      <c r="H10" s="222">
        <v>9.5079999999999998E-2</v>
      </c>
    </row>
    <row r="11" spans="1:8" x14ac:dyDescent="0.25">
      <c r="A11" s="228">
        <v>11685025</v>
      </c>
      <c r="B11" s="228">
        <v>4271931</v>
      </c>
      <c r="C11" s="229">
        <v>2.7353000000000001</v>
      </c>
      <c r="F11" s="221">
        <v>2847991</v>
      </c>
      <c r="G11" s="221">
        <v>15956956</v>
      </c>
      <c r="H11" s="222">
        <v>0.17848</v>
      </c>
    </row>
    <row r="12" spans="1:8" x14ac:dyDescent="0.25">
      <c r="A12" s="228">
        <v>9697242</v>
      </c>
      <c r="B12" s="228">
        <v>5472869</v>
      </c>
      <c r="C12" s="229">
        <v>1.7718799999999999</v>
      </c>
      <c r="F12" s="221">
        <v>4048929</v>
      </c>
      <c r="G12" s="221">
        <v>15170111</v>
      </c>
      <c r="H12" s="222">
        <v>0.26690000000000003</v>
      </c>
    </row>
    <row r="13" spans="1:8" x14ac:dyDescent="0.25">
      <c r="A13" s="228">
        <v>9681888</v>
      </c>
      <c r="B13" s="228">
        <v>4598782</v>
      </c>
      <c r="C13" s="229">
        <v>2.1053199999999999</v>
      </c>
      <c r="F13" s="221">
        <v>5738523</v>
      </c>
      <c r="G13" s="221">
        <v>14280670</v>
      </c>
      <c r="H13" s="222">
        <v>0.40183999999999997</v>
      </c>
    </row>
    <row r="14" spans="1:8" x14ac:dyDescent="0.25">
      <c r="A14" s="228">
        <v>8434341</v>
      </c>
      <c r="B14" s="228">
        <v>6338213</v>
      </c>
      <c r="C14" s="229">
        <v>1.3307100000000001</v>
      </c>
      <c r="F14" s="221">
        <v>1591699</v>
      </c>
      <c r="G14" s="221">
        <v>14772554</v>
      </c>
      <c r="H14" s="222">
        <v>0.10775</v>
      </c>
    </row>
    <row r="15" spans="1:8" x14ac:dyDescent="0.25">
      <c r="A15" s="228">
        <v>11983104</v>
      </c>
      <c r="B15" s="228">
        <v>4503074</v>
      </c>
      <c r="C15" s="229">
        <v>2.6610900000000002</v>
      </c>
      <c r="F15" s="221">
        <v>2930640</v>
      </c>
      <c r="G15" s="221">
        <v>16486178</v>
      </c>
      <c r="H15" s="222">
        <v>0.17776</v>
      </c>
    </row>
    <row r="16" spans="1:8" x14ac:dyDescent="0.25">
      <c r="A16" s="228">
        <v>10229164</v>
      </c>
      <c r="B16" s="228">
        <v>5755607</v>
      </c>
      <c r="C16" s="229">
        <v>1.77725</v>
      </c>
      <c r="F16" s="221">
        <v>4183173</v>
      </c>
      <c r="G16" s="221">
        <v>15984771</v>
      </c>
      <c r="H16" s="222">
        <v>0.26169999999999999</v>
      </c>
    </row>
    <row r="17" spans="1:8" x14ac:dyDescent="0.25">
      <c r="A17" s="228">
        <v>10902585</v>
      </c>
      <c r="B17" s="228">
        <v>4827360</v>
      </c>
      <c r="C17" s="229">
        <v>2.2585000000000002</v>
      </c>
      <c r="F17" s="221">
        <v>5851805</v>
      </c>
      <c r="G17" s="221">
        <v>15729945</v>
      </c>
      <c r="H17" s="222">
        <v>0.37202000000000002</v>
      </c>
    </row>
    <row r="18" spans="1:8" x14ac:dyDescent="0.25">
      <c r="A18" s="228">
        <v>10255900</v>
      </c>
      <c r="B18" s="228">
        <v>6397400</v>
      </c>
      <c r="C18" s="229">
        <v>1.60314</v>
      </c>
      <c r="F18" s="221">
        <v>1570040</v>
      </c>
      <c r="G18" s="221">
        <v>16653300</v>
      </c>
      <c r="H18" s="222">
        <v>9.4280000000000003E-2</v>
      </c>
    </row>
    <row r="19" spans="1:8" x14ac:dyDescent="0.25">
      <c r="A19" s="228">
        <v>14029689</v>
      </c>
      <c r="B19" s="228">
        <v>4890447</v>
      </c>
      <c r="C19" s="229">
        <v>2.8687900000000002</v>
      </c>
      <c r="F19" s="221">
        <v>3298307</v>
      </c>
      <c r="G19" s="221">
        <v>18920136</v>
      </c>
      <c r="H19" s="222">
        <v>0.17433000000000001</v>
      </c>
    </row>
    <row r="20" spans="1:8" x14ac:dyDescent="0.25">
      <c r="A20" s="228">
        <v>10405882</v>
      </c>
      <c r="B20" s="228">
        <v>6342791</v>
      </c>
      <c r="C20" s="229">
        <v>1.6405799999999999</v>
      </c>
      <c r="F20" s="221">
        <v>4750551</v>
      </c>
      <c r="G20" s="221">
        <v>16748673</v>
      </c>
      <c r="H20" s="222">
        <v>0.28364</v>
      </c>
    </row>
    <row r="21" spans="1:8" x14ac:dyDescent="0.25">
      <c r="A21" s="228">
        <v>12041437</v>
      </c>
      <c r="B21" s="228">
        <v>4704258</v>
      </c>
      <c r="C21" s="229">
        <v>2.5596899999999998</v>
      </c>
      <c r="F21" s="221">
        <v>6390672</v>
      </c>
      <c r="G21" s="221">
        <v>16745695</v>
      </c>
      <c r="H21" s="222">
        <v>0.38163000000000002</v>
      </c>
    </row>
    <row r="22" spans="1:8" x14ac:dyDescent="0.25">
      <c r="A22" s="228">
        <v>11921305</v>
      </c>
      <c r="B22" s="228">
        <v>6665099</v>
      </c>
      <c r="C22" s="229">
        <v>1.7886200000000001</v>
      </c>
      <c r="F22" s="221">
        <v>1960841</v>
      </c>
      <c r="G22" s="221">
        <v>18586404</v>
      </c>
      <c r="H22" s="222">
        <v>0.1055</v>
      </c>
    </row>
    <row r="23" spans="1:8" x14ac:dyDescent="0.25">
      <c r="A23" s="228">
        <v>14380273</v>
      </c>
      <c r="B23" s="228">
        <v>4906114</v>
      </c>
      <c r="C23" s="229">
        <v>2.9310900000000002</v>
      </c>
      <c r="F23" s="221">
        <v>3623958</v>
      </c>
      <c r="G23" s="221">
        <v>19286387</v>
      </c>
      <c r="H23" s="222">
        <v>0.18790000000000001</v>
      </c>
    </row>
    <row r="24" spans="1:8" x14ac:dyDescent="0.25">
      <c r="A24" s="228">
        <v>12391366</v>
      </c>
      <c r="B24" s="228">
        <v>6423858</v>
      </c>
      <c r="C24" s="229">
        <v>1.92896</v>
      </c>
      <c r="F24" s="221">
        <v>5229400</v>
      </c>
      <c r="G24" s="221">
        <v>18815224</v>
      </c>
      <c r="H24" s="222">
        <v>0.27793000000000001</v>
      </c>
    </row>
    <row r="25" spans="1:8" x14ac:dyDescent="0.25">
      <c r="A25" s="228">
        <v>12041437</v>
      </c>
      <c r="B25" s="228">
        <v>4704258</v>
      </c>
      <c r="C25" s="229">
        <v>2.5596899999999998</v>
      </c>
      <c r="F25" s="221">
        <v>7004562</v>
      </c>
      <c r="G25" s="221">
        <v>16745695</v>
      </c>
      <c r="H25" s="222">
        <v>0.41829</v>
      </c>
    </row>
    <row r="26" spans="1:8" x14ac:dyDescent="0.25">
      <c r="A26" s="228">
        <v>13229294</v>
      </c>
      <c r="B26" s="228">
        <v>7012519</v>
      </c>
      <c r="C26" s="229">
        <v>1.88653</v>
      </c>
      <c r="F26" s="221">
        <v>1839131</v>
      </c>
      <c r="G26" s="221">
        <v>20241813</v>
      </c>
      <c r="H26" s="222">
        <v>9.0859999999999996E-2</v>
      </c>
    </row>
    <row r="27" spans="1:8" x14ac:dyDescent="0.25">
      <c r="A27" s="228">
        <v>15514356</v>
      </c>
      <c r="B27" s="228">
        <v>5011769</v>
      </c>
      <c r="C27" s="229">
        <v>3.09558</v>
      </c>
      <c r="F27" s="221">
        <v>3529869</v>
      </c>
      <c r="G27" s="221">
        <v>20526125</v>
      </c>
      <c r="H27" s="222">
        <v>0.17197000000000001</v>
      </c>
    </row>
    <row r="28" spans="1:8" x14ac:dyDescent="0.25">
      <c r="A28" s="228">
        <v>11027987</v>
      </c>
      <c r="B28" s="228">
        <v>8970149</v>
      </c>
      <c r="C28" s="229">
        <v>1.2294099999999999</v>
      </c>
      <c r="F28" s="221">
        <v>7303493</v>
      </c>
      <c r="G28" s="221">
        <v>19998136</v>
      </c>
      <c r="H28" s="222">
        <v>0.36520999999999998</v>
      </c>
    </row>
    <row r="29" spans="1:8" x14ac:dyDescent="0.25">
      <c r="A29" s="228">
        <v>13733025</v>
      </c>
      <c r="B29" s="228">
        <v>5173388</v>
      </c>
      <c r="C29" s="229">
        <v>2.65455</v>
      </c>
      <c r="F29" s="221">
        <v>9109445</v>
      </c>
      <c r="G29" s="221">
        <v>18906413</v>
      </c>
      <c r="H29" s="222">
        <v>0.48182000000000003</v>
      </c>
    </row>
    <row r="30" spans="1:8" x14ac:dyDescent="0.25">
      <c r="A30" s="228">
        <v>16752108</v>
      </c>
      <c r="B30" s="228">
        <v>5075213</v>
      </c>
      <c r="C30" s="229">
        <v>3.30077</v>
      </c>
      <c r="F30" s="221">
        <v>1748520</v>
      </c>
      <c r="G30" s="221">
        <v>21827321</v>
      </c>
      <c r="H30" s="222">
        <v>8.0110000000000001E-2</v>
      </c>
    </row>
    <row r="31" spans="1:8" x14ac:dyDescent="0.25">
      <c r="A31" s="228">
        <v>12977603</v>
      </c>
      <c r="B31" s="228">
        <v>9062375</v>
      </c>
      <c r="C31" s="229">
        <v>1.4320299999999999</v>
      </c>
      <c r="F31" s="221">
        <v>3697232</v>
      </c>
      <c r="G31" s="221">
        <v>22039978</v>
      </c>
      <c r="H31" s="222">
        <v>0.16775000000000001</v>
      </c>
    </row>
    <row r="32" spans="1:8" x14ac:dyDescent="0.25">
      <c r="A32" s="228">
        <v>13926354</v>
      </c>
      <c r="B32" s="228">
        <v>6887584</v>
      </c>
      <c r="C32" s="229">
        <v>2.0219499999999999</v>
      </c>
      <c r="F32" s="221">
        <v>5509603</v>
      </c>
      <c r="G32" s="221">
        <v>20813938</v>
      </c>
      <c r="H32" s="222">
        <v>0.26471</v>
      </c>
    </row>
    <row r="33" spans="1:8" x14ac:dyDescent="0.25">
      <c r="A33" s="228">
        <v>15367509</v>
      </c>
      <c r="B33" s="228">
        <v>5281862</v>
      </c>
      <c r="C33" s="229">
        <v>2.9094899999999999</v>
      </c>
      <c r="F33" s="221">
        <v>7392837</v>
      </c>
      <c r="G33" s="221">
        <v>20649371</v>
      </c>
      <c r="H33" s="222">
        <v>0.35802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LK_2015_2019</vt:lpstr>
      <vt:lpstr>BALANCE_SHEET</vt:lpstr>
      <vt:lpstr>INCOME_STATEMENT</vt:lpstr>
      <vt:lpstr>RASIO</vt:lpstr>
      <vt:lpstr>TRANSFORMING</vt:lpstr>
      <vt:lpstr>DER_ROA</vt:lpstr>
      <vt:lpstr>DATA_READY</vt:lpstr>
      <vt:lpstr>ANALISA_RASIO</vt:lpstr>
      <vt:lpstr>Sheet2</vt:lpstr>
      <vt:lpstr>Transformasi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2020-09-17T14:01:08Z</dcterms:modified>
</cp:coreProperties>
</file>