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houj\OneDrive\Dokumen\KiCAD\AniSignage v2\"/>
    </mc:Choice>
  </mc:AlternateContent>
  <xr:revisionPtr revIDLastSave="0" documentId="13_ncr:1_{74C80194-2392-4245-AD5B-B3FE58E5464F}" xr6:coauthVersionLast="47" xr6:coauthVersionMax="47" xr10:uidLastSave="{00000000-0000-0000-0000-000000000000}"/>
  <bookViews>
    <workbookView xWindow="-110" yWindow="-110" windowWidth="27580" windowHeight="17860" activeTab="2" xr2:uid="{00000000-000D-0000-FFFF-FFFF00000000}"/>
  </bookViews>
  <sheets>
    <sheet name="WS2815" sheetId="1" r:id="rId1"/>
    <sheet name="MP2307" sheetId="2" r:id="rId2"/>
    <sheet name="5V Vre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33" i="3"/>
  <c r="F30" i="3"/>
  <c r="R48" i="3"/>
  <c r="V49" i="3"/>
  <c r="V48" i="3"/>
  <c r="R40" i="3"/>
  <c r="R49" i="3"/>
  <c r="V46" i="3"/>
  <c r="V45" i="3"/>
  <c r="V42" i="3"/>
  <c r="V41" i="3"/>
  <c r="V38" i="3"/>
  <c r="V43" i="3" s="1"/>
  <c r="R42" i="3"/>
  <c r="R41" i="3"/>
  <c r="R38" i="3"/>
  <c r="R43" i="3" s="1"/>
  <c r="R45" i="3"/>
  <c r="R46" i="3"/>
  <c r="J31" i="3"/>
  <c r="N29" i="3"/>
  <c r="J27" i="3"/>
  <c r="B32" i="3"/>
  <c r="C8" i="2"/>
  <c r="L14" i="1"/>
  <c r="L13" i="1"/>
  <c r="L10" i="1"/>
  <c r="L9" i="1"/>
  <c r="H14" i="1"/>
  <c r="H9" i="1"/>
  <c r="E6" i="1"/>
  <c r="E13" i="1" s="1"/>
  <c r="H13" i="1" s="1"/>
  <c r="B6" i="1"/>
  <c r="B13" i="1" s="1"/>
  <c r="V40" i="3" l="1"/>
  <c r="E15" i="1"/>
  <c r="B15" i="1"/>
  <c r="E10" i="1"/>
  <c r="B10" i="1"/>
  <c r="B11" i="1" s="1"/>
  <c r="E11" i="1" l="1"/>
  <c r="H10" i="1"/>
</calcChain>
</file>

<file path=xl/sharedStrings.xml><?xml version="1.0" encoding="utf-8"?>
<sst xmlns="http://schemas.openxmlformats.org/spreadsheetml/2006/main" count="160" uniqueCount="71">
  <si>
    <t>WS2815</t>
  </si>
  <si>
    <t>f</t>
  </si>
  <si>
    <t>kHz</t>
  </si>
  <si>
    <t>us</t>
  </si>
  <si>
    <t>T</t>
  </si>
  <si>
    <t>T0H</t>
  </si>
  <si>
    <t>T0L</t>
  </si>
  <si>
    <t>T1H</t>
  </si>
  <si>
    <t>T1L</t>
  </si>
  <si>
    <t>ns</t>
  </si>
  <si>
    <t>T0</t>
  </si>
  <si>
    <t>T1</t>
  </si>
  <si>
    <t>min</t>
  </si>
  <si>
    <t>max</t>
  </si>
  <si>
    <t>Good</t>
  </si>
  <si>
    <t>center</t>
  </si>
  <si>
    <t>Vfb</t>
  </si>
  <si>
    <t>VLED</t>
  </si>
  <si>
    <t>R48</t>
  </si>
  <si>
    <t>RV1</t>
  </si>
  <si>
    <t>k</t>
  </si>
  <si>
    <t>Vreg 12V feedback</t>
  </si>
  <si>
    <t>Vreg 5V feedback</t>
  </si>
  <si>
    <t>5V</t>
  </si>
  <si>
    <t>Inductor values</t>
  </si>
  <si>
    <t>Vin</t>
  </si>
  <si>
    <t>V</t>
  </si>
  <si>
    <t>A</t>
  </si>
  <si>
    <t>dIL</t>
  </si>
  <si>
    <t>fs</t>
  </si>
  <si>
    <t>uH</t>
  </si>
  <si>
    <t>R5</t>
  </si>
  <si>
    <t>R6</t>
  </si>
  <si>
    <t>L1</t>
  </si>
  <si>
    <t>L1-peak</t>
  </si>
  <si>
    <t>I Load</t>
  </si>
  <si>
    <t>L1 sel</t>
  </si>
  <si>
    <t>Input Caps</t>
  </si>
  <si>
    <t>IC2</t>
  </si>
  <si>
    <t>C2</t>
  </si>
  <si>
    <t>dVin</t>
  </si>
  <si>
    <t>mV</t>
  </si>
  <si>
    <t>Output Caps</t>
  </si>
  <si>
    <t>C7 + C8</t>
  </si>
  <si>
    <t>uF</t>
  </si>
  <si>
    <t>dVout</t>
  </si>
  <si>
    <t>C4</t>
  </si>
  <si>
    <t>R3</t>
  </si>
  <si>
    <t>nF</t>
  </si>
  <si>
    <t>fc max</t>
  </si>
  <si>
    <t>Gea</t>
  </si>
  <si>
    <t>Rload</t>
  </si>
  <si>
    <t>R</t>
  </si>
  <si>
    <t>fp1</t>
  </si>
  <si>
    <t>fp2</t>
  </si>
  <si>
    <t>fz1</t>
  </si>
  <si>
    <t>Avdc</t>
  </si>
  <si>
    <t>Original compensation</t>
  </si>
  <si>
    <t>fc</t>
  </si>
  <si>
    <t>V/V</t>
  </si>
  <si>
    <t>V Load</t>
  </si>
  <si>
    <t>Gcs</t>
  </si>
  <si>
    <t>V/A</t>
  </si>
  <si>
    <t>uA/V</t>
  </si>
  <si>
    <t>Aea</t>
  </si>
  <si>
    <t>Hz</t>
  </si>
  <si>
    <t>Selected compensation</t>
  </si>
  <si>
    <t>R3 min</t>
  </si>
  <si>
    <t>R3 max</t>
  </si>
  <si>
    <t>%</t>
  </si>
  <si>
    <t>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</si>
</sst>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6</xdr:col>
      <xdr:colOff>433898</xdr:colOff>
      <xdr:row>21</xdr:row>
      <xdr:rowOff>175748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938721-9ED8-4128-8548-B50E5D9C9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4150"/>
          <a:ext cx="1653098" cy="38587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1</xdr:rowOff>
    </xdr:from>
    <xdr:to>
      <xdr:col>19</xdr:col>
      <xdr:colOff>168207</xdr:colOff>
      <xdr:row>23</xdr:row>
      <xdr:rowOff>88901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8C7C26-5243-1FA6-3D55-82C5B1CAC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84151"/>
          <a:ext cx="3216207" cy="4140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603251</xdr:colOff>
      <xdr:row>23</xdr:row>
      <xdr:rowOff>18508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547B5-085D-5349-F981-DF268A63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454900" cy="4253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5"/>
  <sheetViews>
    <sheetView workbookViewId="0">
      <selection activeCell="A19" sqref="A19"/>
    </sheetView>
  </sheetViews>
  <sheetFormatPr defaultRowHeight="14.5" x14ac:dyDescent="0.35"/>
  <sheetData>
    <row r="3" spans="1:12" x14ac:dyDescent="0.35">
      <c r="A3" t="s">
        <v>0</v>
      </c>
    </row>
    <row r="5" spans="1:12" x14ac:dyDescent="0.35">
      <c r="A5" t="s">
        <v>1</v>
      </c>
      <c r="B5">
        <v>400</v>
      </c>
      <c r="C5" t="s">
        <v>2</v>
      </c>
      <c r="E5">
        <v>800</v>
      </c>
      <c r="F5" t="s">
        <v>2</v>
      </c>
    </row>
    <row r="6" spans="1:12" x14ac:dyDescent="0.35">
      <c r="A6" t="s">
        <v>4</v>
      </c>
      <c r="B6">
        <f>1000/B5</f>
        <v>2.5</v>
      </c>
      <c r="C6" t="s">
        <v>3</v>
      </c>
      <c r="E6">
        <f>1000/E5</f>
        <v>1.25</v>
      </c>
      <c r="F6" t="s">
        <v>3</v>
      </c>
    </row>
    <row r="8" spans="1:12" x14ac:dyDescent="0.35">
      <c r="H8" t="s">
        <v>14</v>
      </c>
      <c r="I8" t="s">
        <v>12</v>
      </c>
      <c r="J8" t="s">
        <v>13</v>
      </c>
      <c r="L8" t="s">
        <v>15</v>
      </c>
    </row>
    <row r="9" spans="1:12" x14ac:dyDescent="0.35">
      <c r="A9" t="s">
        <v>5</v>
      </c>
      <c r="B9" s="1">
        <v>300</v>
      </c>
      <c r="C9" t="s">
        <v>9</v>
      </c>
      <c r="E9" s="1">
        <v>300</v>
      </c>
      <c r="F9" t="s">
        <v>9</v>
      </c>
      <c r="H9" t="b">
        <f>AND($E9&gt;$I9,$E9&lt;$J9)</f>
        <v>1</v>
      </c>
      <c r="I9">
        <v>220</v>
      </c>
      <c r="J9">
        <v>380</v>
      </c>
      <c r="K9" t="s">
        <v>9</v>
      </c>
      <c r="L9">
        <f>AVERAGE(I9:J9)</f>
        <v>300</v>
      </c>
    </row>
    <row r="10" spans="1:12" x14ac:dyDescent="0.35">
      <c r="A10" t="s">
        <v>6</v>
      </c>
      <c r="B10">
        <f>(B$6*1000)-B9</f>
        <v>2200</v>
      </c>
      <c r="C10" t="s">
        <v>9</v>
      </c>
      <c r="E10">
        <f>(E$6*1000)-E9</f>
        <v>950</v>
      </c>
      <c r="F10" t="s">
        <v>9</v>
      </c>
      <c r="H10" t="b">
        <f>AND($E10&gt;$I10,$E10&lt;$J10)</f>
        <v>1</v>
      </c>
      <c r="I10">
        <v>580</v>
      </c>
      <c r="J10">
        <v>1600</v>
      </c>
      <c r="K10" t="s">
        <v>9</v>
      </c>
      <c r="L10">
        <f>AVERAGE(I10:J10)</f>
        <v>1090</v>
      </c>
    </row>
    <row r="11" spans="1:12" x14ac:dyDescent="0.35">
      <c r="A11" t="s">
        <v>10</v>
      </c>
      <c r="B11">
        <f>B10+B9</f>
        <v>2500</v>
      </c>
      <c r="C11" t="s">
        <v>9</v>
      </c>
      <c r="E11">
        <f>E10+E9</f>
        <v>1250</v>
      </c>
      <c r="F11" t="s">
        <v>9</v>
      </c>
    </row>
    <row r="13" spans="1:12" x14ac:dyDescent="0.35">
      <c r="A13" t="s">
        <v>7</v>
      </c>
      <c r="B13">
        <f>B6*1000-B14</f>
        <v>2150</v>
      </c>
      <c r="C13" t="s">
        <v>9</v>
      </c>
      <c r="E13">
        <f>E6*1000-E14</f>
        <v>900</v>
      </c>
      <c r="F13" t="s">
        <v>9</v>
      </c>
      <c r="H13" t="b">
        <f>AND($E13&gt;$I13,$E13&lt;$J13)</f>
        <v>1</v>
      </c>
      <c r="I13">
        <v>580</v>
      </c>
      <c r="J13">
        <v>1600</v>
      </c>
      <c r="K13" t="s">
        <v>9</v>
      </c>
      <c r="L13">
        <f>AVERAGE(I13:J13)</f>
        <v>1090</v>
      </c>
    </row>
    <row r="14" spans="1:12" x14ac:dyDescent="0.35">
      <c r="A14" t="s">
        <v>8</v>
      </c>
      <c r="B14" s="1">
        <v>350</v>
      </c>
      <c r="C14" t="s">
        <v>9</v>
      </c>
      <c r="E14" s="1">
        <v>350</v>
      </c>
      <c r="F14" t="s">
        <v>9</v>
      </c>
      <c r="H14" t="b">
        <f>AND($E14&gt;$I14,$E14&lt;$J14)</f>
        <v>1</v>
      </c>
      <c r="I14">
        <v>220</v>
      </c>
      <c r="J14">
        <v>420</v>
      </c>
      <c r="K14" t="s">
        <v>9</v>
      </c>
      <c r="L14">
        <f>AVERAGE(I14:J14)</f>
        <v>320</v>
      </c>
    </row>
    <row r="15" spans="1:12" x14ac:dyDescent="0.35">
      <c r="A15" t="s">
        <v>11</v>
      </c>
      <c r="B15">
        <f>B14+B13</f>
        <v>2500</v>
      </c>
      <c r="C15" t="s">
        <v>9</v>
      </c>
      <c r="E15">
        <f>E14+E13</f>
        <v>1250</v>
      </c>
      <c r="F1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9768-2E0A-4B7A-A7B2-0D6860209F9B}">
  <dimension ref="B2:D8"/>
  <sheetViews>
    <sheetView workbookViewId="0">
      <selection activeCell="L2" sqref="L2:N20"/>
    </sheetView>
  </sheetViews>
  <sheetFormatPr defaultRowHeight="14.5" x14ac:dyDescent="0.35"/>
  <sheetData>
    <row r="2" spans="2:4" x14ac:dyDescent="0.35">
      <c r="B2" t="s">
        <v>21</v>
      </c>
    </row>
    <row r="4" spans="2:4" x14ac:dyDescent="0.35">
      <c r="B4" t="s">
        <v>16</v>
      </c>
      <c r="C4">
        <v>0.92500000000000004</v>
      </c>
      <c r="D4" t="s">
        <v>26</v>
      </c>
    </row>
    <row r="5" spans="2:4" x14ac:dyDescent="0.35">
      <c r="B5" t="s">
        <v>17</v>
      </c>
      <c r="C5">
        <v>12.6</v>
      </c>
      <c r="D5" t="s">
        <v>26</v>
      </c>
    </row>
    <row r="7" spans="2:4" x14ac:dyDescent="0.35">
      <c r="B7" t="s">
        <v>18</v>
      </c>
      <c r="C7">
        <v>10</v>
      </c>
      <c r="D7" t="s">
        <v>20</v>
      </c>
    </row>
    <row r="8" spans="2:4" x14ac:dyDescent="0.35">
      <c r="B8" t="s">
        <v>19</v>
      </c>
      <c r="C8">
        <f>(C5-C4)/(C4/C7)</f>
        <v>126.21621621621621</v>
      </c>
      <c r="D8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EE7A-7C6A-46E0-84AB-145C05D63EB6}">
  <dimension ref="A25:W49"/>
  <sheetViews>
    <sheetView tabSelected="1" topLeftCell="A7" workbookViewId="0">
      <selection activeCell="T41" sqref="T41"/>
    </sheetView>
  </sheetViews>
  <sheetFormatPr defaultRowHeight="14.5" x14ac:dyDescent="0.35"/>
  <cols>
    <col min="10" max="10" width="10.81640625" bestFit="1" customWidth="1"/>
    <col min="14" max="14" width="11.81640625" bestFit="1" customWidth="1"/>
  </cols>
  <sheetData>
    <row r="25" spans="1:23" x14ac:dyDescent="0.35">
      <c r="A25" t="s">
        <v>22</v>
      </c>
      <c r="E25" t="s">
        <v>24</v>
      </c>
      <c r="I25" t="s">
        <v>37</v>
      </c>
      <c r="M25" t="s">
        <v>42</v>
      </c>
      <c r="Q25" t="s">
        <v>57</v>
      </c>
      <c r="U25" t="s">
        <v>66</v>
      </c>
    </row>
    <row r="27" spans="1:23" x14ac:dyDescent="0.35">
      <c r="A27" t="s">
        <v>16</v>
      </c>
      <c r="B27">
        <v>0.92500000000000004</v>
      </c>
      <c r="C27" t="s">
        <v>26</v>
      </c>
      <c r="E27" t="s">
        <v>25</v>
      </c>
      <c r="F27" s="1">
        <v>12</v>
      </c>
      <c r="G27" t="s">
        <v>26</v>
      </c>
      <c r="I27" t="s">
        <v>38</v>
      </c>
      <c r="J27">
        <f>F28*SQRT((B28/F27)*(1-(B28/F27)))</f>
        <v>0.49434299833212969</v>
      </c>
      <c r="K27" t="s">
        <v>27</v>
      </c>
      <c r="M27" t="s">
        <v>43</v>
      </c>
      <c r="N27" s="1">
        <v>44</v>
      </c>
      <c r="O27" t="s">
        <v>44</v>
      </c>
      <c r="Q27" t="s">
        <v>50</v>
      </c>
      <c r="R27">
        <v>820</v>
      </c>
      <c r="S27" t="s">
        <v>63</v>
      </c>
      <c r="U27" t="s">
        <v>50</v>
      </c>
      <c r="V27">
        <v>820</v>
      </c>
      <c r="W27" t="s">
        <v>63</v>
      </c>
    </row>
    <row r="28" spans="1:23" x14ac:dyDescent="0.35">
      <c r="A28" t="s">
        <v>23</v>
      </c>
      <c r="B28" s="1">
        <v>5.0999999999999996</v>
      </c>
      <c r="C28" t="s">
        <v>26</v>
      </c>
      <c r="E28" t="s">
        <v>35</v>
      </c>
      <c r="F28" s="1">
        <v>1</v>
      </c>
      <c r="G28" t="s">
        <v>27</v>
      </c>
      <c r="Q28" t="s">
        <v>64</v>
      </c>
      <c r="R28">
        <v>400</v>
      </c>
      <c r="S28" t="s">
        <v>59</v>
      </c>
      <c r="U28" t="s">
        <v>64</v>
      </c>
      <c r="V28">
        <v>400</v>
      </c>
      <c r="W28" t="s">
        <v>59</v>
      </c>
    </row>
    <row r="29" spans="1:23" x14ac:dyDescent="0.35">
      <c r="E29" t="s">
        <v>70</v>
      </c>
      <c r="F29">
        <v>40</v>
      </c>
      <c r="G29" t="s">
        <v>69</v>
      </c>
      <c r="I29" t="s">
        <v>39</v>
      </c>
      <c r="J29" s="1">
        <v>10</v>
      </c>
      <c r="K29" t="s">
        <v>44</v>
      </c>
      <c r="M29" t="s">
        <v>45</v>
      </c>
      <c r="N29">
        <f>(B28/(8*F31^2*F35*N27*0.000001))*(1-(B28/F27))*1000</f>
        <v>3.275780870199319</v>
      </c>
      <c r="O29" t="s">
        <v>41</v>
      </c>
      <c r="Q29" t="s">
        <v>61</v>
      </c>
      <c r="R29">
        <v>5.2</v>
      </c>
      <c r="S29" t="s">
        <v>62</v>
      </c>
      <c r="U29" t="s">
        <v>61</v>
      </c>
      <c r="V29">
        <v>5.2</v>
      </c>
      <c r="W29" t="s">
        <v>62</v>
      </c>
    </row>
    <row r="30" spans="1:23" x14ac:dyDescent="0.35">
      <c r="A30" t="s">
        <v>31</v>
      </c>
      <c r="B30" s="1">
        <v>10</v>
      </c>
      <c r="C30" t="s">
        <v>20</v>
      </c>
      <c r="E30" t="s">
        <v>28</v>
      </c>
      <c r="F30">
        <f>F29/100*F28</f>
        <v>0.4</v>
      </c>
      <c r="G30" t="s">
        <v>27</v>
      </c>
      <c r="Q30" t="s">
        <v>16</v>
      </c>
      <c r="R30">
        <v>0.92500000000000004</v>
      </c>
      <c r="S30" t="s">
        <v>26</v>
      </c>
      <c r="U30" t="s">
        <v>16</v>
      </c>
      <c r="V30">
        <v>0.92500000000000004</v>
      </c>
      <c r="W30" t="s">
        <v>26</v>
      </c>
    </row>
    <row r="31" spans="1:23" x14ac:dyDescent="0.35">
      <c r="A31" t="s">
        <v>32</v>
      </c>
      <c r="B31" s="1">
        <v>10</v>
      </c>
      <c r="C31" t="s">
        <v>20</v>
      </c>
      <c r="E31" t="s">
        <v>29</v>
      </c>
      <c r="F31">
        <v>340</v>
      </c>
      <c r="G31" t="s">
        <v>2</v>
      </c>
      <c r="I31" t="s">
        <v>40</v>
      </c>
      <c r="J31">
        <f>(F28/(J29*F31*0.001))*(B28/F27)*(1-(B28/F27))*1000</f>
        <v>71.875</v>
      </c>
      <c r="K31" t="s">
        <v>41</v>
      </c>
      <c r="Q31" t="s">
        <v>29</v>
      </c>
      <c r="R31">
        <v>340</v>
      </c>
      <c r="S31" t="s">
        <v>2</v>
      </c>
      <c r="U31" t="s">
        <v>29</v>
      </c>
      <c r="V31">
        <v>340</v>
      </c>
      <c r="W31" t="s">
        <v>2</v>
      </c>
    </row>
    <row r="32" spans="1:23" x14ac:dyDescent="0.35">
      <c r="A32" t="s">
        <v>19</v>
      </c>
      <c r="B32">
        <f>((B28-B27)/(B27/B30))-B31</f>
        <v>35.135135135135137</v>
      </c>
      <c r="C32" t="s">
        <v>20</v>
      </c>
    </row>
    <row r="33" spans="5:23" x14ac:dyDescent="0.35">
      <c r="E33" t="s">
        <v>33</v>
      </c>
      <c r="F33">
        <f>(B28/(F31*F30))*(1-(B28/F27))*1000</f>
        <v>21.5625</v>
      </c>
      <c r="G33" t="s">
        <v>30</v>
      </c>
      <c r="Q33" t="s">
        <v>60</v>
      </c>
      <c r="R33">
        <v>3.3</v>
      </c>
      <c r="S33" t="s">
        <v>26</v>
      </c>
      <c r="U33" t="s">
        <v>60</v>
      </c>
      <c r="V33">
        <v>5</v>
      </c>
      <c r="W33" t="s">
        <v>26</v>
      </c>
    </row>
    <row r="34" spans="5:23" x14ac:dyDescent="0.35">
      <c r="Q34" t="s">
        <v>35</v>
      </c>
      <c r="R34">
        <v>3</v>
      </c>
      <c r="S34" t="s">
        <v>27</v>
      </c>
      <c r="U34" t="s">
        <v>35</v>
      </c>
      <c r="V34">
        <v>1</v>
      </c>
      <c r="W34" t="s">
        <v>27</v>
      </c>
    </row>
    <row r="35" spans="5:23" x14ac:dyDescent="0.35">
      <c r="E35" t="s">
        <v>36</v>
      </c>
      <c r="F35" s="1">
        <v>22</v>
      </c>
      <c r="G35" t="s">
        <v>30</v>
      </c>
      <c r="Q35" t="s">
        <v>46</v>
      </c>
      <c r="R35">
        <v>3.9</v>
      </c>
      <c r="S35" t="s">
        <v>48</v>
      </c>
      <c r="U35" t="s">
        <v>46</v>
      </c>
      <c r="V35" s="2">
        <v>4.7</v>
      </c>
      <c r="W35" t="s">
        <v>48</v>
      </c>
    </row>
    <row r="36" spans="5:23" x14ac:dyDescent="0.35">
      <c r="E36" t="s">
        <v>34</v>
      </c>
      <c r="F36">
        <f>F28+(B28/(2*F31*1000*F35*0.000001)*(1-(B28/F27)))</f>
        <v>1.1960227272727273</v>
      </c>
      <c r="G36" t="s">
        <v>27</v>
      </c>
      <c r="Q36" t="s">
        <v>43</v>
      </c>
      <c r="R36">
        <v>10</v>
      </c>
      <c r="S36" t="s">
        <v>44</v>
      </c>
      <c r="U36" t="s">
        <v>43</v>
      </c>
      <c r="V36">
        <v>44</v>
      </c>
      <c r="W36" t="s">
        <v>44</v>
      </c>
    </row>
    <row r="37" spans="5:23" x14ac:dyDescent="0.35">
      <c r="Q37" t="s">
        <v>47</v>
      </c>
      <c r="R37">
        <v>6.8</v>
      </c>
      <c r="S37" t="s">
        <v>20</v>
      </c>
      <c r="U37" t="s">
        <v>47</v>
      </c>
      <c r="V37">
        <v>1.5</v>
      </c>
      <c r="W37" t="s">
        <v>20</v>
      </c>
    </row>
    <row r="38" spans="5:23" x14ac:dyDescent="0.35">
      <c r="Q38" t="s">
        <v>51</v>
      </c>
      <c r="R38">
        <f>R33/R34</f>
        <v>1.0999999999999999</v>
      </c>
      <c r="S38" t="s">
        <v>52</v>
      </c>
      <c r="U38" t="s">
        <v>51</v>
      </c>
      <c r="V38">
        <f>V33/V34</f>
        <v>5</v>
      </c>
      <c r="W38" t="s">
        <v>52</v>
      </c>
    </row>
    <row r="40" spans="5:23" x14ac:dyDescent="0.35">
      <c r="Q40" t="s">
        <v>56</v>
      </c>
      <c r="R40">
        <f>R38*R29*R28*R30/R33</f>
        <v>641.33333333333337</v>
      </c>
      <c r="S40" t="s">
        <v>59</v>
      </c>
      <c r="U40" t="s">
        <v>56</v>
      </c>
      <c r="V40">
        <f>V38*V29*V28*V30/V33</f>
        <v>1924</v>
      </c>
      <c r="W40" t="s">
        <v>59</v>
      </c>
    </row>
    <row r="41" spans="5:23" x14ac:dyDescent="0.35">
      <c r="Q41" t="s">
        <v>53</v>
      </c>
      <c r="R41">
        <f>((R27*0.000001)/(2*PI()*R35*0.000000001*R28))</f>
        <v>83.658367522662942</v>
      </c>
      <c r="S41" t="s">
        <v>65</v>
      </c>
      <c r="U41" t="s">
        <v>53</v>
      </c>
      <c r="V41">
        <f>((V27*0.000001)/(2*PI()*V35*0.000000001*V28))</f>
        <v>69.41864539114583</v>
      </c>
      <c r="W41" t="s">
        <v>65</v>
      </c>
    </row>
    <row r="42" spans="5:23" x14ac:dyDescent="0.35">
      <c r="Q42" t="s">
        <v>55</v>
      </c>
      <c r="R42">
        <f>(1/(2*PI()*R35*0.000000001*R37*1000))</f>
        <v>6001.3176128165669</v>
      </c>
      <c r="S42" t="s">
        <v>65</v>
      </c>
      <c r="U42" t="s">
        <v>55</v>
      </c>
      <c r="V42">
        <f>(1/(2*PI()*V35*0.000000001*V37*1000))</f>
        <v>22575.169232892953</v>
      </c>
      <c r="W42" t="s">
        <v>65</v>
      </c>
    </row>
    <row r="43" spans="5:23" x14ac:dyDescent="0.35">
      <c r="Q43" t="s">
        <v>54</v>
      </c>
      <c r="R43">
        <f>(1/(2*PI()*R36*0.000001*R38))</f>
        <v>14468.631190172307</v>
      </c>
      <c r="S43" t="s">
        <v>65</v>
      </c>
      <c r="U43" t="s">
        <v>54</v>
      </c>
      <c r="V43">
        <f>(1/(2*PI()*V36*0.000001*V38))</f>
        <v>723.43155950861512</v>
      </c>
      <c r="W43" t="s">
        <v>65</v>
      </c>
    </row>
    <row r="45" spans="5:23" x14ac:dyDescent="0.35">
      <c r="Q45" t="s">
        <v>58</v>
      </c>
      <c r="R45">
        <f>(4/(2*PI()*R35*R37*0.000001))/1000</f>
        <v>24.00527045126627</v>
      </c>
      <c r="S45" t="s">
        <v>2</v>
      </c>
      <c r="U45" t="s">
        <v>58</v>
      </c>
      <c r="V45">
        <f>(4/(2*PI()*V35*V37*0.000001))/1000</f>
        <v>90.300676931571829</v>
      </c>
      <c r="W45" t="s">
        <v>2</v>
      </c>
    </row>
    <row r="46" spans="5:23" x14ac:dyDescent="0.35">
      <c r="Q46" t="s">
        <v>49</v>
      </c>
      <c r="R46">
        <f>F31/10</f>
        <v>34</v>
      </c>
      <c r="S46" t="s">
        <v>2</v>
      </c>
      <c r="U46" t="s">
        <v>49</v>
      </c>
      <c r="V46">
        <f>F31/10</f>
        <v>34</v>
      </c>
      <c r="W46" t="s">
        <v>2</v>
      </c>
    </row>
    <row r="48" spans="5:23" x14ac:dyDescent="0.35">
      <c r="Q48" t="s">
        <v>67</v>
      </c>
      <c r="R48">
        <f>((2*PI()*R36*0.000001*R45*1000)/(R27*0.000001*R29))*(R33/R30)</f>
        <v>1261.9480669364784</v>
      </c>
      <c r="S48" t="s">
        <v>52</v>
      </c>
      <c r="U48" t="s">
        <v>67</v>
      </c>
      <c r="V48">
        <f>((2*PI()*V36*0.000001*V45*1000)/(V27*0.000001*V29))*(V33/V30)</f>
        <v>31647.151522605593</v>
      </c>
      <c r="W48" t="s">
        <v>52</v>
      </c>
    </row>
    <row r="49" spans="17:23" x14ac:dyDescent="0.35">
      <c r="Q49" t="s">
        <v>68</v>
      </c>
      <c r="R49">
        <f>((2*PI()*R36*0.000001*0.1*R31*1000)/(R27*0.000001*R29))*(R33/R30)</f>
        <v>1787.3672518268581</v>
      </c>
      <c r="S49" t="s">
        <v>52</v>
      </c>
      <c r="U49" t="s">
        <v>68</v>
      </c>
      <c r="V49">
        <f>((2*PI()*V36*0.000001*0.1*V31*1000)/(V27*0.000001*V29))*(V33/V30)</f>
        <v>11915.78167884572</v>
      </c>
      <c r="W49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WS2815</vt:lpstr>
      <vt:lpstr>MP2307</vt:lpstr>
      <vt:lpstr>5V Vreg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Herson</dc:creator>
  <cp:lastModifiedBy>Wahyu Herson</cp:lastModifiedBy>
  <dcterms:created xsi:type="dcterms:W3CDTF">2015-06-05T18:17:20Z</dcterms:created>
  <dcterms:modified xsi:type="dcterms:W3CDTF">2024-02-02T14:12:43Z</dcterms:modified>
</cp:coreProperties>
</file>